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codeName="ThisWorkbook" autoCompressPictures="0"/>
  <bookViews>
    <workbookView xWindow="0" yWindow="0" windowWidth="25600" windowHeight="15540" firstSheet="16" activeTab="18"/>
  </bookViews>
  <sheets>
    <sheet name="Contents" sheetId="98" r:id="rId1"/>
    <sheet name="Instructions" sheetId="97" r:id="rId2"/>
    <sheet name="CHANGELOG" sheetId="21" r:id="rId3"/>
    <sheet name="Glossary" sheetId="99" r:id="rId4"/>
    <sheet name="Control" sheetId="60" r:id="rId5"/>
    <sheet name="Preferences" sheetId="24" r:id="rId6"/>
    <sheet name="Cost Charts" sheetId="108" r:id="rId7"/>
    <sheet name="Costs" sheetId="105" r:id="rId8"/>
    <sheet name="Global cost assumptions" sheetId="106" r:id="rId9"/>
    <sheet name="Intermediate output" sheetId="59" r:id="rId10"/>
    <sheet name="Conversions" sheetId="6" r:id="rId11"/>
    <sheet name="Global assumptions" sheetId="35" r:id="rId12"/>
    <sheet name="Constants" sheetId="12" r:id="rId13"/>
    <sheet name="Combustion Emissions Factors" sheetId="65" r:id="rId14"/>
    <sheet name="{Workstreams}" sheetId="23" r:id="rId15"/>
    <sheet name="{Modules}" sheetId="25" r:id="rId16"/>
    <sheet name="{Energy vectors}" sheetId="2" r:id="rId17"/>
    <sheet name="{Emissions}" sheetId="64" r:id="rId18"/>
    <sheet name="I.a" sheetId="22" r:id="rId19"/>
    <sheet name="I.b" sheetId="37" r:id="rId20"/>
    <sheet name="XV.b" sheetId="48" r:id="rId21"/>
    <sheet name="XVI.a" sheetId="116" r:id="rId22"/>
    <sheet name="XVI.b" sheetId="107" r:id="rId23"/>
    <sheet name="XVII.a" sheetId="114" r:id="rId24"/>
    <sheet name="XVIII" sheetId="118" r:id="rId25"/>
    <sheet name="2050" sheetId="78" r:id="rId26"/>
    <sheet name="DUKES 09 (1.2)" sheetId="8" r:id="rId27"/>
    <sheet name="DUKES 09 (1.9)" sheetId="68" r:id="rId28"/>
    <sheet name="DUKES 09 (2.5)" sheetId="14" r:id="rId29"/>
    <sheet name="DUKES 09 (5.1)" sheetId="15" r:id="rId30"/>
    <sheet name="DUKES 09 (5.6)" sheetId="16" r:id="rId31"/>
    <sheet name="DUKES 09 (7.2)" sheetId="10" r:id="rId32"/>
    <sheet name="DUKES 09 (7.4)" sheetId="91" r:id="rId33"/>
    <sheet name="DUKES 09 (A.1)" sheetId="13" r:id="rId34"/>
    <sheet name="DECC Energy Cons. (1.14)" sheetId="9" r:id="rId35"/>
    <sheet name="DECC Energy Cons. (4.1)" sheetId="11" r:id="rId36"/>
  </sheets>
  <externalReferences>
    <externalReference r:id="rId37"/>
    <externalReference r:id="rId38"/>
    <externalReference r:id="rId39"/>
    <externalReference r:id="rId40"/>
    <externalReference r:id="rId41"/>
    <externalReference r:id="rId42"/>
    <externalReference r:id="rId43"/>
  </externalReferences>
  <definedNames>
    <definedName name="_xlnm._FilterDatabase" localSheetId="9" hidden="1">'Intermediate output'!$H$362:$H$544</definedName>
    <definedName name="Constants.Density.Diesel">Constants!$C$36</definedName>
    <definedName name="Constants.Density.Ethanol">Constants!$C$34</definedName>
    <definedName name="Constants.Density.JetFuel">Constants!$C$35</definedName>
    <definedName name="Constants.Density.MotorSpirit">Constants!$C$33</definedName>
    <definedName name="Constants.GCV.ATF">Constants!$C$16</definedName>
    <definedName name="Constants.GCV.Coal">Constants!$C$6</definedName>
    <definedName name="Constants.GCV.Coke">Constants!$C$7</definedName>
    <definedName name="Constants.GCV.CokeBreeze">Constants!$C$8</definedName>
    <definedName name="Constants.GCV.CrudeOil">Constants!$C$12</definedName>
    <definedName name="Constants.GCV.Diesel">Constants!$C$15</definedName>
    <definedName name="Constants.GCV.LandfillGas">Constants!$C$23</definedName>
    <definedName name="Constants.GCV.MotorSpirit">Constants!$C$14</definedName>
    <definedName name="Constants.GCV.NaturalGasProduced">Constants!$C$19</definedName>
    <definedName name="Constants.GCV.PetroleumProducts">Constants!$C$13</definedName>
    <definedName name="Conversion.to.annual.energy">Conversions!$E$59</definedName>
    <definedName name="Conversion.to.average.power">Conversions!$E$58</definedName>
    <definedName name="Conversion.to.energy.per.second">Conversions!$E$60</definedName>
    <definedName name="Conversion.UKgallons.to.litres">Conversions!$E$65</definedName>
    <definedName name="Conversion.USgallons.to.litres">Conversions!$E$66</definedName>
    <definedName name="Conversions.Area.m2">Conversions!$E$48:$E$53</definedName>
    <definedName name="Conversions.Area.Units">Conversions!$B$48:$B$53</definedName>
    <definedName name="Conversions.Energy.Joules">Conversions!$E$5:$E$23</definedName>
    <definedName name="Conversions.Energy.Units">Conversions!$B$5:$B$23</definedName>
    <definedName name="Conversions.Money.GBP">'Global cost assumptions'!$G$17:$G$25</definedName>
    <definedName name="Conversions.Money.Units">'Global cost assumptions'!$C$17:$C$25</definedName>
    <definedName name="Conversions.Power.Units">Conversions!$B$30:$B$35</definedName>
    <definedName name="Conversions.Power.Watts">Conversions!$E$30:$E$35</definedName>
    <definedName name="discount_factors">'Global cost assumptions'!$I$6:$Q$6</definedName>
    <definedName name="Discount_rate">'Global cost assumptions'!$H$5</definedName>
    <definedName name="EF.BlastFurnaceGas.CO2">Constants!$F$9</definedName>
    <definedName name="EF.Diesel.CH4">Constants!$G$7</definedName>
    <definedName name="EF.Diesel.CO2">Constants!$F$7</definedName>
    <definedName name="EF.Diesel.N2O">Constants!$H$7</definedName>
    <definedName name="EF.IndustrialCoal.CH4">Constants!$G$6</definedName>
    <definedName name="EF.IndustrialCoal.CO2">Constants!$F$6</definedName>
    <definedName name="EF.IndustrialCoal.N2O">Constants!$H$6</definedName>
    <definedName name="EF.NaturalGas.CH4">Constants!$G$8</definedName>
    <definedName name="EF.NaturalGas.CO2">Constants!$F$8</definedName>
    <definedName name="EF.NaturalGas.N2O">Constants!$H$8</definedName>
    <definedName name="Euro2002_">'Global cost assumptions'!$F$23</definedName>
    <definedName name="GBP">'Global cost assumptions'!$F$25</definedName>
    <definedName name="GBPppyr">'Global cost assumptions'!$F$17</definedName>
    <definedName name="GGBP">'Global cost assumptions'!$F$19</definedName>
    <definedName name="Global.UKIncidentSolarEnergy">'Global assumptions'!$I$5</definedName>
    <definedName name="Global.UKIncidentSolarEnergy_SouthFacing">'Global assumptions'!$I$6</definedName>
    <definedName name="GWP.CH4">Constants!$K$7</definedName>
    <definedName name="GWP.N2O">Constants!$K$8</definedName>
    <definedName name="I.a.scenario">Control!$AB$12</definedName>
    <definedName name="I.b.1.Scenario">Control!$AB$7</definedName>
    <definedName name="I.b.2.Scenario">Control!$AB$8</definedName>
    <definedName name="I.b.Scenario">Control!$AB$7</definedName>
    <definedName name="II.a.Scenario">Control!$AB$5</definedName>
    <definedName name="III.a.1.Scenario">Control!$AB$10</definedName>
    <definedName name="III.a.2.Scenario">Control!$AB$9</definedName>
    <definedName name="III.a.Scenario">Control!$AB$10</definedName>
    <definedName name="III.b.Scenario">Control!$AB$16</definedName>
    <definedName name="III.c.Scenario">Control!$AB$11</definedName>
    <definedName name="III.d.Scenario">Control!$AB$15</definedName>
    <definedName name="IV.a.Scenario">Control!$AB$13</definedName>
    <definedName name="IV.b.Scenario">Control!$AB$14</definedName>
    <definedName name="IV.c.Scenario">Control!$AB$17</definedName>
    <definedName name="IX.a.Scenario.Electrification">Control!$AB$36</definedName>
    <definedName name="IX.a.Scenario.Fuel">Control!$AB$37</definedName>
    <definedName name="IX.a.Scenario.Insulation">Control!$AB$35</definedName>
    <definedName name="IX.a.Scenario.ServiceDemand">Control!$AB$34</definedName>
    <definedName name="IX.c.Scenario.Demand">Control!$AB$45</definedName>
    <definedName name="IX.c.Scenario.Electrification">Control!$AB$46</definedName>
    <definedName name="IX.c.Scenario.Fuel">Control!$AB$47</definedName>
    <definedName name="kGBP">'Global cost assumptions'!$F$21</definedName>
    <definedName name="MGBP">'Global cost assumptions'!$F$20</definedName>
    <definedName name="Peak_Electricity_Generation_Capacity">'Intermediate output'!$H$128:$Q$128</definedName>
    <definedName name="percentGDP">'Global cost assumptions'!$F$22</definedName>
    <definedName name="plantsize.I.a">I.a!$F$87</definedName>
    <definedName name="plantsize.Ib">I.b!$F$85</definedName>
    <definedName name="plantsize.II.a">#REF!</definedName>
    <definedName name="plantsize.III.a.1">#REF!</definedName>
    <definedName name="plantsize.III.a.2">#REF!</definedName>
    <definedName name="plantsize.III.b">#REF!</definedName>
    <definedName name="plantsize.III.c.TidalRange">#REF!</definedName>
    <definedName name="plantsize.III.c.TidalStream">#REF!</definedName>
    <definedName name="plantsize.III.c.Wave">#REF!</definedName>
    <definedName name="plantsize.III.d">#REF!</definedName>
    <definedName name="plantsize.IV.a">#REF!</definedName>
    <definedName name="plantsize.IV.b">#REF!</definedName>
    <definedName name="Preferences.AreaUnits">Preferences!$C$7</definedName>
    <definedName name="Preferences.EnergyUnits">Preferences!$C$3</definedName>
    <definedName name="Preferences.moneyunits">Preferences!$C$9</definedName>
    <definedName name="Preferences.PowerUnits">Preferences!$C$5</definedName>
    <definedName name="Preferences.Unit.Energy">Preferences!$F$3</definedName>
    <definedName name="Preferences.Unit.Power">Preferences!$F$5</definedName>
    <definedName name="Price1990">'Global cost assumptions'!$J$33</definedName>
    <definedName name="Price1991">'Global cost assumptions'!$J$34</definedName>
    <definedName name="Price1992">'Global cost assumptions'!$J$35</definedName>
    <definedName name="Price1993">'Global cost assumptions'!$J$36</definedName>
    <definedName name="Price1994">'Global cost assumptions'!$J$37</definedName>
    <definedName name="Price1995">'Global cost assumptions'!$J$38</definedName>
    <definedName name="Price1996">'Global cost assumptions'!$J$39</definedName>
    <definedName name="Price1997">'Global cost assumptions'!$J$40</definedName>
    <definedName name="Price1998">'Global cost assumptions'!$J$41</definedName>
    <definedName name="Price1999">'Global cost assumptions'!$J$42</definedName>
    <definedName name="Price2000">'Global cost assumptions'!$J$43</definedName>
    <definedName name="Price2001">'Global cost assumptions'!$J$44</definedName>
    <definedName name="Price2002">'Global cost assumptions'!$J$45</definedName>
    <definedName name="Price2003">'Global cost assumptions'!$J$46</definedName>
    <definedName name="Price2004">'Global cost assumptions'!$J$47</definedName>
    <definedName name="Price2005">'Global cost assumptions'!$J$48</definedName>
    <definedName name="Price2006">'Global cost assumptions'!$J$49</definedName>
    <definedName name="Price2007">'Global cost assumptions'!$J$50</definedName>
    <definedName name="Price2008">'Global cost assumptions'!$J$51</definedName>
    <definedName name="Price2009">'Global cost assumptions'!$J$52</definedName>
    <definedName name="Price2010">'Global cost assumptions'!$J$53</definedName>
    <definedName name="TGBP">'Global cost assumptions'!$F$18</definedName>
    <definedName name="this.Year" localSheetId="25">'2050'!$E$2</definedName>
    <definedName name="Unit.acre">Conversions!$F$50</definedName>
    <definedName name="unit.bcm">Conversions!$F$24</definedName>
    <definedName name="Unit.boe">Conversions!$F$15</definedName>
    <definedName name="Unit.Btu">Conversions!$F$21</definedName>
    <definedName name="Unit.calorie">Conversions!$F$22</definedName>
    <definedName name="Unit.day">Conversions!$F$41</definedName>
    <definedName name="Unit.GJ">Conversions!$F$7</definedName>
    <definedName name="Unit.GW">Conversions!$F$30</definedName>
    <definedName name="Unit.GWh">Conversions!$F$13</definedName>
    <definedName name="Unit.GWyear">Conversions!$F$23</definedName>
    <definedName name="Unit.ha">Conversions!$F$48</definedName>
    <definedName name="Unit.hour">Conversions!$F$42</definedName>
    <definedName name="Unit.J">Conversions!$F$8</definedName>
    <definedName name="Unit.km2">Conversions!$F$51</definedName>
    <definedName name="Unit.ktoe">Conversions!$F$18</definedName>
    <definedName name="Unit.kW">Conversions!$F$32</definedName>
    <definedName name="Unit.kWh">Conversions!$F$10</definedName>
    <definedName name="Unit.kWh.p.d">Conversions!$F$11</definedName>
    <definedName name="Unit.m2">Conversions!$F$52</definedName>
    <definedName name="Unit.Mboe">Conversions!$F$16</definedName>
    <definedName name="Unit.mcm.d">Conversions!$F$34</definedName>
    <definedName name="Unit.Mha">Conversions!$F$49</definedName>
    <definedName name="Unit.minute">Conversions!$F$43</definedName>
    <definedName name="Unit.MJ">Conversions!$F$9</definedName>
    <definedName name="Unit.Mtoe">Conversions!$F$19</definedName>
    <definedName name="Unit.Mtoe.y">Conversions!$F$35</definedName>
    <definedName name="Unit.MW">Conversions!$F$31</definedName>
    <definedName name="Unit.MWh">Conversions!$F$14</definedName>
    <definedName name="Unit.PJ">Conversions!$F$5</definedName>
    <definedName name="Unit.therm">Conversions!$F$20</definedName>
    <definedName name="Unit.TJ">Conversions!$F$6</definedName>
    <definedName name="Unit.toe">Conversions!$F$17</definedName>
    <definedName name="Unit.TWh">Conversions!$F$12</definedName>
    <definedName name="Unit.W">Conversions!$F$33</definedName>
    <definedName name="Unit.Wales">Conversions!$F$53</definedName>
    <definedName name="Unit.year">Conversions!$F$40</definedName>
    <definedName name="USD2009_">'Global cost assumptions'!$F$24</definedName>
    <definedName name="V.a.Scenario">Control!$AB$24</definedName>
    <definedName name="V.b.Scenario">Control!$AB$25</definedName>
    <definedName name="VI.a.2.Scenario">Control!$AB$21</definedName>
    <definedName name="VI.a.Scenario">Control!$AB$20</definedName>
    <definedName name="VI.b.Scenario">Control!$AB$22</definedName>
    <definedName name="VI.c.Scenario">Control!$AB$23</definedName>
    <definedName name="VII.a.Scenario">Control!$AB$18</definedName>
    <definedName name="VII.c.Scenario">Control!$AB$53</definedName>
    <definedName name="X.a.Scenario.Demand">Control!$AB$39</definedName>
    <definedName name="X.a.Scenario.Technology">Control!$AB$40</definedName>
    <definedName name="X.b.Scenario.Demand">Control!$AB$49</definedName>
    <definedName name="X.b.Scenario.Technology">Control!$AB$50</definedName>
    <definedName name="XI.a.Scenario">Control!$N$39</definedName>
    <definedName name="XI.a.Scenario.Efficiency">Control!$AB$43</definedName>
    <definedName name="XI.a.Scenario.Output">Control!$AB$42</definedName>
    <definedName name="XII.a.Scenario.Demand">Control!$AB$28</definedName>
    <definedName name="XII.a.Scenario.Technology">Control!$AB$29</definedName>
    <definedName name="XII.b.Scenario">Control!$AB$30</definedName>
    <definedName name="XII.c.Scenario">Control!$AB$31</definedName>
    <definedName name="XII.e.Scenario">Control!$AB$32</definedName>
    <definedName name="XIV.a.Scenario">Control!$AB$52</definedName>
    <definedName name="Year.Emissions" localSheetId="25">'2050'!$BO$109:$DF$109</definedName>
    <definedName name="Year.EmissionsBySector" localSheetId="25">'2050'!$DH$6:$DH$110</definedName>
    <definedName name="Year.GHG" localSheetId="25">'2050'!$BO$6:$DF$6</definedName>
    <definedName name="Year.IPCC" localSheetId="25">'2050'!$BO$5:$DF$5</definedName>
    <definedName name="Year.Matrix" localSheetId="25">'2050'!$G$6:$BL$110</definedName>
    <definedName name="Year.Modules" localSheetId="25">'2050'!$C$6:$C$110</definedName>
    <definedName name="Year.NetBalance" localSheetId="25">'2050'!$G$109:$BL$109</definedName>
    <definedName name="Year.Vectors" localSheetId="25">'2050'!$G$5:$BL$5</definedName>
  </definedNames>
  <calcPr calcId="140001" calcMode="autoNoTable" concurrentCalc="0"/>
  <extLst>
    <ext xmlns:mx="http://schemas.microsoft.com/office/mac/excel/2008/main" uri="{7523E5D3-25F3-A5E0-1632-64F254C22452}">
      <mx:ArchID Flags="2"/>
    </ext>
  </extLst>
</workbook>
</file>

<file path=xl/calcChain.xml><?xml version="1.0" encoding="utf-8"?>
<calcChain xmlns="http://schemas.openxmlformats.org/spreadsheetml/2006/main">
  <c r="F16" i="106" l="1"/>
  <c r="F25" i="106"/>
  <c r="F21" i="106"/>
  <c r="J43" i="106"/>
  <c r="F29" i="6"/>
  <c r="F30" i="6"/>
  <c r="BF14" i="105"/>
  <c r="BF100" i="105"/>
  <c r="BG100" i="105"/>
  <c r="BF101" i="105"/>
  <c r="BG101" i="105"/>
  <c r="CE60" i="105"/>
  <c r="CE61" i="105"/>
  <c r="CE62" i="105"/>
  <c r="CE63" i="105"/>
  <c r="CE64" i="105"/>
  <c r="CE65" i="105"/>
  <c r="CE66" i="105"/>
  <c r="CE67" i="105"/>
  <c r="CE68" i="105"/>
  <c r="CE69" i="105"/>
  <c r="CE70" i="105"/>
  <c r="CE71" i="105"/>
  <c r="CE72" i="105"/>
  <c r="CE73" i="105"/>
  <c r="CE74" i="105"/>
  <c r="CE75" i="105"/>
  <c r="CE76" i="105"/>
  <c r="CE77" i="105"/>
  <c r="CE78" i="105"/>
  <c r="CE79" i="105"/>
  <c r="CE80" i="105"/>
  <c r="CE81" i="105"/>
  <c r="CE82" i="105"/>
  <c r="CE83" i="105"/>
  <c r="CE84" i="105"/>
  <c r="CE85" i="105"/>
  <c r="CE86" i="105"/>
  <c r="CE87" i="105"/>
  <c r="CE88" i="105"/>
  <c r="CE89" i="105"/>
  <c r="CE90" i="105"/>
  <c r="CE91" i="105"/>
  <c r="CE92" i="105"/>
  <c r="CE93" i="105"/>
  <c r="CE94" i="105"/>
  <c r="CE95" i="105"/>
  <c r="CE96" i="105"/>
  <c r="CE97" i="105"/>
  <c r="CE98" i="105"/>
  <c r="CE99" i="105"/>
  <c r="CE100" i="105"/>
  <c r="CE101" i="105"/>
  <c r="CE59" i="105"/>
  <c r="CE102" i="105"/>
  <c r="BF53" i="105"/>
  <c r="BG53" i="105"/>
  <c r="BF54" i="105"/>
  <c r="BG54" i="105"/>
  <c r="AO94" i="105"/>
  <c r="AO25" i="105"/>
  <c r="O70" i="105"/>
  <c r="AB45" i="105"/>
  <c r="AB97" i="105"/>
  <c r="AO96" i="105"/>
  <c r="AO27" i="105"/>
  <c r="O68" i="105"/>
  <c r="AB43" i="105"/>
  <c r="AO46" i="105"/>
  <c r="AB71" i="105"/>
  <c r="AB24" i="105"/>
  <c r="AB101" i="105"/>
  <c r="AB54" i="105"/>
  <c r="O80" i="105"/>
  <c r="AB12" i="105"/>
  <c r="AO34" i="105"/>
  <c r="O60" i="105"/>
  <c r="AB36" i="105"/>
  <c r="AB77" i="105"/>
  <c r="AO90" i="105"/>
  <c r="AO21" i="105"/>
  <c r="O74" i="105"/>
  <c r="AB49" i="105"/>
  <c r="AB89" i="105"/>
  <c r="AO92" i="105"/>
  <c r="AO23" i="105"/>
  <c r="AO86" i="105"/>
  <c r="AO17" i="105"/>
  <c r="O78" i="105"/>
  <c r="AB53" i="105"/>
  <c r="AB81" i="105"/>
  <c r="AO88" i="105"/>
  <c r="AO19" i="105"/>
  <c r="O76" i="105"/>
  <c r="AB51" i="105"/>
  <c r="AO38" i="105"/>
  <c r="AB63" i="105"/>
  <c r="AB32" i="105"/>
  <c r="AB85" i="105"/>
  <c r="AB96" i="105"/>
  <c r="O88" i="105"/>
  <c r="AO95" i="105"/>
  <c r="AO26" i="105"/>
  <c r="O69" i="105"/>
  <c r="AB44" i="105"/>
  <c r="AB60" i="105"/>
  <c r="AO82" i="105"/>
  <c r="AO12" i="105"/>
  <c r="O82" i="105"/>
  <c r="AO101" i="105"/>
  <c r="AB73" i="105"/>
  <c r="AO68" i="105"/>
  <c r="AO41" i="105"/>
  <c r="AB66" i="105"/>
  <c r="AB29" i="105"/>
  <c r="AO40" i="105"/>
  <c r="AB34" i="105"/>
  <c r="AO43" i="105"/>
  <c r="AB68" i="105"/>
  <c r="AB27" i="105"/>
  <c r="AO67" i="105"/>
  <c r="AB87" i="105"/>
  <c r="O97" i="105"/>
  <c r="AO44" i="105"/>
  <c r="AB22" i="105"/>
  <c r="O64" i="105"/>
  <c r="AB39" i="105"/>
  <c r="AO50" i="105"/>
  <c r="AB75" i="105"/>
  <c r="AB20" i="105"/>
  <c r="AO20" i="105"/>
  <c r="AB46" i="105"/>
  <c r="AO37" i="105"/>
  <c r="AB62" i="105"/>
  <c r="AB33" i="105"/>
  <c r="AO32" i="105"/>
  <c r="AB42" i="105"/>
  <c r="AO39" i="105"/>
  <c r="AO31" i="105"/>
  <c r="AO33" i="105"/>
  <c r="O62" i="105"/>
  <c r="AB37" i="105"/>
  <c r="AO24" i="105"/>
  <c r="AB50" i="105"/>
  <c r="AO35" i="105"/>
  <c r="AB59" i="105"/>
  <c r="AB35" i="105"/>
  <c r="AO54" i="105"/>
  <c r="AB79" i="105"/>
  <c r="AB16" i="105"/>
  <c r="AO28" i="105"/>
  <c r="AB38" i="105"/>
  <c r="O72" i="105"/>
  <c r="AB47" i="105"/>
  <c r="AO42" i="105"/>
  <c r="AB67" i="105"/>
  <c r="AB28" i="105"/>
  <c r="AB93" i="105"/>
  <c r="AO29" i="105"/>
  <c r="AB41" i="105"/>
  <c r="AO100" i="105"/>
  <c r="AO62" i="105"/>
  <c r="AB82" i="105"/>
  <c r="O59" i="105"/>
  <c r="AO77" i="105"/>
  <c r="O91" i="105"/>
  <c r="AO64" i="105"/>
  <c r="AB84" i="105"/>
  <c r="O100" i="105"/>
  <c r="AO83" i="105"/>
  <c r="AO13" i="105"/>
  <c r="O81" i="105"/>
  <c r="AO81" i="105"/>
  <c r="O79" i="105"/>
  <c r="AB72" i="105"/>
  <c r="AB23" i="105"/>
  <c r="AO71" i="105"/>
  <c r="AB91" i="105"/>
  <c r="O93" i="105"/>
  <c r="AO52" i="105"/>
  <c r="AB13" i="105"/>
  <c r="AO53" i="105"/>
  <c r="AB78" i="105"/>
  <c r="AB17" i="105"/>
  <c r="AO69" i="105"/>
  <c r="O99" i="105"/>
  <c r="AO59" i="105"/>
  <c r="AO47" i="105"/>
  <c r="AO49" i="105"/>
  <c r="AB74" i="105"/>
  <c r="AB21" i="105"/>
  <c r="AO60" i="105"/>
  <c r="AB18" i="105"/>
  <c r="AO51" i="105"/>
  <c r="AB76" i="105"/>
  <c r="AB19" i="105"/>
  <c r="AO75" i="105"/>
  <c r="AB95" i="105"/>
  <c r="O89" i="105"/>
  <c r="AO65" i="105"/>
  <c r="O95" i="105"/>
  <c r="AB64" i="105"/>
  <c r="AB31" i="105"/>
  <c r="AO63" i="105"/>
  <c r="AB83" i="105"/>
  <c r="O101" i="105"/>
  <c r="AO36" i="105"/>
  <c r="AB30" i="105"/>
  <c r="AO45" i="105"/>
  <c r="AB70" i="105"/>
  <c r="AB25" i="105"/>
  <c r="AO48" i="105"/>
  <c r="AB26" i="105"/>
  <c r="AO78" i="105"/>
  <c r="AB98" i="105"/>
  <c r="O86" i="105"/>
  <c r="AO97" i="105"/>
  <c r="AB65" i="105"/>
  <c r="AO80" i="105"/>
  <c r="AB100" i="105"/>
  <c r="O84" i="105"/>
  <c r="AO99" i="105"/>
  <c r="AO30" i="105"/>
  <c r="O65" i="105"/>
  <c r="AB40" i="105"/>
  <c r="AB69" i="105"/>
  <c r="AB88" i="105"/>
  <c r="O96" i="105"/>
  <c r="AO87" i="105"/>
  <c r="AO18" i="105"/>
  <c r="O77" i="105"/>
  <c r="AB52" i="105"/>
  <c r="O71" i="105"/>
  <c r="AO74" i="105"/>
  <c r="AB94" i="105"/>
  <c r="O90" i="105"/>
  <c r="AO93" i="105"/>
  <c r="O67" i="105"/>
  <c r="AO76" i="105"/>
  <c r="AO84" i="105"/>
  <c r="AO70" i="105"/>
  <c r="AB90" i="105"/>
  <c r="O94" i="105"/>
  <c r="AO89" i="105"/>
  <c r="O75" i="105"/>
  <c r="AO72" i="105"/>
  <c r="AB92" i="105"/>
  <c r="O92" i="105"/>
  <c r="AO91" i="105"/>
  <c r="AO22" i="105"/>
  <c r="O73" i="105"/>
  <c r="AB48" i="105"/>
  <c r="O63" i="105"/>
  <c r="AB80" i="105"/>
  <c r="AB15" i="105"/>
  <c r="AO79" i="105"/>
  <c r="AB99" i="105"/>
  <c r="O85" i="105"/>
  <c r="AO73" i="105"/>
  <c r="O87" i="105"/>
  <c r="AO66" i="105"/>
  <c r="AB86" i="105"/>
  <c r="O98" i="105"/>
  <c r="AO85" i="105"/>
  <c r="O83" i="105"/>
  <c r="AO15" i="105"/>
  <c r="AO98" i="105"/>
  <c r="O66" i="105"/>
  <c r="AO16" i="105"/>
  <c r="CR59" i="105"/>
  <c r="CR60" i="105"/>
  <c r="CR62" i="105"/>
  <c r="CR63" i="105"/>
  <c r="CR64" i="105"/>
  <c r="CR65" i="105"/>
  <c r="CR66" i="105"/>
  <c r="CR67" i="105"/>
  <c r="CR68" i="105"/>
  <c r="CR69" i="105"/>
  <c r="CR70" i="105"/>
  <c r="CR71" i="105"/>
  <c r="CR72" i="105"/>
  <c r="CR73" i="105"/>
  <c r="CR74" i="105"/>
  <c r="CR75" i="105"/>
  <c r="CR76" i="105"/>
  <c r="CR77" i="105"/>
  <c r="CR78" i="105"/>
  <c r="CR79" i="105"/>
  <c r="CR80" i="105"/>
  <c r="CR81" i="105"/>
  <c r="CR82" i="105"/>
  <c r="CR83" i="105"/>
  <c r="CR84" i="105"/>
  <c r="CR85" i="105"/>
  <c r="CR86" i="105"/>
  <c r="CR87" i="105"/>
  <c r="CR88" i="105"/>
  <c r="CR89" i="105"/>
  <c r="CR90" i="105"/>
  <c r="CR91" i="105"/>
  <c r="CR92" i="105"/>
  <c r="CR93" i="105"/>
  <c r="CR94" i="105"/>
  <c r="CR95" i="105"/>
  <c r="CR96" i="105"/>
  <c r="CR97" i="105"/>
  <c r="CR98" i="105"/>
  <c r="CR99" i="105"/>
  <c r="CR100" i="105"/>
  <c r="CR101" i="105"/>
  <c r="BB59" i="105"/>
  <c r="BB101" i="105"/>
  <c r="BB100" i="105"/>
  <c r="BB99" i="105"/>
  <c r="BB98" i="105"/>
  <c r="BB97" i="105"/>
  <c r="BB96" i="105"/>
  <c r="BB95" i="105"/>
  <c r="BB94" i="105"/>
  <c r="BB93" i="105"/>
  <c r="BB92" i="105"/>
  <c r="BB91" i="105"/>
  <c r="BB90" i="105"/>
  <c r="BB89" i="105"/>
  <c r="BB88" i="105"/>
  <c r="BB87" i="105"/>
  <c r="BB86" i="105"/>
  <c r="BB85" i="105"/>
  <c r="BB84" i="105"/>
  <c r="BB83" i="105"/>
  <c r="BB82" i="105"/>
  <c r="BB81" i="105"/>
  <c r="BB80" i="105"/>
  <c r="BB79" i="105"/>
  <c r="BB78" i="105"/>
  <c r="BB77" i="105"/>
  <c r="BB76" i="105"/>
  <c r="BB75" i="105"/>
  <c r="BB74" i="105"/>
  <c r="BB73" i="105"/>
  <c r="BB72" i="105"/>
  <c r="BB71" i="105"/>
  <c r="BB70" i="105"/>
  <c r="BB69" i="105"/>
  <c r="BB68" i="105"/>
  <c r="BB67" i="105"/>
  <c r="BB66" i="105"/>
  <c r="BB65" i="105"/>
  <c r="BB64" i="105"/>
  <c r="BB63" i="105"/>
  <c r="BB62" i="105"/>
  <c r="BB60" i="105"/>
  <c r="O38" i="105"/>
  <c r="O24" i="105"/>
  <c r="O34" i="105"/>
  <c r="O20" i="105"/>
  <c r="O21" i="105"/>
  <c r="O46" i="105"/>
  <c r="O50" i="105"/>
  <c r="O15" i="105"/>
  <c r="O54" i="105"/>
  <c r="O37" i="105"/>
  <c r="O33" i="105"/>
  <c r="O44" i="105"/>
  <c r="O42" i="105"/>
  <c r="O45" i="105"/>
  <c r="O31" i="105"/>
  <c r="O41" i="105"/>
  <c r="O27" i="105"/>
  <c r="O52" i="105"/>
  <c r="O13" i="105"/>
  <c r="O39" i="105"/>
  <c r="O35" i="105"/>
  <c r="O53" i="105"/>
  <c r="O22" i="105"/>
  <c r="O47" i="105"/>
  <c r="O18" i="105"/>
  <c r="O43" i="105"/>
  <c r="O48" i="105"/>
  <c r="O30" i="105"/>
  <c r="O16" i="105"/>
  <c r="O26" i="105"/>
  <c r="O12" i="105"/>
  <c r="O40" i="105"/>
  <c r="O17" i="105"/>
  <c r="O28" i="105"/>
  <c r="O51" i="105"/>
  <c r="O29" i="105"/>
  <c r="O25" i="105"/>
  <c r="O36" i="105"/>
  <c r="O23" i="105"/>
  <c r="O19" i="105"/>
  <c r="O32" i="105"/>
  <c r="O49" i="105"/>
  <c r="BB12" i="105"/>
  <c r="BB54" i="105"/>
  <c r="BB53" i="105"/>
  <c r="BB52" i="105"/>
  <c r="BB51" i="105"/>
  <c r="BB50" i="105"/>
  <c r="BB49" i="105"/>
  <c r="BB48" i="105"/>
  <c r="BB47" i="105"/>
  <c r="BB46" i="105"/>
  <c r="BB45" i="105"/>
  <c r="BB44" i="105"/>
  <c r="BB43" i="105"/>
  <c r="BB42" i="105"/>
  <c r="BB41" i="105"/>
  <c r="BB40" i="105"/>
  <c r="BB39" i="105"/>
  <c r="BB38" i="105"/>
  <c r="BB37" i="105"/>
  <c r="BB36" i="105"/>
  <c r="BB35" i="105"/>
  <c r="BB34" i="105"/>
  <c r="BB33" i="105"/>
  <c r="BB32" i="105"/>
  <c r="BB31" i="105"/>
  <c r="BB30" i="105"/>
  <c r="BB29" i="105"/>
  <c r="BB28" i="105"/>
  <c r="BB27" i="105"/>
  <c r="BB26" i="105"/>
  <c r="BB25" i="105"/>
  <c r="BB24" i="105"/>
  <c r="BB23" i="105"/>
  <c r="BB22" i="105"/>
  <c r="BB21" i="105"/>
  <c r="BB20" i="105"/>
  <c r="BB19" i="105"/>
  <c r="BB18" i="105"/>
  <c r="BB17" i="105"/>
  <c r="BB16" i="105"/>
  <c r="BB15" i="105"/>
  <c r="BB13" i="105"/>
  <c r="I5" i="106"/>
  <c r="I6" i="106"/>
  <c r="J5" i="106"/>
  <c r="J6" i="106"/>
  <c r="K5" i="106"/>
  <c r="K6" i="106"/>
  <c r="L5" i="106"/>
  <c r="L6" i="106"/>
  <c r="M5" i="106"/>
  <c r="M6" i="106"/>
  <c r="N5" i="106"/>
  <c r="N6" i="106"/>
  <c r="O6" i="106"/>
  <c r="P6" i="106"/>
  <c r="Q6" i="106"/>
  <c r="AK101" i="105"/>
  <c r="T101" i="105"/>
  <c r="AL101" i="105"/>
  <c r="AH101" i="105"/>
  <c r="AG101" i="105"/>
  <c r="AF101" i="105"/>
  <c r="Y101" i="105"/>
  <c r="AA101" i="105"/>
  <c r="AN101" i="105"/>
  <c r="AI101" i="105"/>
  <c r="AM101" i="105"/>
  <c r="U101" i="105"/>
  <c r="Z101" i="105"/>
  <c r="X101" i="105"/>
  <c r="S101" i="105"/>
  <c r="AJ101" i="105"/>
  <c r="W101" i="105"/>
  <c r="V101" i="105"/>
  <c r="AP101" i="105"/>
  <c r="AC101" i="105"/>
  <c r="AM54" i="105"/>
  <c r="AA54" i="105"/>
  <c r="AG54" i="105"/>
  <c r="U54" i="105"/>
  <c r="AN54" i="105"/>
  <c r="Z54" i="105"/>
  <c r="AJ54" i="105"/>
  <c r="AI54" i="105"/>
  <c r="AH54" i="105"/>
  <c r="X54" i="105"/>
  <c r="Y54" i="105"/>
  <c r="V54" i="105"/>
  <c r="AF54" i="105"/>
  <c r="AK54" i="105"/>
  <c r="W54" i="105"/>
  <c r="AL54" i="105"/>
  <c r="S54" i="105"/>
  <c r="T54" i="105"/>
  <c r="BS54" i="105"/>
  <c r="CE54" i="105"/>
  <c r="CR54" i="105"/>
  <c r="AP54" i="105"/>
  <c r="AC54" i="105"/>
  <c r="F237" i="22"/>
  <c r="G237" i="22"/>
  <c r="F33" i="6"/>
  <c r="F32" i="6"/>
  <c r="B1" i="118"/>
  <c r="E10" i="6"/>
  <c r="F4" i="6"/>
  <c r="E12" i="6"/>
  <c r="F10" i="6"/>
  <c r="F7" i="12"/>
  <c r="F42" i="118"/>
  <c r="F8" i="12"/>
  <c r="F41" i="118"/>
  <c r="F6" i="12"/>
  <c r="F40" i="118"/>
  <c r="F44" i="118"/>
  <c r="D9" i="118"/>
  <c r="D62" i="118"/>
  <c r="D61" i="118"/>
  <c r="D60" i="118"/>
  <c r="D59" i="118"/>
  <c r="E51" i="118"/>
  <c r="E48" i="118"/>
  <c r="F45" i="118"/>
  <c r="H110" i="22"/>
  <c r="J53" i="106"/>
  <c r="J33" i="106"/>
  <c r="J34" i="106"/>
  <c r="J35" i="106"/>
  <c r="J36" i="106"/>
  <c r="J37" i="106"/>
  <c r="J38" i="106"/>
  <c r="J39" i="106"/>
  <c r="J40" i="106"/>
  <c r="J41" i="106"/>
  <c r="J42" i="106"/>
  <c r="J44" i="106"/>
  <c r="J45" i="106"/>
  <c r="J46" i="106"/>
  <c r="J47" i="106"/>
  <c r="J48" i="106"/>
  <c r="J49" i="106"/>
  <c r="J50" i="106"/>
  <c r="J51" i="106"/>
  <c r="J52" i="106"/>
  <c r="BG99" i="105"/>
  <c r="BF99" i="105"/>
  <c r="BG98" i="105"/>
  <c r="BF98" i="105"/>
  <c r="BG97" i="105"/>
  <c r="BF97" i="105"/>
  <c r="BG96" i="105"/>
  <c r="BF96" i="105"/>
  <c r="BG95" i="105"/>
  <c r="BF95" i="105"/>
  <c r="BG94" i="105"/>
  <c r="BF94" i="105"/>
  <c r="BG93" i="105"/>
  <c r="BF93" i="105"/>
  <c r="BG92" i="105"/>
  <c r="BF92" i="105"/>
  <c r="BG91" i="105"/>
  <c r="BF91" i="105"/>
  <c r="BG90" i="105"/>
  <c r="BF90" i="105"/>
  <c r="BG89" i="105"/>
  <c r="BF89" i="105"/>
  <c r="BG88" i="105"/>
  <c r="BF88" i="105"/>
  <c r="BG87" i="105"/>
  <c r="BF87" i="105"/>
  <c r="BG86" i="105"/>
  <c r="BF86" i="105"/>
  <c r="BG85" i="105"/>
  <c r="BF85" i="105"/>
  <c r="BG84" i="105"/>
  <c r="BF84" i="105"/>
  <c r="BG83" i="105"/>
  <c r="BF83" i="105"/>
  <c r="BG82" i="105"/>
  <c r="BF82" i="105"/>
  <c r="BG81" i="105"/>
  <c r="BF81" i="105"/>
  <c r="BG80" i="105"/>
  <c r="BF80" i="105"/>
  <c r="BG79" i="105"/>
  <c r="BF79" i="105"/>
  <c r="BG78" i="105"/>
  <c r="BF78" i="105"/>
  <c r="BG77" i="105"/>
  <c r="BF77" i="105"/>
  <c r="BG76" i="105"/>
  <c r="BF76" i="105"/>
  <c r="BG75" i="105"/>
  <c r="BF75" i="105"/>
  <c r="BG74" i="105"/>
  <c r="BF74" i="105"/>
  <c r="BG73" i="105"/>
  <c r="BF73" i="105"/>
  <c r="BG72" i="105"/>
  <c r="BF72" i="105"/>
  <c r="BG71" i="105"/>
  <c r="BF71" i="105"/>
  <c r="BG70" i="105"/>
  <c r="BF70" i="105"/>
  <c r="BG69" i="105"/>
  <c r="BF69" i="105"/>
  <c r="BG68" i="105"/>
  <c r="BF68" i="105"/>
  <c r="BG67" i="105"/>
  <c r="BF67" i="105"/>
  <c r="BG66" i="105"/>
  <c r="BF66" i="105"/>
  <c r="BG65" i="105"/>
  <c r="BF65" i="105"/>
  <c r="BG64" i="105"/>
  <c r="BF64" i="105"/>
  <c r="BG63" i="105"/>
  <c r="BF63" i="105"/>
  <c r="BG62" i="105"/>
  <c r="BF62" i="105"/>
  <c r="BG61" i="105"/>
  <c r="BF61" i="105"/>
  <c r="BG60" i="105"/>
  <c r="BF60" i="105"/>
  <c r="BG59" i="105"/>
  <c r="BF59" i="105"/>
  <c r="BS53" i="105"/>
  <c r="CE53" i="105"/>
  <c r="CR53" i="105"/>
  <c r="BG52" i="105"/>
  <c r="BF52" i="105"/>
  <c r="BG51" i="105"/>
  <c r="BF51" i="105"/>
  <c r="BG50" i="105"/>
  <c r="BF50" i="105"/>
  <c r="BG49" i="105"/>
  <c r="BF49" i="105"/>
  <c r="BG48" i="105"/>
  <c r="BF48" i="105"/>
  <c r="BG47" i="105"/>
  <c r="BF47" i="105"/>
  <c r="BG46" i="105"/>
  <c r="BF46" i="105"/>
  <c r="BG45" i="105"/>
  <c r="BF45" i="105"/>
  <c r="BG44" i="105"/>
  <c r="BF44" i="105"/>
  <c r="BG43" i="105"/>
  <c r="BF43" i="105"/>
  <c r="BG42" i="105"/>
  <c r="BF42" i="105"/>
  <c r="BG41" i="105"/>
  <c r="BF41" i="105"/>
  <c r="BG40" i="105"/>
  <c r="BF40" i="105"/>
  <c r="BG39" i="105"/>
  <c r="BF39" i="105"/>
  <c r="BG38" i="105"/>
  <c r="BF38" i="105"/>
  <c r="BG37" i="105"/>
  <c r="BF37" i="105"/>
  <c r="BG36" i="105"/>
  <c r="BF36" i="105"/>
  <c r="BG35" i="105"/>
  <c r="BF35" i="105"/>
  <c r="BG34" i="105"/>
  <c r="BF34" i="105"/>
  <c r="BG33" i="105"/>
  <c r="BF33" i="105"/>
  <c r="BG32" i="105"/>
  <c r="BF32" i="105"/>
  <c r="BG31" i="105"/>
  <c r="BF31" i="105"/>
  <c r="BG30" i="105"/>
  <c r="BF30" i="105"/>
  <c r="BG29" i="105"/>
  <c r="BF29" i="105"/>
  <c r="BG28" i="105"/>
  <c r="BF28" i="105"/>
  <c r="BG27" i="105"/>
  <c r="BF27" i="105"/>
  <c r="BG26" i="105"/>
  <c r="BF26" i="105"/>
  <c r="BG25" i="105"/>
  <c r="BF25" i="105"/>
  <c r="BG24" i="105"/>
  <c r="BF24" i="105"/>
  <c r="BG23" i="105"/>
  <c r="BF23" i="105"/>
  <c r="BG22" i="105"/>
  <c r="BF22" i="105"/>
  <c r="BG21" i="105"/>
  <c r="BF21" i="105"/>
  <c r="BG20" i="105"/>
  <c r="BF20" i="105"/>
  <c r="BG19" i="105"/>
  <c r="BF19" i="105"/>
  <c r="BG18" i="105"/>
  <c r="BF18" i="105"/>
  <c r="BG17" i="105"/>
  <c r="BF17" i="105"/>
  <c r="BG16" i="105"/>
  <c r="BF16" i="105"/>
  <c r="BG15" i="105"/>
  <c r="BF15" i="105"/>
  <c r="BG13" i="105"/>
  <c r="BF13" i="105"/>
  <c r="BG12" i="105"/>
  <c r="BF12" i="105"/>
  <c r="L8" i="105"/>
  <c r="I8" i="105"/>
  <c r="L7" i="105"/>
  <c r="I7" i="105"/>
  <c r="O2" i="108"/>
  <c r="L4" i="105"/>
  <c r="L3" i="105"/>
  <c r="E14" i="6"/>
  <c r="C35" i="12"/>
  <c r="BS12" i="105"/>
  <c r="BS13" i="105"/>
  <c r="CE13" i="105"/>
  <c r="CR13" i="105"/>
  <c r="BS15" i="105"/>
  <c r="CE15" i="105"/>
  <c r="CR15" i="105"/>
  <c r="BS16" i="105"/>
  <c r="CE16" i="105"/>
  <c r="CR16" i="105"/>
  <c r="BS17" i="105"/>
  <c r="CE17" i="105"/>
  <c r="CR17" i="105"/>
  <c r="BS18" i="105"/>
  <c r="CE18" i="105"/>
  <c r="CR18" i="105"/>
  <c r="BS19" i="105"/>
  <c r="CE19" i="105"/>
  <c r="CR19" i="105"/>
  <c r="BS20" i="105"/>
  <c r="CE20" i="105"/>
  <c r="CR20" i="105"/>
  <c r="BS21" i="105"/>
  <c r="CE21" i="105"/>
  <c r="CR21" i="105"/>
  <c r="BS22" i="105"/>
  <c r="CE22" i="105"/>
  <c r="CR22" i="105"/>
  <c r="BS23" i="105"/>
  <c r="CE23" i="105"/>
  <c r="CR23" i="105"/>
  <c r="BS24" i="105"/>
  <c r="CE24" i="105"/>
  <c r="CR24" i="105"/>
  <c r="BS25" i="105"/>
  <c r="CE25" i="105"/>
  <c r="CR25" i="105"/>
  <c r="BS26" i="105"/>
  <c r="CE26" i="105"/>
  <c r="CR26" i="105"/>
  <c r="BS27" i="105"/>
  <c r="CE27" i="105"/>
  <c r="CR27" i="105"/>
  <c r="BS28" i="105"/>
  <c r="CE28" i="105"/>
  <c r="CR28" i="105"/>
  <c r="BS29" i="105"/>
  <c r="CE29" i="105"/>
  <c r="CR29" i="105"/>
  <c r="BS30" i="105"/>
  <c r="CE30" i="105"/>
  <c r="CR30" i="105"/>
  <c r="BS31" i="105"/>
  <c r="CE31" i="105"/>
  <c r="CR31" i="105"/>
  <c r="BS32" i="105"/>
  <c r="CE32" i="105"/>
  <c r="CR32" i="105"/>
  <c r="BS33" i="105"/>
  <c r="CE33" i="105"/>
  <c r="CR33" i="105"/>
  <c r="BS34" i="105"/>
  <c r="CE34" i="105"/>
  <c r="CR34" i="105"/>
  <c r="BS35" i="105"/>
  <c r="CE35" i="105"/>
  <c r="CR35" i="105"/>
  <c r="BS36" i="105"/>
  <c r="CE36" i="105"/>
  <c r="CR36" i="105"/>
  <c r="BS37" i="105"/>
  <c r="CE37" i="105"/>
  <c r="CR37" i="105"/>
  <c r="BS38" i="105"/>
  <c r="CE38" i="105"/>
  <c r="CR38" i="105"/>
  <c r="BS39" i="105"/>
  <c r="CE39" i="105"/>
  <c r="CR39" i="105"/>
  <c r="BS40" i="105"/>
  <c r="CE40" i="105"/>
  <c r="CR40" i="105"/>
  <c r="BS41" i="105"/>
  <c r="CE41" i="105"/>
  <c r="CR41" i="105"/>
  <c r="BS42" i="105"/>
  <c r="CE42" i="105"/>
  <c r="CR42" i="105"/>
  <c r="BS43" i="105"/>
  <c r="CE43" i="105"/>
  <c r="CR43" i="105"/>
  <c r="BS44" i="105"/>
  <c r="CE44" i="105"/>
  <c r="CR44" i="105"/>
  <c r="BS45" i="105"/>
  <c r="CE45" i="105"/>
  <c r="CR45" i="105"/>
  <c r="BS46" i="105"/>
  <c r="CE46" i="105"/>
  <c r="CR46" i="105"/>
  <c r="BS47" i="105"/>
  <c r="CE47" i="105"/>
  <c r="CR47" i="105"/>
  <c r="BS48" i="105"/>
  <c r="CE48" i="105"/>
  <c r="CR48" i="105"/>
  <c r="BS49" i="105"/>
  <c r="CE49" i="105"/>
  <c r="CR49" i="105"/>
  <c r="BS50" i="105"/>
  <c r="CE50" i="105"/>
  <c r="CR50" i="105"/>
  <c r="BS51" i="105"/>
  <c r="CE51" i="105"/>
  <c r="CR51" i="105"/>
  <c r="BS52" i="105"/>
  <c r="CE52" i="105"/>
  <c r="CR52" i="105"/>
  <c r="CE12" i="105"/>
  <c r="CR12" i="105"/>
  <c r="F146" i="37"/>
  <c r="F278" i="37"/>
  <c r="D278" i="37"/>
  <c r="D296" i="22"/>
  <c r="D289" i="22"/>
  <c r="O296" i="22"/>
  <c r="N296" i="22"/>
  <c r="M296" i="22"/>
  <c r="L296" i="22"/>
  <c r="K296" i="22"/>
  <c r="J296" i="22"/>
  <c r="I296" i="22"/>
  <c r="H296" i="22"/>
  <c r="G296" i="22"/>
  <c r="F296" i="22"/>
  <c r="G282" i="22"/>
  <c r="H282" i="22"/>
  <c r="I282" i="22"/>
  <c r="J282" i="22"/>
  <c r="K282" i="22"/>
  <c r="L282" i="22"/>
  <c r="M282" i="22"/>
  <c r="N282" i="22"/>
  <c r="O282" i="22"/>
  <c r="F282" i="22"/>
  <c r="D282" i="22"/>
  <c r="E281" i="22"/>
  <c r="D281" i="22"/>
  <c r="E288" i="22"/>
  <c r="D288" i="22"/>
  <c r="E295" i="22"/>
  <c r="D295" i="22"/>
  <c r="O284" i="37"/>
  <c r="D127" i="116"/>
  <c r="D126" i="116"/>
  <c r="D125" i="116"/>
  <c r="D124" i="116"/>
  <c r="D123" i="116"/>
  <c r="D122" i="116"/>
  <c r="D114" i="116"/>
  <c r="D113" i="116"/>
  <c r="E113" i="116"/>
  <c r="E104" i="116"/>
  <c r="D95" i="116"/>
  <c r="D94" i="116"/>
  <c r="D93" i="116"/>
  <c r="D92" i="116"/>
  <c r="D91" i="116"/>
  <c r="D90" i="116"/>
  <c r="D89" i="116"/>
  <c r="D19" i="116"/>
  <c r="D11" i="116"/>
  <c r="D10" i="116"/>
  <c r="D9" i="116"/>
  <c r="B2" i="116"/>
  <c r="B1" i="116"/>
  <c r="O86" i="116"/>
  <c r="E81" i="116"/>
  <c r="E80" i="116"/>
  <c r="E79" i="116"/>
  <c r="E78" i="116"/>
  <c r="E75" i="116"/>
  <c r="E74" i="116"/>
  <c r="E73" i="116"/>
  <c r="E72" i="116"/>
  <c r="E64" i="116"/>
  <c r="E51" i="116"/>
  <c r="E49" i="116"/>
  <c r="E48" i="116"/>
  <c r="E35" i="116"/>
  <c r="E34" i="116"/>
  <c r="F24" i="116"/>
  <c r="F60" i="116"/>
  <c r="F104" i="116"/>
  <c r="F105" i="116"/>
  <c r="O6" i="116"/>
  <c r="D11" i="35"/>
  <c r="D12" i="35"/>
  <c r="D13" i="35"/>
  <c r="D14" i="35"/>
  <c r="H110" i="37"/>
  <c r="D89" i="114"/>
  <c r="D88" i="114"/>
  <c r="D87" i="114"/>
  <c r="D86" i="114"/>
  <c r="D78" i="114"/>
  <c r="D77" i="114"/>
  <c r="E77" i="114"/>
  <c r="D68" i="114"/>
  <c r="D67" i="114"/>
  <c r="D66" i="114"/>
  <c r="D9" i="114"/>
  <c r="B2" i="114"/>
  <c r="B1" i="114"/>
  <c r="F88" i="114"/>
  <c r="F86" i="114"/>
  <c r="F78" i="114"/>
  <c r="O63" i="114"/>
  <c r="E56" i="114"/>
  <c r="E52" i="114"/>
  <c r="O41" i="114"/>
  <c r="N41" i="114"/>
  <c r="M41" i="114"/>
  <c r="L41" i="114"/>
  <c r="K41" i="114"/>
  <c r="J41" i="114"/>
  <c r="I41" i="114"/>
  <c r="H41" i="114"/>
  <c r="G41" i="114"/>
  <c r="F41" i="114"/>
  <c r="E40" i="114"/>
  <c r="G28" i="114"/>
  <c r="F26" i="114"/>
  <c r="G25" i="114"/>
  <c r="O6" i="114"/>
  <c r="G23" i="106"/>
  <c r="E222" i="37"/>
  <c r="D292" i="37"/>
  <c r="D291" i="37"/>
  <c r="D290" i="37"/>
  <c r="D289" i="37"/>
  <c r="D288" i="37"/>
  <c r="D287" i="37"/>
  <c r="D277" i="37"/>
  <c r="E268" i="37"/>
  <c r="E267" i="37"/>
  <c r="E266" i="37"/>
  <c r="E265" i="37"/>
  <c r="D256" i="37"/>
  <c r="D255" i="37"/>
  <c r="D254" i="37"/>
  <c r="D253" i="37"/>
  <c r="D252" i="37"/>
  <c r="B2" i="37"/>
  <c r="B1" i="37"/>
  <c r="D316" i="22"/>
  <c r="D315" i="22"/>
  <c r="D314" i="22"/>
  <c r="D313" i="22"/>
  <c r="D312" i="22"/>
  <c r="D311" i="22"/>
  <c r="D302" i="22"/>
  <c r="D260" i="22"/>
  <c r="D259" i="22"/>
  <c r="D258" i="22"/>
  <c r="D257" i="22"/>
  <c r="D256" i="22"/>
  <c r="D255" i="22"/>
  <c r="D16" i="22"/>
  <c r="D15" i="22"/>
  <c r="B2" i="22"/>
  <c r="B1" i="22"/>
  <c r="F277" i="37"/>
  <c r="E277" i="37"/>
  <c r="G254" i="37"/>
  <c r="F254" i="37"/>
  <c r="G253" i="37"/>
  <c r="F253" i="37"/>
  <c r="O249" i="37"/>
  <c r="E229" i="37"/>
  <c r="E228" i="37"/>
  <c r="E227" i="37"/>
  <c r="E224" i="37"/>
  <c r="E223" i="37"/>
  <c r="F219" i="37"/>
  <c r="F213" i="37"/>
  <c r="F207" i="37"/>
  <c r="O197" i="37"/>
  <c r="N197" i="37"/>
  <c r="M197" i="37"/>
  <c r="L197" i="37"/>
  <c r="K197" i="37"/>
  <c r="J197" i="37"/>
  <c r="I197" i="37"/>
  <c r="H197" i="37"/>
  <c r="G197" i="37"/>
  <c r="F197" i="37"/>
  <c r="E193" i="37"/>
  <c r="O190" i="37"/>
  <c r="N190" i="37"/>
  <c r="M190" i="37"/>
  <c r="L190" i="37"/>
  <c r="K190" i="37"/>
  <c r="J190" i="37"/>
  <c r="I190" i="37"/>
  <c r="H190" i="37"/>
  <c r="G190" i="37"/>
  <c r="F190" i="37"/>
  <c r="F188" i="37"/>
  <c r="E188" i="37"/>
  <c r="O183" i="37"/>
  <c r="N183" i="37"/>
  <c r="M183" i="37"/>
  <c r="L183" i="37"/>
  <c r="K183" i="37"/>
  <c r="J183" i="37"/>
  <c r="I183" i="37"/>
  <c r="H183" i="37"/>
  <c r="G183" i="37"/>
  <c r="F183" i="37"/>
  <c r="E179" i="37"/>
  <c r="O176" i="37"/>
  <c r="N176" i="37"/>
  <c r="M176" i="37"/>
  <c r="L176" i="37"/>
  <c r="K176" i="37"/>
  <c r="J176" i="37"/>
  <c r="I176" i="37"/>
  <c r="H176" i="37"/>
  <c r="G176" i="37"/>
  <c r="F176" i="37"/>
  <c r="F175" i="37"/>
  <c r="F174" i="37"/>
  <c r="E174" i="37"/>
  <c r="O168" i="37"/>
  <c r="N168" i="37"/>
  <c r="M168" i="37"/>
  <c r="L168" i="37"/>
  <c r="K168" i="37"/>
  <c r="J168" i="37"/>
  <c r="I168" i="37"/>
  <c r="H168" i="37"/>
  <c r="G168" i="37"/>
  <c r="F168" i="37"/>
  <c r="E164" i="37"/>
  <c r="O161" i="37"/>
  <c r="N161" i="37"/>
  <c r="M161" i="37"/>
  <c r="L161" i="37"/>
  <c r="K161" i="37"/>
  <c r="J161" i="37"/>
  <c r="I161" i="37"/>
  <c r="H161" i="37"/>
  <c r="G161" i="37"/>
  <c r="F159" i="37"/>
  <c r="E159" i="37"/>
  <c r="O135" i="37"/>
  <c r="H116" i="37"/>
  <c r="G85" i="37"/>
  <c r="G28" i="37"/>
  <c r="G27" i="37"/>
  <c r="F28" i="37"/>
  <c r="O13" i="37"/>
  <c r="E8" i="37"/>
  <c r="N133" i="37"/>
  <c r="E7" i="37"/>
  <c r="O20" i="37"/>
  <c r="E302" i="22"/>
  <c r="E252" i="22"/>
  <c r="E247" i="22"/>
  <c r="E246" i="22"/>
  <c r="E245" i="22"/>
  <c r="E242" i="22"/>
  <c r="E241" i="22"/>
  <c r="E240" i="22"/>
  <c r="E218" i="22"/>
  <c r="E217" i="22"/>
  <c r="E216" i="22"/>
  <c r="O206" i="22"/>
  <c r="N206" i="22"/>
  <c r="M206" i="22"/>
  <c r="L206" i="22"/>
  <c r="K206" i="22"/>
  <c r="J206" i="22"/>
  <c r="I206" i="22"/>
  <c r="H206" i="22"/>
  <c r="G206" i="22"/>
  <c r="F206" i="22"/>
  <c r="E201" i="22"/>
  <c r="O196" i="22"/>
  <c r="N196" i="22"/>
  <c r="M196" i="22"/>
  <c r="L196" i="22"/>
  <c r="K196" i="22"/>
  <c r="J196" i="22"/>
  <c r="I196" i="22"/>
  <c r="H196" i="22"/>
  <c r="G196" i="22"/>
  <c r="F196" i="22"/>
  <c r="E188" i="22"/>
  <c r="E184" i="22"/>
  <c r="E181" i="22"/>
  <c r="O177" i="22"/>
  <c r="N177" i="22"/>
  <c r="M177" i="22"/>
  <c r="L177" i="22"/>
  <c r="K177" i="22"/>
  <c r="J177" i="22"/>
  <c r="I177" i="22"/>
  <c r="H177" i="22"/>
  <c r="G177" i="22"/>
  <c r="F177" i="22"/>
  <c r="E174" i="22"/>
  <c r="O172" i="22"/>
  <c r="N172" i="22"/>
  <c r="M172" i="22"/>
  <c r="L172" i="22"/>
  <c r="K172" i="22"/>
  <c r="J172" i="22"/>
  <c r="I172" i="22"/>
  <c r="H172" i="22"/>
  <c r="G172" i="22"/>
  <c r="F172" i="22"/>
  <c r="F171" i="22"/>
  <c r="F216" i="22"/>
  <c r="E171" i="22"/>
  <c r="O152" i="22"/>
  <c r="O171" i="22"/>
  <c r="N152" i="22"/>
  <c r="N171" i="22"/>
  <c r="N216" i="22"/>
  <c r="N281" i="22"/>
  <c r="M152" i="22"/>
  <c r="M171" i="22"/>
  <c r="L152" i="22"/>
  <c r="L171" i="22"/>
  <c r="L216" i="22"/>
  <c r="L281" i="22"/>
  <c r="K152" i="22"/>
  <c r="K171" i="22"/>
  <c r="J152" i="22"/>
  <c r="J171" i="22"/>
  <c r="J216" i="22"/>
  <c r="J281" i="22"/>
  <c r="I152" i="22"/>
  <c r="I171" i="22"/>
  <c r="H152" i="22"/>
  <c r="H171" i="22"/>
  <c r="H216" i="22"/>
  <c r="H281" i="22"/>
  <c r="G152" i="22"/>
  <c r="G171" i="22"/>
  <c r="F145" i="22"/>
  <c r="H123" i="22"/>
  <c r="H117" i="22"/>
  <c r="G87" i="22"/>
  <c r="G76" i="22"/>
  <c r="G151" i="22"/>
  <c r="E12" i="22"/>
  <c r="E7" i="22"/>
  <c r="N117" i="59"/>
  <c r="J117" i="59"/>
  <c r="L117" i="59"/>
  <c r="P117" i="59"/>
  <c r="F281" i="22"/>
  <c r="G216" i="22"/>
  <c r="G281" i="22"/>
  <c r="G173" i="22"/>
  <c r="I216" i="22"/>
  <c r="I281" i="22"/>
  <c r="I173" i="22"/>
  <c r="K216" i="22"/>
  <c r="K281" i="22"/>
  <c r="K173" i="22"/>
  <c r="M216" i="22"/>
  <c r="M281" i="22"/>
  <c r="M173" i="22"/>
  <c r="O216" i="22"/>
  <c r="O281" i="22"/>
  <c r="O173" i="22"/>
  <c r="F37" i="22"/>
  <c r="G145" i="22"/>
  <c r="F158" i="22"/>
  <c r="G37" i="22"/>
  <c r="H145" i="22"/>
  <c r="F173" i="22"/>
  <c r="H173" i="22"/>
  <c r="J173" i="22"/>
  <c r="L173" i="22"/>
  <c r="N173" i="22"/>
  <c r="H20" i="37"/>
  <c r="G131" i="37"/>
  <c r="I131" i="37"/>
  <c r="K131" i="37"/>
  <c r="M131" i="37"/>
  <c r="O131" i="37"/>
  <c r="H132" i="37"/>
  <c r="J132" i="37"/>
  <c r="L132" i="37"/>
  <c r="N132" i="37"/>
  <c r="G133" i="37"/>
  <c r="I133" i="37"/>
  <c r="K133" i="37"/>
  <c r="M133" i="37"/>
  <c r="O133" i="37"/>
  <c r="F177" i="37"/>
  <c r="G20" i="37"/>
  <c r="H131" i="37"/>
  <c r="J131" i="37"/>
  <c r="L131" i="37"/>
  <c r="N131" i="37"/>
  <c r="G132" i="37"/>
  <c r="I132" i="37"/>
  <c r="K132" i="37"/>
  <c r="M132" i="37"/>
  <c r="O132" i="37"/>
  <c r="H133" i="37"/>
  <c r="J133" i="37"/>
  <c r="L133" i="37"/>
  <c r="F160" i="37"/>
  <c r="F200" i="37"/>
  <c r="F189" i="37"/>
  <c r="F191" i="37"/>
  <c r="K117" i="59"/>
  <c r="O117" i="59"/>
  <c r="M117" i="59"/>
  <c r="I117" i="59"/>
  <c r="H117" i="59"/>
  <c r="Q117" i="59"/>
  <c r="F185" i="22"/>
  <c r="F289" i="22"/>
  <c r="L146" i="37"/>
  <c r="L278" i="37"/>
  <c r="H146" i="37"/>
  <c r="H278" i="37"/>
  <c r="N146" i="37"/>
  <c r="N278" i="37"/>
  <c r="J146" i="37"/>
  <c r="J278" i="37"/>
  <c r="M146" i="37"/>
  <c r="M278" i="37"/>
  <c r="I146" i="37"/>
  <c r="I278" i="37"/>
  <c r="O146" i="37"/>
  <c r="O278" i="37"/>
  <c r="K146" i="37"/>
  <c r="K278" i="37"/>
  <c r="G146" i="37"/>
  <c r="G278" i="37"/>
  <c r="D15" i="107"/>
  <c r="K75" i="108"/>
  <c r="J75" i="108"/>
  <c r="I75" i="108"/>
  <c r="H75" i="108"/>
  <c r="G75" i="108"/>
  <c r="F75" i="108"/>
  <c r="E75" i="108"/>
  <c r="D75" i="108"/>
  <c r="C75" i="108"/>
  <c r="B77" i="108"/>
  <c r="B76" i="108"/>
  <c r="E6" i="35"/>
  <c r="E7" i="35"/>
  <c r="E8" i="35"/>
  <c r="E9" i="35"/>
  <c r="E10" i="35"/>
  <c r="E11" i="35"/>
  <c r="E12" i="35"/>
  <c r="E13" i="35"/>
  <c r="E14" i="35"/>
  <c r="G22" i="106"/>
  <c r="D174" i="48"/>
  <c r="D173" i="48"/>
  <c r="I79" i="48"/>
  <c r="I78" i="48"/>
  <c r="I77" i="48"/>
  <c r="E15" i="6"/>
  <c r="I24" i="107"/>
  <c r="I23" i="107"/>
  <c r="I22" i="107"/>
  <c r="E123" i="48"/>
  <c r="E122" i="48"/>
  <c r="E121" i="48"/>
  <c r="E120" i="48"/>
  <c r="E117" i="48"/>
  <c r="E116" i="48"/>
  <c r="E115" i="48"/>
  <c r="E114" i="48"/>
  <c r="D11" i="107"/>
  <c r="D10" i="107"/>
  <c r="D9" i="107"/>
  <c r="B2" i="107"/>
  <c r="B1" i="107"/>
  <c r="D80" i="107"/>
  <c r="D79" i="107"/>
  <c r="E45" i="107"/>
  <c r="E44" i="107"/>
  <c r="E43" i="107"/>
  <c r="E42" i="107"/>
  <c r="E39" i="107"/>
  <c r="E38" i="107"/>
  <c r="E37" i="107"/>
  <c r="E36" i="107"/>
  <c r="G24" i="106"/>
  <c r="O63" i="107"/>
  <c r="N63" i="107"/>
  <c r="M63" i="107"/>
  <c r="L63" i="107"/>
  <c r="K63" i="107"/>
  <c r="J63" i="107"/>
  <c r="I63" i="107"/>
  <c r="H63" i="107"/>
  <c r="G63" i="107"/>
  <c r="F63" i="107"/>
  <c r="O54" i="107"/>
  <c r="N54" i="107"/>
  <c r="M54" i="107"/>
  <c r="L54" i="107"/>
  <c r="K54" i="107"/>
  <c r="J54" i="107"/>
  <c r="I54" i="107"/>
  <c r="H54" i="107"/>
  <c r="G54" i="107"/>
  <c r="F54" i="107"/>
  <c r="O50" i="107"/>
  <c r="O6" i="107"/>
  <c r="F14" i="6"/>
  <c r="E5" i="6"/>
  <c r="E6" i="6"/>
  <c r="E7" i="6"/>
  <c r="E9" i="6"/>
  <c r="F9" i="6"/>
  <c r="E11" i="6"/>
  <c r="F11" i="6"/>
  <c r="E13" i="6"/>
  <c r="F13" i="6"/>
  <c r="E17" i="6"/>
  <c r="E18" i="6"/>
  <c r="F18" i="6"/>
  <c r="E19" i="6"/>
  <c r="E20" i="6"/>
  <c r="F20" i="6"/>
  <c r="E21" i="6"/>
  <c r="F22" i="6"/>
  <c r="E23" i="6"/>
  <c r="F23" i="6"/>
  <c r="F24" i="6"/>
  <c r="E34" i="6"/>
  <c r="F42" i="6"/>
  <c r="F41" i="6"/>
  <c r="F40" i="6"/>
  <c r="F47" i="6"/>
  <c r="E51" i="6"/>
  <c r="F50" i="6"/>
  <c r="E48" i="6"/>
  <c r="E49" i="6"/>
  <c r="F49" i="6"/>
  <c r="F52" i="6"/>
  <c r="E53" i="6"/>
  <c r="B58" i="6"/>
  <c r="F58" i="6"/>
  <c r="B59" i="6"/>
  <c r="F59" i="6"/>
  <c r="B60" i="6"/>
  <c r="F60" i="6"/>
  <c r="G17" i="106"/>
  <c r="D58" i="105"/>
  <c r="D11" i="105"/>
  <c r="I4" i="105"/>
  <c r="I3" i="105"/>
  <c r="F19" i="106"/>
  <c r="D115" i="59"/>
  <c r="G5" i="65"/>
  <c r="G6" i="65"/>
  <c r="G7" i="65"/>
  <c r="G8" i="65"/>
  <c r="G9" i="65"/>
  <c r="G10" i="65"/>
  <c r="G11" i="65"/>
  <c r="G12" i="65"/>
  <c r="G13" i="65"/>
  <c r="G14" i="65"/>
  <c r="G15" i="65"/>
  <c r="G16" i="65"/>
  <c r="G17" i="65"/>
  <c r="G18" i="65"/>
  <c r="G19" i="65"/>
  <c r="G20" i="65"/>
  <c r="G21" i="65"/>
  <c r="G22" i="65"/>
  <c r="G23" i="65"/>
  <c r="G24" i="65"/>
  <c r="G25" i="65"/>
  <c r="G26" i="65"/>
  <c r="G27" i="65"/>
  <c r="G28" i="65"/>
  <c r="G29" i="65"/>
  <c r="G30" i="65"/>
  <c r="G31" i="65"/>
  <c r="G32" i="65"/>
  <c r="G33" i="65"/>
  <c r="G40" i="65"/>
  <c r="G41" i="65"/>
  <c r="G46" i="65"/>
  <c r="G47" i="65"/>
  <c r="G48" i="65"/>
  <c r="G49" i="65"/>
  <c r="G50" i="65"/>
  <c r="D232" i="59"/>
  <c r="D231" i="59"/>
  <c r="D240" i="59"/>
  <c r="D245" i="59"/>
  <c r="D247" i="59"/>
  <c r="D248" i="59"/>
  <c r="D244" i="59"/>
  <c r="D127" i="59"/>
  <c r="D126" i="59"/>
  <c r="D125" i="59"/>
  <c r="D124" i="59"/>
  <c r="D123" i="59"/>
  <c r="D122" i="59"/>
  <c r="D121" i="59"/>
  <c r="D120" i="59"/>
  <c r="P413" i="59"/>
  <c r="P412" i="59"/>
  <c r="P411" i="59"/>
  <c r="P410" i="59"/>
  <c r="P405" i="59"/>
  <c r="O404" i="59"/>
  <c r="O403" i="59"/>
  <c r="P402" i="59"/>
  <c r="O401" i="59"/>
  <c r="P400" i="59"/>
  <c r="P399" i="59"/>
  <c r="P398" i="59"/>
  <c r="P396" i="59"/>
  <c r="O394" i="59"/>
  <c r="P393" i="59"/>
  <c r="O392" i="59"/>
  <c r="O390" i="59"/>
  <c r="O389" i="59"/>
  <c r="O388" i="59"/>
  <c r="O387" i="59"/>
  <c r="O386" i="59"/>
  <c r="P385" i="59"/>
  <c r="O384" i="59"/>
  <c r="O383" i="59"/>
  <c r="P380" i="59"/>
  <c r="O379" i="59"/>
  <c r="P378" i="59"/>
  <c r="P377" i="59"/>
  <c r="P375" i="59"/>
  <c r="O373" i="59"/>
  <c r="P371" i="59"/>
  <c r="P370" i="59"/>
  <c r="P367" i="59"/>
  <c r="P366" i="59"/>
  <c r="O364" i="59"/>
  <c r="P363" i="59"/>
  <c r="I362" i="59"/>
  <c r="D30" i="25"/>
  <c r="E30" i="25"/>
  <c r="D31" i="25"/>
  <c r="E31" i="25"/>
  <c r="D334" i="59"/>
  <c r="D350" i="59"/>
  <c r="D346" i="59"/>
  <c r="D341" i="59"/>
  <c r="D324" i="59"/>
  <c r="R341" i="59"/>
  <c r="R334" i="59"/>
  <c r="D12" i="25"/>
  <c r="E12" i="25"/>
  <c r="D13" i="25"/>
  <c r="E13" i="25"/>
  <c r="D14" i="25"/>
  <c r="E14" i="25"/>
  <c r="R324" i="59"/>
  <c r="R297" i="59"/>
  <c r="D286" i="59"/>
  <c r="D300" i="59"/>
  <c r="D301" i="59"/>
  <c r="D312" i="59"/>
  <c r="D311" i="59"/>
  <c r="D310" i="59"/>
  <c r="D309" i="59"/>
  <c r="D308" i="59"/>
  <c r="D307" i="59"/>
  <c r="D306" i="59"/>
  <c r="D305" i="59"/>
  <c r="D304" i="59"/>
  <c r="D303" i="59"/>
  <c r="D302" i="59"/>
  <c r="D299" i="59"/>
  <c r="BW23" i="60"/>
  <c r="BZ28" i="60"/>
  <c r="E40" i="13"/>
  <c r="B40" i="13"/>
  <c r="E39" i="13"/>
  <c r="B39" i="13"/>
  <c r="B38" i="13"/>
  <c r="B33" i="13"/>
  <c r="B32" i="13"/>
  <c r="B31" i="13"/>
  <c r="B30" i="13"/>
  <c r="B29" i="13"/>
  <c r="B25" i="13"/>
  <c r="B24" i="13"/>
  <c r="B21" i="13"/>
  <c r="B20" i="13"/>
  <c r="B19" i="13"/>
  <c r="B18" i="13"/>
  <c r="B17" i="13"/>
  <c r="B16" i="13"/>
  <c r="E15" i="13"/>
  <c r="B15" i="13"/>
  <c r="E14" i="13"/>
  <c r="B14" i="13"/>
  <c r="E13" i="13"/>
  <c r="B13" i="13"/>
  <c r="E12" i="13"/>
  <c r="B12" i="13"/>
  <c r="E11" i="13"/>
  <c r="B11" i="13"/>
  <c r="E10" i="13"/>
  <c r="E9" i="13"/>
  <c r="B9" i="13"/>
  <c r="B8" i="13"/>
  <c r="B7" i="13"/>
  <c r="AK194" i="16"/>
  <c r="AJ194" i="16"/>
  <c r="AI194" i="16"/>
  <c r="AH194" i="16"/>
  <c r="AG194" i="16"/>
  <c r="AF194" i="16"/>
  <c r="J98" i="68"/>
  <c r="H98" i="68"/>
  <c r="G98" i="68"/>
  <c r="H86" i="68"/>
  <c r="G86" i="68"/>
  <c r="I42" i="68"/>
  <c r="G22" i="68"/>
  <c r="G23" i="68"/>
  <c r="H22" i="68"/>
  <c r="BL108" i="78"/>
  <c r="BL107" i="78"/>
  <c r="BL105" i="78"/>
  <c r="D104" i="78"/>
  <c r="BJ103" i="78"/>
  <c r="AR103" i="78"/>
  <c r="Q103" i="78"/>
  <c r="D103" i="78"/>
  <c r="D102" i="78"/>
  <c r="DH101" i="78"/>
  <c r="DH100" i="78"/>
  <c r="D99" i="78"/>
  <c r="D98" i="78"/>
  <c r="DH97" i="78"/>
  <c r="D96" i="78"/>
  <c r="DH95" i="78"/>
  <c r="DH94" i="78"/>
  <c r="BL94" i="78"/>
  <c r="D93" i="78"/>
  <c r="D92" i="78"/>
  <c r="D91" i="78"/>
  <c r="BL90" i="78"/>
  <c r="D89" i="78"/>
  <c r="BL87" i="78"/>
  <c r="BL86" i="78"/>
  <c r="BL85" i="78"/>
  <c r="BF83" i="78"/>
  <c r="BL83" i="78"/>
  <c r="D82" i="78"/>
  <c r="D81" i="78"/>
  <c r="DH80" i="78"/>
  <c r="BL80" i="78"/>
  <c r="D79" i="78"/>
  <c r="DH78" i="78"/>
  <c r="BL78" i="78"/>
  <c r="DH77" i="78"/>
  <c r="BL77" i="78"/>
  <c r="D76" i="78"/>
  <c r="D75" i="78"/>
  <c r="DH74" i="78"/>
  <c r="BJ74" i="78"/>
  <c r="BL74" i="78"/>
  <c r="DH73" i="78"/>
  <c r="D72" i="78"/>
  <c r="D71" i="78"/>
  <c r="DH70" i="78"/>
  <c r="BJ70" i="78"/>
  <c r="BL70" i="78"/>
  <c r="DH69" i="78"/>
  <c r="BL69" i="78"/>
  <c r="D68" i="78"/>
  <c r="D67" i="78"/>
  <c r="D66" i="78"/>
  <c r="D65" i="78"/>
  <c r="DH64" i="78"/>
  <c r="D63" i="78"/>
  <c r="D62" i="78"/>
  <c r="D61" i="78"/>
  <c r="D60" i="78"/>
  <c r="D59" i="78"/>
  <c r="D58" i="78"/>
  <c r="D57" i="78"/>
  <c r="DH56" i="78"/>
  <c r="BL56" i="78"/>
  <c r="D55" i="78"/>
  <c r="D54" i="78"/>
  <c r="D53" i="78"/>
  <c r="DH52" i="78"/>
  <c r="BL52" i="78"/>
  <c r="D51" i="78"/>
  <c r="D50" i="78"/>
  <c r="D49" i="78"/>
  <c r="D48" i="78"/>
  <c r="DH47" i="78"/>
  <c r="BL47" i="78"/>
  <c r="D46" i="78"/>
  <c r="D45" i="78"/>
  <c r="DH44" i="78"/>
  <c r="BL44" i="78"/>
  <c r="BL43" i="78"/>
  <c r="BL42" i="78"/>
  <c r="BL41" i="78"/>
  <c r="BF39" i="78"/>
  <c r="D38" i="78"/>
  <c r="D37" i="78"/>
  <c r="DH36" i="78"/>
  <c r="BL36" i="78"/>
  <c r="D35" i="78"/>
  <c r="D34" i="78"/>
  <c r="DH33" i="78"/>
  <c r="D32" i="78"/>
  <c r="D30" i="78"/>
  <c r="D29" i="78"/>
  <c r="D27" i="78"/>
  <c r="D26" i="78"/>
  <c r="D25" i="78"/>
  <c r="D24" i="78"/>
  <c r="DH23" i="78"/>
  <c r="BL23" i="78"/>
  <c r="D22" i="78"/>
  <c r="D21" i="78"/>
  <c r="DH20" i="78"/>
  <c r="BL20" i="78"/>
  <c r="D19" i="78"/>
  <c r="D18" i="78"/>
  <c r="D17" i="78"/>
  <c r="DH16" i="78"/>
  <c r="BL16" i="78"/>
  <c r="D15" i="78"/>
  <c r="D13" i="78"/>
  <c r="D12" i="78"/>
  <c r="D10" i="78"/>
  <c r="D9" i="78"/>
  <c r="DC4" i="78"/>
  <c r="CY4" i="78"/>
  <c r="CU4" i="78"/>
  <c r="CQ4" i="78"/>
  <c r="CM4" i="78"/>
  <c r="CI4" i="78"/>
  <c r="CE4" i="78"/>
  <c r="CA4" i="78"/>
  <c r="BW4" i="78"/>
  <c r="BS4" i="78"/>
  <c r="BO4" i="78"/>
  <c r="BL4" i="78"/>
  <c r="BI4" i="78"/>
  <c r="BH4" i="78"/>
  <c r="BE4" i="78"/>
  <c r="BD4" i="78"/>
  <c r="BC4" i="78"/>
  <c r="BB4" i="78"/>
  <c r="BA4" i="78"/>
  <c r="AZ4" i="78"/>
  <c r="AY4" i="78"/>
  <c r="AX4" i="78"/>
  <c r="AW4" i="78"/>
  <c r="AV4" i="78"/>
  <c r="AU4" i="78"/>
  <c r="AT4" i="78"/>
  <c r="AS4" i="78"/>
  <c r="AR4" i="78"/>
  <c r="AQ4" i="78"/>
  <c r="AP4" i="78"/>
  <c r="AO4" i="78"/>
  <c r="AN4" i="78"/>
  <c r="AM4" i="78"/>
  <c r="AJ4" i="78"/>
  <c r="AI4" i="78"/>
  <c r="AH4" i="78"/>
  <c r="AG4" i="78"/>
  <c r="AF4" i="78"/>
  <c r="AE4" i="78"/>
  <c r="AD4" i="78"/>
  <c r="AC4" i="78"/>
  <c r="AB4" i="78"/>
  <c r="AA4" i="78"/>
  <c r="Z4" i="78"/>
  <c r="Y4" i="78"/>
  <c r="X4" i="78"/>
  <c r="W4" i="78"/>
  <c r="V4" i="78"/>
  <c r="U4" i="78"/>
  <c r="T4" i="78"/>
  <c r="S4" i="78"/>
  <c r="P4" i="78"/>
  <c r="O4" i="78"/>
  <c r="N4" i="78"/>
  <c r="M4" i="78"/>
  <c r="L4" i="78"/>
  <c r="K4" i="78"/>
  <c r="J4" i="78"/>
  <c r="I4" i="78"/>
  <c r="H4" i="78"/>
  <c r="G4" i="78"/>
  <c r="E3" i="78"/>
  <c r="D165" i="48"/>
  <c r="D164" i="48"/>
  <c r="E164" i="48"/>
  <c r="E154" i="48"/>
  <c r="E153" i="48"/>
  <c r="E152" i="48"/>
  <c r="E151" i="48"/>
  <c r="E150" i="48"/>
  <c r="D141" i="48"/>
  <c r="D140" i="48"/>
  <c r="D139" i="48"/>
  <c r="D138" i="48"/>
  <c r="D137" i="48"/>
  <c r="D136" i="48"/>
  <c r="D135" i="48"/>
  <c r="D134" i="48"/>
  <c r="D133" i="48"/>
  <c r="D132" i="48"/>
  <c r="O129" i="48"/>
  <c r="E92" i="48"/>
  <c r="D55" i="48"/>
  <c r="D54" i="48"/>
  <c r="D49" i="48"/>
  <c r="D48" i="48"/>
  <c r="D47" i="48"/>
  <c r="D42" i="48"/>
  <c r="D41" i="48"/>
  <c r="D40" i="48"/>
  <c r="O37" i="48"/>
  <c r="B2" i="48"/>
  <c r="B1" i="48"/>
  <c r="D51" i="25"/>
  <c r="E51" i="25"/>
  <c r="D50" i="25"/>
  <c r="E50" i="25"/>
  <c r="D49" i="25"/>
  <c r="E49" i="25"/>
  <c r="D48" i="25"/>
  <c r="E48" i="25"/>
  <c r="D47" i="25"/>
  <c r="E47" i="25"/>
  <c r="D46" i="25"/>
  <c r="E46" i="25"/>
  <c r="D45" i="25"/>
  <c r="E45" i="25"/>
  <c r="D44" i="25"/>
  <c r="E44" i="25"/>
  <c r="D43" i="25"/>
  <c r="E43" i="25"/>
  <c r="D42" i="25"/>
  <c r="E42" i="25"/>
  <c r="D41" i="25"/>
  <c r="E41" i="25"/>
  <c r="D40" i="25"/>
  <c r="E40" i="25"/>
  <c r="D39" i="25"/>
  <c r="E39" i="25"/>
  <c r="D38" i="25"/>
  <c r="E38" i="25"/>
  <c r="D37" i="25"/>
  <c r="E37" i="25"/>
  <c r="D36" i="25"/>
  <c r="E36" i="25"/>
  <c r="D35" i="25"/>
  <c r="E35" i="25"/>
  <c r="D34" i="25"/>
  <c r="E34" i="25"/>
  <c r="D33" i="25"/>
  <c r="E33" i="25"/>
  <c r="D29" i="25"/>
  <c r="E29" i="25"/>
  <c r="D28" i="25"/>
  <c r="E28" i="25"/>
  <c r="D27" i="25"/>
  <c r="E27" i="25"/>
  <c r="D26" i="25"/>
  <c r="E26" i="25"/>
  <c r="D25" i="25"/>
  <c r="E25" i="25"/>
  <c r="E24" i="25"/>
  <c r="D23" i="25"/>
  <c r="E23" i="25"/>
  <c r="D22" i="25"/>
  <c r="E22" i="25"/>
  <c r="D21" i="25"/>
  <c r="E21" i="25"/>
  <c r="D20" i="25"/>
  <c r="E20" i="25"/>
  <c r="D19" i="25"/>
  <c r="E19" i="25"/>
  <c r="D18" i="25"/>
  <c r="E18" i="25"/>
  <c r="D17" i="25"/>
  <c r="E17" i="25"/>
  <c r="D16" i="25"/>
  <c r="E16" i="25"/>
  <c r="D15" i="25"/>
  <c r="E15" i="25"/>
  <c r="D11" i="25"/>
  <c r="E11" i="25"/>
  <c r="D10" i="25"/>
  <c r="E10" i="25"/>
  <c r="D9" i="25"/>
  <c r="E9" i="25"/>
  <c r="D8" i="25"/>
  <c r="E8" i="25"/>
  <c r="D7" i="25"/>
  <c r="E7" i="25"/>
  <c r="D6" i="25"/>
  <c r="E6" i="25"/>
  <c r="D5" i="25"/>
  <c r="E5" i="25"/>
  <c r="C50" i="65"/>
  <c r="C49" i="65"/>
  <c r="C48" i="65"/>
  <c r="C47" i="65"/>
  <c r="C46" i="65"/>
  <c r="C45" i="65"/>
  <c r="C44" i="65"/>
  <c r="C43" i="65"/>
  <c r="C42" i="65"/>
  <c r="C41" i="65"/>
  <c r="C40" i="65"/>
  <c r="C39" i="65"/>
  <c r="C38" i="65"/>
  <c r="C37" i="65"/>
  <c r="C36" i="65"/>
  <c r="C35" i="65"/>
  <c r="C34" i="65"/>
  <c r="C33" i="65"/>
  <c r="C32" i="65"/>
  <c r="C31" i="65"/>
  <c r="C30" i="65"/>
  <c r="C29" i="65"/>
  <c r="C28" i="65"/>
  <c r="C27" i="65"/>
  <c r="C26" i="65"/>
  <c r="C25" i="65"/>
  <c r="C24" i="65"/>
  <c r="C23" i="65"/>
  <c r="C22" i="65"/>
  <c r="C21" i="65"/>
  <c r="C20" i="65"/>
  <c r="C19" i="65"/>
  <c r="C18" i="65"/>
  <c r="C17" i="65"/>
  <c r="C16" i="65"/>
  <c r="C15" i="65"/>
  <c r="C14" i="65"/>
  <c r="C13" i="65"/>
  <c r="C12" i="65"/>
  <c r="C11" i="65"/>
  <c r="C10" i="65"/>
  <c r="C9" i="65"/>
  <c r="C8" i="65"/>
  <c r="C7" i="65"/>
  <c r="C6" i="65"/>
  <c r="C5" i="65"/>
  <c r="H2" i="65"/>
  <c r="C36" i="12"/>
  <c r="C33" i="12"/>
  <c r="C18" i="12"/>
  <c r="C11" i="12"/>
  <c r="C5" i="12"/>
  <c r="H2" i="12"/>
  <c r="G292" i="59"/>
  <c r="G290" i="59"/>
  <c r="G289" i="59"/>
  <c r="E289" i="59"/>
  <c r="D289" i="59"/>
  <c r="G288" i="59"/>
  <c r="E288" i="59"/>
  <c r="D288" i="59"/>
  <c r="G287" i="59"/>
  <c r="E287" i="59"/>
  <c r="G286" i="59"/>
  <c r="E286" i="59"/>
  <c r="G285" i="59"/>
  <c r="E285" i="59"/>
  <c r="G284" i="59"/>
  <c r="E284" i="59"/>
  <c r="C284" i="59"/>
  <c r="G283" i="59"/>
  <c r="E283" i="59"/>
  <c r="C283" i="59"/>
  <c r="G282" i="59"/>
  <c r="E282" i="59"/>
  <c r="C282" i="59"/>
  <c r="G281" i="59"/>
  <c r="E281" i="59"/>
  <c r="C281" i="59"/>
  <c r="G280" i="59"/>
  <c r="E280" i="59"/>
  <c r="C280" i="59"/>
  <c r="G279" i="59"/>
  <c r="E279" i="59"/>
  <c r="C279" i="59"/>
  <c r="G278" i="59"/>
  <c r="E278" i="59"/>
  <c r="C278" i="59"/>
  <c r="G277" i="59"/>
  <c r="E277" i="59"/>
  <c r="C277" i="59"/>
  <c r="G276" i="59"/>
  <c r="E276" i="59"/>
  <c r="C276" i="59"/>
  <c r="F202" i="59"/>
  <c r="F203" i="59"/>
  <c r="I201" i="59"/>
  <c r="H201" i="59"/>
  <c r="D189" i="59"/>
  <c r="D188" i="59"/>
  <c r="D187" i="59"/>
  <c r="D186" i="59"/>
  <c r="D185" i="59"/>
  <c r="D184" i="59"/>
  <c r="D183" i="59"/>
  <c r="D182" i="59"/>
  <c r="D181" i="59"/>
  <c r="F180" i="59"/>
  <c r="F190" i="59"/>
  <c r="F192" i="59"/>
  <c r="F151" i="59"/>
  <c r="D179" i="59"/>
  <c r="D178" i="59"/>
  <c r="D148" i="59"/>
  <c r="D147" i="59"/>
  <c r="D146" i="59"/>
  <c r="D145" i="59"/>
  <c r="D144" i="59"/>
  <c r="D143" i="59"/>
  <c r="D142" i="59"/>
  <c r="D141" i="59"/>
  <c r="D140" i="59"/>
  <c r="D138" i="59"/>
  <c r="D137" i="59"/>
  <c r="D110" i="59"/>
  <c r="D108" i="59"/>
  <c r="D107" i="59"/>
  <c r="D106" i="59"/>
  <c r="D105" i="59"/>
  <c r="D104" i="59"/>
  <c r="D103" i="59"/>
  <c r="D102" i="59"/>
  <c r="D101" i="59"/>
  <c r="D100" i="59"/>
  <c r="G99" i="59"/>
  <c r="D98" i="59"/>
  <c r="D97" i="59"/>
  <c r="D96" i="59"/>
  <c r="D89" i="59"/>
  <c r="D81" i="59"/>
  <c r="D80" i="59"/>
  <c r="D71" i="59"/>
  <c r="D70" i="59"/>
  <c r="D69" i="59"/>
  <c r="D68" i="59"/>
  <c r="D67" i="59"/>
  <c r="D66" i="59"/>
  <c r="D65" i="59"/>
  <c r="D64" i="59"/>
  <c r="D63" i="59"/>
  <c r="D62" i="59"/>
  <c r="D61" i="59"/>
  <c r="D60" i="59"/>
  <c r="D59" i="59"/>
  <c r="D58" i="59"/>
  <c r="D53" i="59"/>
  <c r="D52" i="59"/>
  <c r="D45" i="59"/>
  <c r="D44" i="59"/>
  <c r="D42" i="59"/>
  <c r="D41" i="59"/>
  <c r="D40" i="59"/>
  <c r="D38" i="59"/>
  <c r="D37" i="59"/>
  <c r="D35" i="59"/>
  <c r="D34" i="59"/>
  <c r="D33" i="59"/>
  <c r="D32" i="59"/>
  <c r="D284" i="59"/>
  <c r="D30" i="59"/>
  <c r="D283" i="59"/>
  <c r="D29" i="59"/>
  <c r="D282" i="59"/>
  <c r="D28" i="59"/>
  <c r="D281" i="59"/>
  <c r="D27" i="59"/>
  <c r="D280" i="59"/>
  <c r="D26" i="59"/>
  <c r="D279" i="59"/>
  <c r="D25" i="59"/>
  <c r="D278" i="59"/>
  <c r="D24" i="59"/>
  <c r="D277" i="59"/>
  <c r="D23" i="59"/>
  <c r="D276" i="59"/>
  <c r="D17" i="59"/>
  <c r="D16" i="59"/>
  <c r="D15" i="59"/>
  <c r="D14" i="59"/>
  <c r="D12" i="59"/>
  <c r="D11" i="59"/>
  <c r="D10" i="59"/>
  <c r="D9" i="59"/>
  <c r="D8" i="59"/>
  <c r="D7" i="59"/>
  <c r="D4" i="59"/>
  <c r="E53" i="60"/>
  <c r="E52" i="60"/>
  <c r="E48" i="60"/>
  <c r="E44" i="60"/>
  <c r="BY10" i="60"/>
  <c r="BV10" i="60"/>
  <c r="BY9" i="60"/>
  <c r="BV9" i="60"/>
  <c r="BV8" i="60"/>
  <c r="BK43" i="60"/>
  <c r="BK42" i="60"/>
  <c r="E41" i="60"/>
  <c r="BK41" i="60"/>
  <c r="BK39" i="60"/>
  <c r="E38" i="60"/>
  <c r="BK38" i="60"/>
  <c r="BK37" i="60"/>
  <c r="E14" i="60"/>
  <c r="BK36" i="60"/>
  <c r="BK35" i="60"/>
  <c r="BK34" i="60"/>
  <c r="BK33" i="60"/>
  <c r="E33" i="60"/>
  <c r="E32" i="60"/>
  <c r="E30" i="60"/>
  <c r="E31" i="60"/>
  <c r="E27" i="60"/>
  <c r="E25" i="60"/>
  <c r="E23" i="60"/>
  <c r="E22" i="60"/>
  <c r="E19" i="60"/>
  <c r="E24" i="60"/>
  <c r="E17" i="60"/>
  <c r="E16" i="60"/>
  <c r="E15" i="60"/>
  <c r="E10" i="60"/>
  <c r="BW24" i="60"/>
  <c r="E18" i="60"/>
  <c r="E13" i="60"/>
  <c r="BW22" i="60"/>
  <c r="E12" i="60"/>
  <c r="BW21" i="60"/>
  <c r="E11" i="60"/>
  <c r="BW20" i="60"/>
  <c r="E9" i="60"/>
  <c r="BZ19" i="60"/>
  <c r="E6" i="60"/>
  <c r="E5" i="60"/>
  <c r="I203" i="59"/>
  <c r="F146" i="59"/>
  <c r="F145" i="59"/>
  <c r="F144" i="59"/>
  <c r="F143" i="59"/>
  <c r="F142" i="59"/>
  <c r="F141" i="59"/>
  <c r="F140" i="59"/>
  <c r="F139" i="59"/>
  <c r="H203" i="59"/>
  <c r="I451" i="59"/>
  <c r="P388" i="59"/>
  <c r="Q388" i="59"/>
  <c r="R388" i="59"/>
  <c r="G21" i="13"/>
  <c r="F9" i="12"/>
  <c r="F149" i="59"/>
  <c r="L203" i="59"/>
  <c r="F7" i="24"/>
  <c r="F99" i="48"/>
  <c r="I5" i="9"/>
  <c r="F98" i="48"/>
  <c r="D45" i="65"/>
  <c r="G45" i="65"/>
  <c r="C24" i="12"/>
  <c r="C22" i="12"/>
  <c r="C20" i="12"/>
  <c r="C23" i="12"/>
  <c r="C19" i="12"/>
  <c r="C21" i="12"/>
  <c r="K203" i="59"/>
  <c r="F55" i="48"/>
  <c r="F138" i="48"/>
  <c r="F141" i="48"/>
  <c r="F47" i="48"/>
  <c r="G99" i="48"/>
  <c r="F48" i="48"/>
  <c r="F92" i="48"/>
  <c r="N92" i="48"/>
  <c r="L92" i="48"/>
  <c r="J92" i="48"/>
  <c r="J136" i="48"/>
  <c r="H92" i="48"/>
  <c r="O92" i="48"/>
  <c r="M92" i="48"/>
  <c r="M136" i="48"/>
  <c r="K92" i="48"/>
  <c r="I92" i="48"/>
  <c r="I136" i="48"/>
  <c r="G92" i="48"/>
  <c r="F54" i="48"/>
  <c r="N54" i="48"/>
  <c r="F49" i="48"/>
  <c r="M49" i="48"/>
  <c r="K49" i="48"/>
  <c r="L49" i="48"/>
  <c r="I54" i="48"/>
  <c r="F104" i="48"/>
  <c r="F151" i="48"/>
  <c r="F94" i="48"/>
  <c r="F134" i="48"/>
  <c r="F139" i="48"/>
  <c r="H99" i="48"/>
  <c r="O47" i="48"/>
  <c r="M47" i="48"/>
  <c r="K47" i="48"/>
  <c r="I47" i="48"/>
  <c r="G47" i="48"/>
  <c r="N47" i="48"/>
  <c r="L47" i="48"/>
  <c r="J47" i="48"/>
  <c r="H47" i="48"/>
  <c r="N48" i="48"/>
  <c r="L48" i="48"/>
  <c r="J48" i="48"/>
  <c r="H48" i="48"/>
  <c r="O48" i="48"/>
  <c r="M48" i="48"/>
  <c r="K48" i="48"/>
  <c r="I48" i="48"/>
  <c r="G48" i="48"/>
  <c r="O55" i="48"/>
  <c r="M55" i="48"/>
  <c r="K55" i="48"/>
  <c r="I55" i="48"/>
  <c r="G55" i="48"/>
  <c r="N55" i="48"/>
  <c r="L55" i="48"/>
  <c r="J55" i="48"/>
  <c r="H55" i="48"/>
  <c r="H141" i="48"/>
  <c r="J99" i="48"/>
  <c r="J141" i="48"/>
  <c r="I99" i="48"/>
  <c r="I141" i="48"/>
  <c r="I138" i="48"/>
  <c r="F5" i="6"/>
  <c r="G29" i="118"/>
  <c r="G45" i="118"/>
  <c r="K99" i="48"/>
  <c r="K141" i="48"/>
  <c r="H49" i="48"/>
  <c r="G49" i="48"/>
  <c r="O49" i="48"/>
  <c r="F19" i="116"/>
  <c r="F132" i="22"/>
  <c r="G133" i="22"/>
  <c r="F133" i="22"/>
  <c r="G132" i="22"/>
  <c r="F240" i="22"/>
  <c r="K24" i="107"/>
  <c r="K79" i="48"/>
  <c r="J24" i="107"/>
  <c r="J79" i="48"/>
  <c r="H54" i="48"/>
  <c r="M54" i="48"/>
  <c r="L54" i="48"/>
  <c r="H136" i="48"/>
  <c r="H139" i="48"/>
  <c r="L104" i="48"/>
  <c r="L151" i="48"/>
  <c r="L139" i="48"/>
  <c r="G139" i="48"/>
  <c r="G104" i="48"/>
  <c r="G151" i="48"/>
  <c r="K139" i="48"/>
  <c r="K104" i="48"/>
  <c r="K151" i="48"/>
  <c r="O139" i="48"/>
  <c r="O104" i="48"/>
  <c r="O151" i="48"/>
  <c r="N139" i="48"/>
  <c r="N136" i="48"/>
  <c r="I94" i="48"/>
  <c r="I134" i="48"/>
  <c r="M94" i="48"/>
  <c r="M134" i="48"/>
  <c r="H94" i="48"/>
  <c r="H134" i="48"/>
  <c r="L94" i="48"/>
  <c r="L134" i="48"/>
  <c r="H93" i="48"/>
  <c r="L93" i="48"/>
  <c r="G93" i="48"/>
  <c r="K93" i="48"/>
  <c r="O93" i="48"/>
  <c r="G94" i="48"/>
  <c r="G134" i="48"/>
  <c r="K94" i="48"/>
  <c r="K134" i="48"/>
  <c r="O94" i="48"/>
  <c r="O134" i="48"/>
  <c r="J94" i="48"/>
  <c r="J134" i="48"/>
  <c r="N94" i="48"/>
  <c r="N134" i="48"/>
  <c r="J93" i="48"/>
  <c r="N93" i="48"/>
  <c r="I93" i="48"/>
  <c r="M93" i="48"/>
  <c r="F23" i="106"/>
  <c r="F31" i="6"/>
  <c r="F21" i="6"/>
  <c r="F19" i="6"/>
  <c r="F17" i="6"/>
  <c r="F8" i="6"/>
  <c r="F3" i="24"/>
  <c r="F18" i="106"/>
  <c r="G141" i="48"/>
  <c r="G138" i="48"/>
  <c r="F82" i="22"/>
  <c r="F42" i="37"/>
  <c r="F51" i="22"/>
  <c r="F43" i="37"/>
  <c r="F52" i="22"/>
  <c r="F44" i="37"/>
  <c r="F53" i="22"/>
  <c r="F85" i="37"/>
  <c r="F119" i="37"/>
  <c r="N19" i="37"/>
  <c r="L19" i="37"/>
  <c r="I19" i="37"/>
  <c r="N18" i="37"/>
  <c r="L18" i="37"/>
  <c r="J18" i="37"/>
  <c r="F18" i="37"/>
  <c r="M17" i="37"/>
  <c r="K17" i="37"/>
  <c r="I17" i="37"/>
  <c r="N16" i="37"/>
  <c r="L16" i="37"/>
  <c r="J16" i="37"/>
  <c r="F16" i="37"/>
  <c r="N36" i="22"/>
  <c r="L36" i="22"/>
  <c r="J36" i="22"/>
  <c r="H36" i="22"/>
  <c r="N35" i="22"/>
  <c r="L35" i="22"/>
  <c r="J35" i="22"/>
  <c r="H35" i="22"/>
  <c r="N34" i="22"/>
  <c r="N37" i="22"/>
  <c r="O145" i="22"/>
  <c r="L34" i="22"/>
  <c r="L37" i="22"/>
  <c r="M145" i="22"/>
  <c r="J34" i="22"/>
  <c r="J37" i="22"/>
  <c r="K145" i="22"/>
  <c r="H34" i="22"/>
  <c r="H37" i="22"/>
  <c r="I145" i="22"/>
  <c r="N27" i="22"/>
  <c r="L27" i="22"/>
  <c r="J27" i="22"/>
  <c r="H27" i="22"/>
  <c r="F27" i="22"/>
  <c r="N26" i="22"/>
  <c r="L26" i="22"/>
  <c r="J26" i="22"/>
  <c r="H26" i="22"/>
  <c r="F26" i="22"/>
  <c r="N25" i="22"/>
  <c r="L25" i="22"/>
  <c r="J25" i="22"/>
  <c r="H25" i="22"/>
  <c r="F25" i="22"/>
  <c r="N24" i="22"/>
  <c r="L24" i="22"/>
  <c r="J24" i="22"/>
  <c r="H24" i="22"/>
  <c r="F24" i="22"/>
  <c r="M19" i="37"/>
  <c r="K19" i="37"/>
  <c r="F19" i="37"/>
  <c r="M18" i="37"/>
  <c r="K18" i="37"/>
  <c r="I18" i="37"/>
  <c r="N17" i="37"/>
  <c r="N20" i="37"/>
  <c r="L17" i="37"/>
  <c r="L20" i="37"/>
  <c r="J17" i="37"/>
  <c r="J20" i="37"/>
  <c r="F17" i="37"/>
  <c r="F20" i="37"/>
  <c r="M16" i="37"/>
  <c r="K16" i="37"/>
  <c r="I16" i="37"/>
  <c r="F87" i="22"/>
  <c r="O36" i="22"/>
  <c r="M36" i="22"/>
  <c r="K36" i="22"/>
  <c r="I36" i="22"/>
  <c r="O35" i="22"/>
  <c r="M35" i="22"/>
  <c r="K35" i="22"/>
  <c r="I35" i="22"/>
  <c r="O34" i="22"/>
  <c r="O37" i="22"/>
  <c r="M34" i="22"/>
  <c r="M37" i="22"/>
  <c r="N145" i="22"/>
  <c r="K34" i="22"/>
  <c r="K37" i="22"/>
  <c r="L145" i="22"/>
  <c r="I34" i="22"/>
  <c r="I37" i="22"/>
  <c r="J145" i="22"/>
  <c r="O27" i="22"/>
  <c r="M27" i="22"/>
  <c r="K27" i="22"/>
  <c r="I27" i="22"/>
  <c r="G27" i="22"/>
  <c r="O26" i="22"/>
  <c r="M26" i="22"/>
  <c r="K26" i="22"/>
  <c r="I26" i="22"/>
  <c r="G26" i="22"/>
  <c r="O25" i="22"/>
  <c r="M25" i="22"/>
  <c r="K25" i="22"/>
  <c r="I25" i="22"/>
  <c r="G25" i="22"/>
  <c r="O24" i="22"/>
  <c r="O28" i="22"/>
  <c r="O146" i="22"/>
  <c r="M24" i="22"/>
  <c r="K24" i="22"/>
  <c r="K28" i="22"/>
  <c r="K146" i="22"/>
  <c r="I24" i="22"/>
  <c r="G24" i="22"/>
  <c r="G28" i="22"/>
  <c r="G146" i="22"/>
  <c r="F53" i="6"/>
  <c r="F51" i="6"/>
  <c r="F48" i="6"/>
  <c r="F15" i="6"/>
  <c r="E76" i="108"/>
  <c r="E77" i="108"/>
  <c r="J76" i="108"/>
  <c r="J77" i="108"/>
  <c r="H76" i="108"/>
  <c r="H77" i="108"/>
  <c r="F76" i="108"/>
  <c r="F77" i="108"/>
  <c r="D76" i="108"/>
  <c r="D77" i="108"/>
  <c r="K76" i="108"/>
  <c r="K77" i="108"/>
  <c r="I76" i="108"/>
  <c r="I77" i="108"/>
  <c r="G76" i="108"/>
  <c r="G77" i="108"/>
  <c r="C76" i="108"/>
  <c r="C77" i="108"/>
  <c r="F20" i="106"/>
  <c r="F29" i="118"/>
  <c r="G44" i="118"/>
  <c r="F17" i="106"/>
  <c r="H122" i="48"/>
  <c r="F22" i="106"/>
  <c r="F122" i="48"/>
  <c r="F24" i="106"/>
  <c r="K138" i="48"/>
  <c r="J138" i="48"/>
  <c r="H138" i="48"/>
  <c r="F93" i="48"/>
  <c r="F95" i="48"/>
  <c r="F136" i="48"/>
  <c r="L95" i="48"/>
  <c r="L136" i="48"/>
  <c r="H95" i="48"/>
  <c r="H104" i="48"/>
  <c r="H151" i="48"/>
  <c r="M95" i="48"/>
  <c r="M104" i="48"/>
  <c r="M151" i="48"/>
  <c r="M139" i="48"/>
  <c r="I104" i="48"/>
  <c r="I151" i="48"/>
  <c r="I139" i="48"/>
  <c r="N104" i="48"/>
  <c r="N151" i="48"/>
  <c r="J139" i="48"/>
  <c r="J104" i="48"/>
  <c r="J151" i="48"/>
  <c r="O95" i="48"/>
  <c r="O136" i="48"/>
  <c r="K95" i="48"/>
  <c r="K136" i="48"/>
  <c r="G95" i="48"/>
  <c r="G136" i="48"/>
  <c r="G54" i="48"/>
  <c r="K54" i="48"/>
  <c r="O54" i="48"/>
  <c r="J54" i="48"/>
  <c r="J49" i="48"/>
  <c r="J95" i="48"/>
  <c r="N49" i="48"/>
  <c r="N95" i="48"/>
  <c r="I49" i="48"/>
  <c r="I95" i="48"/>
  <c r="F34" i="6"/>
  <c r="F140" i="48"/>
  <c r="F137" i="48"/>
  <c r="F105" i="48"/>
  <c r="F150" i="48"/>
  <c r="F101" i="48"/>
  <c r="F100" i="48"/>
  <c r="E58" i="6"/>
  <c r="E60" i="6"/>
  <c r="E35" i="6"/>
  <c r="F35" i="6"/>
  <c r="E59" i="6"/>
  <c r="F7" i="6"/>
  <c r="F6" i="6"/>
  <c r="K4" i="6"/>
  <c r="F16" i="6"/>
  <c r="F9" i="24"/>
  <c r="F12" i="6"/>
  <c r="F113" i="37"/>
  <c r="F227" i="37"/>
  <c r="G119" i="37"/>
  <c r="G113" i="37"/>
  <c r="F120" i="37"/>
  <c r="O19" i="116"/>
  <c r="K19" i="116"/>
  <c r="G19" i="116"/>
  <c r="M19" i="116"/>
  <c r="I19" i="116"/>
  <c r="N19" i="116"/>
  <c r="J19" i="116"/>
  <c r="H19" i="116"/>
  <c r="L19" i="116"/>
  <c r="G114" i="37"/>
  <c r="G120" i="37"/>
  <c r="F114" i="37"/>
  <c r="G127" i="22"/>
  <c r="F127" i="22"/>
  <c r="G114" i="22"/>
  <c r="G113" i="22"/>
  <c r="G121" i="22"/>
  <c r="F120" i="22"/>
  <c r="G126" i="22"/>
  <c r="F126" i="22"/>
  <c r="F114" i="22"/>
  <c r="F113" i="22"/>
  <c r="F121" i="22"/>
  <c r="G120" i="22"/>
  <c r="G8" i="105"/>
  <c r="G4" i="105"/>
  <c r="G7" i="105"/>
  <c r="G3" i="105"/>
  <c r="G35" i="116"/>
  <c r="G34" i="116"/>
  <c r="F31" i="114"/>
  <c r="F35" i="116"/>
  <c r="F34" i="116"/>
  <c r="K23" i="107"/>
  <c r="K78" i="48"/>
  <c r="J23" i="107"/>
  <c r="J78" i="48"/>
  <c r="F161" i="37"/>
  <c r="F162" i="37"/>
  <c r="D290" i="22"/>
  <c r="D283" i="22"/>
  <c r="D297" i="22"/>
  <c r="F283" i="22"/>
  <c r="J283" i="22"/>
  <c r="N283" i="22"/>
  <c r="H283" i="22"/>
  <c r="L283" i="22"/>
  <c r="O283" i="22"/>
  <c r="K283" i="22"/>
  <c r="G283" i="22"/>
  <c r="M283" i="22"/>
  <c r="I283" i="22"/>
  <c r="F25" i="114"/>
  <c r="F5" i="24"/>
  <c r="F135" i="48"/>
  <c r="F28" i="22"/>
  <c r="J28" i="22"/>
  <c r="J146" i="22"/>
  <c r="N28" i="22"/>
  <c r="N146" i="22"/>
  <c r="F245" i="22"/>
  <c r="F314" i="22"/>
  <c r="F311" i="22"/>
  <c r="E24" i="6"/>
  <c r="L229" i="22"/>
  <c r="K229" i="22"/>
  <c r="K151" i="22"/>
  <c r="K158" i="22"/>
  <c r="O229" i="22"/>
  <c r="O151" i="22"/>
  <c r="O158" i="22"/>
  <c r="I28" i="22"/>
  <c r="I146" i="22"/>
  <c r="M28" i="22"/>
  <c r="M146" i="22"/>
  <c r="H28" i="22"/>
  <c r="H146" i="22"/>
  <c r="H233" i="22"/>
  <c r="L28" i="22"/>
  <c r="L146" i="22"/>
  <c r="K20" i="37"/>
  <c r="G233" i="22"/>
  <c r="G158" i="22"/>
  <c r="K233" i="22"/>
  <c r="O233" i="22"/>
  <c r="J229" i="22"/>
  <c r="J151" i="22"/>
  <c r="J158" i="22"/>
  <c r="N229" i="22"/>
  <c r="N151" i="22"/>
  <c r="N158" i="22"/>
  <c r="G229" i="22"/>
  <c r="F229" i="22"/>
  <c r="C229" i="22"/>
  <c r="D303" i="22"/>
  <c r="C222" i="22"/>
  <c r="C108" i="22"/>
  <c r="C225" i="22"/>
  <c r="C230" i="22"/>
  <c r="H229" i="22"/>
  <c r="G139" i="37"/>
  <c r="G138" i="37"/>
  <c r="G140" i="37"/>
  <c r="J233" i="22"/>
  <c r="N233" i="22"/>
  <c r="I229" i="22"/>
  <c r="I151" i="22"/>
  <c r="I158" i="22"/>
  <c r="M229" i="22"/>
  <c r="M151" i="22"/>
  <c r="D279" i="37"/>
  <c r="C210" i="37"/>
  <c r="C219" i="37"/>
  <c r="C207" i="37"/>
  <c r="F216" i="37"/>
  <c r="F279" i="37"/>
  <c r="C216" i="37"/>
  <c r="C204" i="37"/>
  <c r="C213" i="37"/>
  <c r="F210" i="37"/>
  <c r="F204" i="37"/>
  <c r="I20" i="37"/>
  <c r="M20" i="37"/>
  <c r="I122" i="48"/>
  <c r="J122" i="48"/>
  <c r="G122" i="48"/>
  <c r="K122" i="48"/>
  <c r="J116" i="48"/>
  <c r="H116" i="48"/>
  <c r="F116" i="48"/>
  <c r="K116" i="48"/>
  <c r="I116" i="48"/>
  <c r="G116" i="48"/>
  <c r="L99" i="48"/>
  <c r="L122" i="48"/>
  <c r="F132" i="48"/>
  <c r="F133" i="48"/>
  <c r="C15" i="12"/>
  <c r="C9" i="12"/>
  <c r="C7" i="12"/>
  <c r="C14" i="12"/>
  <c r="C12" i="12"/>
  <c r="C8" i="12"/>
  <c r="C16" i="12"/>
  <c r="C13" i="12"/>
  <c r="C6" i="12"/>
  <c r="F228" i="37"/>
  <c r="F223" i="37"/>
  <c r="F222" i="37"/>
  <c r="K22" i="107"/>
  <c r="K77" i="48"/>
  <c r="J22" i="107"/>
  <c r="J77" i="48"/>
  <c r="I185" i="22"/>
  <c r="I289" i="22"/>
  <c r="N185" i="22"/>
  <c r="N289" i="22"/>
  <c r="J185" i="22"/>
  <c r="J289" i="22"/>
  <c r="G185" i="22"/>
  <c r="G289" i="22"/>
  <c r="F164" i="37"/>
  <c r="F167" i="37"/>
  <c r="F166" i="37"/>
  <c r="O185" i="22"/>
  <c r="O289" i="22"/>
  <c r="K185" i="22"/>
  <c r="K289" i="22"/>
  <c r="F291" i="37"/>
  <c r="I369" i="59"/>
  <c r="I452" i="59"/>
  <c r="F193" i="37"/>
  <c r="F196" i="37"/>
  <c r="F195" i="37"/>
  <c r="O174" i="22"/>
  <c r="O175" i="22"/>
  <c r="O176" i="22"/>
  <c r="O178" i="22"/>
  <c r="O257" i="22"/>
  <c r="G174" i="22"/>
  <c r="G175" i="22"/>
  <c r="G176" i="22"/>
  <c r="G178" i="22"/>
  <c r="G257" i="22"/>
  <c r="N174" i="22"/>
  <c r="N175" i="22"/>
  <c r="N176" i="22"/>
  <c r="N178" i="22"/>
  <c r="N257" i="22"/>
  <c r="M174" i="22"/>
  <c r="M175" i="22"/>
  <c r="M176" i="22"/>
  <c r="M178" i="22"/>
  <c r="M257" i="22"/>
  <c r="F179" i="37"/>
  <c r="J174" i="22"/>
  <c r="J175" i="22"/>
  <c r="J176" i="22"/>
  <c r="J178" i="22"/>
  <c r="J257" i="22"/>
  <c r="K174" i="22"/>
  <c r="K175" i="22"/>
  <c r="K176" i="22"/>
  <c r="K178" i="22"/>
  <c r="K257" i="22"/>
  <c r="L174" i="22"/>
  <c r="L175" i="22"/>
  <c r="L176" i="22"/>
  <c r="L178" i="22"/>
  <c r="L257" i="22"/>
  <c r="F174" i="22"/>
  <c r="F175" i="22"/>
  <c r="F176" i="22"/>
  <c r="F178" i="22"/>
  <c r="F257" i="22"/>
  <c r="I174" i="22"/>
  <c r="I175" i="22"/>
  <c r="I176" i="22"/>
  <c r="I178" i="22"/>
  <c r="I257" i="22"/>
  <c r="H174" i="22"/>
  <c r="H175" i="22"/>
  <c r="H176" i="22"/>
  <c r="H178" i="22"/>
  <c r="H257" i="22"/>
  <c r="I373" i="59"/>
  <c r="F288" i="37"/>
  <c r="F32" i="114"/>
  <c r="G31" i="114"/>
  <c r="G32" i="114"/>
  <c r="D39" i="65"/>
  <c r="G8" i="12"/>
  <c r="H8" i="12"/>
  <c r="D36" i="65"/>
  <c r="D44" i="65"/>
  <c r="G6" i="12"/>
  <c r="D37" i="65"/>
  <c r="H6" i="12"/>
  <c r="D34" i="65"/>
  <c r="D42" i="65"/>
  <c r="D38" i="65"/>
  <c r="G7" i="12"/>
  <c r="H7" i="12"/>
  <c r="D35" i="65"/>
  <c r="D43" i="65"/>
  <c r="I407" i="59"/>
  <c r="O385" i="59"/>
  <c r="Q385" i="59"/>
  <c r="R385" i="59"/>
  <c r="G219" i="37"/>
  <c r="G188" i="37"/>
  <c r="H140" i="37"/>
  <c r="G174" i="37"/>
  <c r="G213" i="37"/>
  <c r="H139" i="37"/>
  <c r="L233" i="22"/>
  <c r="I233" i="22"/>
  <c r="G207" i="37"/>
  <c r="H138" i="37"/>
  <c r="G141" i="37"/>
  <c r="G277" i="37"/>
  <c r="G159" i="37"/>
  <c r="H151" i="22"/>
  <c r="H158" i="22"/>
  <c r="M233" i="22"/>
  <c r="M158" i="22"/>
  <c r="L151" i="22"/>
  <c r="L158" i="22"/>
  <c r="F290" i="37"/>
  <c r="F229" i="37"/>
  <c r="F287" i="37"/>
  <c r="F224" i="37"/>
  <c r="L116" i="48"/>
  <c r="F121" i="48"/>
  <c r="F115" i="48"/>
  <c r="M99" i="48"/>
  <c r="L141" i="48"/>
  <c r="L138" i="48"/>
  <c r="F142" i="48"/>
  <c r="I381" i="59"/>
  <c r="G98" i="48"/>
  <c r="G121" i="48"/>
  <c r="AO14" i="105"/>
  <c r="H15" i="105"/>
  <c r="AO61" i="105"/>
  <c r="I15" i="105"/>
  <c r="AO55" i="105"/>
  <c r="AO102" i="105"/>
  <c r="G227" i="37"/>
  <c r="G223" i="37"/>
  <c r="G222" i="37"/>
  <c r="G228" i="37"/>
  <c r="BL15" i="105"/>
  <c r="BM15" i="105"/>
  <c r="L185" i="22"/>
  <c r="L289" i="22"/>
  <c r="M185" i="22"/>
  <c r="M289" i="22"/>
  <c r="H185" i="22"/>
  <c r="H289" i="22"/>
  <c r="G279" i="37"/>
  <c r="F182" i="37"/>
  <c r="F252" i="37"/>
  <c r="I372" i="59"/>
  <c r="F38" i="65"/>
  <c r="F43" i="65"/>
  <c r="F35" i="65"/>
  <c r="F234" i="37"/>
  <c r="G234" i="37"/>
  <c r="G239" i="37"/>
  <c r="F239" i="37"/>
  <c r="F107" i="48"/>
  <c r="F152" i="48"/>
  <c r="E36" i="65"/>
  <c r="E44" i="65"/>
  <c r="E39" i="65"/>
  <c r="E35" i="65"/>
  <c r="E43" i="65"/>
  <c r="E38" i="65"/>
  <c r="G38" i="65"/>
  <c r="F34" i="65"/>
  <c r="F37" i="65"/>
  <c r="F42" i="65"/>
  <c r="E37" i="65"/>
  <c r="E42" i="65"/>
  <c r="E34" i="65"/>
  <c r="F36" i="65"/>
  <c r="F39" i="65"/>
  <c r="F44" i="65"/>
  <c r="G34" i="65"/>
  <c r="I405" i="59"/>
  <c r="O412" i="59"/>
  <c r="Q412" i="59"/>
  <c r="R412" i="59"/>
  <c r="G160" i="37"/>
  <c r="G162" i="37"/>
  <c r="G164" i="37"/>
  <c r="G167" i="37"/>
  <c r="G166" i="37"/>
  <c r="G204" i="37"/>
  <c r="H159" i="37"/>
  <c r="I138" i="37"/>
  <c r="H207" i="37"/>
  <c r="H141" i="37"/>
  <c r="H277" i="37"/>
  <c r="L114" i="48"/>
  <c r="H114" i="48"/>
  <c r="M114" i="48"/>
  <c r="I114" i="48"/>
  <c r="F114" i="48"/>
  <c r="F117" i="48"/>
  <c r="F173" i="48"/>
  <c r="N114" i="48"/>
  <c r="J114" i="48"/>
  <c r="O114" i="48"/>
  <c r="K114" i="48"/>
  <c r="G114" i="48"/>
  <c r="H213" i="37"/>
  <c r="H174" i="37"/>
  <c r="I139" i="37"/>
  <c r="G210" i="37"/>
  <c r="G175" i="37"/>
  <c r="G177" i="37"/>
  <c r="G179" i="37"/>
  <c r="G189" i="37"/>
  <c r="G191" i="37"/>
  <c r="G193" i="37"/>
  <c r="G196" i="37"/>
  <c r="G195" i="37"/>
  <c r="G216" i="37"/>
  <c r="G200" i="37"/>
  <c r="L120" i="48"/>
  <c r="H120" i="48"/>
  <c r="O120" i="48"/>
  <c r="K120" i="48"/>
  <c r="G120" i="48"/>
  <c r="N120" i="48"/>
  <c r="J120" i="48"/>
  <c r="F120" i="48"/>
  <c r="M120" i="48"/>
  <c r="I120" i="48"/>
  <c r="H219" i="37"/>
  <c r="H188" i="37"/>
  <c r="I140" i="37"/>
  <c r="M122" i="48"/>
  <c r="M116" i="48"/>
  <c r="G115" i="48"/>
  <c r="G117" i="48"/>
  <c r="G173" i="48"/>
  <c r="N99" i="48"/>
  <c r="O99" i="48"/>
  <c r="I404" i="59"/>
  <c r="O410" i="59"/>
  <c r="Q410" i="59"/>
  <c r="R410" i="59"/>
  <c r="M138" i="48"/>
  <c r="M141" i="48"/>
  <c r="P379" i="59"/>
  <c r="Q379" i="59"/>
  <c r="R379" i="59"/>
  <c r="I435" i="59"/>
  <c r="G140" i="48"/>
  <c r="G137" i="48"/>
  <c r="G105" i="48"/>
  <c r="G150" i="48"/>
  <c r="G100" i="48"/>
  <c r="G101" i="48"/>
  <c r="I433" i="59"/>
  <c r="H98" i="48"/>
  <c r="P407" i="59"/>
  <c r="H222" i="37"/>
  <c r="H228" i="37"/>
  <c r="H227" i="37"/>
  <c r="H223" i="37"/>
  <c r="G35" i="65"/>
  <c r="H279" i="37"/>
  <c r="I444" i="59"/>
  <c r="F181" i="37"/>
  <c r="F256" i="37"/>
  <c r="F255" i="37"/>
  <c r="G291" i="37"/>
  <c r="G42" i="65"/>
  <c r="G37" i="65"/>
  <c r="G44" i="65"/>
  <c r="G43" i="65"/>
  <c r="F244" i="37"/>
  <c r="F268" i="37"/>
  <c r="F265" i="37"/>
  <c r="G39" i="65"/>
  <c r="F241" i="37"/>
  <c r="F267" i="37"/>
  <c r="H255" i="59"/>
  <c r="H265" i="59"/>
  <c r="G241" i="37"/>
  <c r="G267" i="37"/>
  <c r="I255" i="59"/>
  <c r="I265" i="59"/>
  <c r="F109" i="48"/>
  <c r="F154" i="48"/>
  <c r="G235" i="37"/>
  <c r="F235" i="37"/>
  <c r="G236" i="37"/>
  <c r="F236" i="37"/>
  <c r="F240" i="37"/>
  <c r="F266" i="37"/>
  <c r="G240" i="37"/>
  <c r="G266" i="37"/>
  <c r="F108" i="48"/>
  <c r="F153" i="48"/>
  <c r="G265" i="37"/>
  <c r="G244" i="37"/>
  <c r="G268" i="37"/>
  <c r="G36" i="65"/>
  <c r="I219" i="37"/>
  <c r="J140" i="37"/>
  <c r="I188" i="37"/>
  <c r="G287" i="37"/>
  <c r="I379" i="59"/>
  <c r="G182" i="37"/>
  <c r="G252" i="37"/>
  <c r="I174" i="37"/>
  <c r="I213" i="37"/>
  <c r="J139" i="37"/>
  <c r="H160" i="37"/>
  <c r="H162" i="37"/>
  <c r="H164" i="37"/>
  <c r="H167" i="37"/>
  <c r="H204" i="37"/>
  <c r="H200" i="37"/>
  <c r="H189" i="37"/>
  <c r="H191" i="37"/>
  <c r="H193" i="37"/>
  <c r="H196" i="37"/>
  <c r="H216" i="37"/>
  <c r="G290" i="37"/>
  <c r="H210" i="37"/>
  <c r="H175" i="37"/>
  <c r="H177" i="37"/>
  <c r="H179" i="37"/>
  <c r="I141" i="37"/>
  <c r="I277" i="37"/>
  <c r="I159" i="37"/>
  <c r="J138" i="37"/>
  <c r="I207" i="37"/>
  <c r="G288" i="37"/>
  <c r="H121" i="48"/>
  <c r="H115" i="48"/>
  <c r="H117" i="48"/>
  <c r="H173" i="48"/>
  <c r="N122" i="48"/>
  <c r="N116" i="48"/>
  <c r="O122" i="48"/>
  <c r="O116" i="48"/>
  <c r="I446" i="59"/>
  <c r="N138" i="48"/>
  <c r="N141" i="48"/>
  <c r="O138" i="48"/>
  <c r="O141" i="48"/>
  <c r="I98" i="48"/>
  <c r="I434" i="59"/>
  <c r="P389" i="59"/>
  <c r="Q389" i="59"/>
  <c r="R389" i="59"/>
  <c r="G109" i="48"/>
  <c r="G154" i="48"/>
  <c r="G107" i="48"/>
  <c r="G152" i="48"/>
  <c r="G108" i="48"/>
  <c r="G153" i="48"/>
  <c r="G135" i="48"/>
  <c r="I449" i="59"/>
  <c r="P394" i="59"/>
  <c r="Q394" i="59"/>
  <c r="R394" i="59"/>
  <c r="I432" i="59"/>
  <c r="P390" i="59"/>
  <c r="Q390" i="59"/>
  <c r="R390" i="59"/>
  <c r="H140" i="48"/>
  <c r="H100" i="48"/>
  <c r="H105" i="48"/>
  <c r="H150" i="48"/>
  <c r="H137" i="48"/>
  <c r="H101" i="48"/>
  <c r="I370" i="59"/>
  <c r="O393" i="59"/>
  <c r="Q393" i="59"/>
  <c r="R393" i="59"/>
  <c r="G132" i="48"/>
  <c r="G133" i="48"/>
  <c r="O400" i="59"/>
  <c r="Q400" i="59"/>
  <c r="R400" i="59"/>
  <c r="F34" i="105"/>
  <c r="I228" i="37"/>
  <c r="I227" i="37"/>
  <c r="I223" i="37"/>
  <c r="I222" i="37"/>
  <c r="F155" i="48"/>
  <c r="P406" i="59"/>
  <c r="I380" i="59"/>
  <c r="O406" i="59"/>
  <c r="O405" i="59"/>
  <c r="Q405" i="59"/>
  <c r="R405" i="59"/>
  <c r="BJ34" i="105"/>
  <c r="BV34" i="105"/>
  <c r="H290" i="37"/>
  <c r="I279" i="37"/>
  <c r="F257" i="37"/>
  <c r="G269" i="37"/>
  <c r="F269" i="37"/>
  <c r="J159" i="37"/>
  <c r="K138" i="37"/>
  <c r="J207" i="37"/>
  <c r="J141" i="37"/>
  <c r="J277" i="37"/>
  <c r="I402" i="59"/>
  <c r="O375" i="59"/>
  <c r="Q375" i="59"/>
  <c r="R375" i="59"/>
  <c r="H169" i="37"/>
  <c r="H166" i="37"/>
  <c r="H287" i="37"/>
  <c r="J174" i="37"/>
  <c r="J213" i="37"/>
  <c r="K139" i="37"/>
  <c r="I210" i="37"/>
  <c r="I175" i="37"/>
  <c r="I177" i="37"/>
  <c r="I179" i="37"/>
  <c r="G255" i="37"/>
  <c r="G181" i="37"/>
  <c r="G256" i="37"/>
  <c r="J219" i="37"/>
  <c r="K140" i="37"/>
  <c r="J188" i="37"/>
  <c r="G224" i="37"/>
  <c r="I406" i="59"/>
  <c r="O380" i="59"/>
  <c r="Q380" i="59"/>
  <c r="R380" i="59"/>
  <c r="I204" i="37"/>
  <c r="I160" i="37"/>
  <c r="I162" i="37"/>
  <c r="I164" i="37"/>
  <c r="I167" i="37"/>
  <c r="H252" i="37"/>
  <c r="H182" i="37"/>
  <c r="H198" i="37"/>
  <c r="H195" i="37"/>
  <c r="I189" i="37"/>
  <c r="I191" i="37"/>
  <c r="I193" i="37"/>
  <c r="I196" i="37"/>
  <c r="I216" i="37"/>
  <c r="I200" i="37"/>
  <c r="G229" i="37"/>
  <c r="I415" i="59"/>
  <c r="O381" i="59"/>
  <c r="I448" i="59"/>
  <c r="P373" i="59"/>
  <c r="Q373" i="59"/>
  <c r="R373" i="59"/>
  <c r="I447" i="59"/>
  <c r="P403" i="59"/>
  <c r="Q403" i="59"/>
  <c r="R403" i="59"/>
  <c r="I445" i="59"/>
  <c r="I121" i="48"/>
  <c r="I115" i="48"/>
  <c r="I117" i="48"/>
  <c r="I173" i="48"/>
  <c r="G155" i="48"/>
  <c r="H132" i="48"/>
  <c r="H133" i="48"/>
  <c r="J98" i="48"/>
  <c r="O411" i="59"/>
  <c r="Q411" i="59"/>
  <c r="R411" i="59"/>
  <c r="G142" i="48"/>
  <c r="H109" i="48"/>
  <c r="H154" i="48"/>
  <c r="H108" i="48"/>
  <c r="H153" i="48"/>
  <c r="H107" i="48"/>
  <c r="H152" i="48"/>
  <c r="H135" i="48"/>
  <c r="I137" i="48"/>
  <c r="I105" i="48"/>
  <c r="I150" i="48"/>
  <c r="I101" i="48"/>
  <c r="I140" i="48"/>
  <c r="I100" i="48"/>
  <c r="P404" i="59"/>
  <c r="Q404" i="59"/>
  <c r="R404" i="59"/>
  <c r="J228" i="37"/>
  <c r="J227" i="37"/>
  <c r="J223" i="37"/>
  <c r="J222" i="37"/>
  <c r="Q406" i="59"/>
  <c r="R406" i="59"/>
  <c r="J279" i="37"/>
  <c r="I287" i="37"/>
  <c r="I182" i="37"/>
  <c r="I252" i="37"/>
  <c r="I195" i="37"/>
  <c r="I198" i="37"/>
  <c r="H241" i="37"/>
  <c r="H240" i="37"/>
  <c r="H239" i="37"/>
  <c r="H254" i="37"/>
  <c r="H181" i="37"/>
  <c r="H256" i="37"/>
  <c r="H184" i="37"/>
  <c r="H236" i="37"/>
  <c r="I166" i="37"/>
  <c r="I169" i="37"/>
  <c r="K188" i="37"/>
  <c r="K219" i="37"/>
  <c r="L140" i="37"/>
  <c r="K174" i="37"/>
  <c r="K213" i="37"/>
  <c r="L139" i="37"/>
  <c r="J175" i="37"/>
  <c r="J177" i="37"/>
  <c r="J179" i="37"/>
  <c r="J210" i="37"/>
  <c r="J160" i="37"/>
  <c r="J162" i="37"/>
  <c r="J164" i="37"/>
  <c r="J167" i="37"/>
  <c r="J204" i="37"/>
  <c r="I290" i="37"/>
  <c r="J200" i="37"/>
  <c r="J189" i="37"/>
  <c r="J191" i="37"/>
  <c r="J193" i="37"/>
  <c r="J196" i="37"/>
  <c r="J216" i="37"/>
  <c r="K141" i="37"/>
  <c r="K277" i="37"/>
  <c r="K159" i="37"/>
  <c r="K207" i="37"/>
  <c r="L138" i="37"/>
  <c r="G257" i="37"/>
  <c r="J121" i="48"/>
  <c r="J115" i="48"/>
  <c r="J117" i="48"/>
  <c r="J173" i="48"/>
  <c r="I133" i="48"/>
  <c r="I132" i="48"/>
  <c r="I109" i="48"/>
  <c r="I154" i="48"/>
  <c r="I108" i="48"/>
  <c r="I153" i="48"/>
  <c r="I107" i="48"/>
  <c r="I152" i="48"/>
  <c r="I135" i="48"/>
  <c r="J105" i="48"/>
  <c r="J150" i="48"/>
  <c r="J101" i="48"/>
  <c r="J137" i="48"/>
  <c r="J140" i="48"/>
  <c r="J100" i="48"/>
  <c r="I437" i="59"/>
  <c r="H142" i="48"/>
  <c r="K98" i="48"/>
  <c r="H155" i="48"/>
  <c r="I155" i="48"/>
  <c r="K228" i="37"/>
  <c r="K227" i="37"/>
  <c r="K223" i="37"/>
  <c r="K222" i="37"/>
  <c r="H235" i="37"/>
  <c r="H234" i="37"/>
  <c r="H265" i="37"/>
  <c r="K279" i="37"/>
  <c r="J195" i="37"/>
  <c r="J198" i="37"/>
  <c r="J166" i="37"/>
  <c r="J169" i="37"/>
  <c r="J287" i="37"/>
  <c r="J252" i="37"/>
  <c r="J182" i="37"/>
  <c r="L188" i="37"/>
  <c r="L219" i="37"/>
  <c r="M140" i="37"/>
  <c r="K189" i="37"/>
  <c r="K191" i="37"/>
  <c r="K193" i="37"/>
  <c r="K196" i="37"/>
  <c r="K216" i="37"/>
  <c r="K200" i="37"/>
  <c r="H255" i="37"/>
  <c r="H253" i="37"/>
  <c r="H244" i="37"/>
  <c r="H268" i="37"/>
  <c r="I181" i="37"/>
  <c r="I256" i="37"/>
  <c r="I184" i="37"/>
  <c r="I235" i="37"/>
  <c r="H267" i="37"/>
  <c r="J255" i="59"/>
  <c r="J265" i="59"/>
  <c r="M138" i="37"/>
  <c r="L207" i="37"/>
  <c r="L141" i="37"/>
  <c r="L277" i="37"/>
  <c r="L159" i="37"/>
  <c r="K160" i="37"/>
  <c r="K162" i="37"/>
  <c r="K164" i="37"/>
  <c r="K167" i="37"/>
  <c r="K204" i="37"/>
  <c r="J290" i="37"/>
  <c r="L213" i="37"/>
  <c r="M139" i="37"/>
  <c r="L174" i="37"/>
  <c r="K210" i="37"/>
  <c r="K175" i="37"/>
  <c r="K177" i="37"/>
  <c r="K179" i="37"/>
  <c r="I241" i="37"/>
  <c r="I240" i="37"/>
  <c r="I239" i="37"/>
  <c r="I254" i="37"/>
  <c r="H266" i="37"/>
  <c r="K121" i="48"/>
  <c r="K115" i="48"/>
  <c r="K117" i="48"/>
  <c r="K173" i="48"/>
  <c r="L98" i="48"/>
  <c r="J132" i="48"/>
  <c r="J133" i="48"/>
  <c r="I142" i="48"/>
  <c r="K140" i="48"/>
  <c r="K100" i="48"/>
  <c r="K137" i="48"/>
  <c r="K105" i="48"/>
  <c r="K150" i="48"/>
  <c r="K101" i="48"/>
  <c r="J109" i="48"/>
  <c r="J154" i="48"/>
  <c r="J108" i="48"/>
  <c r="J153" i="48"/>
  <c r="J107" i="48"/>
  <c r="J152" i="48"/>
  <c r="J135" i="48"/>
  <c r="L228" i="37"/>
  <c r="L227" i="37"/>
  <c r="L223" i="37"/>
  <c r="L222" i="37"/>
  <c r="L279" i="37"/>
  <c r="K290" i="37"/>
  <c r="I266" i="37"/>
  <c r="M174" i="37"/>
  <c r="N139" i="37"/>
  <c r="M213" i="37"/>
  <c r="K169" i="37"/>
  <c r="K166" i="37"/>
  <c r="M141" i="37"/>
  <c r="M277" i="37"/>
  <c r="M159" i="37"/>
  <c r="M207" i="37"/>
  <c r="N138" i="37"/>
  <c r="K198" i="37"/>
  <c r="K195" i="37"/>
  <c r="J181" i="37"/>
  <c r="J256" i="37"/>
  <c r="J184" i="37"/>
  <c r="J236" i="37"/>
  <c r="K182" i="37"/>
  <c r="K252" i="37"/>
  <c r="L210" i="37"/>
  <c r="L175" i="37"/>
  <c r="L177" i="37"/>
  <c r="L179" i="37"/>
  <c r="L204" i="37"/>
  <c r="L160" i="37"/>
  <c r="L162" i="37"/>
  <c r="L164" i="37"/>
  <c r="L167" i="37"/>
  <c r="I253" i="37"/>
  <c r="I255" i="37"/>
  <c r="H257" i="37"/>
  <c r="M219" i="37"/>
  <c r="M188" i="37"/>
  <c r="N140" i="37"/>
  <c r="L216" i="37"/>
  <c r="L200" i="37"/>
  <c r="L189" i="37"/>
  <c r="L191" i="37"/>
  <c r="L193" i="37"/>
  <c r="L196" i="37"/>
  <c r="J241" i="37"/>
  <c r="J240" i="37"/>
  <c r="J239" i="37"/>
  <c r="J254" i="37"/>
  <c r="K287" i="37"/>
  <c r="H269" i="37"/>
  <c r="I234" i="37"/>
  <c r="I244" i="37"/>
  <c r="I268" i="37"/>
  <c r="I236" i="37"/>
  <c r="I267" i="37"/>
  <c r="K255" i="59"/>
  <c r="K265" i="59"/>
  <c r="L121" i="48"/>
  <c r="L115" i="48"/>
  <c r="J123" i="48"/>
  <c r="J174" i="48"/>
  <c r="L117" i="48"/>
  <c r="L173" i="48"/>
  <c r="K132" i="48"/>
  <c r="K133" i="48"/>
  <c r="J142" i="48"/>
  <c r="L105" i="48"/>
  <c r="L150" i="48"/>
  <c r="L101" i="48"/>
  <c r="L137" i="48"/>
  <c r="L140" i="48"/>
  <c r="L100" i="48"/>
  <c r="J155" i="48"/>
  <c r="K109" i="48"/>
  <c r="K154" i="48"/>
  <c r="K108" i="48"/>
  <c r="K153" i="48"/>
  <c r="K107" i="48"/>
  <c r="K152" i="48"/>
  <c r="K135" i="48"/>
  <c r="M98" i="48"/>
  <c r="M228" i="37"/>
  <c r="M227" i="37"/>
  <c r="M223" i="37"/>
  <c r="M222" i="37"/>
  <c r="J235" i="37"/>
  <c r="J266" i="37"/>
  <c r="J234" i="37"/>
  <c r="M279" i="37"/>
  <c r="L290" i="37"/>
  <c r="L287" i="37"/>
  <c r="J267" i="37"/>
  <c r="L255" i="59"/>
  <c r="L265" i="59"/>
  <c r="L166" i="37"/>
  <c r="L169" i="37"/>
  <c r="N219" i="37"/>
  <c r="O140" i="37"/>
  <c r="N188" i="37"/>
  <c r="H288" i="37"/>
  <c r="H224" i="37"/>
  <c r="K181" i="37"/>
  <c r="K256" i="37"/>
  <c r="K184" i="37"/>
  <c r="K235" i="37"/>
  <c r="K241" i="37"/>
  <c r="K240" i="37"/>
  <c r="K239" i="37"/>
  <c r="K254" i="37"/>
  <c r="K236" i="37"/>
  <c r="M210" i="37"/>
  <c r="M175" i="37"/>
  <c r="M177" i="37"/>
  <c r="M179" i="37"/>
  <c r="I265" i="37"/>
  <c r="I269" i="37"/>
  <c r="J265" i="37"/>
  <c r="J244" i="37"/>
  <c r="J268" i="37"/>
  <c r="L195" i="37"/>
  <c r="L198" i="37"/>
  <c r="M200" i="37"/>
  <c r="M189" i="37"/>
  <c r="M191" i="37"/>
  <c r="M193" i="37"/>
  <c r="M196" i="37"/>
  <c r="M216" i="37"/>
  <c r="H291" i="37"/>
  <c r="H229" i="37"/>
  <c r="I257" i="37"/>
  <c r="L252" i="37"/>
  <c r="L182" i="37"/>
  <c r="J255" i="37"/>
  <c r="J253" i="37"/>
  <c r="N207" i="37"/>
  <c r="N141" i="37"/>
  <c r="N277" i="37"/>
  <c r="N159" i="37"/>
  <c r="O138" i="37"/>
  <c r="M160" i="37"/>
  <c r="M162" i="37"/>
  <c r="M164" i="37"/>
  <c r="M167" i="37"/>
  <c r="M204" i="37"/>
  <c r="O139" i="37"/>
  <c r="N213" i="37"/>
  <c r="N174" i="37"/>
  <c r="M121" i="48"/>
  <c r="M123" i="48"/>
  <c r="M174" i="48"/>
  <c r="M115" i="48"/>
  <c r="M117" i="48"/>
  <c r="M173" i="48"/>
  <c r="I123" i="48"/>
  <c r="I174" i="48"/>
  <c r="F123" i="48"/>
  <c r="F174" i="48"/>
  <c r="L123" i="48"/>
  <c r="L174" i="48"/>
  <c r="H123" i="48"/>
  <c r="H174" i="48"/>
  <c r="K123" i="48"/>
  <c r="K174" i="48"/>
  <c r="G123" i="48"/>
  <c r="G174" i="48"/>
  <c r="M137" i="48"/>
  <c r="M105" i="48"/>
  <c r="M150" i="48"/>
  <c r="M101" i="48"/>
  <c r="M140" i="48"/>
  <c r="M100" i="48"/>
  <c r="N98" i="48"/>
  <c r="O98" i="48"/>
  <c r="L109" i="48"/>
  <c r="L154" i="48"/>
  <c r="L108" i="48"/>
  <c r="L153" i="48"/>
  <c r="L107" i="48"/>
  <c r="L152" i="48"/>
  <c r="L135" i="48"/>
  <c r="K142" i="48"/>
  <c r="L133" i="48"/>
  <c r="L132" i="48"/>
  <c r="K155" i="48"/>
  <c r="N228" i="37"/>
  <c r="N227" i="37"/>
  <c r="N223" i="37"/>
  <c r="N222" i="37"/>
  <c r="N279" i="37"/>
  <c r="M287" i="37"/>
  <c r="L155" i="48"/>
  <c r="K234" i="37"/>
  <c r="K265" i="37"/>
  <c r="M195" i="37"/>
  <c r="M198" i="37"/>
  <c r="N175" i="37"/>
  <c r="N177" i="37"/>
  <c r="N179" i="37"/>
  <c r="N210" i="37"/>
  <c r="O174" i="37"/>
  <c r="O213" i="37"/>
  <c r="M166" i="37"/>
  <c r="M169" i="37"/>
  <c r="N204" i="37"/>
  <c r="N160" i="37"/>
  <c r="N162" i="37"/>
  <c r="N164" i="37"/>
  <c r="N167" i="37"/>
  <c r="I291" i="37"/>
  <c r="I229" i="37"/>
  <c r="L241" i="37"/>
  <c r="L240" i="37"/>
  <c r="L239" i="37"/>
  <c r="L254" i="37"/>
  <c r="M252" i="37"/>
  <c r="M182" i="37"/>
  <c r="M290" i="37"/>
  <c r="K244" i="37"/>
  <c r="K268" i="37"/>
  <c r="K253" i="37"/>
  <c r="K255" i="37"/>
  <c r="N200" i="37"/>
  <c r="N189" i="37"/>
  <c r="N191" i="37"/>
  <c r="N193" i="37"/>
  <c r="N196" i="37"/>
  <c r="N216" i="37"/>
  <c r="K267" i="37"/>
  <c r="M255" i="59"/>
  <c r="M265" i="59"/>
  <c r="O141" i="37"/>
  <c r="O277" i="37"/>
  <c r="O207" i="37"/>
  <c r="O159" i="37"/>
  <c r="J257" i="37"/>
  <c r="L184" i="37"/>
  <c r="L235" i="37"/>
  <c r="L181" i="37"/>
  <c r="L256" i="37"/>
  <c r="I288" i="37"/>
  <c r="I224" i="37"/>
  <c r="O188" i="37"/>
  <c r="O219" i="37"/>
  <c r="J269" i="37"/>
  <c r="K266" i="37"/>
  <c r="N121" i="48"/>
  <c r="N123" i="48"/>
  <c r="N174" i="48"/>
  <c r="N115" i="48"/>
  <c r="N117" i="48"/>
  <c r="N173" i="48"/>
  <c r="O121" i="48"/>
  <c r="O123" i="48"/>
  <c r="O174" i="48"/>
  <c r="O115" i="48"/>
  <c r="O117" i="48"/>
  <c r="O173" i="48"/>
  <c r="L142" i="48"/>
  <c r="N140" i="48"/>
  <c r="N100" i="48"/>
  <c r="N105" i="48"/>
  <c r="N150" i="48"/>
  <c r="N101" i="48"/>
  <c r="N137" i="48"/>
  <c r="M133" i="48"/>
  <c r="M132" i="48"/>
  <c r="M109" i="48"/>
  <c r="M154" i="48"/>
  <c r="M108" i="48"/>
  <c r="M153" i="48"/>
  <c r="M107" i="48"/>
  <c r="M152" i="48"/>
  <c r="M135" i="48"/>
  <c r="O140" i="48"/>
  <c r="O100" i="48"/>
  <c r="O137" i="48"/>
  <c r="O105" i="48"/>
  <c r="O150" i="48"/>
  <c r="O101" i="48"/>
  <c r="O228" i="37"/>
  <c r="O227" i="37"/>
  <c r="O223" i="37"/>
  <c r="O222" i="37"/>
  <c r="L236" i="37"/>
  <c r="O279" i="37"/>
  <c r="N287" i="37"/>
  <c r="N290" i="37"/>
  <c r="M155" i="48"/>
  <c r="L234" i="37"/>
  <c r="L244" i="37"/>
  <c r="L268" i="37"/>
  <c r="N166" i="37"/>
  <c r="N169" i="37"/>
  <c r="O189" i="37"/>
  <c r="O191" i="37"/>
  <c r="O193" i="37"/>
  <c r="O196" i="37"/>
  <c r="O216" i="37"/>
  <c r="O200" i="37"/>
  <c r="J291" i="37"/>
  <c r="J229" i="37"/>
  <c r="N198" i="37"/>
  <c r="N195" i="37"/>
  <c r="L265" i="37"/>
  <c r="O175" i="37"/>
  <c r="O177" i="37"/>
  <c r="O179" i="37"/>
  <c r="O210" i="37"/>
  <c r="N252" i="37"/>
  <c r="N182" i="37"/>
  <c r="L267" i="37"/>
  <c r="N255" i="59"/>
  <c r="N265" i="59"/>
  <c r="L253" i="37"/>
  <c r="L255" i="37"/>
  <c r="J288" i="37"/>
  <c r="J224" i="37"/>
  <c r="O160" i="37"/>
  <c r="O162" i="37"/>
  <c r="O164" i="37"/>
  <c r="O167" i="37"/>
  <c r="O204" i="37"/>
  <c r="K257" i="37"/>
  <c r="M184" i="37"/>
  <c r="M235" i="37"/>
  <c r="M181" i="37"/>
  <c r="M256" i="37"/>
  <c r="M241" i="37"/>
  <c r="M240" i="37"/>
  <c r="M239" i="37"/>
  <c r="M254" i="37"/>
  <c r="K269" i="37"/>
  <c r="L266" i="37"/>
  <c r="O132" i="48"/>
  <c r="O133" i="48"/>
  <c r="M142" i="48"/>
  <c r="N109" i="48"/>
  <c r="N154" i="48"/>
  <c r="N108" i="48"/>
  <c r="N153" i="48"/>
  <c r="N107" i="48"/>
  <c r="N152" i="48"/>
  <c r="N135" i="48"/>
  <c r="N132" i="48"/>
  <c r="N133" i="48"/>
  <c r="O109" i="48"/>
  <c r="O154" i="48"/>
  <c r="O108" i="48"/>
  <c r="O153" i="48"/>
  <c r="O107" i="48"/>
  <c r="O152" i="48"/>
  <c r="O135" i="48"/>
  <c r="O287" i="37"/>
  <c r="I371" i="59"/>
  <c r="I419" i="59"/>
  <c r="I431" i="59"/>
  <c r="I429" i="59"/>
  <c r="K291" i="37"/>
  <c r="K229" i="37"/>
  <c r="L257" i="37"/>
  <c r="O182" i="37"/>
  <c r="O252" i="37"/>
  <c r="O290" i="37"/>
  <c r="O195" i="37"/>
  <c r="O198" i="37"/>
  <c r="M266" i="37"/>
  <c r="L269" i="37"/>
  <c r="M253" i="37"/>
  <c r="M255" i="37"/>
  <c r="K288" i="37"/>
  <c r="K224" i="37"/>
  <c r="O166" i="37"/>
  <c r="O169" i="37"/>
  <c r="N184" i="37"/>
  <c r="N236" i="37"/>
  <c r="N181" i="37"/>
  <c r="N256" i="37"/>
  <c r="N241" i="37"/>
  <c r="N240" i="37"/>
  <c r="N239" i="37"/>
  <c r="N254" i="37"/>
  <c r="M234" i="37"/>
  <c r="M244" i="37"/>
  <c r="M268" i="37"/>
  <c r="M236" i="37"/>
  <c r="M267" i="37"/>
  <c r="O255" i="59"/>
  <c r="O265" i="59"/>
  <c r="N155" i="48"/>
  <c r="P365" i="59"/>
  <c r="O363" i="59"/>
  <c r="Q363" i="59"/>
  <c r="R363" i="59"/>
  <c r="O155" i="48"/>
  <c r="N142" i="48"/>
  <c r="O142" i="48"/>
  <c r="O14" i="105"/>
  <c r="O55" i="105"/>
  <c r="BS14" i="105"/>
  <c r="I403" i="59"/>
  <c r="I430" i="59"/>
  <c r="O413" i="59"/>
  <c r="Q413" i="59"/>
  <c r="R413" i="59"/>
  <c r="N235" i="37"/>
  <c r="N266" i="37"/>
  <c r="N234" i="37"/>
  <c r="N244" i="37"/>
  <c r="N268" i="37"/>
  <c r="I417" i="59"/>
  <c r="I421" i="59"/>
  <c r="O241" i="37"/>
  <c r="O240" i="37"/>
  <c r="O239" i="37"/>
  <c r="O254" i="37"/>
  <c r="I392" i="59"/>
  <c r="L288" i="37"/>
  <c r="L224" i="37"/>
  <c r="M265" i="37"/>
  <c r="M269" i="37"/>
  <c r="N265" i="37"/>
  <c r="N253" i="37"/>
  <c r="N255" i="37"/>
  <c r="M257" i="37"/>
  <c r="O181" i="37"/>
  <c r="O256" i="37"/>
  <c r="O184" i="37"/>
  <c r="O236" i="37"/>
  <c r="L291" i="37"/>
  <c r="L229" i="37"/>
  <c r="N267" i="37"/>
  <c r="P255" i="59"/>
  <c r="P265" i="59"/>
  <c r="O61" i="105"/>
  <c r="O102" i="105"/>
  <c r="CE14" i="105"/>
  <c r="BS55" i="105"/>
  <c r="O234" i="37"/>
  <c r="O244" i="37"/>
  <c r="O268" i="37"/>
  <c r="M291" i="37"/>
  <c r="M229" i="37"/>
  <c r="N257" i="37"/>
  <c r="O267" i="37"/>
  <c r="Q255" i="59"/>
  <c r="Q265" i="59"/>
  <c r="O253" i="37"/>
  <c r="O255" i="37"/>
  <c r="M288" i="37"/>
  <c r="M224" i="37"/>
  <c r="O235" i="37"/>
  <c r="O266" i="37"/>
  <c r="N269" i="37"/>
  <c r="I450" i="59"/>
  <c r="P387" i="59"/>
  <c r="Q387" i="59"/>
  <c r="R387" i="59"/>
  <c r="CE55" i="105"/>
  <c r="I393" i="59"/>
  <c r="O396" i="59"/>
  <c r="Q396" i="59"/>
  <c r="R396" i="59"/>
  <c r="O265" i="37"/>
  <c r="I428" i="59"/>
  <c r="P383" i="59"/>
  <c r="Q383" i="59"/>
  <c r="R383" i="59"/>
  <c r="O257" i="37"/>
  <c r="N291" i="37"/>
  <c r="N229" i="37"/>
  <c r="O269" i="37"/>
  <c r="N288" i="37"/>
  <c r="N224" i="37"/>
  <c r="AB14" i="105"/>
  <c r="AB55" i="105"/>
  <c r="BB14" i="105"/>
  <c r="BB55" i="105"/>
  <c r="CR14" i="105"/>
  <c r="CR55" i="105"/>
  <c r="O288" i="37"/>
  <c r="O224" i="37"/>
  <c r="O291" i="37"/>
  <c r="O229" i="37"/>
  <c r="AB61" i="105"/>
  <c r="AB102" i="105"/>
  <c r="CR61" i="105"/>
  <c r="CR102" i="105"/>
  <c r="BB61" i="105"/>
  <c r="BB102" i="105"/>
  <c r="CC8" i="60"/>
  <c r="CB8" i="60"/>
  <c r="CX79" i="78"/>
  <c r="AA92" i="105"/>
  <c r="AY21" i="78"/>
  <c r="CU65" i="78"/>
  <c r="AP89" i="78"/>
  <c r="F19" i="105"/>
  <c r="CK92" i="78"/>
  <c r="CV24" i="78"/>
  <c r="CQ34" i="78"/>
  <c r="CR27" i="78"/>
  <c r="AN42" i="105"/>
  <c r="AA37" i="105"/>
  <c r="AO27" i="78"/>
  <c r="AJ66" i="78"/>
  <c r="O61" i="78"/>
  <c r="BC92" i="78"/>
  <c r="N102" i="78"/>
  <c r="BT75" i="78"/>
  <c r="BS96" i="78"/>
  <c r="BA81" i="78"/>
  <c r="CK26" i="78"/>
  <c r="AM42" i="105"/>
  <c r="X24" i="78"/>
  <c r="BI67" i="78"/>
  <c r="S98" i="78"/>
  <c r="K62" i="105"/>
  <c r="AD65" i="78"/>
  <c r="Y12" i="78"/>
  <c r="AF57" i="78"/>
  <c r="AI60" i="105"/>
  <c r="J48" i="78"/>
  <c r="CJ30" i="78"/>
  <c r="AJ53" i="105"/>
  <c r="AF29" i="105"/>
  <c r="Z64" i="105"/>
  <c r="G67" i="78"/>
  <c r="AK90" i="105"/>
  <c r="BR53" i="78"/>
  <c r="D344" i="59"/>
  <c r="T34" i="105"/>
  <c r="AA30" i="78"/>
  <c r="V70" i="105"/>
  <c r="U87" i="105"/>
  <c r="J331" i="59"/>
  <c r="W67" i="105"/>
  <c r="AJ88" i="105"/>
  <c r="H91" i="105"/>
  <c r="Y27" i="105"/>
  <c r="BD34" i="78"/>
  <c r="AG34" i="105"/>
  <c r="DF21" i="78"/>
  <c r="Z22" i="105"/>
  <c r="T26" i="105"/>
  <c r="P357" i="59"/>
  <c r="Z73" i="105"/>
  <c r="AL100" i="105"/>
  <c r="T70" i="105"/>
  <c r="T85" i="105"/>
  <c r="M91" i="105"/>
  <c r="J327" i="59"/>
  <c r="T72" i="105"/>
  <c r="J357" i="59"/>
  <c r="I21" i="105"/>
  <c r="S95" i="105"/>
  <c r="AE79" i="78"/>
  <c r="CD13" i="78"/>
  <c r="I97" i="105"/>
  <c r="J90" i="105"/>
  <c r="AL78" i="105"/>
  <c r="CH71" i="78"/>
  <c r="J21" i="78"/>
  <c r="H99" i="105"/>
  <c r="AJ82" i="105"/>
  <c r="K91" i="78"/>
  <c r="AJ59" i="105"/>
  <c r="AM81" i="78"/>
  <c r="H86" i="105"/>
  <c r="AT81" i="78"/>
  <c r="Y21" i="105"/>
  <c r="BU66" i="78"/>
  <c r="O62" i="78"/>
  <c r="W38" i="105"/>
  <c r="W99" i="105"/>
  <c r="BH57" i="78"/>
  <c r="AM98" i="105"/>
  <c r="I20" i="105"/>
  <c r="J82" i="105"/>
  <c r="CG17" i="78"/>
  <c r="K87" i="105"/>
  <c r="L81" i="78"/>
  <c r="AP27" i="78"/>
  <c r="DD71" i="78"/>
  <c r="AA91" i="105"/>
  <c r="AJ90" i="105"/>
  <c r="CV102" i="78"/>
  <c r="BQ13" i="78"/>
  <c r="CA49" i="78"/>
  <c r="AU12" i="78"/>
  <c r="BT58" i="78"/>
  <c r="AC61" i="78"/>
  <c r="AR71" i="78"/>
  <c r="AF79" i="105"/>
  <c r="CN98" i="78"/>
  <c r="BE34" i="78"/>
  <c r="AD60" i="78"/>
  <c r="L38" i="105"/>
  <c r="AI95" i="105"/>
  <c r="AN30" i="78"/>
  <c r="AN27" i="105"/>
  <c r="CN48" i="78"/>
  <c r="V84" i="105"/>
  <c r="BU9" i="78"/>
  <c r="AI79" i="105"/>
  <c r="DB18" i="78"/>
  <c r="CP65" i="78"/>
  <c r="AP50" i="78"/>
  <c r="CK29" i="78"/>
  <c r="AJ20" i="105"/>
  <c r="I59" i="78"/>
  <c r="Y97" i="105"/>
  <c r="Y28" i="105"/>
  <c r="DF75" i="78"/>
  <c r="AL60" i="105"/>
  <c r="CJ50" i="78"/>
  <c r="AL28" i="105"/>
  <c r="BX59" i="78"/>
  <c r="AK92" i="105"/>
  <c r="L95" i="105"/>
  <c r="CP79" i="78"/>
  <c r="AJ49" i="78"/>
  <c r="V64" i="105"/>
  <c r="CW48" i="78"/>
  <c r="Z41" i="105"/>
  <c r="AN76" i="105"/>
  <c r="BZ89" i="78"/>
  <c r="L64" i="105"/>
  <c r="AA26" i="105"/>
  <c r="BY18" i="78"/>
  <c r="K95" i="105"/>
  <c r="G39" i="105"/>
  <c r="AA52" i="105"/>
  <c r="BQ102" i="78"/>
  <c r="AG63" i="105"/>
  <c r="F89" i="105"/>
  <c r="AY96" i="78"/>
  <c r="S76" i="105"/>
  <c r="CT59" i="78"/>
  <c r="DC89" i="78"/>
  <c r="AN26" i="105"/>
  <c r="AG32" i="105"/>
  <c r="AO9" i="78"/>
  <c r="AG16" i="105"/>
  <c r="BU67" i="78"/>
  <c r="T95" i="105"/>
  <c r="BW61" i="78"/>
  <c r="AL20" i="105"/>
  <c r="AI34" i="105"/>
  <c r="N35" i="105"/>
  <c r="CG102" i="78"/>
  <c r="AK32" i="105"/>
  <c r="CV79" i="78"/>
  <c r="AF22" i="105"/>
  <c r="Y44" i="105"/>
  <c r="AM33" i="105"/>
  <c r="U95" i="105"/>
  <c r="AN89" i="105"/>
  <c r="W64" i="105"/>
  <c r="K42" i="105"/>
  <c r="W76" i="105"/>
  <c r="L60" i="78"/>
  <c r="N61" i="78"/>
  <c r="AG19" i="105"/>
  <c r="CH45" i="78"/>
  <c r="BI58" i="78"/>
  <c r="CP89" i="78"/>
  <c r="BI24" i="78"/>
  <c r="DC66" i="78"/>
  <c r="K48" i="105"/>
  <c r="G22" i="105"/>
  <c r="AV37" i="78"/>
  <c r="BE21" i="78"/>
  <c r="AM95" i="105"/>
  <c r="M17" i="105"/>
  <c r="AI70" i="105"/>
  <c r="BV102" i="78"/>
  <c r="V26" i="105"/>
  <c r="AV71" i="78"/>
  <c r="V74" i="105"/>
  <c r="H344" i="59"/>
  <c r="H61" i="78"/>
  <c r="AF43" i="105"/>
  <c r="CQ12" i="78"/>
  <c r="AJ75" i="105"/>
  <c r="BS21" i="78"/>
  <c r="BP62" i="78"/>
  <c r="D355" i="59"/>
  <c r="CW66" i="78"/>
  <c r="CL49" i="78"/>
  <c r="Y94" i="105"/>
  <c r="AE21" i="78"/>
  <c r="J16" i="105"/>
  <c r="K49" i="78"/>
  <c r="L81" i="105"/>
  <c r="U86" i="105"/>
  <c r="AI86" i="105"/>
  <c r="CQ53" i="78"/>
  <c r="CY12" i="78"/>
  <c r="Z48" i="105"/>
  <c r="DA71" i="78"/>
  <c r="K29" i="105"/>
  <c r="BC59" i="78"/>
  <c r="CL102" i="78"/>
  <c r="BO91" i="78"/>
  <c r="CE96" i="78"/>
  <c r="CY48" i="78"/>
  <c r="F43" i="105"/>
  <c r="CI37" i="78"/>
  <c r="AI74" i="105"/>
  <c r="F17" i="59"/>
  <c r="AP25" i="78"/>
  <c r="AN47" i="105"/>
  <c r="CR21" i="78"/>
  <c r="M73" i="105"/>
  <c r="CE89" i="78"/>
  <c r="CJ103" i="78"/>
  <c r="AJ64" i="105"/>
  <c r="N301" i="59"/>
  <c r="AF24" i="105"/>
  <c r="CH50" i="78"/>
  <c r="I57" i="78"/>
  <c r="BR24" i="78"/>
  <c r="AK13" i="105"/>
  <c r="CU54" i="78"/>
  <c r="BX75" i="78"/>
  <c r="AN23" i="105"/>
  <c r="G58" i="78"/>
  <c r="AL80" i="105"/>
  <c r="AV17" i="78"/>
  <c r="V81" i="105"/>
  <c r="J25" i="105"/>
  <c r="U75" i="105"/>
  <c r="X30" i="78"/>
  <c r="BI30" i="78"/>
  <c r="N21" i="78"/>
  <c r="AN83" i="105"/>
  <c r="AG44" i="105"/>
  <c r="BZ66" i="78"/>
  <c r="AF98" i="105"/>
  <c r="AI88" i="105"/>
  <c r="H30" i="78"/>
  <c r="CM30" i="78"/>
  <c r="P329" i="59"/>
  <c r="DB98" i="78"/>
  <c r="J338" i="59"/>
  <c r="DE54" i="78"/>
  <c r="J81" i="78"/>
  <c r="AM82" i="105"/>
  <c r="CG37" i="78"/>
  <c r="AM28" i="105"/>
  <c r="AW45" i="78"/>
  <c r="K337" i="59"/>
  <c r="N81" i="78"/>
  <c r="CI79" i="78"/>
  <c r="CO59" i="78"/>
  <c r="X48" i="105"/>
  <c r="N15" i="105"/>
  <c r="BT49" i="78"/>
  <c r="CU58" i="78"/>
  <c r="AI76" i="105"/>
  <c r="Y57" i="78"/>
  <c r="K330" i="59"/>
  <c r="BZ18" i="78"/>
  <c r="H65" i="78"/>
  <c r="CV81" i="78"/>
  <c r="I17" i="78"/>
  <c r="AS98" i="78"/>
  <c r="CS62" i="78"/>
  <c r="AP67" i="78"/>
  <c r="AR24" i="78"/>
  <c r="AJ84" i="105"/>
  <c r="DB102" i="78"/>
  <c r="CT75" i="78"/>
  <c r="AK84" i="105"/>
  <c r="CY61" i="78"/>
  <c r="CM92" i="78"/>
  <c r="K58" i="78"/>
  <c r="I49" i="78"/>
  <c r="S26" i="78"/>
  <c r="CU53" i="78"/>
  <c r="H305" i="59"/>
  <c r="AQ81" i="78"/>
  <c r="W46" i="105"/>
  <c r="AJ83" i="105"/>
  <c r="F7" i="59"/>
  <c r="M97" i="105"/>
  <c r="S88" i="105"/>
  <c r="O96" i="78"/>
  <c r="AM50" i="78"/>
  <c r="Y25" i="105"/>
  <c r="AR13" i="78"/>
  <c r="CQ81" i="78"/>
  <c r="CB53" i="78"/>
  <c r="AV79" i="78"/>
  <c r="AH17" i="105"/>
  <c r="V41" i="105"/>
  <c r="L12" i="78"/>
  <c r="AF81" i="105"/>
  <c r="O53" i="78"/>
  <c r="AD30" i="78"/>
  <c r="AK94" i="105"/>
  <c r="CZ37" i="78"/>
  <c r="Z18" i="78"/>
  <c r="H53" i="78"/>
  <c r="AH85" i="105"/>
  <c r="L332" i="59"/>
  <c r="BZ91" i="78"/>
  <c r="AF12" i="78"/>
  <c r="H62" i="78"/>
  <c r="AH84" i="105"/>
  <c r="M40" i="105"/>
  <c r="AH58" i="78"/>
  <c r="P12" i="78"/>
  <c r="CS58" i="78"/>
  <c r="BA57" i="78"/>
  <c r="AV50" i="78"/>
  <c r="AJ96" i="78"/>
  <c r="N344" i="59"/>
  <c r="K336" i="59"/>
  <c r="M67" i="78"/>
  <c r="Z57" i="78"/>
  <c r="DF49" i="78"/>
  <c r="AY62" i="78"/>
  <c r="CG65" i="78"/>
  <c r="CN29" i="78"/>
  <c r="AG43" i="105"/>
  <c r="J309" i="59"/>
  <c r="BB79" i="78"/>
  <c r="BR37" i="78"/>
  <c r="CN89" i="78"/>
  <c r="AK27" i="105"/>
  <c r="N96" i="78"/>
  <c r="AZ54" i="78"/>
  <c r="BB96" i="78"/>
  <c r="BV92" i="78"/>
  <c r="DA57" i="78"/>
  <c r="CC75" i="78"/>
  <c r="J27" i="105"/>
  <c r="G74" i="105"/>
  <c r="CY10" i="78"/>
  <c r="BP37" i="78"/>
  <c r="BS9" i="78"/>
  <c r="Y65" i="105"/>
  <c r="BW71" i="78"/>
  <c r="CH13" i="78"/>
  <c r="U25" i="105"/>
  <c r="V90" i="105"/>
  <c r="CG81" i="78"/>
  <c r="AY66" i="78"/>
  <c r="BX53" i="78"/>
  <c r="CC62" i="78"/>
  <c r="I65" i="105"/>
  <c r="CG91" i="78"/>
  <c r="BE49" i="78"/>
  <c r="H23" i="105"/>
  <c r="V88" i="105"/>
  <c r="Z34" i="105"/>
  <c r="U61" i="105"/>
  <c r="AN45" i="105"/>
  <c r="K16" i="105"/>
  <c r="AP62" i="78"/>
  <c r="BH30" i="78"/>
  <c r="AL86" i="105"/>
  <c r="M82" i="105"/>
  <c r="AZ75" i="78"/>
  <c r="V22" i="105"/>
  <c r="AB79" i="78"/>
  <c r="H9" i="78"/>
  <c r="AG93" i="105"/>
  <c r="O301" i="59"/>
  <c r="AA54" i="78"/>
  <c r="BY102" i="78"/>
  <c r="AD61" i="78"/>
  <c r="Y34" i="105"/>
  <c r="Q121" i="59"/>
  <c r="AS57" i="78"/>
  <c r="AG98" i="78"/>
  <c r="DD91" i="78"/>
  <c r="H27" i="105"/>
  <c r="BT24" i="78"/>
  <c r="CO98" i="78"/>
  <c r="O124" i="59"/>
  <c r="CJ27" i="78"/>
  <c r="N61" i="105"/>
  <c r="AK85" i="105"/>
  <c r="P75" i="78"/>
  <c r="F16" i="59"/>
  <c r="DA34" i="78"/>
  <c r="BS34" i="78"/>
  <c r="DF30" i="78"/>
  <c r="T99" i="105"/>
  <c r="X66" i="78"/>
  <c r="K23" i="105"/>
  <c r="X62" i="105"/>
  <c r="T35" i="105"/>
  <c r="AY57" i="78"/>
  <c r="L87" i="105"/>
  <c r="D332" i="59"/>
  <c r="Y61" i="105"/>
  <c r="Q336" i="59"/>
  <c r="M22" i="105"/>
  <c r="BY65" i="78"/>
  <c r="J120" i="59"/>
  <c r="CI58" i="78"/>
  <c r="AM79" i="78"/>
  <c r="X39" i="105"/>
  <c r="AM70" i="105"/>
  <c r="AQ34" i="78"/>
  <c r="DB57" i="78"/>
  <c r="U20" i="105"/>
  <c r="AK34" i="105"/>
  <c r="AM49" i="105"/>
  <c r="AN39" i="105"/>
  <c r="CR10" i="78"/>
  <c r="AI75" i="105"/>
  <c r="CJ9" i="78"/>
  <c r="CO60" i="78"/>
  <c r="Z39" i="105"/>
  <c r="BV45" i="78"/>
  <c r="CT26" i="78"/>
  <c r="AN26" i="78"/>
  <c r="H82" i="105"/>
  <c r="BI54" i="78"/>
  <c r="CV12" i="78"/>
  <c r="AC45" i="78"/>
  <c r="AP45" i="78"/>
  <c r="AZ9" i="78"/>
  <c r="DF102" i="78"/>
  <c r="DD65" i="78"/>
  <c r="H47" i="105"/>
  <c r="AR79" i="78"/>
  <c r="AX71" i="78"/>
  <c r="F16" i="105"/>
  <c r="J50" i="78"/>
  <c r="M88" i="105"/>
  <c r="AO57" i="78"/>
  <c r="T59" i="78"/>
  <c r="CR71" i="78"/>
  <c r="H307" i="59"/>
  <c r="BP60" i="78"/>
  <c r="CX12" i="78"/>
  <c r="CU48" i="78"/>
  <c r="AS10" i="78"/>
  <c r="AH48" i="105"/>
  <c r="AC60" i="78"/>
  <c r="AM29" i="78"/>
  <c r="N17" i="105"/>
  <c r="N339" i="59"/>
  <c r="H46" i="105"/>
  <c r="AU59" i="78"/>
  <c r="CT21" i="78"/>
  <c r="BC81" i="78"/>
  <c r="BY53" i="78"/>
  <c r="CE45" i="78"/>
  <c r="CI26" i="78"/>
  <c r="H127" i="59"/>
  <c r="DD96" i="78"/>
  <c r="V67" i="78"/>
  <c r="AG100" i="105"/>
  <c r="CP45" i="78"/>
  <c r="BC102" i="78"/>
  <c r="CE30" i="78"/>
  <c r="DD75" i="78"/>
  <c r="L74" i="105"/>
  <c r="N67" i="105"/>
  <c r="DB37" i="78"/>
  <c r="Q353" i="59"/>
  <c r="T89" i="105"/>
  <c r="BH10" i="78"/>
  <c r="F87" i="105"/>
  <c r="W94" i="105"/>
  <c r="N99" i="105"/>
  <c r="T93" i="105"/>
  <c r="CJ79" i="78"/>
  <c r="AH88" i="105"/>
  <c r="AQ91" i="78"/>
  <c r="AF36" i="105"/>
  <c r="CO91" i="78"/>
  <c r="CC45" i="78"/>
  <c r="BD53" i="78"/>
  <c r="AK68" i="105"/>
  <c r="AN10" i="78"/>
  <c r="G89" i="105"/>
  <c r="BZ37" i="78"/>
  <c r="CX48" i="78"/>
  <c r="AJ97" i="105"/>
  <c r="AH66" i="105"/>
  <c r="CF57" i="78"/>
  <c r="L46" i="105"/>
  <c r="P26" i="78"/>
  <c r="N123" i="59"/>
  <c r="AN80" i="105"/>
  <c r="X73" i="105"/>
  <c r="CI103" i="78"/>
  <c r="AY49" i="78"/>
  <c r="S29" i="105"/>
  <c r="N66" i="105"/>
  <c r="AE81" i="78"/>
  <c r="Z69" i="105"/>
  <c r="CV57" i="78"/>
  <c r="AA65" i="105"/>
  <c r="DA17" i="78"/>
  <c r="AG17" i="105"/>
  <c r="H123" i="59"/>
  <c r="N68" i="105"/>
  <c r="S60" i="105"/>
  <c r="AD45" i="78"/>
  <c r="J34" i="78"/>
  <c r="CX26" i="78"/>
  <c r="CI91" i="78"/>
  <c r="Y82" i="105"/>
  <c r="I91" i="105"/>
  <c r="AK47" i="105"/>
  <c r="K126" i="59"/>
  <c r="CX96" i="78"/>
  <c r="AC71" i="78"/>
  <c r="BQ96" i="78"/>
  <c r="T88" i="105"/>
  <c r="AK69" i="105"/>
  <c r="W23" i="105"/>
  <c r="DC27" i="78"/>
  <c r="AL53" i="105"/>
  <c r="AA71" i="78"/>
  <c r="W91" i="78"/>
  <c r="CM66" i="78"/>
  <c r="H21" i="78"/>
  <c r="BX98" i="78"/>
  <c r="S59" i="78"/>
  <c r="W34" i="105"/>
  <c r="I30" i="78"/>
  <c r="AN73" i="105"/>
  <c r="N120" i="59"/>
  <c r="I99" i="105"/>
  <c r="AH43" i="105"/>
  <c r="L13" i="78"/>
  <c r="CK79" i="78"/>
  <c r="CS103" i="78"/>
  <c r="J27" i="78"/>
  <c r="L39" i="105"/>
  <c r="CF25" i="78"/>
  <c r="N63" i="105"/>
  <c r="J72" i="105"/>
  <c r="AZ12" i="78"/>
  <c r="K327" i="59"/>
  <c r="CZ18" i="78"/>
  <c r="X94" i="105"/>
  <c r="K21" i="105"/>
  <c r="Z40" i="105"/>
  <c r="X98" i="78"/>
  <c r="CT17" i="78"/>
  <c r="CE26" i="78"/>
  <c r="AA45" i="78"/>
  <c r="Z26" i="105"/>
  <c r="CB102" i="78"/>
  <c r="F66" i="105"/>
  <c r="AF86" i="105"/>
  <c r="L123" i="59"/>
  <c r="AG30" i="78"/>
  <c r="H62" i="105"/>
  <c r="AR37" i="78"/>
  <c r="BZ30" i="78"/>
  <c r="CK34" i="78"/>
  <c r="AZ29" i="78"/>
  <c r="N62" i="105"/>
  <c r="CV48" i="78"/>
  <c r="Y62" i="105"/>
  <c r="CE9" i="78"/>
  <c r="CN71" i="78"/>
  <c r="G45" i="78"/>
  <c r="CT9" i="78"/>
  <c r="AU89" i="78"/>
  <c r="N65" i="105"/>
  <c r="AB34" i="78"/>
  <c r="G72" i="105"/>
  <c r="AN35" i="105"/>
  <c r="CA34" i="78"/>
  <c r="F97" i="59"/>
  <c r="AL17" i="105"/>
  <c r="G99" i="105"/>
  <c r="Y75" i="105"/>
  <c r="AI24" i="105"/>
  <c r="F52" i="59"/>
  <c r="BW59" i="78"/>
  <c r="BA50" i="78"/>
  <c r="Y17" i="105"/>
  <c r="AU91" i="78"/>
  <c r="Z75" i="105"/>
  <c r="AA59" i="78"/>
  <c r="Y17" i="78"/>
  <c r="AR48" i="78"/>
  <c r="AM31" i="105"/>
  <c r="AC65" i="78"/>
  <c r="AD24" i="78"/>
  <c r="CN34" i="78"/>
  <c r="H97" i="105"/>
  <c r="CD91" i="78"/>
  <c r="DC54" i="78"/>
  <c r="CT25" i="78"/>
  <c r="N25" i="105"/>
  <c r="Y66" i="78"/>
  <c r="CT57" i="78"/>
  <c r="L98" i="78"/>
  <c r="AI18" i="78"/>
  <c r="AA44" i="105"/>
  <c r="AB58" i="78"/>
  <c r="L94" i="105"/>
  <c r="AA83" i="105"/>
  <c r="P125" i="59"/>
  <c r="AY25" i="78"/>
  <c r="CK37" i="78"/>
  <c r="U21" i="105"/>
  <c r="BH60" i="78"/>
  <c r="F39" i="105"/>
  <c r="CW81" i="78"/>
  <c r="F68" i="59"/>
  <c r="CC12" i="78"/>
  <c r="BC21" i="78"/>
  <c r="CV49" i="78"/>
  <c r="BP34" i="78"/>
  <c r="AT91" i="78"/>
  <c r="AL18" i="105"/>
  <c r="F82" i="105"/>
  <c r="AG69" i="105"/>
  <c r="AF91" i="78"/>
  <c r="CE62" i="78"/>
  <c r="AM83" i="105"/>
  <c r="F91" i="105"/>
  <c r="CR34" i="78"/>
  <c r="CM59" i="78"/>
  <c r="G26" i="105"/>
  <c r="H65" i="105"/>
  <c r="M48" i="105"/>
  <c r="BE91" i="78"/>
  <c r="BR59" i="78"/>
  <c r="AI89" i="78"/>
  <c r="U89" i="78"/>
  <c r="H14" i="105"/>
  <c r="P306" i="59"/>
  <c r="T48" i="78"/>
  <c r="H16" i="105"/>
  <c r="W68" i="105"/>
  <c r="CH79" i="78"/>
  <c r="BC29" i="78"/>
  <c r="S23" i="105"/>
  <c r="AE30" i="78"/>
  <c r="N22" i="105"/>
  <c r="BS92" i="78"/>
  <c r="S67" i="78"/>
  <c r="BR18" i="78"/>
  <c r="J301" i="59"/>
  <c r="Y70" i="105"/>
  <c r="AX25" i="78"/>
  <c r="BT37" i="78"/>
  <c r="U93" i="105"/>
  <c r="K328" i="59"/>
  <c r="N12" i="78"/>
  <c r="DA37" i="78"/>
  <c r="AG80" i="105"/>
  <c r="AP60" i="78"/>
  <c r="CL21" i="78"/>
  <c r="AM45" i="105"/>
  <c r="CY37" i="78"/>
  <c r="J26" i="105"/>
  <c r="CE18" i="78"/>
  <c r="AA62" i="105"/>
  <c r="F95" i="105"/>
  <c r="DB79" i="78"/>
  <c r="AG22" i="105"/>
  <c r="BB89" i="78"/>
  <c r="W82" i="105"/>
  <c r="T39" i="105"/>
  <c r="M61" i="78"/>
  <c r="O92" i="78"/>
  <c r="T28" i="105"/>
  <c r="M81" i="78"/>
  <c r="J15" i="105"/>
  <c r="K355" i="59"/>
  <c r="V46" i="105"/>
  <c r="AR53" i="78"/>
  <c r="AM40" i="105"/>
  <c r="AI41" i="105"/>
  <c r="CX91" i="78"/>
  <c r="CA21" i="78"/>
  <c r="AG84" i="105"/>
  <c r="Z23" i="105"/>
  <c r="AM67" i="105"/>
  <c r="BH29" i="78"/>
  <c r="V35" i="105"/>
  <c r="CD12" i="78"/>
  <c r="CO48" i="78"/>
  <c r="AF83" i="105"/>
  <c r="W15" i="105"/>
  <c r="T17" i="78"/>
  <c r="Q307" i="59"/>
  <c r="BC60" i="78"/>
  <c r="X88" i="105"/>
  <c r="DA45" i="78"/>
  <c r="CO34" i="78"/>
  <c r="CL10" i="78"/>
  <c r="AJ67" i="105"/>
  <c r="AD57" i="78"/>
  <c r="G93" i="105"/>
  <c r="U90" i="105"/>
  <c r="AG85" i="105"/>
  <c r="BH92" i="78"/>
  <c r="AA68" i="105"/>
  <c r="AL49" i="105"/>
  <c r="CM37" i="78"/>
  <c r="M47" i="105"/>
  <c r="AJ34" i="78"/>
  <c r="P79" i="78"/>
  <c r="U62" i="105"/>
  <c r="CQ27" i="78"/>
  <c r="CZ102" i="78"/>
  <c r="AJ37" i="78"/>
  <c r="K65" i="78"/>
  <c r="K98" i="78"/>
  <c r="F40" i="105"/>
  <c r="I353" i="59"/>
  <c r="P13" i="78"/>
  <c r="AQ13" i="78"/>
  <c r="S34" i="78"/>
  <c r="M329" i="59"/>
  <c r="F15" i="105"/>
  <c r="BI21" i="78"/>
  <c r="L338" i="59"/>
  <c r="AO24" i="78"/>
  <c r="T75" i="78"/>
  <c r="AM69" i="105"/>
  <c r="J75" i="78"/>
  <c r="AN92" i="105"/>
  <c r="F93" i="105"/>
  <c r="DC75" i="78"/>
  <c r="AH75" i="105"/>
  <c r="AK82" i="105"/>
  <c r="AS92" i="78"/>
  <c r="S67" i="105"/>
  <c r="Y65" i="78"/>
  <c r="CN17" i="78"/>
  <c r="BW27" i="78"/>
  <c r="I307" i="59"/>
  <c r="AJ100" i="105"/>
  <c r="Y20" i="105"/>
  <c r="AN65" i="105"/>
  <c r="W42" i="105"/>
  <c r="P45" i="78"/>
  <c r="BI61" i="78"/>
  <c r="BO34" i="78"/>
  <c r="DE9" i="78"/>
  <c r="CK58" i="78"/>
  <c r="L326" i="59"/>
  <c r="AU27" i="78"/>
  <c r="X14" i="105"/>
  <c r="AX45" i="78"/>
  <c r="AK12" i="105"/>
  <c r="G29" i="105"/>
  <c r="X26" i="78"/>
  <c r="BT57" i="78"/>
  <c r="CA25" i="78"/>
  <c r="Z49" i="78"/>
  <c r="AM13" i="78"/>
  <c r="BR81" i="78"/>
  <c r="Z79" i="78"/>
  <c r="BW66" i="78"/>
  <c r="DD89" i="78"/>
  <c r="U30" i="78"/>
  <c r="AE91" i="78"/>
  <c r="N54" i="78"/>
  <c r="AT65" i="78"/>
  <c r="AF64" i="105"/>
  <c r="G25" i="105"/>
  <c r="M15" i="105"/>
  <c r="K68" i="105"/>
  <c r="Y50" i="78"/>
  <c r="CD57" i="78"/>
  <c r="N49" i="78"/>
  <c r="P307" i="59"/>
  <c r="AX75" i="78"/>
  <c r="BA37" i="78"/>
  <c r="S14" i="105"/>
  <c r="K38" i="105"/>
  <c r="DB49" i="78"/>
  <c r="BD75" i="78"/>
  <c r="CZ34" i="78"/>
  <c r="W20" i="105"/>
  <c r="X95" i="105"/>
  <c r="U17" i="105"/>
  <c r="CG60" i="78"/>
  <c r="AE25" i="78"/>
  <c r="CY62" i="78"/>
  <c r="W63" i="105"/>
  <c r="K69" i="105"/>
  <c r="AX17" i="78"/>
  <c r="G96" i="78"/>
  <c r="AH50" i="105"/>
  <c r="AA60" i="78"/>
  <c r="AM66" i="105"/>
  <c r="L68" i="105"/>
  <c r="H34" i="105"/>
  <c r="AB89" i="78"/>
  <c r="CU21" i="78"/>
  <c r="AE66" i="78"/>
  <c r="BV25" i="78"/>
  <c r="CA54" i="78"/>
  <c r="BO96" i="78"/>
  <c r="DD79" i="78"/>
  <c r="CP30" i="78"/>
  <c r="BU50" i="78"/>
  <c r="CH59" i="78"/>
  <c r="V15" i="105"/>
  <c r="Z81" i="78"/>
  <c r="V48" i="78"/>
  <c r="T21" i="105"/>
  <c r="BH27" i="78"/>
  <c r="CC89" i="78"/>
  <c r="AH98" i="78"/>
  <c r="F59" i="59"/>
  <c r="AP61" i="78"/>
  <c r="N45" i="105"/>
  <c r="G27" i="105"/>
  <c r="AP37" i="78"/>
  <c r="I337" i="59"/>
  <c r="J336" i="59"/>
  <c r="AI83" i="105"/>
  <c r="AL95" i="105"/>
  <c r="F23" i="105"/>
  <c r="L307" i="59"/>
  <c r="I94" i="105"/>
  <c r="F81" i="59"/>
  <c r="V43" i="105"/>
  <c r="AY81" i="78"/>
  <c r="AJ49" i="105"/>
  <c r="I26" i="105"/>
  <c r="CZ57" i="78"/>
  <c r="CY103" i="78"/>
  <c r="CC34" i="78"/>
  <c r="I79" i="78"/>
  <c r="BD12" i="78"/>
  <c r="Y13" i="78"/>
  <c r="CT91" i="78"/>
  <c r="U62" i="78"/>
  <c r="N329" i="59"/>
  <c r="AG27" i="105"/>
  <c r="AZ34" i="78"/>
  <c r="CD75" i="78"/>
  <c r="K28" i="105"/>
  <c r="AR62" i="78"/>
  <c r="CX57" i="78"/>
  <c r="CS29" i="78"/>
  <c r="AV92" i="78"/>
  <c r="BW102" i="78"/>
  <c r="CA45" i="78"/>
  <c r="AU9" i="78"/>
  <c r="K331" i="59"/>
  <c r="Z92" i="78"/>
  <c r="CI81" i="78"/>
  <c r="CS26" i="78"/>
  <c r="W29" i="105"/>
  <c r="K26" i="78"/>
  <c r="M121" i="59"/>
  <c r="F92" i="105"/>
  <c r="CC24" i="78"/>
  <c r="AF95" i="105"/>
  <c r="AZ10" i="78"/>
  <c r="BP30" i="78"/>
  <c r="S30" i="78"/>
  <c r="AF29" i="78"/>
  <c r="AY75" i="78"/>
  <c r="AI84" i="105"/>
  <c r="AN18" i="105"/>
  <c r="W75" i="105"/>
  <c r="AI48" i="105"/>
  <c r="S90" i="105"/>
  <c r="AO25" i="78"/>
  <c r="BY89" i="78"/>
  <c r="AG89" i="78"/>
  <c r="CD27" i="78"/>
  <c r="M44" i="105"/>
  <c r="CE102" i="78"/>
  <c r="BQ58" i="78"/>
  <c r="L53" i="78"/>
  <c r="F100" i="59"/>
  <c r="AG24" i="78"/>
  <c r="CP50" i="78"/>
  <c r="AK74" i="105"/>
  <c r="AX57" i="78"/>
  <c r="X63" i="105"/>
  <c r="BZ65" i="78"/>
  <c r="D348" i="59"/>
  <c r="BA12" i="78"/>
  <c r="BP71" i="78"/>
  <c r="BS13" i="78"/>
  <c r="AT57" i="78"/>
  <c r="V82" i="105"/>
  <c r="W81" i="105"/>
  <c r="CO75" i="78"/>
  <c r="AO89" i="78"/>
  <c r="L69" i="105"/>
  <c r="G34" i="78"/>
  <c r="X93" i="105"/>
  <c r="AU58" i="78"/>
  <c r="Q328" i="59"/>
  <c r="AZ17" i="78"/>
  <c r="S61" i="105"/>
  <c r="BI17" i="78"/>
  <c r="AH65" i="78"/>
  <c r="DE57" i="78"/>
  <c r="P62" i="78"/>
  <c r="DF45" i="78"/>
  <c r="BZ75" i="78"/>
  <c r="K21" i="78"/>
  <c r="O75" i="78"/>
  <c r="AN43" i="105"/>
  <c r="AM45" i="78"/>
  <c r="P96" i="78"/>
  <c r="M9" i="78"/>
  <c r="AR26" i="78"/>
  <c r="H38" i="105"/>
  <c r="S25" i="105"/>
  <c r="AT30" i="78"/>
  <c r="BR13" i="78"/>
  <c r="CH57" i="78"/>
  <c r="CG57" i="78"/>
  <c r="BA34" i="78"/>
  <c r="K311" i="59"/>
  <c r="AN98" i="105"/>
  <c r="CL58" i="78"/>
  <c r="AL82" i="105"/>
  <c r="DF103" i="78"/>
  <c r="BX49" i="78"/>
  <c r="O58" i="78"/>
  <c r="W92" i="105"/>
  <c r="K20" i="105"/>
  <c r="CZ58" i="78"/>
  <c r="BR71" i="78"/>
  <c r="W37" i="105"/>
  <c r="AZ58" i="78"/>
  <c r="AJ79" i="105"/>
  <c r="AV66" i="78"/>
  <c r="DC57" i="78"/>
  <c r="M95" i="105"/>
  <c r="AF65" i="105"/>
  <c r="BV79" i="78"/>
  <c r="G34" i="105"/>
  <c r="BT13" i="78"/>
  <c r="AC30" i="78"/>
  <c r="P120" i="59"/>
  <c r="BZ34" i="78"/>
  <c r="U84" i="105"/>
  <c r="T42" i="105"/>
  <c r="S21" i="105"/>
  <c r="I46" i="105"/>
  <c r="CS9" i="78"/>
  <c r="W17" i="78"/>
  <c r="DD10" i="78"/>
  <c r="I84" i="105"/>
  <c r="N48" i="105"/>
  <c r="CE65" i="78"/>
  <c r="T62" i="78"/>
  <c r="CM10" i="78"/>
  <c r="CI13" i="78"/>
  <c r="CK49" i="78"/>
  <c r="BT67" i="78"/>
  <c r="M28" i="105"/>
  <c r="AC29" i="78"/>
  <c r="H357" i="59"/>
  <c r="AA43" i="105"/>
  <c r="BR89" i="78"/>
  <c r="AM27" i="105"/>
  <c r="N20" i="105"/>
  <c r="CX59" i="78"/>
  <c r="AH44" i="105"/>
  <c r="CK10" i="78"/>
  <c r="P27" i="78"/>
  <c r="AT49" i="78"/>
  <c r="N50" i="78"/>
  <c r="I75" i="105"/>
  <c r="AD79" i="78"/>
  <c r="DB30" i="78"/>
  <c r="AN91" i="105"/>
  <c r="CV62" i="78"/>
  <c r="BU54" i="78"/>
  <c r="AC37" i="78"/>
  <c r="N52" i="105"/>
  <c r="BT18" i="78"/>
  <c r="P89" i="78"/>
  <c r="CO17" i="78"/>
  <c r="DD17" i="78"/>
  <c r="AR54" i="78"/>
  <c r="CF21" i="78"/>
  <c r="CR50" i="78"/>
  <c r="AA29" i="105"/>
  <c r="U97" i="105"/>
  <c r="BY81" i="78"/>
  <c r="CE58" i="78"/>
  <c r="AN59" i="105"/>
  <c r="BC54" i="78"/>
  <c r="L89" i="78"/>
  <c r="D328" i="59"/>
  <c r="BE62" i="78"/>
  <c r="H67" i="78"/>
  <c r="W47" i="105"/>
  <c r="AK98" i="105"/>
  <c r="S91" i="105"/>
  <c r="DF27" i="78"/>
  <c r="AE24" i="78"/>
  <c r="AM12" i="78"/>
  <c r="J99" i="105"/>
  <c r="BI26" i="78"/>
  <c r="AK46" i="105"/>
  <c r="CK53" i="78"/>
  <c r="AA82" i="105"/>
  <c r="AA96" i="78"/>
  <c r="BC25" i="78"/>
  <c r="P71" i="78"/>
  <c r="AH80" i="105"/>
  <c r="X13" i="78"/>
  <c r="BB66" i="78"/>
  <c r="H45" i="78"/>
  <c r="J24" i="78"/>
  <c r="N72" i="105"/>
  <c r="H330" i="59"/>
  <c r="CG25" i="78"/>
  <c r="AN12" i="78"/>
  <c r="AU30" i="78"/>
  <c r="CV45" i="78"/>
  <c r="G44" i="105"/>
  <c r="M85" i="105"/>
  <c r="L92" i="105"/>
  <c r="AP10" i="78"/>
  <c r="T38" i="105"/>
  <c r="BU58" i="78"/>
  <c r="F99" i="105"/>
  <c r="L26" i="105"/>
  <c r="I61" i="105"/>
  <c r="N90" i="105"/>
  <c r="W65" i="105"/>
  <c r="AQ49" i="78"/>
  <c r="AF92" i="78"/>
  <c r="AV65" i="78"/>
  <c r="AM91" i="78"/>
  <c r="CV50" i="78"/>
  <c r="BD58" i="78"/>
  <c r="M50" i="78"/>
  <c r="CK103" i="78"/>
  <c r="AA41" i="105"/>
  <c r="BB62" i="78"/>
  <c r="AI34" i="78"/>
  <c r="O125" i="59"/>
  <c r="AP54" i="78"/>
  <c r="J92" i="78"/>
  <c r="DA12" i="78"/>
  <c r="AQ12" i="78"/>
  <c r="AU17" i="78"/>
  <c r="S13" i="78"/>
  <c r="H19" i="105"/>
  <c r="CI27" i="78"/>
  <c r="G50" i="105"/>
  <c r="BR57" i="78"/>
  <c r="T75" i="105"/>
  <c r="BS18" i="78"/>
  <c r="AT79" i="78"/>
  <c r="BY24" i="78"/>
  <c r="Q126" i="59"/>
  <c r="U66" i="105"/>
  <c r="BP103" i="78"/>
  <c r="J37" i="105"/>
  <c r="P309" i="59"/>
  <c r="AB96" i="78"/>
  <c r="X90" i="105"/>
  <c r="I92" i="105"/>
  <c r="M68" i="105"/>
  <c r="AN21" i="105"/>
  <c r="CD53" i="78"/>
  <c r="AG73" i="105"/>
  <c r="CB21" i="78"/>
  <c r="AN62" i="105"/>
  <c r="M37" i="105"/>
  <c r="U76" i="105"/>
  <c r="CI75" i="78"/>
  <c r="K75" i="78"/>
  <c r="L309" i="59"/>
  <c r="AA35" i="105"/>
  <c r="AA53" i="78"/>
  <c r="AQ92" i="78"/>
  <c r="AT67" i="78"/>
  <c r="BC10" i="78"/>
  <c r="BQ57" i="78"/>
  <c r="AI66" i="105"/>
  <c r="AN36" i="105"/>
  <c r="AW29" i="78"/>
  <c r="CW53" i="78"/>
  <c r="AK43" i="105"/>
  <c r="AG83" i="105"/>
  <c r="Y96" i="78"/>
  <c r="CX103" i="78"/>
  <c r="U73" i="105"/>
  <c r="AM41" i="105"/>
  <c r="L27" i="78"/>
  <c r="AA95" i="105"/>
  <c r="CF98" i="78"/>
  <c r="CW71" i="78"/>
  <c r="Z16" i="105"/>
  <c r="F28" i="105"/>
  <c r="BR29" i="78"/>
  <c r="AM34" i="105"/>
  <c r="L71" i="78"/>
  <c r="AH47" i="105"/>
  <c r="S96" i="78"/>
  <c r="AZ18" i="78"/>
  <c r="CV66" i="78"/>
  <c r="CP10" i="78"/>
  <c r="AH29" i="78"/>
  <c r="AG65" i="105"/>
  <c r="K64" i="105"/>
  <c r="G73" i="105"/>
  <c r="BU98" i="78"/>
  <c r="AA10" i="78"/>
  <c r="BE18" i="78"/>
  <c r="S17" i="105"/>
  <c r="BX18" i="78"/>
  <c r="P24" i="78"/>
  <c r="DA48" i="78"/>
  <c r="P92" i="78"/>
  <c r="DF53" i="78"/>
  <c r="AP21" i="78"/>
  <c r="U65" i="105"/>
  <c r="CN60" i="78"/>
  <c r="CS57" i="78"/>
  <c r="CT53" i="78"/>
  <c r="DA65" i="78"/>
  <c r="CH62" i="78"/>
  <c r="BU37" i="78"/>
  <c r="BC57" i="78"/>
  <c r="G19" i="105"/>
  <c r="AV24" i="78"/>
  <c r="CR48" i="78"/>
  <c r="AJ33" i="105"/>
  <c r="AJ16" i="105"/>
  <c r="AM73" i="105"/>
  <c r="J93" i="105"/>
  <c r="L25" i="105"/>
  <c r="F27" i="105"/>
  <c r="X69" i="105"/>
  <c r="BY27" i="78"/>
  <c r="BW37" i="78"/>
  <c r="X46" i="105"/>
  <c r="BX21" i="78"/>
  <c r="BU53" i="78"/>
  <c r="Q338" i="59"/>
  <c r="V76" i="105"/>
  <c r="AQ25" i="78"/>
  <c r="S71" i="78"/>
  <c r="N23" i="105"/>
  <c r="N37" i="105"/>
  <c r="AH42" i="105"/>
  <c r="BS54" i="78"/>
  <c r="AI50" i="105"/>
  <c r="CM75" i="78"/>
  <c r="K61" i="105"/>
  <c r="CX71" i="78"/>
  <c r="I50" i="105"/>
  <c r="AA81" i="78"/>
  <c r="AL70" i="105"/>
  <c r="BQ60" i="78"/>
  <c r="AE49" i="78"/>
  <c r="W74" i="105"/>
  <c r="X53" i="78"/>
  <c r="AH10" i="78"/>
  <c r="CM53" i="78"/>
  <c r="AL74" i="105"/>
  <c r="CA92" i="78"/>
  <c r="CK61" i="78"/>
  <c r="Q354" i="59"/>
  <c r="S50" i="105"/>
  <c r="AK24" i="105"/>
  <c r="AQ98" i="78"/>
  <c r="CF79" i="78"/>
  <c r="AH98" i="105"/>
  <c r="AK81" i="105"/>
  <c r="DA81" i="78"/>
  <c r="BB60" i="78"/>
  <c r="AR59" i="78"/>
  <c r="BR49" i="78"/>
  <c r="CT65" i="78"/>
  <c r="AZ13" i="78"/>
  <c r="X70" i="105"/>
  <c r="CM48" i="78"/>
  <c r="AK37" i="105"/>
  <c r="T27" i="78"/>
  <c r="P66" i="78"/>
  <c r="DC10" i="78"/>
  <c r="AK51" i="105"/>
  <c r="AL42" i="105"/>
  <c r="BX34" i="78"/>
  <c r="AM9" i="78"/>
  <c r="S81" i="78"/>
  <c r="W86" i="105"/>
  <c r="F81" i="105"/>
  <c r="V50" i="105"/>
  <c r="CB18" i="78"/>
  <c r="M26" i="105"/>
  <c r="BY9" i="78"/>
  <c r="DC91" i="78"/>
  <c r="AF46" i="105"/>
  <c r="AO91" i="78"/>
  <c r="BB17" i="78"/>
  <c r="BT103" i="78"/>
  <c r="CK96" i="78"/>
  <c r="Q127" i="59"/>
  <c r="BW12" i="78"/>
  <c r="CS54" i="78"/>
  <c r="AH18" i="105"/>
  <c r="CF67" i="78"/>
  <c r="N38" i="105"/>
  <c r="CN13" i="78"/>
  <c r="BX81" i="78"/>
  <c r="AH49" i="105"/>
  <c r="AM44" i="105"/>
  <c r="DA102" i="78"/>
  <c r="AZ67" i="78"/>
  <c r="CK75" i="78"/>
  <c r="AS65" i="78"/>
  <c r="CL12" i="78"/>
  <c r="CT79" i="78"/>
  <c r="CH103" i="78"/>
  <c r="AQ75" i="78"/>
  <c r="AA75" i="105"/>
  <c r="CN66" i="78"/>
  <c r="CC9" i="78"/>
  <c r="AI73" i="105"/>
  <c r="AA89" i="78"/>
  <c r="H85" i="105"/>
  <c r="CE49" i="78"/>
  <c r="Y48" i="78"/>
  <c r="N330" i="59"/>
  <c r="O305" i="59"/>
  <c r="AM48" i="78"/>
  <c r="O91" i="78"/>
  <c r="DE96" i="78"/>
  <c r="BS60" i="78"/>
  <c r="CK24" i="78"/>
  <c r="H328" i="59"/>
  <c r="AK29" i="105"/>
  <c r="AJ17" i="105"/>
  <c r="S37" i="105"/>
  <c r="BE67" i="78"/>
  <c r="L82" i="105"/>
  <c r="BD96" i="78"/>
  <c r="AG39" i="105"/>
  <c r="H12" i="78"/>
  <c r="AX54" i="78"/>
  <c r="L330" i="59"/>
  <c r="AZ60" i="78"/>
  <c r="CX45" i="78"/>
  <c r="AE67" i="78"/>
  <c r="H48" i="105"/>
  <c r="AW102" i="78"/>
  <c r="CL53" i="78"/>
  <c r="BZ27" i="78"/>
  <c r="L99" i="105"/>
  <c r="BW89" i="78"/>
  <c r="CH91" i="78"/>
  <c r="AQ61" i="78"/>
  <c r="N64" i="105"/>
  <c r="I72" i="105"/>
  <c r="CB62" i="78"/>
  <c r="L308" i="59"/>
  <c r="V65" i="105"/>
  <c r="AA34" i="105"/>
  <c r="AR58" i="78"/>
  <c r="DE61" i="78"/>
  <c r="AA70" i="105"/>
  <c r="L50" i="105"/>
  <c r="G81" i="105"/>
  <c r="BS59" i="78"/>
  <c r="AT58" i="78"/>
  <c r="CQ102" i="78"/>
  <c r="I330" i="59"/>
  <c r="BI66" i="78"/>
  <c r="M21" i="78"/>
  <c r="AU26" i="78"/>
  <c r="L48" i="105"/>
  <c r="DC18" i="78"/>
  <c r="U37" i="105"/>
  <c r="CU50" i="78"/>
  <c r="G85" i="105"/>
  <c r="CI66" i="78"/>
  <c r="AA21" i="105"/>
  <c r="Y84" i="105"/>
  <c r="AO18" i="78"/>
  <c r="DB12" i="78"/>
  <c r="X40" i="105"/>
  <c r="Z85" i="105"/>
  <c r="Y43" i="105"/>
  <c r="AF66" i="78"/>
  <c r="CU96" i="78"/>
  <c r="N17" i="78"/>
  <c r="BZ57" i="78"/>
  <c r="AN64" i="105"/>
  <c r="CR37" i="78"/>
  <c r="DA61" i="78"/>
  <c r="AH67" i="105"/>
  <c r="CQ57" i="78"/>
  <c r="DE37" i="78"/>
  <c r="L75" i="105"/>
  <c r="DB13" i="78"/>
  <c r="BC66" i="78"/>
  <c r="AH59" i="105"/>
  <c r="BS17" i="78"/>
  <c r="CE66" i="78"/>
  <c r="CH98" i="78"/>
  <c r="AM62" i="78"/>
  <c r="CJ26" i="78"/>
  <c r="AL73" i="105"/>
  <c r="P30" i="78"/>
  <c r="DC61" i="78"/>
  <c r="BC30" i="78"/>
  <c r="L23" i="105"/>
  <c r="L357" i="59"/>
  <c r="G66" i="105"/>
  <c r="AJ98" i="78"/>
  <c r="F84" i="105"/>
  <c r="U25" i="78"/>
  <c r="V71" i="78"/>
  <c r="BO25" i="78"/>
  <c r="AH69" i="105"/>
  <c r="CR9" i="78"/>
  <c r="J73" i="105"/>
  <c r="CP21" i="78"/>
  <c r="X17" i="78"/>
  <c r="CC18" i="78"/>
  <c r="J91" i="105"/>
  <c r="U50" i="105"/>
  <c r="W27" i="78"/>
  <c r="H26" i="105"/>
  <c r="AM60" i="105"/>
  <c r="L102" i="78"/>
  <c r="CU75" i="78"/>
  <c r="AH26" i="105"/>
  <c r="BU13" i="78"/>
  <c r="CD30" i="78"/>
  <c r="J69" i="105"/>
  <c r="Y46" i="105"/>
  <c r="H90" i="105"/>
  <c r="CH26" i="78"/>
  <c r="I69" i="105"/>
  <c r="CS61" i="78"/>
  <c r="DD61" i="78"/>
  <c r="AO66" i="78"/>
  <c r="BW91" i="78"/>
  <c r="AQ58" i="78"/>
  <c r="L37" i="105"/>
  <c r="DF13" i="78"/>
  <c r="F35" i="105"/>
  <c r="G16" i="105"/>
  <c r="H75" i="78"/>
  <c r="S22" i="105"/>
  <c r="AT89" i="78"/>
  <c r="AD75" i="78"/>
  <c r="DF9" i="78"/>
  <c r="AV9" i="78"/>
  <c r="AF81" i="78"/>
  <c r="AK100" i="105"/>
  <c r="W66" i="78"/>
  <c r="L35" i="105"/>
  <c r="CG53" i="78"/>
  <c r="M25" i="105"/>
  <c r="X18" i="78"/>
  <c r="AG81" i="78"/>
  <c r="CR65" i="78"/>
  <c r="CN65" i="78"/>
  <c r="CZ13" i="78"/>
  <c r="BT12" i="78"/>
  <c r="AK28" i="105"/>
  <c r="K67" i="105"/>
  <c r="AC57" i="78"/>
  <c r="AJ80" i="105"/>
  <c r="CU13" i="78"/>
  <c r="CW91" i="78"/>
  <c r="O89" i="78"/>
  <c r="D336" i="59"/>
  <c r="P354" i="59"/>
  <c r="L47" i="105"/>
  <c r="BZ48" i="78"/>
  <c r="U88" i="105"/>
  <c r="AL71" i="105"/>
  <c r="I303" i="59"/>
  <c r="BO29" i="78"/>
  <c r="BY61" i="78"/>
  <c r="I14" i="105"/>
  <c r="AI19" i="105"/>
  <c r="CZ10" i="78"/>
  <c r="BU18" i="78"/>
  <c r="U18" i="78"/>
  <c r="AH83" i="105"/>
  <c r="AG29" i="78"/>
  <c r="CW27" i="78"/>
  <c r="DB96" i="78"/>
  <c r="H29" i="78"/>
  <c r="AG36" i="105"/>
  <c r="M92" i="105"/>
  <c r="DF59" i="78"/>
  <c r="AF53" i="105"/>
  <c r="DA10" i="78"/>
  <c r="CC37" i="78"/>
  <c r="AN41" i="105"/>
  <c r="AJ48" i="78"/>
  <c r="J305" i="59"/>
  <c r="AI79" i="78"/>
  <c r="CS21" i="78"/>
  <c r="M327" i="59"/>
  <c r="CU18" i="78"/>
  <c r="P328" i="59"/>
  <c r="N74" i="105"/>
  <c r="X10" i="78"/>
  <c r="S86" i="105"/>
  <c r="F83" i="105"/>
  <c r="K40" i="105"/>
  <c r="AG57" i="78"/>
  <c r="CJ75" i="78"/>
  <c r="AW24" i="78"/>
  <c r="CS49" i="78"/>
  <c r="AQ57" i="78"/>
  <c r="G43" i="105"/>
  <c r="AK79" i="105"/>
  <c r="CX66" i="78"/>
  <c r="CY92" i="78"/>
  <c r="CH81" i="78"/>
  <c r="CQ24" i="78"/>
  <c r="AG10" i="78"/>
  <c r="N67" i="78"/>
  <c r="CD9" i="78"/>
  <c r="BW26" i="78"/>
  <c r="AM39" i="105"/>
  <c r="AH27" i="105"/>
  <c r="AM48" i="105"/>
  <c r="CH37" i="78"/>
  <c r="AT62" i="78"/>
  <c r="CZ9" i="78"/>
  <c r="W87" i="105"/>
  <c r="AM78" i="105"/>
  <c r="CP13" i="78"/>
  <c r="AF9" i="78"/>
  <c r="X91" i="105"/>
  <c r="M304" i="59"/>
  <c r="Y69" i="105"/>
  <c r="V17" i="105"/>
  <c r="G83" i="105"/>
  <c r="T46" i="105"/>
  <c r="X96" i="78"/>
  <c r="AL90" i="105"/>
  <c r="Z93" i="105"/>
  <c r="DE67" i="78"/>
  <c r="AU53" i="78"/>
  <c r="AB50" i="78"/>
  <c r="M344" i="59"/>
  <c r="AV91" i="78"/>
  <c r="G25" i="78"/>
  <c r="AM20" i="105"/>
  <c r="CU81" i="78"/>
  <c r="BS91" i="78"/>
  <c r="J29" i="105"/>
  <c r="CA81" i="78"/>
  <c r="CD67" i="78"/>
  <c r="AI42" i="105"/>
  <c r="CT24" i="78"/>
  <c r="CT45" i="78"/>
  <c r="DA67" i="78"/>
  <c r="AH28" i="105"/>
  <c r="Y26" i="78"/>
  <c r="CM26" i="78"/>
  <c r="AQ67" i="78"/>
  <c r="O24" i="78"/>
  <c r="M53" i="78"/>
  <c r="L57" i="78"/>
  <c r="AN37" i="78"/>
  <c r="AM59" i="105"/>
  <c r="DF67" i="78"/>
  <c r="L92" i="78"/>
  <c r="CR62" i="78"/>
  <c r="H311" i="59"/>
  <c r="P127" i="59"/>
  <c r="Y88" i="105"/>
  <c r="G59" i="78"/>
  <c r="M98" i="78"/>
  <c r="F61" i="59"/>
  <c r="DE59" i="78"/>
  <c r="N87" i="105"/>
  <c r="BB57" i="78"/>
  <c r="K90" i="105"/>
  <c r="P338" i="59"/>
  <c r="K12" i="78"/>
  <c r="T29" i="105"/>
  <c r="BO10" i="78"/>
  <c r="S49" i="78"/>
  <c r="M17" i="78"/>
  <c r="S48" i="105"/>
  <c r="I13" i="105"/>
  <c r="CA9" i="78"/>
  <c r="DA62" i="78"/>
  <c r="AM29" i="105"/>
  <c r="BX10" i="78"/>
  <c r="BW92" i="78"/>
  <c r="BR103" i="78"/>
  <c r="AN79" i="105"/>
  <c r="M43" i="105"/>
  <c r="AG95" i="105"/>
  <c r="BS65" i="78"/>
  <c r="CT96" i="78"/>
  <c r="BR58" i="78"/>
  <c r="CA79" i="78"/>
  <c r="CF17" i="78"/>
  <c r="G92" i="105"/>
  <c r="AC12" i="78"/>
  <c r="S41" i="105"/>
  <c r="K41" i="105"/>
  <c r="G90" i="105"/>
  <c r="AB54" i="78"/>
  <c r="AI27" i="78"/>
  <c r="L44" i="105"/>
  <c r="CC27" i="78"/>
  <c r="DD34" i="78"/>
  <c r="CR98" i="78"/>
  <c r="CF102" i="78"/>
  <c r="AT92" i="78"/>
  <c r="U89" i="105"/>
  <c r="O308" i="59"/>
  <c r="CI53" i="78"/>
  <c r="K52" i="105"/>
  <c r="CD103" i="78"/>
  <c r="DB65" i="78"/>
  <c r="AF89" i="105"/>
  <c r="CE91" i="78"/>
  <c r="F20" i="105"/>
  <c r="CD81" i="78"/>
  <c r="AI92" i="105"/>
  <c r="AC34" i="78"/>
  <c r="H63" i="105"/>
  <c r="M76" i="105"/>
  <c r="I47" i="105"/>
  <c r="BP49" i="78"/>
  <c r="AL59" i="105"/>
  <c r="DD29" i="78"/>
  <c r="CW103" i="78"/>
  <c r="CW12" i="78"/>
  <c r="M66" i="78"/>
  <c r="CR60" i="78"/>
  <c r="Z17" i="105"/>
  <c r="U13" i="105"/>
  <c r="AF47" i="105"/>
  <c r="S89" i="78"/>
  <c r="AB102" i="78"/>
  <c r="M39" i="105"/>
  <c r="H50" i="105"/>
  <c r="CT58" i="78"/>
  <c r="BV66" i="78"/>
  <c r="BB54" i="78"/>
  <c r="CG67" i="78"/>
  <c r="I62" i="78"/>
  <c r="BO102" i="78"/>
  <c r="AE34" i="78"/>
  <c r="CN54" i="78"/>
  <c r="Z95" i="105"/>
  <c r="T36" i="105"/>
  <c r="BV34" i="78"/>
  <c r="M12" i="78"/>
  <c r="BA9" i="78"/>
  <c r="BX48" i="78"/>
  <c r="BY25" i="78"/>
  <c r="O126" i="59"/>
  <c r="AX26" i="78"/>
  <c r="Q305" i="59"/>
  <c r="CI25" i="78"/>
  <c r="DC60" i="78"/>
  <c r="BS62" i="78"/>
  <c r="AV48" i="78"/>
  <c r="AK95" i="105"/>
  <c r="Y90" i="105"/>
  <c r="AJ46" i="105"/>
  <c r="T45" i="78"/>
  <c r="K332" i="59"/>
  <c r="BA71" i="78"/>
  <c r="Y19" i="105"/>
  <c r="BR96" i="78"/>
  <c r="M23" i="105"/>
  <c r="AR25" i="78"/>
  <c r="BX27" i="78"/>
  <c r="AG71" i="105"/>
  <c r="Q329" i="59"/>
  <c r="AW75" i="78"/>
  <c r="BX25" i="78"/>
  <c r="BQ18" i="78"/>
  <c r="CV34" i="78"/>
  <c r="AK44" i="105"/>
  <c r="AQ59" i="78"/>
  <c r="AK86" i="105"/>
  <c r="W40" i="105"/>
  <c r="X38" i="105"/>
  <c r="S20" i="105"/>
  <c r="AM88" i="105"/>
  <c r="AQ102" i="78"/>
  <c r="U92" i="105"/>
  <c r="S24" i="78"/>
  <c r="M331" i="59"/>
  <c r="BA61" i="78"/>
  <c r="AR21" i="78"/>
  <c r="X91" i="78"/>
  <c r="CS37" i="78"/>
  <c r="BS103" i="78"/>
  <c r="F94" i="105"/>
  <c r="I93" i="105"/>
  <c r="P308" i="59"/>
  <c r="DE71" i="78"/>
  <c r="U68" i="105"/>
  <c r="BE65" i="78"/>
  <c r="BA67" i="78"/>
  <c r="AV30" i="78"/>
  <c r="K85" i="105"/>
  <c r="N69" i="105"/>
  <c r="AR45" i="78"/>
  <c r="CR18" i="78"/>
  <c r="CL59" i="78"/>
  <c r="CG30" i="78"/>
  <c r="Y92" i="105"/>
  <c r="N91" i="78"/>
  <c r="P353" i="59"/>
  <c r="K57" i="78"/>
  <c r="AN95" i="105"/>
  <c r="CC71" i="78"/>
  <c r="AI62" i="105"/>
  <c r="BU81" i="78"/>
  <c r="AN54" i="78"/>
  <c r="AJ21" i="105"/>
  <c r="BC96" i="78"/>
  <c r="AA94" i="105"/>
  <c r="CU59" i="78"/>
  <c r="N71" i="78"/>
  <c r="AI31" i="105"/>
  <c r="Y85" i="105"/>
  <c r="CX89" i="78"/>
  <c r="J84" i="105"/>
  <c r="U63" i="105"/>
  <c r="BS49" i="78"/>
  <c r="AM16" i="105"/>
  <c r="U35" i="105"/>
  <c r="DC92" i="78"/>
  <c r="K353" i="59"/>
  <c r="AF45" i="105"/>
  <c r="I89" i="105"/>
  <c r="BA13" i="78"/>
  <c r="K309" i="59"/>
  <c r="CK62" i="78"/>
  <c r="I90" i="105"/>
  <c r="BR92" i="78"/>
  <c r="AJ51" i="105"/>
  <c r="Y40" i="105"/>
  <c r="CD17" i="78"/>
  <c r="AO45" i="78"/>
  <c r="BQ79" i="78"/>
  <c r="H28" i="105"/>
  <c r="CF96" i="78"/>
  <c r="BI37" i="78"/>
  <c r="L328" i="59"/>
  <c r="N26" i="78"/>
  <c r="K306" i="59"/>
  <c r="P305" i="59"/>
  <c r="U52" i="105"/>
  <c r="J60" i="105"/>
  <c r="BP27" i="78"/>
  <c r="AJ66" i="105"/>
  <c r="AJ24" i="105"/>
  <c r="I86" i="105"/>
  <c r="CQ10" i="78"/>
  <c r="AN59" i="78"/>
  <c r="W89" i="78"/>
  <c r="Z89" i="78"/>
  <c r="AK42" i="105"/>
  <c r="CC81" i="78"/>
  <c r="CC65" i="78"/>
  <c r="V89" i="105"/>
  <c r="S66" i="105"/>
  <c r="AJ21" i="78"/>
  <c r="M309" i="59"/>
  <c r="I45" i="78"/>
  <c r="AR65" i="78"/>
  <c r="BZ17" i="78"/>
  <c r="BD98" i="78"/>
  <c r="BB30" i="78"/>
  <c r="T76" i="105"/>
  <c r="AJ61" i="78"/>
  <c r="AM12" i="105"/>
  <c r="CV61" i="78"/>
  <c r="DA24" i="78"/>
  <c r="BI27" i="78"/>
  <c r="AI91" i="78"/>
  <c r="AF25" i="78"/>
  <c r="M75" i="105"/>
  <c r="CN91" i="78"/>
  <c r="CZ49" i="78"/>
  <c r="U47" i="105"/>
  <c r="AG37" i="78"/>
  <c r="BR10" i="78"/>
  <c r="G27" i="78"/>
  <c r="M110" i="59"/>
  <c r="O37" i="78"/>
  <c r="M354" i="59"/>
  <c r="AJ92" i="78"/>
  <c r="CQ21" i="78"/>
  <c r="CV59" i="78"/>
  <c r="F58" i="59"/>
  <c r="AE37" i="78"/>
  <c r="M71" i="78"/>
  <c r="L91" i="78"/>
  <c r="CA29" i="78"/>
  <c r="DA96" i="78"/>
  <c r="AJ29" i="105"/>
  <c r="Y47" i="105"/>
  <c r="AF98" i="78"/>
  <c r="O332" i="59"/>
  <c r="F86" i="105"/>
  <c r="BU91" i="78"/>
  <c r="BC98" i="78"/>
  <c r="J23" i="105"/>
  <c r="V49" i="78"/>
  <c r="N70" i="105"/>
  <c r="BW17" i="78"/>
  <c r="BV13" i="78"/>
  <c r="J38" i="105"/>
  <c r="X62" i="78"/>
  <c r="W73" i="105"/>
  <c r="CE34" i="78"/>
  <c r="DE21" i="78"/>
  <c r="DB54" i="78"/>
  <c r="N92" i="78"/>
  <c r="CA91" i="78"/>
  <c r="AL37" i="105"/>
  <c r="AN37" i="105"/>
  <c r="V86" i="105"/>
  <c r="AJ86" i="105"/>
  <c r="J101" i="59"/>
  <c r="AJ71" i="105"/>
  <c r="X82" i="105"/>
  <c r="X52" i="105"/>
  <c r="CI50" i="78"/>
  <c r="AF31" i="105"/>
  <c r="AA40" i="105"/>
  <c r="AK71" i="105"/>
  <c r="AI89" i="105"/>
  <c r="X26" i="105"/>
  <c r="BO103" i="78"/>
  <c r="J66" i="78"/>
  <c r="AF79" i="78"/>
  <c r="V89" i="78"/>
  <c r="CW26" i="78"/>
  <c r="J65" i="78"/>
  <c r="K30" i="78"/>
  <c r="AN84" i="105"/>
  <c r="W92" i="78"/>
  <c r="AF34" i="105"/>
  <c r="O18" i="78"/>
  <c r="DD92" i="78"/>
  <c r="AI98" i="105"/>
  <c r="DA50" i="78"/>
  <c r="J62" i="78"/>
  <c r="AE61" i="78"/>
  <c r="H60" i="105"/>
  <c r="H52" i="105"/>
  <c r="BV49" i="78"/>
  <c r="BD17" i="78"/>
  <c r="DE66" i="78"/>
  <c r="AO58" i="78"/>
  <c r="G35" i="105"/>
  <c r="AL92" i="105"/>
  <c r="AT13" i="78"/>
  <c r="BS57" i="78"/>
  <c r="AD54" i="78"/>
  <c r="S35" i="105"/>
  <c r="AT25" i="78"/>
  <c r="BP58" i="78"/>
  <c r="I38" i="105"/>
  <c r="AF48" i="78"/>
  <c r="AD92" i="78"/>
  <c r="DF34" i="78"/>
  <c r="CC103" i="78"/>
  <c r="L344" i="59"/>
  <c r="DD9" i="78"/>
  <c r="AG92" i="78"/>
  <c r="CA59" i="78"/>
  <c r="V91" i="105"/>
  <c r="K75" i="105"/>
  <c r="I64" i="105"/>
  <c r="AD26" i="78"/>
  <c r="AI62" i="78"/>
  <c r="P21" i="78"/>
  <c r="M58" i="78"/>
  <c r="BH54" i="78"/>
  <c r="CF27" i="78"/>
  <c r="CE79" i="78"/>
  <c r="BU48" i="78"/>
  <c r="J64" i="105"/>
  <c r="AM36" i="105"/>
  <c r="BB49" i="78"/>
  <c r="AM43" i="105"/>
  <c r="AS50" i="78"/>
  <c r="Z60" i="78"/>
  <c r="AI17" i="78"/>
  <c r="BX17" i="78"/>
  <c r="J57" i="78"/>
  <c r="AK19" i="105"/>
  <c r="BQ27" i="78"/>
  <c r="S34" i="105"/>
  <c r="T27" i="105"/>
  <c r="AH50" i="78"/>
  <c r="W21" i="105"/>
  <c r="I67" i="78"/>
  <c r="AK31" i="105"/>
  <c r="CF75" i="78"/>
  <c r="DD21" i="78"/>
  <c r="AA73" i="105"/>
  <c r="AD62" i="78"/>
  <c r="BR91" i="78"/>
  <c r="H26" i="78"/>
  <c r="U60" i="78"/>
  <c r="CM45" i="78"/>
  <c r="DC98" i="78"/>
  <c r="T65" i="105"/>
  <c r="J42" i="105"/>
  <c r="AO59" i="78"/>
  <c r="I355" i="59"/>
  <c r="Z88" i="105"/>
  <c r="AV21" i="78"/>
  <c r="CH67" i="78"/>
  <c r="CU45" i="78"/>
  <c r="AL81" i="105"/>
  <c r="O13" i="78"/>
  <c r="V47" i="105"/>
  <c r="DB71" i="78"/>
  <c r="AZ37" i="78"/>
  <c r="J14" i="105"/>
  <c r="AM102" i="78"/>
  <c r="AM75" i="105"/>
  <c r="L30" i="78"/>
  <c r="BR12" i="78"/>
  <c r="AF21" i="105"/>
  <c r="AB59" i="78"/>
  <c r="Y74" i="105"/>
  <c r="AJ91" i="78"/>
  <c r="AD29" i="78"/>
  <c r="O48" i="78"/>
  <c r="CZ92" i="78"/>
  <c r="AI85" i="105"/>
  <c r="AA63" i="105"/>
  <c r="CC10" i="78"/>
  <c r="AR66" i="78"/>
  <c r="BU61" i="78"/>
  <c r="O121" i="59"/>
  <c r="J96" i="78"/>
  <c r="O10" i="78"/>
  <c r="BC48" i="78"/>
  <c r="BI49" i="78"/>
  <c r="Q339" i="59"/>
  <c r="Z44" i="105"/>
  <c r="K93" i="105"/>
  <c r="K99" i="105"/>
  <c r="J62" i="105"/>
  <c r="H17" i="105"/>
  <c r="AO62" i="78"/>
  <c r="AY17" i="78"/>
  <c r="G13" i="78"/>
  <c r="Y26" i="105"/>
  <c r="Q309" i="59"/>
  <c r="O60" i="78"/>
  <c r="G54" i="78"/>
  <c r="U46" i="105"/>
  <c r="U72" i="105"/>
  <c r="AK70" i="105"/>
  <c r="BZ67" i="78"/>
  <c r="AJ28" i="105"/>
  <c r="I52" i="105"/>
  <c r="AM17" i="105"/>
  <c r="AJ35" i="105"/>
  <c r="BT71" i="78"/>
  <c r="X45" i="78"/>
  <c r="CY81" i="78"/>
  <c r="S93" i="105"/>
  <c r="AS26" i="78"/>
  <c r="M46" i="105"/>
  <c r="BA30" i="78"/>
  <c r="X66" i="105"/>
  <c r="T83" i="105"/>
  <c r="CP103" i="78"/>
  <c r="BS10" i="78"/>
  <c r="I344" i="59"/>
  <c r="X34" i="105"/>
  <c r="O344" i="59"/>
  <c r="F101" i="59"/>
  <c r="O71" i="78"/>
  <c r="BC45" i="78"/>
  <c r="L34" i="105"/>
  <c r="AN17" i="78"/>
  <c r="I305" i="59"/>
  <c r="AC91" i="78"/>
  <c r="H121" i="59"/>
  <c r="I102" i="78"/>
  <c r="AH37" i="105"/>
  <c r="DF58" i="78"/>
  <c r="J86" i="105"/>
  <c r="J61" i="105"/>
  <c r="CF30" i="78"/>
  <c r="T50" i="105"/>
  <c r="Z65" i="78"/>
  <c r="AA13" i="105"/>
  <c r="I25" i="105"/>
  <c r="BT30" i="78"/>
  <c r="BP26" i="78"/>
  <c r="BA49" i="78"/>
  <c r="AM65" i="78"/>
  <c r="AP12" i="78"/>
  <c r="AJ27" i="78"/>
  <c r="CK57" i="78"/>
  <c r="CC17" i="78"/>
  <c r="H48" i="78"/>
  <c r="AS79" i="78"/>
  <c r="CD102" i="78"/>
  <c r="AP91" i="78"/>
  <c r="DF91" i="78"/>
  <c r="BQ25" i="78"/>
  <c r="BZ79" i="78"/>
  <c r="BD26" i="78"/>
  <c r="D339" i="59"/>
  <c r="CS96" i="78"/>
  <c r="CZ24" i="78"/>
  <c r="O327" i="59"/>
  <c r="CY29" i="78"/>
  <c r="Z72" i="105"/>
  <c r="DB48" i="78"/>
  <c r="CL37" i="78"/>
  <c r="Q348" i="59"/>
  <c r="BH98" i="78"/>
  <c r="BV18" i="78"/>
  <c r="AH13" i="78"/>
  <c r="T73" i="105"/>
  <c r="CH102" i="78"/>
  <c r="L62" i="105"/>
  <c r="BU59" i="78"/>
  <c r="H68" i="105"/>
  <c r="Y9" i="78"/>
  <c r="AK80" i="105"/>
  <c r="J67" i="78"/>
  <c r="CA57" i="78"/>
  <c r="T97" i="105"/>
  <c r="L49" i="78"/>
  <c r="AN9" i="78"/>
  <c r="BV65" i="78"/>
  <c r="K54" i="78"/>
  <c r="CA61" i="78"/>
  <c r="AA46" i="105"/>
  <c r="AL12" i="105"/>
  <c r="AX60" i="78"/>
  <c r="X19" i="105"/>
  <c r="T86" i="105"/>
  <c r="P17" i="78"/>
  <c r="AM17" i="78"/>
  <c r="AJ41" i="105"/>
  <c r="L72" i="105"/>
  <c r="CD66" i="78"/>
  <c r="CG27" i="78"/>
  <c r="CU62" i="78"/>
  <c r="AF42" i="105"/>
  <c r="AL13" i="105"/>
  <c r="DE34" i="78"/>
  <c r="CT67" i="78"/>
  <c r="L65" i="105"/>
  <c r="L84" i="105"/>
  <c r="BB34" i="78"/>
  <c r="Z63" i="105"/>
  <c r="DC65" i="78"/>
  <c r="I311" i="59"/>
  <c r="AH65" i="105"/>
  <c r="W70" i="105"/>
  <c r="CE24" i="78"/>
  <c r="K307" i="59"/>
  <c r="AB92" i="78"/>
  <c r="AI10" i="78"/>
  <c r="N82" i="105"/>
  <c r="BQ30" i="78"/>
  <c r="V19" i="105"/>
  <c r="BO66" i="78"/>
  <c r="AF78" i="105"/>
  <c r="P102" i="78"/>
  <c r="CW9" i="78"/>
  <c r="AP13" i="78"/>
  <c r="AI12" i="78"/>
  <c r="AH40" i="105"/>
  <c r="V38" i="105"/>
  <c r="BT50" i="78"/>
  <c r="AB17" i="78"/>
  <c r="AP26" i="78"/>
  <c r="BB58" i="78"/>
  <c r="J12" i="78"/>
  <c r="AY26" i="78"/>
  <c r="CX65" i="78"/>
  <c r="U23" i="105"/>
  <c r="CK71" i="78"/>
  <c r="L304" i="59"/>
  <c r="CP71" i="78"/>
  <c r="AL24" i="105"/>
  <c r="BE12" i="78"/>
  <c r="BT26" i="78"/>
  <c r="I43" i="105"/>
  <c r="M79" i="78"/>
  <c r="Z84" i="105"/>
  <c r="CQ45" i="78"/>
  <c r="AJ53" i="78"/>
  <c r="CW79" i="78"/>
  <c r="L85" i="105"/>
  <c r="AO98" i="78"/>
  <c r="CP49" i="78"/>
  <c r="H27" i="78"/>
  <c r="BO71" i="78"/>
  <c r="CD92" i="78"/>
  <c r="BS102" i="78"/>
  <c r="Z62" i="105"/>
  <c r="N98" i="78"/>
  <c r="BD102" i="78"/>
  <c r="AO29" i="78"/>
  <c r="AY24" i="78"/>
  <c r="BP96" i="78"/>
  <c r="DE91" i="78"/>
  <c r="BR65" i="78"/>
  <c r="AC50" i="78"/>
  <c r="AI60" i="78"/>
  <c r="J307" i="59"/>
  <c r="AK63" i="105"/>
  <c r="BW30" i="78"/>
  <c r="Z75" i="78"/>
  <c r="CQ103" i="78"/>
  <c r="AA69" i="105"/>
  <c r="AH29" i="105"/>
  <c r="AJ95" i="105"/>
  <c r="CW57" i="78"/>
  <c r="AU21" i="78"/>
  <c r="AF30" i="78"/>
  <c r="BA89" i="78"/>
  <c r="AI50" i="78"/>
  <c r="X85" i="105"/>
  <c r="AF20" i="105"/>
  <c r="CV103" i="78"/>
  <c r="CP25" i="78"/>
  <c r="AG40" i="105"/>
  <c r="J81" i="105"/>
  <c r="BR21" i="78"/>
  <c r="CP59" i="78"/>
  <c r="H126" i="59"/>
  <c r="G62" i="78"/>
  <c r="AG21" i="78"/>
  <c r="AN49" i="105"/>
  <c r="BS75" i="78"/>
  <c r="AZ66" i="78"/>
  <c r="BH50" i="78"/>
  <c r="CV65" i="78"/>
  <c r="L20" i="105"/>
  <c r="F44" i="105"/>
  <c r="CQ18" i="78"/>
  <c r="F12" i="59"/>
  <c r="CP27" i="78"/>
  <c r="Z34" i="78"/>
  <c r="AJ98" i="105"/>
  <c r="Z91" i="78"/>
  <c r="BO60" i="78"/>
  <c r="I44" i="105"/>
  <c r="V93" i="105"/>
  <c r="AM91" i="105"/>
  <c r="AG13" i="105"/>
  <c r="Y54" i="78"/>
  <c r="AL48" i="105"/>
  <c r="DC71" i="78"/>
  <c r="T96" i="78"/>
  <c r="S62" i="78"/>
  <c r="CX92" i="78"/>
  <c r="AA89" i="105"/>
  <c r="AI39" i="105"/>
  <c r="X61" i="78"/>
  <c r="AT18" i="78"/>
  <c r="AQ48" i="78"/>
  <c r="AR29" i="78"/>
  <c r="CI89" i="78"/>
  <c r="BY48" i="78"/>
  <c r="V18" i="105"/>
  <c r="AW34" i="78"/>
  <c r="AA65" i="78"/>
  <c r="BH37" i="78"/>
  <c r="AW96" i="78"/>
  <c r="M126" i="59"/>
  <c r="Z10" i="78"/>
  <c r="CP75" i="78"/>
  <c r="AH81" i="78"/>
  <c r="BC65" i="78"/>
  <c r="AH32" i="105"/>
  <c r="G37" i="78"/>
  <c r="Q308" i="59"/>
  <c r="U71" i="78"/>
  <c r="AF53" i="78"/>
  <c r="AN67" i="78"/>
  <c r="AF26" i="105"/>
  <c r="I28" i="105"/>
  <c r="AG31" i="105"/>
  <c r="AU60" i="78"/>
  <c r="T20" i="105"/>
  <c r="CW65" i="78"/>
  <c r="J65" i="105"/>
  <c r="CL92" i="78"/>
  <c r="CR58" i="78"/>
  <c r="AI82" i="105"/>
  <c r="D327" i="59"/>
  <c r="CC57" i="78"/>
  <c r="I73" i="105"/>
  <c r="AK93" i="105"/>
  <c r="CL103" i="78"/>
  <c r="F70" i="105"/>
  <c r="T47" i="105"/>
  <c r="BW29" i="78"/>
  <c r="AI29" i="105"/>
  <c r="AN67" i="105"/>
  <c r="BD45" i="78"/>
  <c r="AJ9" i="78"/>
  <c r="AF34" i="78"/>
  <c r="CR53" i="78"/>
  <c r="N39" i="105"/>
  <c r="BX37" i="78"/>
  <c r="BD49" i="78"/>
  <c r="CJ91" i="78"/>
  <c r="U60" i="105"/>
  <c r="CJ65" i="78"/>
  <c r="BY49" i="78"/>
  <c r="BZ24" i="78"/>
  <c r="Z53" i="78"/>
  <c r="BZ45" i="78"/>
  <c r="AP49" i="78"/>
  <c r="Z82" i="105"/>
  <c r="AI61" i="78"/>
  <c r="AK97" i="105"/>
  <c r="AR60" i="78"/>
  <c r="BW13" i="78"/>
  <c r="AK26" i="105"/>
  <c r="P104" i="59"/>
  <c r="N307" i="59"/>
  <c r="Y22" i="105"/>
  <c r="AF15" i="105"/>
  <c r="AU54" i="78"/>
  <c r="BE17" i="78"/>
  <c r="AM37" i="78"/>
  <c r="AM38" i="105"/>
  <c r="F103" i="59"/>
  <c r="BD61" i="78"/>
  <c r="AH22" i="105"/>
  <c r="AB67" i="78"/>
  <c r="N29" i="78"/>
  <c r="F11" i="59"/>
  <c r="Q357" i="59"/>
  <c r="AX49" i="78"/>
  <c r="CB26" i="78"/>
  <c r="CW75" i="78"/>
  <c r="Z26" i="78"/>
  <c r="N331" i="59"/>
  <c r="CF18" i="78"/>
  <c r="Y15" i="105"/>
  <c r="CM12" i="78"/>
  <c r="DC59" i="78"/>
  <c r="F18" i="105"/>
  <c r="H331" i="59"/>
  <c r="BQ71" i="78"/>
  <c r="CB13" i="78"/>
  <c r="L25" i="78"/>
  <c r="CO24" i="78"/>
  <c r="CL67" i="78"/>
  <c r="BH21" i="78"/>
  <c r="Z27" i="105"/>
  <c r="AL15" i="105"/>
  <c r="BH102" i="78"/>
  <c r="CV92" i="78"/>
  <c r="P311" i="59"/>
  <c r="AC54" i="78"/>
  <c r="S48" i="78"/>
  <c r="W97" i="105"/>
  <c r="J30" i="78"/>
  <c r="Z50" i="78"/>
  <c r="Y52" i="105"/>
  <c r="CH34" i="78"/>
  <c r="I304" i="59"/>
  <c r="AO12" i="78"/>
  <c r="AS27" i="78"/>
  <c r="CD61" i="78"/>
  <c r="CX21" i="78"/>
  <c r="Z45" i="105"/>
  <c r="AJ59" i="78"/>
  <c r="AC66" i="78"/>
  <c r="AM96" i="105"/>
  <c r="AF63" i="105"/>
  <c r="I42" i="105"/>
  <c r="AI94" i="105"/>
  <c r="AX24" i="78"/>
  <c r="AL79" i="105"/>
  <c r="Z59" i="78"/>
  <c r="AQ26" i="78"/>
  <c r="Y86" i="105"/>
  <c r="F85" i="105"/>
  <c r="CO53" i="78"/>
  <c r="BU79" i="78"/>
  <c r="CG49" i="78"/>
  <c r="O355" i="59"/>
  <c r="AI26" i="78"/>
  <c r="CH53" i="78"/>
  <c r="CS66" i="78"/>
  <c r="K92" i="105"/>
  <c r="W21" i="78"/>
  <c r="N9" i="78"/>
  <c r="DB62" i="78"/>
  <c r="AS54" i="78"/>
  <c r="H13" i="105"/>
  <c r="AA98" i="78"/>
  <c r="AV62" i="78"/>
  <c r="F63" i="59"/>
  <c r="AU62" i="78"/>
  <c r="V45" i="105"/>
  <c r="I23" i="105"/>
  <c r="L301" i="59"/>
  <c r="AJ48" i="105"/>
  <c r="CG12" i="78"/>
  <c r="AN48" i="105"/>
  <c r="J89" i="105"/>
  <c r="Y81" i="78"/>
  <c r="U67" i="105"/>
  <c r="CH54" i="78"/>
  <c r="CG103" i="78"/>
  <c r="N16" i="105"/>
  <c r="AO17" i="78"/>
  <c r="DD25" i="78"/>
  <c r="AV75" i="78"/>
  <c r="G18" i="105"/>
  <c r="CR59" i="78"/>
  <c r="CD29" i="78"/>
  <c r="N89" i="105"/>
  <c r="AF85" i="105"/>
  <c r="P337" i="59"/>
  <c r="CB30" i="78"/>
  <c r="AG21" i="105"/>
  <c r="AJ78" i="105"/>
  <c r="AH74" i="105"/>
  <c r="CI17" i="78"/>
  <c r="P326" i="59"/>
  <c r="N13" i="105"/>
  <c r="L65" i="78"/>
  <c r="H355" i="59"/>
  <c r="BS45" i="78"/>
  <c r="AR49" i="78"/>
  <c r="BE81" i="78"/>
  <c r="CU98" i="78"/>
  <c r="M125" i="59"/>
  <c r="AG29" i="105"/>
  <c r="AS13" i="78"/>
  <c r="AH93" i="105"/>
  <c r="AK59" i="105"/>
  <c r="CB75" i="78"/>
  <c r="CP61" i="78"/>
  <c r="CA98" i="78"/>
  <c r="N93" i="105"/>
  <c r="CR89" i="78"/>
  <c r="CX54" i="78"/>
  <c r="CZ48" i="78"/>
  <c r="AX61" i="78"/>
  <c r="AI13" i="105"/>
  <c r="CU103" i="78"/>
  <c r="BU34" i="78"/>
  <c r="CX25" i="78"/>
  <c r="S72" i="105"/>
  <c r="AP53" i="78"/>
  <c r="Z46" i="105"/>
  <c r="K59" i="78"/>
  <c r="BX66" i="78"/>
  <c r="DE27" i="78"/>
  <c r="S81" i="105"/>
  <c r="I18" i="78"/>
  <c r="M70" i="105"/>
  <c r="AN45" i="78"/>
  <c r="N75" i="105"/>
  <c r="H66" i="78"/>
  <c r="AA74" i="105"/>
  <c r="AJ81" i="105"/>
  <c r="F17" i="105"/>
  <c r="AX27" i="78"/>
  <c r="J45" i="78"/>
  <c r="U64" i="105"/>
  <c r="J59" i="78"/>
  <c r="V59" i="78"/>
  <c r="AH91" i="78"/>
  <c r="DD67" i="78"/>
  <c r="BO37" i="78"/>
  <c r="AU18" i="78"/>
  <c r="Y37" i="78"/>
  <c r="CY66" i="78"/>
  <c r="CI9" i="78"/>
  <c r="AC98" i="78"/>
  <c r="BX71" i="78"/>
  <c r="Y42" i="105"/>
  <c r="G10" i="78"/>
  <c r="AC79" i="78"/>
  <c r="AL64" i="105"/>
  <c r="W13" i="105"/>
  <c r="V52" i="105"/>
  <c r="CK54" i="78"/>
  <c r="CW54" i="78"/>
  <c r="AR30" i="78"/>
  <c r="V94" i="105"/>
  <c r="AM92" i="78"/>
  <c r="AF90" i="105"/>
  <c r="BX24" i="78"/>
  <c r="AT50" i="78"/>
  <c r="AJ54" i="78"/>
  <c r="K127" i="59"/>
  <c r="CL91" i="78"/>
  <c r="CN79" i="78"/>
  <c r="AQ10" i="78"/>
  <c r="AJ36" i="105"/>
  <c r="BE9" i="78"/>
  <c r="DF54" i="78"/>
  <c r="AM26" i="78"/>
  <c r="AW65" i="78"/>
  <c r="AL29" i="105"/>
  <c r="M91" i="78"/>
  <c r="AM30" i="78"/>
  <c r="BY79" i="78"/>
  <c r="BC18" i="78"/>
  <c r="CP24" i="78"/>
  <c r="AF97" i="105"/>
  <c r="AJ57" i="78"/>
  <c r="N126" i="59"/>
  <c r="AN88" i="105"/>
  <c r="AM89" i="78"/>
  <c r="AN25" i="78"/>
  <c r="J125" i="59"/>
  <c r="CC61" i="78"/>
  <c r="AN29" i="78"/>
  <c r="V42" i="105"/>
  <c r="CM34" i="78"/>
  <c r="AV13" i="78"/>
  <c r="CS17" i="78"/>
  <c r="BY92" i="78"/>
  <c r="W12" i="78"/>
  <c r="AM57" i="78"/>
  <c r="J108" i="59"/>
  <c r="AC67" i="78"/>
  <c r="F70" i="59"/>
  <c r="AY58" i="78"/>
  <c r="Z70" i="105"/>
  <c r="AL31" i="105"/>
  <c r="J76" i="105"/>
  <c r="J18" i="105"/>
  <c r="H94" i="105"/>
  <c r="BI62" i="78"/>
  <c r="N89" i="78"/>
  <c r="X89" i="78"/>
  <c r="Z14" i="105"/>
  <c r="W58" i="78"/>
  <c r="V67" i="105"/>
  <c r="CL17" i="78"/>
  <c r="CJ92" i="78"/>
  <c r="Z86" i="105"/>
  <c r="L66" i="105"/>
  <c r="F67" i="105"/>
  <c r="Q125" i="59"/>
  <c r="S94" i="105"/>
  <c r="CE21" i="78"/>
  <c r="AN66" i="78"/>
  <c r="U16" i="105"/>
  <c r="AY37" i="78"/>
  <c r="AV49" i="78"/>
  <c r="K120" i="59"/>
  <c r="AI47" i="105"/>
  <c r="U61" i="78"/>
  <c r="W26" i="105"/>
  <c r="AG75" i="78"/>
  <c r="I338" i="59"/>
  <c r="AN96" i="78"/>
  <c r="V60" i="78"/>
  <c r="AN51" i="105"/>
  <c r="BR67" i="78"/>
  <c r="N337" i="59"/>
  <c r="H326" i="59"/>
  <c r="AH33" i="105"/>
  <c r="Z62" i="78"/>
  <c r="AI63" i="105"/>
  <c r="AA29" i="78"/>
  <c r="CI54" i="78"/>
  <c r="BR50" i="78"/>
  <c r="T26" i="78"/>
  <c r="AI102" i="78"/>
  <c r="L41" i="105"/>
  <c r="CR24" i="78"/>
  <c r="DE25" i="78"/>
  <c r="AR67" i="78"/>
  <c r="BW75" i="78"/>
  <c r="CA50" i="78"/>
  <c r="CK17" i="78"/>
  <c r="K13" i="105"/>
  <c r="CM21" i="78"/>
  <c r="Y30" i="78"/>
  <c r="G76" i="105"/>
  <c r="S85" i="105"/>
  <c r="CR75" i="78"/>
  <c r="BD21" i="78"/>
  <c r="BO79" i="78"/>
  <c r="K50" i="78"/>
  <c r="CU27" i="78"/>
  <c r="G15" i="105"/>
  <c r="AL91" i="105"/>
  <c r="J35" i="105"/>
  <c r="N37" i="78"/>
  <c r="K76" i="105"/>
  <c r="CR61" i="78"/>
  <c r="AH31" i="105"/>
  <c r="BP91" i="78"/>
  <c r="I91" i="78"/>
  <c r="I48" i="105"/>
  <c r="AC21" i="78"/>
  <c r="AJ43" i="105"/>
  <c r="H89" i="78"/>
  <c r="BS37" i="78"/>
  <c r="W35" i="105"/>
  <c r="AP59" i="78"/>
  <c r="BB29" i="78"/>
  <c r="CV37" i="78"/>
  <c r="Y58" i="78"/>
  <c r="H75" i="105"/>
  <c r="X65" i="78"/>
  <c r="AW61" i="78"/>
  <c r="AN85" i="105"/>
  <c r="V68" i="105"/>
  <c r="BB71" i="78"/>
  <c r="L96" i="78"/>
  <c r="AI37" i="78"/>
  <c r="CV71" i="78"/>
  <c r="BI34" i="78"/>
  <c r="CK18" i="78"/>
  <c r="CR81" i="78"/>
  <c r="P57" i="78"/>
  <c r="DD59" i="78"/>
  <c r="AF80" i="105"/>
  <c r="L48" i="78"/>
  <c r="CO21" i="78"/>
  <c r="AG51" i="105"/>
  <c r="K19" i="105"/>
  <c r="AZ98" i="78"/>
  <c r="CN67" i="78"/>
  <c r="AM32" i="105"/>
  <c r="U41" i="105"/>
  <c r="I37" i="78"/>
  <c r="M69" i="105"/>
  <c r="G24" i="78"/>
  <c r="CX29" i="78"/>
  <c r="CY9" i="78"/>
  <c r="V16" i="105"/>
  <c r="AI13" i="78"/>
  <c r="V18" i="78"/>
  <c r="CG50" i="78"/>
  <c r="X27" i="105"/>
  <c r="BV58" i="78"/>
  <c r="AI22" i="105"/>
  <c r="AC59" i="78"/>
  <c r="AL98" i="105"/>
  <c r="K45" i="105"/>
  <c r="F64" i="105"/>
  <c r="G68" i="105"/>
  <c r="CB24" i="78"/>
  <c r="CL9" i="78"/>
  <c r="X50" i="105"/>
  <c r="DE17" i="78"/>
  <c r="F60" i="105"/>
  <c r="Y34" i="78"/>
  <c r="BW57" i="78"/>
  <c r="S39" i="105"/>
  <c r="AJ71" i="78"/>
  <c r="J103" i="59"/>
  <c r="AJ70" i="105"/>
  <c r="N127" i="59"/>
  <c r="AA9" i="78"/>
  <c r="AY89" i="78"/>
  <c r="AF49" i="78"/>
  <c r="AF45" i="78"/>
  <c r="X71" i="78"/>
  <c r="AG65" i="78"/>
  <c r="H92" i="78"/>
  <c r="CF50" i="78"/>
  <c r="F10" i="59"/>
  <c r="AV53" i="78"/>
  <c r="BQ12" i="78"/>
  <c r="CG9" i="78"/>
  <c r="BC91" i="78"/>
  <c r="BC58" i="78"/>
  <c r="AN89" i="78"/>
  <c r="CQ60" i="78"/>
  <c r="CK12" i="78"/>
  <c r="AN71" i="105"/>
  <c r="X84" i="105"/>
  <c r="AO96" i="78"/>
  <c r="AA23" i="105"/>
  <c r="N353" i="59"/>
  <c r="AP81" i="78"/>
  <c r="AN32" i="105"/>
  <c r="AG82" i="105"/>
  <c r="AP30" i="78"/>
  <c r="T94" i="105"/>
  <c r="AR98" i="78"/>
  <c r="BA45" i="78"/>
  <c r="BY17" i="78"/>
  <c r="CQ29" i="78"/>
  <c r="CE59" i="78"/>
  <c r="N73" i="105"/>
  <c r="AJ17" i="78"/>
  <c r="BE58" i="78"/>
  <c r="H102" i="78"/>
  <c r="AH38" i="105"/>
  <c r="BP25" i="78"/>
  <c r="AF59" i="78"/>
  <c r="AM97" i="105"/>
  <c r="CY79" i="78"/>
  <c r="V87" i="105"/>
  <c r="AA75" i="78"/>
  <c r="BW79" i="78"/>
  <c r="CF13" i="78"/>
  <c r="CM13" i="78"/>
  <c r="DC49" i="78"/>
  <c r="DF79" i="78"/>
  <c r="BR60" i="78"/>
  <c r="BA91" i="78"/>
  <c r="H39" i="105"/>
  <c r="U27" i="78"/>
  <c r="AN90" i="105"/>
  <c r="AB75" i="78"/>
  <c r="DF81" i="78"/>
  <c r="AG64" i="105"/>
  <c r="J22" i="105"/>
  <c r="Z66" i="78"/>
  <c r="CS81" i="78"/>
  <c r="Y89" i="105"/>
  <c r="DC48" i="78"/>
  <c r="V30" i="78"/>
  <c r="AI35" i="105"/>
  <c r="AH62" i="105"/>
  <c r="M75" i="78"/>
  <c r="BU89" i="78"/>
  <c r="AG91" i="105"/>
  <c r="K79" i="78"/>
  <c r="H306" i="59"/>
  <c r="AF17" i="78"/>
  <c r="CK50" i="78"/>
  <c r="AB57" i="78"/>
  <c r="DF25" i="78"/>
  <c r="M99" i="105"/>
  <c r="CC25" i="78"/>
  <c r="N103" i="59"/>
  <c r="P59" i="78"/>
  <c r="U42" i="105"/>
  <c r="BR79" i="78"/>
  <c r="CB66" i="78"/>
  <c r="AG75" i="105"/>
  <c r="AH48" i="78"/>
  <c r="V95" i="105"/>
  <c r="J20" i="105"/>
  <c r="AP66" i="78"/>
  <c r="BV60" i="78"/>
  <c r="AI21" i="78"/>
  <c r="N60" i="78"/>
  <c r="M13" i="105"/>
  <c r="BX67" i="78"/>
  <c r="BQ54" i="78"/>
  <c r="H354" i="59"/>
  <c r="AI20" i="105"/>
  <c r="AI17" i="105"/>
  <c r="BW81" i="78"/>
  <c r="H64" i="105"/>
  <c r="CK27" i="78"/>
  <c r="DC37" i="78"/>
  <c r="K61" i="78"/>
  <c r="Z66" i="105"/>
  <c r="BI13" i="78"/>
  <c r="BE96" i="78"/>
  <c r="N59" i="78"/>
  <c r="AH35" i="105"/>
  <c r="DB17" i="78"/>
  <c r="W75" i="78"/>
  <c r="X22" i="105"/>
  <c r="F42" i="105"/>
  <c r="N125" i="59"/>
  <c r="G14" i="105"/>
  <c r="H122" i="59"/>
  <c r="BB59" i="78"/>
  <c r="CQ26" i="78"/>
  <c r="K125" i="59"/>
  <c r="S46" i="105"/>
  <c r="CO18" i="78"/>
  <c r="BV12" i="78"/>
  <c r="T45" i="105"/>
  <c r="AH96" i="105"/>
  <c r="AM61" i="78"/>
  <c r="K45" i="78"/>
  <c r="F88" i="105"/>
  <c r="AI30" i="78"/>
  <c r="AH54" i="78"/>
  <c r="AJ32" i="105"/>
  <c r="BE30" i="78"/>
  <c r="AB81" i="78"/>
  <c r="T34" i="78"/>
  <c r="AW12" i="78"/>
  <c r="AM92" i="105"/>
  <c r="AW91" i="78"/>
  <c r="M13" i="78"/>
  <c r="I41" i="105"/>
  <c r="CX102" i="78"/>
  <c r="BA75" i="78"/>
  <c r="CJ34" i="78"/>
  <c r="AM96" i="78"/>
  <c r="AF13" i="105"/>
  <c r="CD60" i="78"/>
  <c r="CE71" i="78"/>
  <c r="AP75" i="78"/>
  <c r="DD49" i="78"/>
  <c r="AN57" i="78"/>
  <c r="CO9" i="78"/>
  <c r="AW37" i="78"/>
  <c r="BO98" i="78"/>
  <c r="BI59" i="78"/>
  <c r="AG47" i="105"/>
  <c r="CD96" i="78"/>
  <c r="X45" i="105"/>
  <c r="V44" i="105"/>
  <c r="BU26" i="78"/>
  <c r="BO27" i="78"/>
  <c r="AT96" i="78"/>
  <c r="BB65" i="78"/>
  <c r="CH66" i="78"/>
  <c r="I327" i="59"/>
  <c r="BC34" i="78"/>
  <c r="Z20" i="105"/>
  <c r="AI58" i="78"/>
  <c r="BI89" i="78"/>
  <c r="Y67" i="105"/>
  <c r="CI30" i="78"/>
  <c r="W50" i="105"/>
  <c r="X37" i="78"/>
  <c r="AM86" i="105"/>
  <c r="BT9" i="78"/>
  <c r="J61" i="78"/>
  <c r="AR57" i="78"/>
  <c r="N84" i="105"/>
  <c r="CZ66" i="78"/>
  <c r="K25" i="78"/>
  <c r="BZ29" i="78"/>
  <c r="BO24" i="78"/>
  <c r="DA91" i="78"/>
  <c r="BT89" i="78"/>
  <c r="AL16" i="105"/>
  <c r="U45" i="78"/>
  <c r="H96" i="78"/>
  <c r="T12" i="78"/>
  <c r="AX66" i="78"/>
  <c r="AF59" i="105"/>
  <c r="DA58" i="78"/>
  <c r="T22" i="105"/>
  <c r="AU96" i="78"/>
  <c r="BV75" i="78"/>
  <c r="AH41" i="105"/>
  <c r="AI67" i="78"/>
  <c r="CX10" i="78"/>
  <c r="M326" i="59"/>
  <c r="N43" i="105"/>
  <c r="BQ67" i="78"/>
  <c r="BT92" i="78"/>
  <c r="AL63" i="105"/>
  <c r="H66" i="105"/>
  <c r="U48" i="78"/>
  <c r="L63" i="105"/>
  <c r="BP57" i="78"/>
  <c r="AQ21" i="78"/>
  <c r="AK65" i="105"/>
  <c r="BR102" i="78"/>
  <c r="BE45" i="78"/>
  <c r="AL21" i="105"/>
  <c r="AB66" i="78"/>
  <c r="AF19" i="105"/>
  <c r="BT48" i="78"/>
  <c r="Y36" i="105"/>
  <c r="CZ96" i="78"/>
  <c r="AA99" i="105"/>
  <c r="CR91" i="78"/>
  <c r="AF67" i="105"/>
  <c r="V79" i="78"/>
  <c r="CL45" i="78"/>
  <c r="CO81" i="78"/>
  <c r="BV29" i="78"/>
  <c r="Y29" i="78"/>
  <c r="AG53" i="78"/>
  <c r="D331" i="59"/>
  <c r="CQ30" i="78"/>
  <c r="S66" i="78"/>
  <c r="BT61" i="78"/>
  <c r="AB91" i="78"/>
  <c r="DD12" i="78"/>
  <c r="CL62" i="78"/>
  <c r="W88" i="105"/>
  <c r="AG15" i="105"/>
  <c r="Z24" i="78"/>
  <c r="AP17" i="78"/>
  <c r="T68" i="105"/>
  <c r="J328" i="59"/>
  <c r="CJ29" i="78"/>
  <c r="AJ15" i="105"/>
  <c r="M18" i="78"/>
  <c r="N44" i="105"/>
  <c r="Z25" i="105"/>
  <c r="AH66" i="78"/>
  <c r="G17" i="78"/>
  <c r="H87" i="105"/>
  <c r="AN31" i="105"/>
  <c r="AQ27" i="78"/>
  <c r="AN29" i="105"/>
  <c r="BQ48" i="78"/>
  <c r="AD34" i="78"/>
  <c r="M18" i="105"/>
  <c r="CX17" i="78"/>
  <c r="V99" i="105"/>
  <c r="AD17" i="78"/>
  <c r="AJ18" i="78"/>
  <c r="U91" i="78"/>
  <c r="AI25" i="78"/>
  <c r="S16" i="105"/>
  <c r="I127" i="59"/>
  <c r="T60" i="78"/>
  <c r="CR103" i="78"/>
  <c r="AT71" i="78"/>
  <c r="CS79" i="78"/>
  <c r="BV54" i="78"/>
  <c r="AI46" i="105"/>
  <c r="DE12" i="78"/>
  <c r="BS89" i="78"/>
  <c r="AB62" i="78"/>
  <c r="S97" i="105"/>
  <c r="M30" i="78"/>
  <c r="CO26" i="78"/>
  <c r="CH48" i="78"/>
  <c r="U17" i="78"/>
  <c r="AX9" i="78"/>
  <c r="AF75" i="78"/>
  <c r="CV91" i="78"/>
  <c r="CE81" i="78"/>
  <c r="P49" i="78"/>
  <c r="AA72" i="105"/>
  <c r="AH78" i="105"/>
  <c r="AA67" i="105"/>
  <c r="BZ60" i="78"/>
  <c r="CK48" i="78"/>
  <c r="Q337" i="59"/>
  <c r="AK91" i="105"/>
  <c r="AH82" i="105"/>
  <c r="AY79" i="78"/>
  <c r="Z68" i="105"/>
  <c r="T67" i="105"/>
  <c r="J94" i="105"/>
  <c r="CG71" i="78"/>
  <c r="F25" i="105"/>
  <c r="U13" i="78"/>
  <c r="M305" i="59"/>
  <c r="F14" i="59"/>
  <c r="BB53" i="78"/>
  <c r="K354" i="59"/>
  <c r="V66" i="105"/>
  <c r="AN28" i="105"/>
  <c r="G52" i="105"/>
  <c r="DD24" i="78"/>
  <c r="CR66" i="78"/>
  <c r="M63" i="105"/>
  <c r="K89" i="105"/>
  <c r="CQ13" i="78"/>
  <c r="H95" i="105"/>
  <c r="AG61" i="78"/>
  <c r="Y73" i="105"/>
  <c r="AI90" i="105"/>
  <c r="AG50" i="105"/>
  <c r="H25" i="105"/>
  <c r="AH25" i="78"/>
  <c r="L354" i="59"/>
  <c r="AG81" i="105"/>
  <c r="CU57" i="78"/>
  <c r="M27" i="105"/>
  <c r="AA102" i="78"/>
  <c r="I125" i="59"/>
  <c r="L355" i="59"/>
  <c r="BD79" i="78"/>
  <c r="K9" i="78"/>
  <c r="AV26" i="78"/>
  <c r="BP17" i="78"/>
  <c r="CU29" i="78"/>
  <c r="AA90" i="105"/>
  <c r="J92" i="105"/>
  <c r="CB48" i="78"/>
  <c r="BD13" i="78"/>
  <c r="AB24" i="78"/>
  <c r="D338" i="59"/>
  <c r="AZ59" i="78"/>
  <c r="K27" i="78"/>
  <c r="CS34" i="78"/>
  <c r="T87" i="105"/>
  <c r="CH89" i="78"/>
  <c r="AS24" i="78"/>
  <c r="DB89" i="78"/>
  <c r="W24" i="78"/>
  <c r="M74" i="105"/>
  <c r="F64" i="59"/>
  <c r="AF50" i="105"/>
  <c r="AL45" i="105"/>
  <c r="CL13" i="78"/>
  <c r="BD24" i="78"/>
  <c r="AE58" i="78"/>
  <c r="AF17" i="105"/>
  <c r="CM98" i="78"/>
  <c r="AF60" i="105"/>
  <c r="AX53" i="78"/>
  <c r="AH60" i="105"/>
  <c r="BC62" i="78"/>
  <c r="BD62" i="78"/>
  <c r="AM68" i="105"/>
  <c r="AF84" i="105"/>
  <c r="U43" i="105"/>
  <c r="L27" i="105"/>
  <c r="Z87" i="105"/>
  <c r="X47" i="105"/>
  <c r="I76" i="105"/>
  <c r="AA50" i="105"/>
  <c r="DE58" i="78"/>
  <c r="CU102" i="78"/>
  <c r="I75" i="78"/>
  <c r="AF18" i="78"/>
  <c r="AV25" i="78"/>
  <c r="BZ10" i="78"/>
  <c r="G91" i="105"/>
  <c r="N14" i="105"/>
  <c r="BZ9" i="78"/>
  <c r="DB34" i="78"/>
  <c r="CX58" i="78"/>
  <c r="K67" i="78"/>
  <c r="CV21" i="78"/>
  <c r="M25" i="78"/>
  <c r="K63" i="105"/>
  <c r="AS67" i="78"/>
  <c r="K326" i="59"/>
  <c r="AV81" i="78"/>
  <c r="CX60" i="78"/>
  <c r="AR34" i="78"/>
  <c r="CJ58" i="78"/>
  <c r="Z25" i="78"/>
  <c r="AD102" i="78"/>
  <c r="AZ26" i="78"/>
  <c r="AM71" i="105"/>
  <c r="AI81" i="105"/>
  <c r="AW57" i="78"/>
  <c r="U22" i="105"/>
  <c r="U10" i="78"/>
  <c r="BI29" i="78"/>
  <c r="CH12" i="78"/>
  <c r="DF92" i="78"/>
  <c r="Z81" i="105"/>
  <c r="H98" i="59"/>
  <c r="J71" i="78"/>
  <c r="J126" i="59"/>
  <c r="CH49" i="78"/>
  <c r="BA79" i="78"/>
  <c r="DE98" i="78"/>
  <c r="M57" i="78"/>
  <c r="G63" i="105"/>
  <c r="X60" i="105"/>
  <c r="AD13" i="78"/>
  <c r="S84" i="105"/>
  <c r="V39" i="105"/>
  <c r="T91" i="105"/>
  <c r="AM76" i="105"/>
  <c r="DC9" i="78"/>
  <c r="Z50" i="105"/>
  <c r="AT48" i="78"/>
  <c r="M89" i="78"/>
  <c r="V91" i="78"/>
  <c r="AI67" i="105"/>
  <c r="CJ13" i="78"/>
  <c r="CX37" i="78"/>
  <c r="AW48" i="78"/>
  <c r="W93" i="105"/>
  <c r="AN92" i="78"/>
  <c r="BO65" i="78"/>
  <c r="L15" i="105"/>
  <c r="AM51" i="105"/>
  <c r="CL27" i="78"/>
  <c r="CW21" i="78"/>
  <c r="BV30" i="78"/>
  <c r="T82" i="105"/>
  <c r="CS92" i="78"/>
  <c r="AN81" i="105"/>
  <c r="AL93" i="105"/>
  <c r="CT92" i="78"/>
  <c r="BI48" i="78"/>
  <c r="X89" i="105"/>
  <c r="CC29" i="78"/>
  <c r="U79" i="78"/>
  <c r="AZ49" i="78"/>
  <c r="AK89" i="105"/>
  <c r="X68" i="105"/>
  <c r="CO10" i="78"/>
  <c r="J41" i="105"/>
  <c r="AD71" i="78"/>
  <c r="AJ89" i="78"/>
  <c r="BD81" i="78"/>
  <c r="J25" i="78"/>
  <c r="AO92" i="78"/>
  <c r="AJ65" i="105"/>
  <c r="AC25" i="78"/>
  <c r="BX102" i="78"/>
  <c r="BS29" i="78"/>
  <c r="H339" i="59"/>
  <c r="S38" i="105"/>
  <c r="W67" i="78"/>
  <c r="BE27" i="78"/>
  <c r="AT53" i="78"/>
  <c r="AG60" i="78"/>
  <c r="DA75" i="78"/>
  <c r="K34" i="105"/>
  <c r="CG59" i="78"/>
  <c r="AG97" i="105"/>
  <c r="S61" i="78"/>
  <c r="AH64" i="105"/>
  <c r="AH39" i="105"/>
  <c r="AG70" i="105"/>
  <c r="BI10" i="78"/>
  <c r="H58" i="78"/>
  <c r="CO25" i="78"/>
  <c r="AJ68" i="105"/>
  <c r="G61" i="105"/>
  <c r="BS61" i="78"/>
  <c r="AK49" i="105"/>
  <c r="AM79" i="105"/>
  <c r="AI71" i="105"/>
  <c r="AK35" i="105"/>
  <c r="AB49" i="78"/>
  <c r="CW18" i="78"/>
  <c r="CN57" i="78"/>
  <c r="AB65" i="78"/>
  <c r="AI75" i="78"/>
  <c r="CW96" i="78"/>
  <c r="S42" i="105"/>
  <c r="I19" i="105"/>
  <c r="AY98" i="78"/>
  <c r="CT71" i="78"/>
  <c r="X34" i="78"/>
  <c r="AJ65" i="78"/>
  <c r="CV30" i="78"/>
  <c r="DD103" i="78"/>
  <c r="CO13" i="78"/>
  <c r="N50" i="105"/>
  <c r="BW98" i="78"/>
  <c r="V20" i="105"/>
  <c r="AU10" i="78"/>
  <c r="N304" i="59"/>
  <c r="CF60" i="78"/>
  <c r="AK76" i="105"/>
  <c r="K88" i="105"/>
  <c r="J21" i="105"/>
  <c r="F63" i="105"/>
  <c r="AK15" i="105"/>
  <c r="J121" i="59"/>
  <c r="AG37" i="105"/>
  <c r="CJ66" i="78"/>
  <c r="T58" i="78"/>
  <c r="CY24" i="78"/>
  <c r="J332" i="59"/>
  <c r="T62" i="105"/>
  <c r="AM66" i="78"/>
  <c r="T79" i="78"/>
  <c r="CN103" i="78"/>
  <c r="CD58" i="78"/>
  <c r="BO57" i="78"/>
  <c r="X87" i="105"/>
  <c r="H10" i="78"/>
  <c r="BT91" i="78"/>
  <c r="S75" i="78"/>
  <c r="D354" i="59"/>
  <c r="D330" i="59"/>
  <c r="AK75" i="105"/>
  <c r="X43" i="105"/>
  <c r="CJ81" i="78"/>
  <c r="AC48" i="78"/>
  <c r="T69" i="105"/>
  <c r="Y93" i="105"/>
  <c r="BH12" i="78"/>
  <c r="J102" i="78"/>
  <c r="AF88" i="105"/>
  <c r="BA92" i="78"/>
  <c r="CN96" i="78"/>
  <c r="AI49" i="78"/>
  <c r="AW49" i="78"/>
  <c r="J68" i="105"/>
  <c r="AV57" i="78"/>
  <c r="AH73" i="105"/>
  <c r="CI92" i="78"/>
  <c r="CB96" i="78"/>
  <c r="CH21" i="78"/>
  <c r="AO75" i="78"/>
  <c r="CI49" i="78"/>
  <c r="M21" i="105"/>
  <c r="CM58" i="78"/>
  <c r="X21" i="78"/>
  <c r="W29" i="78"/>
  <c r="AG18" i="78"/>
  <c r="AH89" i="78"/>
  <c r="AC13" i="78"/>
  <c r="Y91" i="78"/>
  <c r="Q355" i="59"/>
  <c r="CM89" i="78"/>
  <c r="CF53" i="78"/>
  <c r="AM18" i="78"/>
  <c r="AH75" i="78"/>
  <c r="CC58" i="78"/>
  <c r="AL19" i="105"/>
  <c r="CC91" i="78"/>
  <c r="CV54" i="78"/>
  <c r="CJ48" i="78"/>
  <c r="AJ75" i="78"/>
  <c r="T17" i="105"/>
  <c r="AH24" i="105"/>
  <c r="Y25" i="78"/>
  <c r="G53" i="78"/>
  <c r="CP91" i="78"/>
  <c r="BV91" i="78"/>
  <c r="U14" i="105"/>
  <c r="AO49" i="78"/>
  <c r="AG41" i="105"/>
  <c r="AJ37" i="105"/>
  <c r="G75" i="78"/>
  <c r="W17" i="105"/>
  <c r="BV53" i="78"/>
  <c r="CP12" i="78"/>
  <c r="K62" i="78"/>
  <c r="AP9" i="78"/>
  <c r="AG102" i="78"/>
  <c r="O17" i="78"/>
  <c r="CX67" i="78"/>
  <c r="AQ9" i="78"/>
  <c r="AJ67" i="78"/>
  <c r="Z30" i="78"/>
  <c r="AJ47" i="105"/>
  <c r="AO67" i="78"/>
  <c r="I9" i="78"/>
  <c r="M59" i="78"/>
  <c r="CK91" i="78"/>
  <c r="L50" i="78"/>
  <c r="W27" i="105"/>
  <c r="AF49" i="105"/>
  <c r="AN96" i="105"/>
  <c r="AS61" i="78"/>
  <c r="AQ29" i="78"/>
  <c r="Z35" i="105"/>
  <c r="AB10" i="78"/>
  <c r="AJ91" i="105"/>
  <c r="H29" i="105"/>
  <c r="DC45" i="78"/>
  <c r="W25" i="105"/>
  <c r="J10" i="78"/>
  <c r="DC79" i="78"/>
  <c r="AF67" i="78"/>
  <c r="CF81" i="78"/>
  <c r="AL68" i="105"/>
  <c r="AH92" i="78"/>
  <c r="CI98" i="78"/>
  <c r="I88" i="105"/>
  <c r="CK13" i="78"/>
  <c r="AG12" i="105"/>
  <c r="BW62" i="78"/>
  <c r="AN75" i="105"/>
  <c r="O248" i="59"/>
  <c r="DB91" i="78"/>
  <c r="AE65" i="78"/>
  <c r="I85" i="105"/>
  <c r="AN87" i="105"/>
  <c r="K121" i="59"/>
  <c r="N21" i="105"/>
  <c r="M348" i="59"/>
  <c r="AZ71" i="78"/>
  <c r="AH92" i="105"/>
  <c r="CS27" i="78"/>
  <c r="BQ66" i="78"/>
  <c r="AN91" i="78"/>
  <c r="BP13" i="78"/>
  <c r="F15" i="59"/>
  <c r="S37" i="78"/>
  <c r="AN62" i="78"/>
  <c r="K344" i="59"/>
  <c r="Z29" i="105"/>
  <c r="AI92" i="78"/>
  <c r="AS29" i="78"/>
  <c r="I103" i="59"/>
  <c r="W45" i="105"/>
  <c r="CF34" i="78"/>
  <c r="DC30" i="78"/>
  <c r="AL97" i="105"/>
  <c r="CF61" i="78"/>
  <c r="I123" i="59"/>
  <c r="K104" i="59"/>
  <c r="DB29" i="78"/>
  <c r="P18" i="78"/>
  <c r="T15" i="105"/>
  <c r="BT25" i="78"/>
  <c r="T41" i="105"/>
  <c r="T81" i="105"/>
  <c r="G70" i="105"/>
  <c r="AG46" i="105"/>
  <c r="H91" i="78"/>
  <c r="S63" i="105"/>
  <c r="P355" i="59"/>
  <c r="AY29" i="78"/>
  <c r="AP58" i="78"/>
  <c r="BH89" i="78"/>
  <c r="BO30" i="78"/>
  <c r="I22" i="105"/>
  <c r="L52" i="105"/>
  <c r="BW58" i="78"/>
  <c r="CR30" i="78"/>
  <c r="CF48" i="78"/>
  <c r="G65" i="78"/>
  <c r="AC96" i="78"/>
  <c r="L76" i="105"/>
  <c r="AM24" i="105"/>
  <c r="CK102" i="78"/>
  <c r="CY17" i="78"/>
  <c r="DA26" i="78"/>
  <c r="AY61" i="78"/>
  <c r="CN9" i="78"/>
  <c r="CU37" i="78"/>
  <c r="DC12" i="78"/>
  <c r="Z21" i="105"/>
  <c r="AJ58" i="78"/>
  <c r="AH20" i="105"/>
  <c r="CY27" i="78"/>
  <c r="M29" i="78"/>
  <c r="L70" i="105"/>
  <c r="AI91" i="105"/>
  <c r="P48" i="78"/>
  <c r="BB48" i="78"/>
  <c r="BS27" i="78"/>
  <c r="CO50" i="78"/>
  <c r="DD58" i="78"/>
  <c r="BZ81" i="78"/>
  <c r="BO48" i="78"/>
  <c r="X86" i="105"/>
  <c r="AS48" i="78"/>
  <c r="BO49" i="78"/>
  <c r="AL44" i="105"/>
  <c r="AL23" i="105"/>
  <c r="BH24" i="78"/>
  <c r="BB13" i="78"/>
  <c r="AG26" i="105"/>
  <c r="CH96" i="78"/>
  <c r="CE25" i="78"/>
  <c r="DD66" i="78"/>
  <c r="CJ37" i="78"/>
  <c r="AJ40" i="105"/>
  <c r="BT81" i="78"/>
  <c r="AI28" i="105"/>
  <c r="AH51" i="105"/>
  <c r="U69" i="105"/>
  <c r="AA37" i="78"/>
  <c r="AA26" i="78"/>
  <c r="AL36" i="105"/>
  <c r="AI36" i="105"/>
  <c r="AM47" i="105"/>
  <c r="BY50" i="78"/>
  <c r="AT24" i="78"/>
  <c r="CG10" i="78"/>
  <c r="AS45" i="78"/>
  <c r="X21" i="105"/>
  <c r="CJ67" i="78"/>
  <c r="N45" i="78"/>
  <c r="I34" i="78"/>
  <c r="K70" i="105"/>
  <c r="AL84" i="105"/>
  <c r="CG62" i="78"/>
  <c r="N65" i="78"/>
  <c r="CF103" i="78"/>
  <c r="Y68" i="105"/>
  <c r="J339" i="59"/>
  <c r="AD25" i="78"/>
  <c r="CF54" i="78"/>
  <c r="CX75" i="78"/>
  <c r="CB10" i="78"/>
  <c r="L327" i="59"/>
  <c r="F69" i="59"/>
  <c r="AC10" i="78"/>
  <c r="AO48" i="78"/>
  <c r="AG59" i="78"/>
  <c r="CM29" i="78"/>
  <c r="AZ53" i="78"/>
  <c r="M120" i="59"/>
  <c r="U39" i="105"/>
  <c r="M49" i="78"/>
  <c r="T30" i="78"/>
  <c r="CX61" i="78"/>
  <c r="CA75" i="78"/>
  <c r="CQ54" i="78"/>
  <c r="AZ96" i="78"/>
  <c r="CS48" i="78"/>
  <c r="CB65" i="78"/>
  <c r="DA92" i="78"/>
  <c r="N108" i="59"/>
  <c r="AN100" i="105"/>
  <c r="L337" i="59"/>
  <c r="BV71" i="78"/>
  <c r="DB50" i="78"/>
  <c r="CA24" i="78"/>
  <c r="M67" i="105"/>
  <c r="CV60" i="78"/>
  <c r="P50" i="78"/>
  <c r="BZ25" i="78"/>
  <c r="M16" i="105"/>
  <c r="F68" i="105"/>
  <c r="L103" i="59"/>
  <c r="AD81" i="78"/>
  <c r="CP67" i="78"/>
  <c r="CW92" i="78"/>
  <c r="AT37" i="78"/>
  <c r="CB57" i="78"/>
  <c r="L45" i="105"/>
  <c r="W62" i="105"/>
  <c r="BU21" i="78"/>
  <c r="AY102" i="78"/>
  <c r="Z71" i="78"/>
  <c r="AF26" i="78"/>
  <c r="BS98" i="78"/>
  <c r="AI32" i="105"/>
  <c r="CM17" i="78"/>
  <c r="AU57" i="78"/>
  <c r="AW53" i="78"/>
  <c r="CF12" i="78"/>
  <c r="H81" i="105"/>
  <c r="CE12" i="78"/>
  <c r="CR54" i="78"/>
  <c r="F104" i="59"/>
  <c r="AA45" i="105"/>
  <c r="T18" i="78"/>
  <c r="G64" i="105"/>
  <c r="L28" i="105"/>
  <c r="BP98" i="78"/>
  <c r="AP92" i="78"/>
  <c r="F9" i="59"/>
  <c r="Y21" i="78"/>
  <c r="W41" i="105"/>
  <c r="V85" i="105"/>
  <c r="S89" i="105"/>
  <c r="AG17" i="78"/>
  <c r="I74" i="105"/>
  <c r="AF24" i="78"/>
  <c r="AS34" i="78"/>
  <c r="AA66" i="105"/>
  <c r="CZ54" i="78"/>
  <c r="O34" i="78"/>
  <c r="BZ59" i="78"/>
  <c r="N86" i="105"/>
  <c r="CH24" i="78"/>
  <c r="DB9" i="78"/>
  <c r="L61" i="105"/>
  <c r="CQ37" i="78"/>
  <c r="CD34" i="78"/>
  <c r="BE102" i="78"/>
  <c r="AM75" i="78"/>
  <c r="S70" i="105"/>
  <c r="J95" i="105"/>
  <c r="H303" i="59"/>
  <c r="BI75" i="78"/>
  <c r="CP17" i="78"/>
  <c r="V21" i="78"/>
  <c r="Y45" i="105"/>
  <c r="U91" i="105"/>
  <c r="H37" i="78"/>
  <c r="S10" i="78"/>
  <c r="N18" i="105"/>
  <c r="L37" i="78"/>
  <c r="T66" i="105"/>
  <c r="AF62" i="105"/>
  <c r="AZ91" i="78"/>
  <c r="X23" i="105"/>
  <c r="AU37" i="78"/>
  <c r="AS75" i="78"/>
  <c r="BH58" i="78"/>
  <c r="AR18" i="78"/>
  <c r="CV9" i="78"/>
  <c r="CP54" i="78"/>
  <c r="CY13" i="78"/>
  <c r="X58" i="78"/>
  <c r="G40" i="105"/>
  <c r="AM98" i="78"/>
  <c r="T44" i="105"/>
  <c r="N76" i="105"/>
  <c r="DE10" i="78"/>
  <c r="CO62" i="78"/>
  <c r="BR61" i="78"/>
  <c r="S57" i="78"/>
  <c r="BX57" i="78"/>
  <c r="BT62" i="78"/>
  <c r="AD12" i="78"/>
  <c r="T65" i="78"/>
  <c r="AR102" i="78"/>
  <c r="AX92" i="78"/>
  <c r="AX62" i="78"/>
  <c r="BP67" i="78"/>
  <c r="CS89" i="78"/>
  <c r="BA59" i="78"/>
  <c r="I326" i="59"/>
  <c r="V12" i="78"/>
  <c r="DE103" i="78"/>
  <c r="AI64" i="105"/>
  <c r="O127" i="59"/>
  <c r="CS50" i="78"/>
  <c r="AS89" i="78"/>
  <c r="AL46" i="105"/>
  <c r="X15" i="105"/>
  <c r="CP102" i="78"/>
  <c r="U19" i="105"/>
  <c r="CW60" i="78"/>
  <c r="H93" i="105"/>
  <c r="AX21" i="78"/>
  <c r="DD54" i="78"/>
  <c r="AS17" i="78"/>
  <c r="AK40" i="105"/>
  <c r="G87" i="105"/>
  <c r="O353" i="59"/>
  <c r="G21" i="105"/>
  <c r="CH25" i="78"/>
  <c r="AG62" i="105"/>
  <c r="AD50" i="78"/>
  <c r="Y27" i="78"/>
  <c r="AF62" i="78"/>
  <c r="L311" i="59"/>
  <c r="AG94" i="105"/>
  <c r="AF10" i="78"/>
  <c r="AT75" i="78"/>
  <c r="AO26" i="78"/>
  <c r="AH62" i="78"/>
  <c r="CW49" i="78"/>
  <c r="I29" i="105"/>
  <c r="L303" i="59"/>
  <c r="BV48" i="78"/>
  <c r="S40" i="105"/>
  <c r="BD60" i="78"/>
  <c r="AV67" i="78"/>
  <c r="AH100" i="105"/>
  <c r="DE102" i="78"/>
  <c r="V92" i="105"/>
  <c r="AS9" i="78"/>
  <c r="N122" i="59"/>
  <c r="G69" i="105"/>
  <c r="S64" i="105"/>
  <c r="CN27" i="78"/>
  <c r="AG42" i="105"/>
  <c r="CL79" i="78"/>
  <c r="AA28" i="105"/>
  <c r="AL43" i="105"/>
  <c r="U28" i="105"/>
  <c r="AC26" i="78"/>
  <c r="AA87" i="105"/>
  <c r="AY12" i="78"/>
  <c r="M124" i="59"/>
  <c r="L127" i="59"/>
  <c r="CH60" i="78"/>
  <c r="AI24" i="78"/>
  <c r="L336" i="59"/>
  <c r="T52" i="105"/>
  <c r="AN94" i="105"/>
  <c r="W18" i="105"/>
  <c r="BW60" i="78"/>
  <c r="DE89" i="78"/>
  <c r="AT12" i="78"/>
  <c r="AP57" i="78"/>
  <c r="AQ66" i="78"/>
  <c r="N29" i="105"/>
  <c r="F50" i="105"/>
  <c r="AG68" i="105"/>
  <c r="V37" i="78"/>
  <c r="M89" i="105"/>
  <c r="X74" i="105"/>
  <c r="BV98" i="78"/>
  <c r="CW98" i="78"/>
  <c r="CK67" i="78"/>
  <c r="AL65" i="105"/>
  <c r="CO12" i="78"/>
  <c r="L339" i="59"/>
  <c r="M92" i="78"/>
  <c r="BX30" i="78"/>
  <c r="J13" i="78"/>
  <c r="CT29" i="78"/>
  <c r="W62" i="78"/>
  <c r="M34" i="78"/>
  <c r="BA58" i="78"/>
  <c r="V65" i="78"/>
  <c r="L353" i="59"/>
  <c r="AN61" i="78"/>
  <c r="CV26" i="78"/>
  <c r="AL94" i="105"/>
  <c r="J83" i="105"/>
  <c r="AR91" i="78"/>
  <c r="AI15" i="105"/>
  <c r="CL26" i="78"/>
  <c r="BE98" i="78"/>
  <c r="CQ59" i="78"/>
  <c r="M64" i="105"/>
  <c r="DE75" i="78"/>
  <c r="G36" i="105"/>
  <c r="AR92" i="78"/>
  <c r="G47" i="105"/>
  <c r="CL81" i="78"/>
  <c r="J34" i="105"/>
  <c r="X25" i="105"/>
  <c r="CL75" i="78"/>
  <c r="BE29" i="78"/>
  <c r="CY53" i="78"/>
  <c r="AB25" i="78"/>
  <c r="I81" i="105"/>
  <c r="CM65" i="78"/>
  <c r="L18" i="105"/>
  <c r="D357" i="59"/>
  <c r="K15" i="105"/>
  <c r="Z92" i="105"/>
  <c r="I328" i="59"/>
  <c r="J89" i="78"/>
  <c r="BB18" i="78"/>
  <c r="N41" i="105"/>
  <c r="I29" i="78"/>
  <c r="X13" i="105"/>
  <c r="X20" i="105"/>
  <c r="CG66" i="78"/>
  <c r="CJ53" i="78"/>
  <c r="Y79" i="78"/>
  <c r="CE57" i="78"/>
  <c r="CM102" i="78"/>
  <c r="BV81" i="78"/>
  <c r="AM65" i="105"/>
  <c r="H338" i="59"/>
  <c r="H74" i="105"/>
  <c r="H308" i="59"/>
  <c r="CT30" i="78"/>
  <c r="O59" i="78"/>
  <c r="AR89" i="78"/>
  <c r="AC24" i="78"/>
  <c r="W84" i="105"/>
  <c r="AR61" i="78"/>
  <c r="DC103" i="78"/>
  <c r="F76" i="105"/>
  <c r="CI71" i="78"/>
  <c r="BB25" i="78"/>
  <c r="O339" i="59"/>
  <c r="AA15" i="105"/>
  <c r="U70" i="105"/>
  <c r="CD50" i="78"/>
  <c r="AN79" i="78"/>
  <c r="Z19" i="105"/>
  <c r="AW71" i="78"/>
  <c r="J9" i="78"/>
  <c r="AQ89" i="78"/>
  <c r="CI62" i="78"/>
  <c r="AE71" i="78"/>
  <c r="S92" i="105"/>
  <c r="BX103" i="78"/>
  <c r="X35" i="105"/>
  <c r="BU60" i="78"/>
  <c r="BQ65" i="78"/>
  <c r="U65" i="78"/>
  <c r="CW61" i="78"/>
  <c r="V29" i="78"/>
  <c r="M60" i="78"/>
  <c r="BD50" i="78"/>
  <c r="V62" i="78"/>
  <c r="O328" i="59"/>
  <c r="AE57" i="78"/>
  <c r="CS71" i="78"/>
  <c r="AJ29" i="78"/>
  <c r="CF9" i="78"/>
  <c r="BV89" i="78"/>
  <c r="I27" i="105"/>
  <c r="F72" i="105"/>
  <c r="AG45" i="105"/>
  <c r="AF54" i="78"/>
  <c r="BY66" i="78"/>
  <c r="BA65" i="78"/>
  <c r="BY10" i="78"/>
  <c r="AM23" i="105"/>
  <c r="T90" i="105"/>
  <c r="CM18" i="78"/>
  <c r="CS25" i="78"/>
  <c r="AI59" i="78"/>
  <c r="AJ24" i="78"/>
  <c r="AJ44" i="105"/>
  <c r="I39" i="105"/>
  <c r="AB98" i="78"/>
  <c r="DF37" i="78"/>
  <c r="AA25" i="78"/>
  <c r="X72" i="105"/>
  <c r="CT50" i="78"/>
  <c r="CA62" i="78"/>
  <c r="AG59" i="105"/>
  <c r="CB12" i="78"/>
  <c r="H125" i="59"/>
  <c r="U92" i="78"/>
  <c r="M338" i="59"/>
  <c r="DF66" i="78"/>
  <c r="Y66" i="105"/>
  <c r="K50" i="105"/>
  <c r="T49" i="78"/>
  <c r="CI18" i="78"/>
  <c r="BH61" i="78"/>
  <c r="BH49" i="78"/>
  <c r="AN53" i="105"/>
  <c r="CQ17" i="78"/>
  <c r="Z90" i="105"/>
  <c r="DC24" i="78"/>
  <c r="CM57" i="78"/>
  <c r="CJ25" i="78"/>
  <c r="CG34" i="78"/>
  <c r="CE37" i="78"/>
  <c r="U82" i="105"/>
  <c r="L93" i="105"/>
  <c r="T24" i="78"/>
  <c r="CD98" i="78"/>
  <c r="N121" i="59"/>
  <c r="T66" i="78"/>
  <c r="W71" i="78"/>
  <c r="CH17" i="78"/>
  <c r="N95" i="105"/>
  <c r="CJ10" i="78"/>
  <c r="T18" i="105"/>
  <c r="Z98" i="78"/>
  <c r="CS12" i="78"/>
  <c r="U75" i="78"/>
  <c r="AP48" i="78"/>
  <c r="AI96" i="105"/>
  <c r="CB79" i="78"/>
  <c r="BE54" i="78"/>
  <c r="AL27" i="105"/>
  <c r="CM67" i="78"/>
  <c r="CP48" i="78"/>
  <c r="DF61" i="78"/>
  <c r="AB13" i="78"/>
  <c r="P98" i="78"/>
  <c r="AI16" i="105"/>
  <c r="AE18" i="78"/>
  <c r="AI53" i="78"/>
  <c r="DD18" i="78"/>
  <c r="AF60" i="78"/>
  <c r="N355" i="59"/>
  <c r="AC75" i="78"/>
  <c r="DE24" i="78"/>
  <c r="DB27" i="78"/>
  <c r="N42" i="105"/>
  <c r="U57" i="78"/>
  <c r="AG89" i="105"/>
  <c r="G95" i="105"/>
  <c r="DD45" i="78"/>
  <c r="U99" i="105"/>
  <c r="AG60" i="105"/>
  <c r="G23" i="105"/>
  <c r="DB81" i="78"/>
  <c r="AN71" i="78"/>
  <c r="P67" i="78"/>
  <c r="H309" i="59"/>
  <c r="Q326" i="59"/>
  <c r="AU66" i="78"/>
  <c r="O102" i="78"/>
  <c r="M50" i="105"/>
  <c r="BC37" i="78"/>
  <c r="L75" i="78"/>
  <c r="Z29" i="78"/>
  <c r="AC102" i="78"/>
  <c r="N107" i="59"/>
  <c r="AZ81" i="78"/>
  <c r="J97" i="105"/>
  <c r="AI23" i="105"/>
  <c r="N40" i="105"/>
  <c r="BB98" i="78"/>
  <c r="AI18" i="105"/>
  <c r="M24" i="78"/>
  <c r="S17" i="78"/>
  <c r="BW96" i="78"/>
  <c r="DF71" i="78"/>
  <c r="DC29" i="78"/>
  <c r="BI71" i="78"/>
  <c r="O309" i="59"/>
  <c r="CA12" i="78"/>
  <c r="K106" i="59"/>
  <c r="G57" i="78"/>
  <c r="BX58" i="78"/>
  <c r="DF29" i="78"/>
  <c r="AQ60" i="78"/>
  <c r="AF70" i="105"/>
  <c r="CD62" i="78"/>
  <c r="CS91" i="78"/>
  <c r="CE10" i="78"/>
  <c r="K82" i="105"/>
  <c r="AA62" i="78"/>
  <c r="CF37" i="78"/>
  <c r="CM81" i="78"/>
  <c r="K124" i="59"/>
  <c r="CW17" i="78"/>
  <c r="CS59" i="78"/>
  <c r="CG58" i="78"/>
  <c r="BB75" i="78"/>
  <c r="AM10" i="78"/>
  <c r="CF24" i="78"/>
  <c r="CE75" i="78"/>
  <c r="J104" i="59"/>
  <c r="BS30" i="78"/>
  <c r="Y60" i="78"/>
  <c r="T37" i="105"/>
  <c r="BU75" i="78"/>
  <c r="AU61" i="78"/>
  <c r="AH81" i="105"/>
  <c r="V29" i="105"/>
  <c r="Q122" i="59"/>
  <c r="AT66" i="78"/>
  <c r="BC79" i="78"/>
  <c r="L86" i="105"/>
  <c r="CO67" i="78"/>
  <c r="G60" i="105"/>
  <c r="W69" i="105"/>
  <c r="AK66" i="105"/>
  <c r="K248" i="59"/>
  <c r="S65" i="78"/>
  <c r="CE61" i="78"/>
  <c r="DA9" i="78"/>
  <c r="DD102" i="78"/>
  <c r="O336" i="59"/>
  <c r="X54" i="78"/>
  <c r="BQ24" i="78"/>
  <c r="BB67" i="78"/>
  <c r="BE53" i="78"/>
  <c r="BX89" i="78"/>
  <c r="AJ13" i="78"/>
  <c r="DE13" i="78"/>
  <c r="W10" i="78"/>
  <c r="AJ96" i="105"/>
  <c r="AU45" i="78"/>
  <c r="Y81" i="105"/>
  <c r="AE59" i="78"/>
  <c r="CJ60" i="78"/>
  <c r="G102" i="78"/>
  <c r="J306" i="59"/>
  <c r="X49" i="78"/>
  <c r="AV58" i="78"/>
  <c r="AV45" i="78"/>
  <c r="N338" i="59"/>
  <c r="K305" i="59"/>
  <c r="I62" i="105"/>
  <c r="CV98" i="78"/>
  <c r="AC27" i="78"/>
  <c r="J47" i="105"/>
  <c r="AV27" i="78"/>
  <c r="AF12" i="105"/>
  <c r="V17" i="78"/>
  <c r="CU25" i="78"/>
  <c r="CF49" i="78"/>
  <c r="L331" i="59"/>
  <c r="CX81" i="78"/>
  <c r="AL62" i="105"/>
  <c r="AL75" i="105"/>
  <c r="BP29" i="78"/>
  <c r="AO10" i="78"/>
  <c r="CW30" i="78"/>
  <c r="DF50" i="78"/>
  <c r="F14" i="105"/>
  <c r="BW50" i="78"/>
  <c r="BA25" i="78"/>
  <c r="BR17" i="78"/>
  <c r="L90" i="105"/>
  <c r="W61" i="105"/>
  <c r="CG79" i="78"/>
  <c r="AS81" i="78"/>
  <c r="K37" i="78"/>
  <c r="G49" i="78"/>
  <c r="AF44" i="105"/>
  <c r="AR81" i="78"/>
  <c r="M65" i="78"/>
  <c r="BU30" i="78"/>
  <c r="BW25" i="78"/>
  <c r="DF57" i="78"/>
  <c r="AI78" i="105"/>
  <c r="P108" i="59"/>
  <c r="J87" i="105"/>
  <c r="AT10" i="78"/>
  <c r="BW54" i="78"/>
  <c r="BH59" i="78"/>
  <c r="CA53" i="78"/>
  <c r="CG13" i="78"/>
  <c r="Z48" i="78"/>
  <c r="BY30" i="78"/>
  <c r="CH27" i="78"/>
  <c r="CT89" i="78"/>
  <c r="AN38" i="105"/>
  <c r="CE67" i="78"/>
  <c r="P65" i="78"/>
  <c r="F62" i="59"/>
  <c r="BB91" i="78"/>
  <c r="J39" i="105"/>
  <c r="AM74" i="105"/>
  <c r="K304" i="59"/>
  <c r="BX26" i="78"/>
  <c r="L124" i="59"/>
  <c r="CD21" i="78"/>
  <c r="AJ30" i="78"/>
  <c r="L43" i="105"/>
  <c r="AW17" i="78"/>
  <c r="J17" i="78"/>
  <c r="CN12" i="78"/>
  <c r="CM50" i="78"/>
  <c r="AX96" i="78"/>
  <c r="S73" i="105"/>
  <c r="M93" i="105"/>
  <c r="U48" i="105"/>
  <c r="BZ26" i="78"/>
  <c r="AT9" i="78"/>
  <c r="CM103" i="78"/>
  <c r="AO53" i="78"/>
  <c r="AN18" i="78"/>
  <c r="AN49" i="78"/>
  <c r="M306" i="59"/>
  <c r="CN50" i="78"/>
  <c r="AH63" i="105"/>
  <c r="AR96" i="78"/>
  <c r="M10" i="78"/>
  <c r="AJ74" i="105"/>
  <c r="CA10" i="78"/>
  <c r="AX29" i="78"/>
  <c r="P25" i="78"/>
  <c r="G29" i="78"/>
  <c r="CA66" i="78"/>
  <c r="BZ96" i="78"/>
  <c r="J13" i="105"/>
  <c r="BA17" i="78"/>
  <c r="Z54" i="78"/>
  <c r="H18" i="105"/>
  <c r="M303" i="59"/>
  <c r="AX89" i="78"/>
  <c r="BW18" i="78"/>
  <c r="H88" i="105"/>
  <c r="AT102" i="78"/>
  <c r="BD48" i="78"/>
  <c r="I106" i="59"/>
  <c r="BA27" i="78"/>
  <c r="AG78" i="105"/>
  <c r="AB37" i="78"/>
  <c r="AT29" i="78"/>
  <c r="BQ89" i="78"/>
  <c r="P61" i="78"/>
  <c r="BR75" i="78"/>
  <c r="AA17" i="78"/>
  <c r="BY67" i="78"/>
  <c r="CS24" i="78"/>
  <c r="AM49" i="78"/>
  <c r="CY54" i="78"/>
  <c r="CB58" i="78"/>
  <c r="I17" i="105"/>
  <c r="AH34" i="105"/>
  <c r="AM21" i="105"/>
  <c r="H22" i="105"/>
  <c r="J353" i="59"/>
  <c r="G45" i="105"/>
  <c r="DF89" i="78"/>
  <c r="AK36" i="105"/>
  <c r="AB45" i="78"/>
  <c r="CB50" i="78"/>
  <c r="DA30" i="78"/>
  <c r="Z43" i="105"/>
  <c r="AS21" i="78"/>
  <c r="CD10" i="78"/>
  <c r="AN74" i="105"/>
  <c r="J110" i="59"/>
  <c r="AK21" i="105"/>
  <c r="AI54" i="78"/>
  <c r="Q306" i="59"/>
  <c r="L59" i="78"/>
  <c r="AG18" i="105"/>
  <c r="N309" i="59"/>
  <c r="CR45" i="78"/>
  <c r="H81" i="78"/>
  <c r="AE9" i="78"/>
  <c r="BZ12" i="78"/>
  <c r="DA103" i="78"/>
  <c r="CK45" i="78"/>
  <c r="BV27" i="78"/>
  <c r="K65" i="105"/>
  <c r="AA21" i="78"/>
  <c r="CL29" i="78"/>
  <c r="CY89" i="78"/>
  <c r="BE59" i="78"/>
  <c r="CS60" i="78"/>
  <c r="L121" i="59"/>
  <c r="V24" i="78"/>
  <c r="L305" i="59"/>
  <c r="BO26" i="78"/>
  <c r="BS79" i="78"/>
  <c r="BV24" i="78"/>
  <c r="J127" i="59"/>
  <c r="AL85" i="105"/>
  <c r="CJ89" i="78"/>
  <c r="CQ71" i="78"/>
  <c r="AM37" i="105"/>
  <c r="AH23" i="105"/>
  <c r="N58" i="78"/>
  <c r="K122" i="59"/>
  <c r="BQ75" i="78"/>
  <c r="DB53" i="78"/>
  <c r="AH46" i="105"/>
  <c r="CZ21" i="78"/>
  <c r="AL38" i="105"/>
  <c r="CF92" i="78"/>
  <c r="H54" i="78"/>
  <c r="G41" i="105"/>
  <c r="G94" i="105"/>
  <c r="D352" i="59"/>
  <c r="CL57" i="78"/>
  <c r="F53" i="59"/>
  <c r="M48" i="78"/>
  <c r="BD66" i="78"/>
  <c r="AK17" i="105"/>
  <c r="CR67" i="78"/>
  <c r="CU12" i="78"/>
  <c r="AN21" i="78"/>
  <c r="M27" i="78"/>
  <c r="AY34" i="78"/>
  <c r="S13" i="105"/>
  <c r="CQ25" i="78"/>
  <c r="K84" i="105"/>
  <c r="AH13" i="105"/>
  <c r="CE98" i="78"/>
  <c r="BT65" i="78"/>
  <c r="AQ50" i="78"/>
  <c r="AW27" i="78"/>
  <c r="BW67" i="78"/>
  <c r="Q108" i="59"/>
  <c r="M328" i="59"/>
  <c r="CU49" i="78"/>
  <c r="CW29" i="78"/>
  <c r="CA37" i="78"/>
  <c r="AN13" i="105"/>
  <c r="BS48" i="78"/>
  <c r="Y49" i="78"/>
  <c r="M339" i="59"/>
  <c r="BV57" i="78"/>
  <c r="J105" i="59"/>
  <c r="AP18" i="78"/>
  <c r="J337" i="59"/>
  <c r="BT17" i="78"/>
  <c r="CD65" i="78"/>
  <c r="AA91" i="78"/>
  <c r="I45" i="105"/>
  <c r="CG54" i="78"/>
  <c r="AF71" i="78"/>
  <c r="I66" i="78"/>
  <c r="AF27" i="78"/>
  <c r="S69" i="105"/>
  <c r="F65" i="105"/>
  <c r="AN66" i="105"/>
  <c r="K26" i="105"/>
  <c r="AX13" i="78"/>
  <c r="AZ57" i="78"/>
  <c r="J91" i="78"/>
  <c r="Y92" i="78"/>
  <c r="AF87" i="105"/>
  <c r="AG38" i="105"/>
  <c r="X83" i="105"/>
  <c r="BA102" i="78"/>
  <c r="DC62" i="78"/>
  <c r="I21" i="78"/>
  <c r="G65" i="105"/>
  <c r="Z67" i="78"/>
  <c r="M45" i="105"/>
  <c r="N110" i="59"/>
  <c r="BQ59" i="78"/>
  <c r="AN81" i="78"/>
  <c r="CM91" i="78"/>
  <c r="AJ87" i="105"/>
  <c r="AF92" i="105"/>
  <c r="N83" i="105"/>
  <c r="BO58" i="78"/>
  <c r="V45" i="78"/>
  <c r="N327" i="59"/>
  <c r="BQ103" i="78"/>
  <c r="J124" i="59"/>
  <c r="N46" i="105"/>
  <c r="AA39" i="105"/>
  <c r="Z13" i="78"/>
  <c r="CW34" i="78"/>
  <c r="N102" i="59"/>
  <c r="BV37" i="78"/>
  <c r="K24" i="78"/>
  <c r="W85" i="105"/>
  <c r="P348" i="59"/>
  <c r="AD53" i="78"/>
  <c r="BW53" i="78"/>
  <c r="N305" i="59"/>
  <c r="AE13" i="78"/>
  <c r="P332" i="59"/>
  <c r="L21" i="105"/>
  <c r="S75" i="105"/>
  <c r="G21" i="78"/>
  <c r="AZ61" i="78"/>
  <c r="X75" i="78"/>
  <c r="V21" i="105"/>
  <c r="M357" i="59"/>
  <c r="Z45" i="78"/>
  <c r="I12" i="78"/>
  <c r="CU10" i="78"/>
  <c r="AF51" i="105"/>
  <c r="O98" i="78"/>
  <c r="AZ30" i="78"/>
  <c r="Y16" i="105"/>
  <c r="H25" i="78"/>
  <c r="CC67" i="78"/>
  <c r="CP66" i="78"/>
  <c r="M81" i="105"/>
  <c r="L45" i="78"/>
  <c r="Z91" i="105"/>
  <c r="G66" i="78"/>
  <c r="AH30" i="78"/>
  <c r="BY60" i="78"/>
  <c r="J79" i="78"/>
  <c r="Q344" i="59"/>
  <c r="AN93" i="105"/>
  <c r="BC24" i="78"/>
  <c r="CI102" i="78"/>
  <c r="AW13" i="78"/>
  <c r="BB50" i="78"/>
  <c r="AM81" i="105"/>
  <c r="AX37" i="78"/>
  <c r="M336" i="59"/>
  <c r="CP96" i="78"/>
  <c r="S25" i="78"/>
  <c r="CP18" i="78"/>
  <c r="G37" i="105"/>
  <c r="BA18" i="78"/>
  <c r="BH66" i="78"/>
  <c r="J70" i="105"/>
  <c r="Z96" i="78"/>
  <c r="CE92" i="78"/>
  <c r="K47" i="105"/>
  <c r="BD25" i="78"/>
  <c r="AI80" i="105"/>
  <c r="W79" i="78"/>
  <c r="CE103" i="78"/>
  <c r="N25" i="78"/>
  <c r="CB81" i="78"/>
  <c r="AG28" i="105"/>
  <c r="AL87" i="105"/>
  <c r="I309" i="59"/>
  <c r="I35" i="105"/>
  <c r="CK9" i="78"/>
  <c r="Y99" i="105"/>
  <c r="H34" i="78"/>
  <c r="U29" i="105"/>
  <c r="X65" i="105"/>
  <c r="AF41" i="105"/>
  <c r="Y64" i="105"/>
  <c r="CW25" i="78"/>
  <c r="CC50" i="78"/>
  <c r="M42" i="105"/>
  <c r="AA79" i="78"/>
  <c r="CB45" i="78"/>
  <c r="AA22" i="105"/>
  <c r="AF28" i="105"/>
  <c r="AH60" i="78"/>
  <c r="AA42" i="105"/>
  <c r="D343" i="59"/>
  <c r="BE61" i="78"/>
  <c r="CN102" i="78"/>
  <c r="X57" i="78"/>
  <c r="CC60" i="78"/>
  <c r="L10" i="78"/>
  <c r="Y76" i="105"/>
  <c r="AK33" i="105"/>
  <c r="AG24" i="105"/>
  <c r="T25" i="105"/>
  <c r="K43" i="105"/>
  <c r="O331" i="59"/>
  <c r="CK89" i="78"/>
  <c r="CL24" i="78"/>
  <c r="H67" i="105"/>
  <c r="X18" i="105"/>
  <c r="AL33" i="105"/>
  <c r="O67" i="78"/>
  <c r="AF21" i="78"/>
  <c r="AJ93" i="105"/>
  <c r="N53" i="78"/>
  <c r="G62" i="105"/>
  <c r="BO17" i="78"/>
  <c r="CN58" i="78"/>
  <c r="DB75" i="78"/>
  <c r="AS60" i="78"/>
  <c r="F48" i="105"/>
  <c r="AM53" i="78"/>
  <c r="AW21" i="78"/>
  <c r="CJ102" i="78"/>
  <c r="CM71" i="78"/>
  <c r="V34" i="105"/>
  <c r="AV10" i="78"/>
  <c r="F67" i="59"/>
  <c r="BH18" i="78"/>
  <c r="Y48" i="105"/>
  <c r="CK66" i="78"/>
  <c r="N28" i="105"/>
  <c r="CJ24" i="78"/>
  <c r="AI66" i="78"/>
  <c r="H329" i="59"/>
  <c r="AY91" i="78"/>
  <c r="AJ19" i="105"/>
  <c r="AN97" i="105"/>
  <c r="P53" i="78"/>
  <c r="Q330" i="59"/>
  <c r="I58" i="78"/>
  <c r="K231" i="59"/>
  <c r="O81" i="78"/>
  <c r="W91" i="105"/>
  <c r="DE65" i="78"/>
  <c r="M337" i="59"/>
  <c r="AJ23" i="105"/>
  <c r="Q301" i="59"/>
  <c r="CP98" i="78"/>
  <c r="AG20" i="105"/>
  <c r="U15" i="105"/>
  <c r="AM80" i="105"/>
  <c r="CZ75" i="78"/>
  <c r="Z58" i="78"/>
  <c r="J98" i="78"/>
  <c r="U59" i="78"/>
  <c r="AH18" i="78"/>
  <c r="CV18" i="78"/>
  <c r="V28" i="105"/>
  <c r="BE48" i="78"/>
  <c r="AN13" i="78"/>
  <c r="AL51" i="105"/>
  <c r="K66" i="78"/>
  <c r="AI68" i="105"/>
  <c r="N357" i="59"/>
  <c r="CA67" i="78"/>
  <c r="AX58" i="78"/>
  <c r="AY92" i="78"/>
  <c r="H41" i="105"/>
  <c r="K35" i="105"/>
  <c r="U26" i="105"/>
  <c r="O307" i="59"/>
  <c r="BU103" i="78"/>
  <c r="BO21" i="78"/>
  <c r="CD45" i="78"/>
  <c r="CU89" i="78"/>
  <c r="M62" i="105"/>
  <c r="BD10" i="78"/>
  <c r="BB102" i="78"/>
  <c r="H336" i="59"/>
  <c r="AK18" i="105"/>
  <c r="AG26" i="78"/>
  <c r="CK30" i="78"/>
  <c r="U74" i="105"/>
  <c r="AU79" i="78"/>
  <c r="Q332" i="59"/>
  <c r="AH34" i="78"/>
  <c r="AZ62" i="78"/>
  <c r="CP57" i="78"/>
  <c r="BP59" i="78"/>
  <c r="CU60" i="78"/>
  <c r="CH75" i="78"/>
  <c r="Z9" i="78"/>
  <c r="BY26" i="78"/>
  <c r="CU34" i="78"/>
  <c r="O306" i="59"/>
  <c r="BH48" i="78"/>
  <c r="CI48" i="78"/>
  <c r="AL39" i="105"/>
  <c r="CE60" i="78"/>
  <c r="AS53" i="78"/>
  <c r="CO54" i="78"/>
  <c r="W19" i="105"/>
  <c r="BT79" i="78"/>
  <c r="AX65" i="78"/>
  <c r="I89" i="78"/>
  <c r="AH53" i="78"/>
  <c r="CP26" i="78"/>
  <c r="K96" i="78"/>
  <c r="BP24" i="78"/>
  <c r="CR92" i="78"/>
  <c r="CX62" i="78"/>
  <c r="CL71" i="78"/>
  <c r="BR66" i="78"/>
  <c r="AI38" i="105"/>
  <c r="CG92" i="78"/>
  <c r="BT98" i="78"/>
  <c r="AK78" i="105"/>
  <c r="CL66" i="78"/>
  <c r="AQ37" i="78"/>
  <c r="CE50" i="78"/>
  <c r="CO102" i="78"/>
  <c r="AV12" i="78"/>
  <c r="AZ89" i="78"/>
  <c r="AQ79" i="78"/>
  <c r="BH91" i="78"/>
  <c r="K60" i="78"/>
  <c r="T21" i="78"/>
  <c r="CJ62" i="78"/>
  <c r="AF68" i="105"/>
  <c r="J19" i="105"/>
  <c r="AJ50" i="78"/>
  <c r="BH67" i="78"/>
  <c r="K89" i="78"/>
  <c r="BQ10" i="78"/>
  <c r="CV96" i="78"/>
  <c r="DB61" i="78"/>
  <c r="AH61" i="78"/>
  <c r="BH26" i="78"/>
  <c r="CY71" i="78"/>
  <c r="H73" i="105"/>
  <c r="BQ29" i="78"/>
  <c r="V27" i="78"/>
  <c r="CZ65" i="78"/>
  <c r="H332" i="59"/>
  <c r="N18" i="78"/>
  <c r="AF40" i="105"/>
  <c r="H13" i="78"/>
  <c r="AH24" i="78"/>
  <c r="DA60" i="78"/>
  <c r="AU98" i="78"/>
  <c r="AD49" i="78"/>
  <c r="DD81" i="78"/>
  <c r="AG74" i="105"/>
  <c r="K348" i="59"/>
  <c r="AL40" i="105"/>
  <c r="CG48" i="78"/>
  <c r="AS58" i="78"/>
  <c r="BY75" i="78"/>
  <c r="CL98" i="78"/>
  <c r="BZ98" i="78"/>
  <c r="CP92" i="78"/>
  <c r="N332" i="59"/>
  <c r="I26" i="78"/>
  <c r="U45" i="105"/>
  <c r="U94" i="105"/>
  <c r="DE53" i="78"/>
  <c r="AS66" i="78"/>
  <c r="Z18" i="105"/>
  <c r="BP61" i="78"/>
  <c r="K39" i="105"/>
  <c r="CW59" i="78"/>
  <c r="Q101" i="59"/>
  <c r="T67" i="78"/>
  <c r="CJ49" i="78"/>
  <c r="X67" i="105"/>
  <c r="AE92" i="78"/>
  <c r="DF17" i="78"/>
  <c r="CZ59" i="78"/>
  <c r="AH70" i="105"/>
  <c r="W22" i="105"/>
  <c r="AN86" i="105"/>
  <c r="Z61" i="78"/>
  <c r="J88" i="105"/>
  <c r="K97" i="105"/>
  <c r="BU57" i="78"/>
  <c r="G84" i="105"/>
  <c r="AF37" i="78"/>
  <c r="AN48" i="78"/>
  <c r="CQ50" i="78"/>
  <c r="W65" i="78"/>
  <c r="AP96" i="78"/>
  <c r="CB25" i="78"/>
  <c r="H24" i="78"/>
  <c r="CN18" i="78"/>
  <c r="BE92" i="78"/>
  <c r="I348" i="59"/>
  <c r="F52" i="105"/>
  <c r="CO29" i="78"/>
  <c r="BP75" i="78"/>
  <c r="Y23" i="105"/>
  <c r="CL60" i="78"/>
  <c r="AH45" i="105"/>
  <c r="J66" i="105"/>
  <c r="AF18" i="105"/>
  <c r="AH97" i="105"/>
  <c r="BB37" i="78"/>
  <c r="AM18" i="105"/>
  <c r="AB29" i="78"/>
  <c r="AD91" i="78"/>
  <c r="U54" i="78"/>
  <c r="X75" i="105"/>
  <c r="DA25" i="78"/>
  <c r="J40" i="105"/>
  <c r="CJ57" i="78"/>
  <c r="M65" i="105"/>
  <c r="AA93" i="105"/>
  <c r="K17" i="78"/>
  <c r="AG35" i="105"/>
  <c r="M62" i="78"/>
  <c r="BZ13" i="78"/>
  <c r="O110" i="59"/>
  <c r="AX81" i="78"/>
  <c r="AD59" i="78"/>
  <c r="AA76" i="105"/>
  <c r="AW54" i="78"/>
  <c r="AX67" i="78"/>
  <c r="J123" i="59"/>
  <c r="AG87" i="105"/>
  <c r="AD27" i="78"/>
  <c r="AN15" i="105"/>
  <c r="M60" i="105"/>
  <c r="X48" i="78"/>
  <c r="H301" i="59"/>
  <c r="CZ81" i="78"/>
  <c r="M330" i="59"/>
  <c r="J329" i="59"/>
  <c r="CO66" i="78"/>
  <c r="CM60" i="78"/>
  <c r="CF29" i="78"/>
  <c r="AF27" i="105"/>
  <c r="BW103" i="78"/>
  <c r="H79" i="78"/>
  <c r="K102" i="78"/>
  <c r="BA53" i="78"/>
  <c r="L9" i="78"/>
  <c r="AN17" i="105"/>
  <c r="CN10" i="78"/>
  <c r="CU61" i="78"/>
  <c r="S65" i="105"/>
  <c r="AO50" i="78"/>
  <c r="M20" i="105"/>
  <c r="BS58" i="78"/>
  <c r="CZ29" i="78"/>
  <c r="Y41" i="105"/>
  <c r="T23" i="105"/>
  <c r="K44" i="105"/>
  <c r="V73" i="105"/>
  <c r="X81" i="78"/>
  <c r="H61" i="105"/>
  <c r="BD65" i="78"/>
  <c r="K46" i="105"/>
  <c r="BA98" i="78"/>
  <c r="CM79" i="78"/>
  <c r="BU10" i="78"/>
  <c r="N91" i="105"/>
  <c r="CA58" i="78"/>
  <c r="F62" i="105"/>
  <c r="CB27" i="78"/>
  <c r="BA10" i="78"/>
  <c r="F45" i="105"/>
  <c r="BR48" i="78"/>
  <c r="G82" i="105"/>
  <c r="L102" i="59"/>
  <c r="S68" i="105"/>
  <c r="AX79" i="78"/>
  <c r="AF71" i="105"/>
  <c r="BB27" i="78"/>
  <c r="K103" i="59"/>
  <c r="L29" i="78"/>
  <c r="J18" i="78"/>
  <c r="AF82" i="105"/>
  <c r="AM46" i="105"/>
  <c r="AM54" i="78"/>
  <c r="DC96" i="78"/>
  <c r="AM62" i="105"/>
  <c r="CY59" i="78"/>
  <c r="M72" i="105"/>
  <c r="CD26" i="78"/>
  <c r="AW10" i="78"/>
  <c r="I68" i="105"/>
  <c r="AL35" i="105"/>
  <c r="O26" i="78"/>
  <c r="BX12" i="78"/>
  <c r="AI65" i="105"/>
  <c r="DD57" i="78"/>
  <c r="I87" i="105"/>
  <c r="CQ65" i="78"/>
  <c r="CF26" i="78"/>
  <c r="AI100" i="105"/>
  <c r="AR17" i="78"/>
  <c r="G75" i="105"/>
  <c r="AA34" i="78"/>
  <c r="AO79" i="78"/>
  <c r="AF58" i="78"/>
  <c r="AK45" i="105"/>
  <c r="S44" i="105"/>
  <c r="U29" i="78"/>
  <c r="BT27" i="78"/>
  <c r="AG48" i="105"/>
  <c r="L122" i="59"/>
  <c r="I71" i="78"/>
  <c r="BH34" i="78"/>
  <c r="CM96" i="78"/>
  <c r="V66" i="78"/>
  <c r="I13" i="78"/>
  <c r="T92" i="105"/>
  <c r="J44" i="105"/>
  <c r="DA49" i="78"/>
  <c r="AF73" i="105"/>
  <c r="F21" i="105"/>
  <c r="BE89" i="78"/>
  <c r="CC30" i="78"/>
  <c r="F75" i="105"/>
  <c r="CD79" i="78"/>
  <c r="BW21" i="78"/>
  <c r="BS71" i="78"/>
  <c r="BC50" i="78"/>
  <c r="BP79" i="78"/>
  <c r="Z94" i="105"/>
  <c r="Z76" i="105"/>
  <c r="AD98" i="78"/>
  <c r="X41" i="105"/>
  <c r="CO61" i="78"/>
  <c r="W49" i="78"/>
  <c r="F29" i="105"/>
  <c r="AM53" i="105"/>
  <c r="AG67" i="105"/>
  <c r="P60" i="78"/>
  <c r="BQ17" i="78"/>
  <c r="BI60" i="78"/>
  <c r="J49" i="78"/>
  <c r="BA29" i="78"/>
  <c r="Q231" i="59"/>
  <c r="CO58" i="78"/>
  <c r="K81" i="78"/>
  <c r="F46" i="105"/>
  <c r="G92" i="78"/>
  <c r="BU92" i="78"/>
  <c r="AJ102" i="78"/>
  <c r="CM25" i="78"/>
  <c r="BT59" i="78"/>
  <c r="AY71" i="78"/>
  <c r="P58" i="78"/>
  <c r="J46" i="105"/>
  <c r="F108" i="59"/>
  <c r="CT60" i="78"/>
  <c r="K338" i="59"/>
  <c r="Y10" i="78"/>
  <c r="BT45" i="78"/>
  <c r="AA12" i="78"/>
  <c r="I354" i="59"/>
  <c r="S102" i="78"/>
  <c r="CR17" i="78"/>
  <c r="AE12" i="78"/>
  <c r="AJ62" i="78"/>
  <c r="DE62" i="78"/>
  <c r="AF37" i="105"/>
  <c r="CT103" i="78"/>
  <c r="AU102" i="78"/>
  <c r="AS30" i="78"/>
  <c r="DC25" i="78"/>
  <c r="AN50" i="78"/>
  <c r="BO54" i="78"/>
  <c r="CA102" i="78"/>
  <c r="CH92" i="78"/>
  <c r="CJ45" i="78"/>
  <c r="P34" i="78"/>
  <c r="CX9" i="78"/>
  <c r="CD54" i="78"/>
  <c r="AD67" i="78"/>
  <c r="DD30" i="78"/>
  <c r="BX50" i="78"/>
  <c r="BP18" i="78"/>
  <c r="AV18" i="78"/>
  <c r="AU92" i="78"/>
  <c r="I10" i="78"/>
  <c r="CC53" i="78"/>
  <c r="AN75" i="78"/>
  <c r="L88" i="105"/>
  <c r="H45" i="105"/>
  <c r="AJ42" i="105"/>
  <c r="M35" i="105"/>
  <c r="AM58" i="78"/>
  <c r="Q120" i="59"/>
  <c r="BT53" i="78"/>
  <c r="CY91" i="78"/>
  <c r="AJ38" i="105"/>
  <c r="AH21" i="105"/>
  <c r="W28" i="105"/>
  <c r="AG50" i="78"/>
  <c r="CD89" i="78"/>
  <c r="AT34" i="78"/>
  <c r="CN61" i="78"/>
  <c r="DE29" i="78"/>
  <c r="AI98" i="78"/>
  <c r="AW25" i="78"/>
  <c r="CQ48" i="78"/>
  <c r="S92" i="78"/>
  <c r="AU24" i="78"/>
  <c r="AW89" i="78"/>
  <c r="AE54" i="78"/>
  <c r="BD59" i="78"/>
  <c r="AM71" i="78"/>
  <c r="N10" i="78"/>
  <c r="AD58" i="78"/>
  <c r="BU45" i="78"/>
  <c r="N75" i="78"/>
  <c r="F71" i="59"/>
  <c r="CS10" i="78"/>
  <c r="AK62" i="105"/>
  <c r="U21" i="78"/>
  <c r="AN44" i="105"/>
  <c r="CC48" i="78"/>
  <c r="AK41" i="105"/>
  <c r="DD62" i="78"/>
  <c r="O348" i="59"/>
  <c r="AI96" i="78"/>
  <c r="H231" i="59"/>
  <c r="J311" i="59"/>
  <c r="AF33" i="105"/>
  <c r="S82" i="105"/>
  <c r="BE50" i="78"/>
  <c r="N19" i="105"/>
  <c r="W43" i="105"/>
  <c r="DC34" i="78"/>
  <c r="L61" i="78"/>
  <c r="AN68" i="105"/>
  <c r="J330" i="59"/>
  <c r="BS24" i="78"/>
  <c r="Y39" i="105"/>
  <c r="Y18" i="105"/>
  <c r="M14" i="105"/>
  <c r="DC53" i="78"/>
  <c r="O120" i="59"/>
  <c r="CT13" i="78"/>
  <c r="O21" i="78"/>
  <c r="BI96" i="78"/>
  <c r="CC92" i="78"/>
  <c r="AN60" i="105"/>
  <c r="AU65" i="78"/>
  <c r="AJ25" i="78"/>
  <c r="CZ79" i="78"/>
  <c r="AA81" i="105"/>
  <c r="T92" i="78"/>
  <c r="I308" i="59"/>
  <c r="BU27" i="78"/>
  <c r="L16" i="105"/>
  <c r="BE79" i="78"/>
  <c r="Z27" i="78"/>
  <c r="J354" i="59"/>
  <c r="N13" i="78"/>
  <c r="AK87" i="105"/>
  <c r="X12" i="78"/>
  <c r="P331" i="59"/>
  <c r="CB91" i="78"/>
  <c r="BY103" i="78"/>
  <c r="CF65" i="78"/>
  <c r="S18" i="105"/>
  <c r="AA24" i="78"/>
  <c r="T19" i="105"/>
  <c r="Z17" i="78"/>
  <c r="AT27" i="78"/>
  <c r="AN82" i="105"/>
  <c r="G38" i="105"/>
  <c r="W57" i="78"/>
  <c r="L125" i="59"/>
  <c r="H17" i="78"/>
  <c r="K329" i="59"/>
  <c r="G98" i="78"/>
  <c r="BD29" i="78"/>
  <c r="CI24" i="78"/>
  <c r="I120" i="59"/>
  <c r="AN53" i="78"/>
  <c r="AS59" i="78"/>
  <c r="X28" i="105"/>
  <c r="AT54" i="78"/>
  <c r="CZ71" i="78"/>
  <c r="U66" i="78"/>
  <c r="BP89" i="78"/>
  <c r="CY50" i="78"/>
  <c r="CE29" i="78"/>
  <c r="Z52" i="105"/>
  <c r="M102" i="59"/>
  <c r="CV75" i="78"/>
  <c r="CJ17" i="78"/>
  <c r="G89" i="78"/>
  <c r="W25" i="78"/>
  <c r="BA66" i="78"/>
  <c r="CB54" i="78"/>
  <c r="CI45" i="78"/>
  <c r="I102" i="59"/>
  <c r="CV10" i="78"/>
  <c r="CU26" i="78"/>
  <c r="AX12" i="78"/>
  <c r="CN45" i="78"/>
  <c r="O103" i="59"/>
  <c r="AH53" i="105"/>
  <c r="CZ89" i="78"/>
  <c r="O303" i="59"/>
  <c r="CB9" i="78"/>
  <c r="I110" i="59"/>
  <c r="AG12" i="78"/>
  <c r="O354" i="59"/>
  <c r="AO81" i="78"/>
  <c r="J37" i="78"/>
  <c r="AL41" i="105"/>
  <c r="M301" i="59"/>
  <c r="AM25" i="78"/>
  <c r="H100" i="59"/>
  <c r="CH65" i="78"/>
  <c r="U81" i="105"/>
  <c r="CA60" i="78"/>
  <c r="BZ50" i="78"/>
  <c r="CZ30" i="78"/>
  <c r="W48" i="105"/>
  <c r="BC75" i="78"/>
  <c r="K71" i="78"/>
  <c r="H20" i="105"/>
  <c r="M66" i="105"/>
  <c r="BD54" i="78"/>
  <c r="G79" i="78"/>
  <c r="J53" i="78"/>
  <c r="DA54" i="78"/>
  <c r="J26" i="78"/>
  <c r="K81" i="105"/>
  <c r="AC62" i="78"/>
  <c r="BI45" i="78"/>
  <c r="F26" i="105"/>
  <c r="F73" i="105"/>
  <c r="M96" i="78"/>
  <c r="AI45" i="78"/>
  <c r="AG90" i="105"/>
  <c r="AA97" i="105"/>
  <c r="S15" i="105"/>
  <c r="BY54" i="78"/>
  <c r="N48" i="78"/>
  <c r="AA84" i="105"/>
  <c r="AW79" i="78"/>
  <c r="CE17" i="78"/>
  <c r="G86" i="105"/>
  <c r="J28" i="105"/>
  <c r="K66" i="105"/>
  <c r="T98" i="78"/>
  <c r="AG27" i="78"/>
  <c r="CJ12" i="78"/>
  <c r="K13" i="78"/>
  <c r="AT61" i="78"/>
  <c r="BB92" i="78"/>
  <c r="DF60" i="78"/>
  <c r="BR26" i="78"/>
  <c r="L97" i="105"/>
  <c r="AZ50" i="78"/>
  <c r="CT34" i="78"/>
  <c r="BU102" i="78"/>
  <c r="Y18" i="78"/>
  <c r="I48" i="78"/>
  <c r="AV54" i="78"/>
  <c r="L91" i="105"/>
  <c r="F69" i="105"/>
  <c r="X50" i="78"/>
  <c r="BX92" i="78"/>
  <c r="BE57" i="78"/>
  <c r="AE75" i="78"/>
  <c r="CY34" i="78"/>
  <c r="W54" i="78"/>
  <c r="AU71" i="78"/>
  <c r="AW18" i="78"/>
  <c r="AH67" i="78"/>
  <c r="AK67" i="105"/>
  <c r="CY58" i="78"/>
  <c r="AL96" i="105"/>
  <c r="BH25" i="78"/>
  <c r="M84" i="105"/>
  <c r="DC13" i="78"/>
  <c r="DD50" i="78"/>
  <c r="BU96" i="78"/>
  <c r="AM84" i="105"/>
  <c r="CQ91" i="78"/>
  <c r="CW24" i="78"/>
  <c r="BQ49" i="78"/>
  <c r="M103" i="59"/>
  <c r="H89" i="105"/>
  <c r="J54" i="78"/>
  <c r="M26" i="78"/>
  <c r="BD89" i="78"/>
  <c r="T25" i="78"/>
  <c r="BP66" i="78"/>
  <c r="CN75" i="78"/>
  <c r="H84" i="105"/>
  <c r="DD60" i="78"/>
  <c r="K123" i="59"/>
  <c r="P91" i="78"/>
  <c r="V62" i="105"/>
  <c r="X79" i="78"/>
  <c r="I248" i="59"/>
  <c r="CO27" i="78"/>
  <c r="AS102" i="78"/>
  <c r="O123" i="59"/>
  <c r="BZ102" i="78"/>
  <c r="L34" i="78"/>
  <c r="CL48" i="78"/>
  <c r="P54" i="78"/>
  <c r="O102" i="59"/>
  <c r="BX54" i="78"/>
  <c r="M94" i="105"/>
  <c r="BP102" i="78"/>
  <c r="AL83" i="105"/>
  <c r="K10" i="78"/>
  <c r="AQ18" i="78"/>
  <c r="CN59" i="78"/>
  <c r="AA85" i="105"/>
  <c r="AG34" i="78"/>
  <c r="BB61" i="78"/>
  <c r="CB98" i="78"/>
  <c r="AG58" i="78"/>
  <c r="CI65" i="78"/>
  <c r="AF96" i="105"/>
  <c r="F13" i="105"/>
  <c r="O12" i="78"/>
  <c r="V48" i="105"/>
  <c r="AB27" i="78"/>
  <c r="U26" i="78"/>
  <c r="I66" i="105"/>
  <c r="H21" i="105"/>
  <c r="CP58" i="78"/>
  <c r="AG71" i="78"/>
  <c r="DF96" i="78"/>
  <c r="CQ92" i="78"/>
  <c r="DB66" i="78"/>
  <c r="BZ58" i="78"/>
  <c r="AG67" i="78"/>
  <c r="CC21" i="78"/>
  <c r="DD53" i="78"/>
  <c r="AH36" i="105"/>
  <c r="AG33" i="105"/>
  <c r="CP34" i="78"/>
  <c r="AY48" i="78"/>
  <c r="AU75" i="78"/>
  <c r="AH86" i="105"/>
  <c r="CA48" i="78"/>
  <c r="AL26" i="105"/>
  <c r="G18" i="78"/>
  <c r="BT60" i="78"/>
  <c r="CX30" i="78"/>
  <c r="AN63" i="105"/>
  <c r="H83" i="105"/>
  <c r="K339" i="59"/>
  <c r="AO30" i="78"/>
  <c r="W52" i="105"/>
  <c r="AF102" i="78"/>
  <c r="BR27" i="78"/>
  <c r="AD21" i="78"/>
  <c r="N88" i="105"/>
  <c r="U85" i="105"/>
  <c r="DE92" i="78"/>
  <c r="BS53" i="78"/>
  <c r="CJ21" i="78"/>
  <c r="K22" i="105"/>
  <c r="T60" i="105"/>
  <c r="CL65" i="78"/>
  <c r="CF10" i="78"/>
  <c r="V27" i="105"/>
  <c r="DA89" i="78"/>
  <c r="X27" i="78"/>
  <c r="AI29" i="78"/>
  <c r="G50" i="78"/>
  <c r="W30" i="78"/>
  <c r="BX62" i="78"/>
  <c r="BH75" i="78"/>
  <c r="CA65" i="78"/>
  <c r="AW30" i="78"/>
  <c r="N231" i="59"/>
  <c r="L60" i="105"/>
  <c r="DE81" i="78"/>
  <c r="F8" i="59"/>
  <c r="W95" i="105"/>
  <c r="W13" i="78"/>
  <c r="AA17" i="105"/>
  <c r="K73" i="105"/>
  <c r="Z15" i="105"/>
  <c r="AI12" i="105"/>
  <c r="AZ102" i="78"/>
  <c r="CZ26" i="78"/>
  <c r="CS75" i="78"/>
  <c r="BA60" i="78"/>
  <c r="M104" i="59"/>
  <c r="J106" i="59"/>
  <c r="M127" i="59"/>
  <c r="V69" i="105"/>
  <c r="BE37" i="78"/>
  <c r="F90" i="105"/>
  <c r="I92" i="78"/>
  <c r="L14" i="105"/>
  <c r="I331" i="59"/>
  <c r="L83" i="105"/>
  <c r="K107" i="59"/>
  <c r="CN30" i="78"/>
  <c r="AL34" i="105"/>
  <c r="U37" i="78"/>
  <c r="I53" i="78"/>
  <c r="J355" i="59"/>
  <c r="N30" i="78"/>
  <c r="CT27" i="78"/>
  <c r="CQ96" i="78"/>
  <c r="AH57" i="78"/>
  <c r="CV29" i="78"/>
  <c r="BS81" i="78"/>
  <c r="AK96" i="105"/>
  <c r="AC58" i="78"/>
  <c r="CQ62" i="78"/>
  <c r="K60" i="105"/>
  <c r="P231" i="59"/>
  <c r="BC13" i="78"/>
  <c r="U24" i="78"/>
  <c r="AT98" i="78"/>
  <c r="AC81" i="78"/>
  <c r="X37" i="105"/>
  <c r="AG86" i="105"/>
  <c r="AN12" i="105"/>
  <c r="AU50" i="78"/>
  <c r="J98" i="59"/>
  <c r="AM94" i="105"/>
  <c r="AQ53" i="78"/>
  <c r="O45" i="78"/>
  <c r="Y89" i="78"/>
  <c r="CS45" i="78"/>
  <c r="CQ67" i="78"/>
  <c r="BB12" i="78"/>
  <c r="J85" i="105"/>
  <c r="AI71" i="78"/>
  <c r="AY65" i="78"/>
  <c r="CN92" i="78"/>
  <c r="AR12" i="78"/>
  <c r="CD59" i="78"/>
  <c r="DB67" i="78"/>
  <c r="I104" i="59"/>
  <c r="S47" i="105"/>
  <c r="W36" i="105"/>
  <c r="CI57" i="78"/>
  <c r="AG13" i="78"/>
  <c r="CU9" i="78"/>
  <c r="P303" i="59"/>
  <c r="BR30" i="78"/>
  <c r="CJ61" i="78"/>
  <c r="AP102" i="78"/>
  <c r="AN98" i="78"/>
  <c r="BV103" i="78"/>
  <c r="H50" i="78"/>
  <c r="AC49" i="78"/>
  <c r="AF76" i="105"/>
  <c r="K18" i="78"/>
  <c r="AW81" i="78"/>
  <c r="S36" i="105"/>
  <c r="CE54" i="78"/>
  <c r="BE71" i="78"/>
  <c r="CB61" i="78"/>
  <c r="Y95" i="105"/>
  <c r="BY29" i="78"/>
  <c r="J122" i="59"/>
  <c r="AD9" i="78"/>
  <c r="DF48" i="78"/>
  <c r="I24" i="78"/>
  <c r="BW9" i="78"/>
  <c r="AM26" i="105"/>
  <c r="I332" i="59"/>
  <c r="AT21" i="78"/>
  <c r="T102" i="78"/>
  <c r="AK88" i="105"/>
  <c r="AG49" i="105"/>
  <c r="CD49" i="78"/>
  <c r="CY102" i="78"/>
  <c r="AJ45" i="105"/>
  <c r="BA96" i="78"/>
  <c r="AB26" i="78"/>
  <c r="N26" i="105"/>
  <c r="BE26" i="78"/>
  <c r="K91" i="105"/>
  <c r="P301" i="59"/>
  <c r="M61" i="105"/>
  <c r="AP71" i="78"/>
  <c r="S21" i="78"/>
  <c r="CW67" i="78"/>
  <c r="L73" i="105"/>
  <c r="AH15" i="105"/>
  <c r="K92" i="78"/>
  <c r="V25" i="105"/>
  <c r="Z67" i="105"/>
  <c r="CO92" i="78"/>
  <c r="BY59" i="78"/>
  <c r="AL47" i="105"/>
  <c r="BP65" i="78"/>
  <c r="CD71" i="78"/>
  <c r="Y13" i="105"/>
  <c r="AM90" i="105"/>
  <c r="Z13" i="105"/>
  <c r="AF13" i="78"/>
  <c r="CP81" i="78"/>
  <c r="AD10" i="78"/>
  <c r="D329" i="59"/>
  <c r="S87" i="105"/>
  <c r="V40" i="105"/>
  <c r="S62" i="105"/>
  <c r="BV10" i="78"/>
  <c r="F74" i="105"/>
  <c r="V23" i="105"/>
  <c r="G26" i="78"/>
  <c r="Y14" i="105"/>
  <c r="I126" i="59"/>
  <c r="CT18" i="78"/>
  <c r="AJ60" i="78"/>
  <c r="I60" i="78"/>
  <c r="DC17" i="78"/>
  <c r="AN78" i="105"/>
  <c r="J308" i="59"/>
  <c r="W60" i="78"/>
  <c r="BB10" i="78"/>
  <c r="F98" i="59"/>
  <c r="CS53" i="78"/>
  <c r="AP34" i="78"/>
  <c r="BT29" i="78"/>
  <c r="N94" i="105"/>
  <c r="CV67" i="78"/>
  <c r="V25" i="78"/>
  <c r="AI97" i="105"/>
  <c r="CZ91" i="78"/>
  <c r="AJ62" i="105"/>
  <c r="AX98" i="78"/>
  <c r="X59" i="78"/>
  <c r="CW13" i="78"/>
  <c r="AG92" i="105"/>
  <c r="AF75" i="105"/>
  <c r="BV67" i="78"/>
  <c r="DE18" i="78"/>
  <c r="AA92" i="78"/>
  <c r="AO102" i="78"/>
  <c r="AL89" i="105"/>
  <c r="AF23" i="105"/>
  <c r="I124" i="59"/>
  <c r="AU34" i="78"/>
  <c r="M355" i="59"/>
  <c r="AB60" i="78"/>
  <c r="CQ49" i="78"/>
  <c r="Y67" i="78"/>
  <c r="AM63" i="105"/>
  <c r="AU49" i="78"/>
  <c r="BQ37" i="78"/>
  <c r="N354" i="59"/>
  <c r="Z61" i="105"/>
  <c r="AF38" i="105"/>
  <c r="CS67" i="78"/>
  <c r="I61" i="78"/>
  <c r="CS18" i="78"/>
  <c r="AU29" i="78"/>
  <c r="I83" i="105"/>
  <c r="AJ27" i="105"/>
  <c r="O30" i="78"/>
  <c r="AE60" i="78"/>
  <c r="DA13" i="78"/>
  <c r="M54" i="78"/>
  <c r="AW98" i="78"/>
  <c r="AI51" i="105"/>
  <c r="AM22" i="105"/>
  <c r="BP48" i="78"/>
  <c r="CZ27" i="78"/>
  <c r="AI40" i="105"/>
  <c r="AN60" i="78"/>
  <c r="CN81" i="78"/>
  <c r="AJ12" i="105"/>
  <c r="CK81" i="78"/>
  <c r="BU71" i="78"/>
  <c r="AI87" i="105"/>
  <c r="AA86" i="105"/>
  <c r="AM27" i="78"/>
  <c r="CT10" i="78"/>
  <c r="BS67" i="78"/>
  <c r="AH19" i="105"/>
  <c r="CH18" i="78"/>
  <c r="AN50" i="105"/>
  <c r="CQ98" i="78"/>
  <c r="M38" i="105"/>
  <c r="G48" i="105"/>
  <c r="Y29" i="105"/>
  <c r="BQ62" i="78"/>
  <c r="N348" i="59"/>
  <c r="CN26" i="78"/>
  <c r="AJ79" i="78"/>
  <c r="AG9" i="78"/>
  <c r="CF62" i="78"/>
  <c r="DA27" i="78"/>
  <c r="L17" i="78"/>
  <c r="AV34" i="78"/>
  <c r="T53" i="78"/>
  <c r="K86" i="105"/>
  <c r="AP29" i="78"/>
  <c r="Z38" i="105"/>
  <c r="CO71" i="78"/>
  <c r="L104" i="59"/>
  <c r="AH91" i="105"/>
  <c r="BB24" i="78"/>
  <c r="M45" i="78"/>
  <c r="AA48" i="105"/>
  <c r="AO13" i="78"/>
  <c r="CD48" i="78"/>
  <c r="CD24" i="78"/>
  <c r="CI21" i="78"/>
  <c r="BU62" i="78"/>
  <c r="AU81" i="78"/>
  <c r="O54" i="78"/>
  <c r="AC92" i="78"/>
  <c r="H18" i="78"/>
  <c r="K101" i="59"/>
  <c r="BE24" i="78"/>
  <c r="L17" i="105"/>
  <c r="BR54" i="78"/>
  <c r="V75" i="78"/>
  <c r="O108" i="59"/>
  <c r="U44" i="105"/>
  <c r="DB58" i="78"/>
  <c r="Z83" i="105"/>
  <c r="AA16" i="105"/>
  <c r="BU12" i="78"/>
  <c r="AM21" i="78"/>
  <c r="S99" i="105"/>
  <c r="AA50" i="78"/>
  <c r="CX27" i="78"/>
  <c r="Y35" i="105"/>
  <c r="AN33" i="105"/>
  <c r="CC49" i="78"/>
  <c r="Z36" i="105"/>
  <c r="Q124" i="59"/>
  <c r="G20" i="105"/>
  <c r="CV27" i="78"/>
  <c r="AM34" i="78"/>
  <c r="AU25" i="78"/>
  <c r="CV58" i="78"/>
  <c r="O79" i="78"/>
  <c r="Y24" i="78"/>
  <c r="X67" i="78"/>
  <c r="CX18" i="78"/>
  <c r="DE49" i="78"/>
  <c r="BI18" i="78"/>
  <c r="CD37" i="78"/>
  <c r="AO65" i="78"/>
  <c r="CT98" i="78"/>
  <c r="BD92" i="78"/>
  <c r="I25" i="78"/>
  <c r="S74" i="105"/>
  <c r="N124" i="59"/>
  <c r="Z74" i="105"/>
  <c r="I60" i="105"/>
  <c r="H107" i="59"/>
  <c r="K36" i="105"/>
  <c r="AJ12" i="78"/>
  <c r="X76" i="105"/>
  <c r="W39" i="105"/>
  <c r="K37" i="105"/>
  <c r="O311" i="59"/>
  <c r="L13" i="105"/>
  <c r="BY37" i="78"/>
  <c r="T37" i="78"/>
  <c r="CG75" i="78"/>
  <c r="BC53" i="78"/>
  <c r="Q303" i="59"/>
  <c r="AW60" i="78"/>
  <c r="T14" i="105"/>
  <c r="AZ79" i="78"/>
  <c r="CO30" i="78"/>
  <c r="Z99" i="105"/>
  <c r="N66" i="78"/>
  <c r="G42" i="105"/>
  <c r="H49" i="78"/>
  <c r="AL32" i="105"/>
  <c r="AE17" i="78"/>
  <c r="AN19" i="105"/>
  <c r="AP65" i="78"/>
  <c r="AF50" i="78"/>
  <c r="CF45" i="78"/>
  <c r="AF100" i="105"/>
  <c r="N36" i="105"/>
  <c r="K98" i="59"/>
  <c r="AV61" i="78"/>
  <c r="P304" i="59"/>
  <c r="CQ66" i="78"/>
  <c r="AS62" i="78"/>
  <c r="DA66" i="78"/>
  <c r="P37" i="78"/>
  <c r="AA18" i="105"/>
  <c r="L348" i="59"/>
  <c r="AB30" i="78"/>
  <c r="P126" i="59"/>
  <c r="CR25" i="78"/>
  <c r="CW10" i="78"/>
  <c r="H40" i="105"/>
  <c r="F47" i="105"/>
  <c r="BX91" i="78"/>
  <c r="W44" i="105"/>
  <c r="CW62" i="78"/>
  <c r="H35" i="105"/>
  <c r="I82" i="105"/>
  <c r="CO89" i="78"/>
  <c r="CF89" i="78"/>
  <c r="L58" i="78"/>
  <c r="CZ17" i="78"/>
  <c r="J63" i="105"/>
  <c r="Y45" i="78"/>
  <c r="BW65" i="78"/>
  <c r="BC89" i="78"/>
  <c r="BC12" i="78"/>
  <c r="DF26" i="78"/>
  <c r="AK73" i="105"/>
  <c r="BZ62" i="78"/>
  <c r="CE48" i="78"/>
  <c r="H69" i="105"/>
  <c r="O357" i="59"/>
  <c r="BI65" i="78"/>
  <c r="CI61" i="78"/>
  <c r="L62" i="78"/>
  <c r="AK83" i="105"/>
  <c r="AA20" i="105"/>
  <c r="DB45" i="78"/>
  <c r="M353" i="59"/>
  <c r="DE45" i="78"/>
  <c r="CY26" i="78"/>
  <c r="BQ21" i="78"/>
  <c r="AY50" i="78"/>
  <c r="DA29" i="78"/>
  <c r="CY57" i="78"/>
  <c r="Z21" i="78"/>
  <c r="BE60" i="78"/>
  <c r="CR13" i="78"/>
  <c r="BO67" i="78"/>
  <c r="DC21" i="78"/>
  <c r="DF12" i="78"/>
  <c r="AG66" i="78"/>
  <c r="BY58" i="78"/>
  <c r="CA17" i="78"/>
  <c r="W16" i="105"/>
  <c r="AF35" i="105"/>
  <c r="AQ45" i="78"/>
  <c r="CU24" i="78"/>
  <c r="K48" i="78"/>
  <c r="F38" i="105"/>
  <c r="AY18" i="78"/>
  <c r="BT66" i="78"/>
  <c r="L54" i="78"/>
  <c r="AH12" i="105"/>
  <c r="AN40" i="105"/>
  <c r="CI67" i="78"/>
  <c r="D353" i="59"/>
  <c r="AR9" i="78"/>
  <c r="AM64" i="105"/>
  <c r="AO54" i="78"/>
  <c r="AG88" i="105"/>
  <c r="BI12" i="78"/>
  <c r="BV9" i="78"/>
  <c r="DB103" i="78"/>
  <c r="CH29" i="78"/>
  <c r="Q104" i="59"/>
  <c r="BU49" i="78"/>
  <c r="S52" i="105"/>
  <c r="W61" i="78"/>
  <c r="AG45" i="78"/>
  <c r="CH30" i="78"/>
  <c r="CN37" i="78"/>
  <c r="F36" i="105"/>
  <c r="AK48" i="105"/>
  <c r="L79" i="78"/>
  <c r="CV17" i="78"/>
  <c r="BO13" i="78"/>
  <c r="V34" i="78"/>
  <c r="AA61" i="105"/>
  <c r="U18" i="105"/>
  <c r="CI10" i="78"/>
  <c r="D356" i="59"/>
  <c r="CP37" i="78"/>
  <c r="Q331" i="59"/>
  <c r="AN34" i="105"/>
  <c r="BB9" i="78"/>
  <c r="CG29" i="78"/>
  <c r="L29" i="105"/>
  <c r="N105" i="59"/>
  <c r="AO71" i="78"/>
  <c r="G28" i="105"/>
  <c r="AH68" i="105"/>
  <c r="O49" i="78"/>
  <c r="CT49" i="78"/>
  <c r="DA53" i="78"/>
  <c r="AA27" i="105"/>
  <c r="BY21" i="78"/>
  <c r="AK60" i="105"/>
  <c r="BD27" i="78"/>
  <c r="AT59" i="78"/>
  <c r="P344" i="59"/>
  <c r="DE48" i="78"/>
  <c r="BD91" i="78"/>
  <c r="K74" i="105"/>
  <c r="I54" i="78"/>
  <c r="BQ61" i="78"/>
  <c r="S18" i="78"/>
  <c r="AB48" i="78"/>
  <c r="CB103" i="78"/>
  <c r="AS25" i="78"/>
  <c r="AG79" i="105"/>
  <c r="BE13" i="78"/>
  <c r="H98" i="78"/>
  <c r="DA21" i="78"/>
  <c r="AK20" i="105"/>
  <c r="AX34" i="78"/>
  <c r="CX49" i="78"/>
  <c r="AH26" i="78"/>
  <c r="O330" i="59"/>
  <c r="N27" i="78"/>
  <c r="AS18" i="78"/>
  <c r="DB60" i="78"/>
  <c r="I122" i="59"/>
  <c r="O66" i="78"/>
  <c r="V13" i="78"/>
  <c r="BU65" i="78"/>
  <c r="AF74" i="105"/>
  <c r="CC98" i="78"/>
  <c r="CT61" i="78"/>
  <c r="BI25" i="78"/>
  <c r="I107" i="59"/>
  <c r="M332" i="59"/>
  <c r="AZ24" i="78"/>
  <c r="CO45" i="78"/>
  <c r="F106" i="59"/>
  <c r="K301" i="59"/>
  <c r="CP60" i="78"/>
  <c r="AG66" i="105"/>
  <c r="AV102" i="78"/>
  <c r="BT54" i="78"/>
  <c r="CV53" i="78"/>
  <c r="X60" i="78"/>
  <c r="BZ71" i="78"/>
  <c r="F105" i="59"/>
  <c r="H353" i="59"/>
  <c r="H72" i="105"/>
  <c r="AA27" i="78"/>
  <c r="AY30" i="78"/>
  <c r="BA54" i="78"/>
  <c r="P122" i="59"/>
  <c r="CA30" i="78"/>
  <c r="CK98" i="78"/>
  <c r="P121" i="59"/>
  <c r="AJ50" i="105"/>
  <c r="F80" i="59"/>
  <c r="J67" i="105"/>
  <c r="T13" i="78"/>
  <c r="AX18" i="78"/>
  <c r="AL76" i="105"/>
  <c r="L19" i="105"/>
  <c r="N100" i="59"/>
  <c r="AL66" i="105"/>
  <c r="AU13" i="78"/>
  <c r="BO61" i="78"/>
  <c r="N336" i="59"/>
  <c r="AT17" i="78"/>
  <c r="CZ53" i="78"/>
  <c r="N101" i="59"/>
  <c r="BA62" i="78"/>
  <c r="BY13" i="78"/>
  <c r="AI48" i="78"/>
  <c r="N34" i="105"/>
  <c r="F110" i="59"/>
  <c r="AF32" i="105"/>
  <c r="AE45" i="78"/>
  <c r="CC79" i="78"/>
  <c r="H59" i="78"/>
  <c r="CW45" i="78"/>
  <c r="CS13" i="78"/>
  <c r="AE89" i="78"/>
  <c r="W66" i="105"/>
  <c r="Z97" i="105"/>
  <c r="T64" i="105"/>
  <c r="K110" i="59"/>
  <c r="CQ9" i="78"/>
  <c r="AL50" i="105"/>
  <c r="BW49" i="78"/>
  <c r="W48" i="78"/>
  <c r="M87" i="105"/>
  <c r="AW92" i="78"/>
  <c r="BV26" i="78"/>
  <c r="AR27" i="78"/>
  <c r="U34" i="78"/>
  <c r="I81" i="78"/>
  <c r="CF59" i="78"/>
  <c r="AJ89" i="105"/>
  <c r="M308" i="59"/>
  <c r="BQ34" i="78"/>
  <c r="O326" i="59"/>
  <c r="I34" i="105"/>
  <c r="CX34" i="78"/>
  <c r="Y71" i="78"/>
  <c r="I100" i="59"/>
  <c r="BO59" i="78"/>
  <c r="AA67" i="78"/>
  <c r="L101" i="59"/>
  <c r="J107" i="59"/>
  <c r="T84" i="105"/>
  <c r="V54" i="78"/>
  <c r="AJ39" i="105"/>
  <c r="CK25" i="78"/>
  <c r="P105" i="59"/>
  <c r="AA36" i="105"/>
  <c r="DF98" i="78"/>
  <c r="DE79" i="78"/>
  <c r="N104" i="59"/>
  <c r="H103" i="59"/>
  <c r="I231" i="59"/>
  <c r="K14" i="105"/>
  <c r="CY65" i="78"/>
  <c r="S45" i="105"/>
  <c r="CG89" i="78"/>
  <c r="AH17" i="78"/>
  <c r="F66" i="59"/>
  <c r="AS12" i="78"/>
  <c r="AI45" i="105"/>
  <c r="AC53" i="78"/>
  <c r="N92" i="105"/>
  <c r="BU29" i="78"/>
  <c r="BV21" i="78"/>
  <c r="M37" i="78"/>
  <c r="AG25" i="78"/>
  <c r="L67" i="78"/>
  <c r="CL25" i="78"/>
  <c r="CM49" i="78"/>
  <c r="AN24" i="105"/>
  <c r="AW62" i="78"/>
  <c r="BH9" i="78"/>
  <c r="AE62" i="78"/>
  <c r="T29" i="78"/>
  <c r="V10" i="78"/>
  <c r="AA18" i="78"/>
  <c r="N303" i="59"/>
  <c r="AH37" i="78"/>
  <c r="CS98" i="78"/>
  <c r="Y75" i="78"/>
  <c r="AI43" i="105"/>
  <c r="BR62" i="78"/>
  <c r="DB59" i="78"/>
  <c r="Q98" i="59"/>
  <c r="AD37" i="78"/>
  <c r="BQ98" i="78"/>
  <c r="AJ31" i="105"/>
  <c r="DD13" i="78"/>
  <c r="AI69" i="105"/>
  <c r="CY18" i="78"/>
  <c r="CC26" i="78"/>
  <c r="DB92" i="78"/>
  <c r="AG48" i="78"/>
  <c r="P123" i="59"/>
  <c r="CO79" i="78"/>
  <c r="CX50" i="78"/>
  <c r="AO37" i="78"/>
  <c r="X42" i="105"/>
  <c r="P124" i="59"/>
  <c r="CR79" i="78"/>
  <c r="DB25" i="78"/>
  <c r="AM19" i="105"/>
  <c r="BX29" i="78"/>
  <c r="CN53" i="78"/>
  <c r="AM89" i="105"/>
  <c r="G17" i="105"/>
  <c r="AJ63" i="105"/>
  <c r="BD30" i="78"/>
  <c r="K25" i="105"/>
  <c r="BC49" i="78"/>
  <c r="W60" i="105"/>
  <c r="AK23" i="105"/>
  <c r="CA96" i="78"/>
  <c r="AX59" i="78"/>
  <c r="CM9" i="78"/>
  <c r="AL22" i="105"/>
  <c r="Y83" i="105"/>
  <c r="CD25" i="78"/>
  <c r="CC96" i="78"/>
  <c r="CX53" i="78"/>
  <c r="Z65" i="105"/>
  <c r="S19" i="105"/>
  <c r="DC26" i="78"/>
  <c r="Y72" i="105"/>
  <c r="J348" i="59"/>
  <c r="CY25" i="78"/>
  <c r="N24" i="78"/>
  <c r="AI33" i="105"/>
  <c r="CU92" i="78"/>
  <c r="L126" i="59"/>
  <c r="L21" i="78"/>
  <c r="W89" i="105"/>
  <c r="K94" i="105"/>
  <c r="BU25" i="78"/>
  <c r="F97" i="105"/>
  <c r="M105" i="59"/>
  <c r="BS26" i="78"/>
  <c r="CN49" i="78"/>
  <c r="V63" i="105"/>
  <c r="CR26" i="78"/>
  <c r="P29" i="78"/>
  <c r="CC102" i="78"/>
  <c r="AJ18" i="105"/>
  <c r="AE29" i="78"/>
  <c r="M123" i="59"/>
  <c r="AZ25" i="78"/>
  <c r="F60" i="59"/>
  <c r="AM35" i="105"/>
  <c r="CJ71" i="78"/>
  <c r="K72" i="105"/>
  <c r="BI9" i="78"/>
  <c r="U34" i="105"/>
  <c r="AV96" i="78"/>
  <c r="AJ26" i="105"/>
  <c r="CQ89" i="78"/>
  <c r="K303" i="59"/>
  <c r="CW102" i="78"/>
  <c r="H43" i="105"/>
  <c r="DD27" i="78"/>
  <c r="CP9" i="78"/>
  <c r="CM27" i="78"/>
  <c r="AH49" i="78"/>
  <c r="DE30" i="78"/>
  <c r="V61" i="78"/>
  <c r="AO34" i="78"/>
  <c r="AZ45" i="78"/>
  <c r="AA61" i="78"/>
  <c r="CC54" i="78"/>
  <c r="Y87" i="105"/>
  <c r="J48" i="105"/>
  <c r="AY59" i="78"/>
  <c r="Y59" i="78"/>
  <c r="AN58" i="78"/>
  <c r="I339" i="59"/>
  <c r="AG96" i="105"/>
  <c r="H304" i="59"/>
  <c r="BV59" i="78"/>
  <c r="CZ103" i="78"/>
  <c r="U53" i="78"/>
  <c r="M100" i="59"/>
  <c r="V57" i="78"/>
  <c r="AW50" i="78"/>
  <c r="N60" i="105"/>
  <c r="AM15" i="105"/>
  <c r="S79" i="78"/>
  <c r="H70" i="105"/>
  <c r="F22" i="105"/>
  <c r="AJ81" i="78"/>
  <c r="X36" i="105"/>
  <c r="AM93" i="105"/>
  <c r="H105" i="59"/>
  <c r="DC58" i="78"/>
  <c r="CV13" i="78"/>
  <c r="DC50" i="78"/>
  <c r="DB10" i="78"/>
  <c r="BI79" i="78"/>
  <c r="BP21" i="78"/>
  <c r="CS102" i="78"/>
  <c r="T74" i="105"/>
  <c r="O337" i="59"/>
  <c r="DD48" i="78"/>
  <c r="CN62" i="78"/>
  <c r="AJ60" i="105"/>
  <c r="H57" i="78"/>
  <c r="Z89" i="105"/>
  <c r="Z42" i="105"/>
  <c r="BY62" i="78"/>
  <c r="BV50" i="78"/>
  <c r="CO57" i="78"/>
  <c r="CY21" i="78"/>
  <c r="J29" i="78"/>
  <c r="AZ48" i="78"/>
  <c r="CU67" i="78"/>
  <c r="G13" i="105"/>
  <c r="AM50" i="105"/>
  <c r="AF89" i="78"/>
  <c r="DF62" i="78"/>
  <c r="BZ61" i="78"/>
  <c r="CE27" i="78"/>
  <c r="L42" i="105"/>
  <c r="V75" i="105"/>
  <c r="M19" i="105"/>
  <c r="AB61" i="78"/>
  <c r="I27" i="78"/>
  <c r="CM61" i="78"/>
  <c r="BP12" i="78"/>
  <c r="CJ98" i="78"/>
  <c r="I65" i="78"/>
  <c r="J50" i="105"/>
  <c r="F65" i="59"/>
  <c r="AG91" i="78"/>
  <c r="T43" i="105"/>
  <c r="CZ25" i="78"/>
  <c r="AH76" i="105"/>
  <c r="K53" i="78"/>
  <c r="BH17" i="78"/>
  <c r="AM24" i="78"/>
  <c r="CA103" i="78"/>
  <c r="AQ96" i="78"/>
  <c r="CH58" i="78"/>
  <c r="CF58" i="78"/>
  <c r="Y37" i="105"/>
  <c r="CU91" i="78"/>
  <c r="P81" i="78"/>
  <c r="J74" i="105"/>
  <c r="BT10" i="78"/>
  <c r="AX50" i="78"/>
  <c r="AN70" i="105"/>
  <c r="CW58" i="78"/>
  <c r="H71" i="78"/>
  <c r="W26" i="78"/>
  <c r="P339" i="59"/>
  <c r="AY54" i="78"/>
  <c r="N85" i="105"/>
  <c r="O101" i="59"/>
  <c r="CT62" i="78"/>
  <c r="AQ62" i="78"/>
  <c r="AI49" i="105"/>
  <c r="BV96" i="78"/>
  <c r="DF10" i="78"/>
  <c r="CQ61" i="78"/>
  <c r="CG61" i="78"/>
  <c r="O50" i="78"/>
  <c r="AE102" i="78"/>
  <c r="G88" i="105"/>
  <c r="J344" i="59"/>
  <c r="V92" i="78"/>
  <c r="DA79" i="78"/>
  <c r="AH59" i="78"/>
  <c r="K29" i="78"/>
  <c r="L231" i="59"/>
  <c r="AF61" i="78"/>
  <c r="CO37" i="78"/>
  <c r="BE75" i="78"/>
  <c r="N62" i="78"/>
  <c r="BC71" i="78"/>
  <c r="G48" i="78"/>
  <c r="CR96" i="78"/>
  <c r="BB81" i="78"/>
  <c r="DC102" i="78"/>
  <c r="AI93" i="105"/>
  <c r="I306" i="59"/>
  <c r="U67" i="78"/>
  <c r="K105" i="59"/>
  <c r="S43" i="105"/>
  <c r="N47" i="105"/>
  <c r="BC27" i="78"/>
  <c r="BT21" i="78"/>
  <c r="CB29" i="78"/>
  <c r="AA25" i="105"/>
  <c r="AF69" i="105"/>
  <c r="CB89" i="78"/>
  <c r="S58" i="78"/>
  <c r="CY75" i="78"/>
  <c r="H120" i="59"/>
  <c r="BC61" i="78"/>
  <c r="AF66" i="105"/>
  <c r="N308" i="59"/>
  <c r="AN65" i="78"/>
  <c r="AN24" i="78"/>
  <c r="M29" i="105"/>
  <c r="U36" i="105"/>
  <c r="BR45" i="78"/>
  <c r="AP24" i="78"/>
  <c r="AF91" i="105"/>
  <c r="M248" i="59"/>
  <c r="L108" i="59"/>
  <c r="AX48" i="78"/>
  <c r="CO96" i="78"/>
  <c r="W59" i="78"/>
  <c r="L66" i="78"/>
  <c r="BY34" i="78"/>
  <c r="AG62" i="78"/>
  <c r="H37" i="105"/>
  <c r="F102" i="59"/>
  <c r="DA59" i="78"/>
  <c r="AV89" i="78"/>
  <c r="BD18" i="78"/>
  <c r="AA88" i="105"/>
  <c r="AG79" i="78"/>
  <c r="AQ24" i="78"/>
  <c r="J326" i="59"/>
  <c r="CA27" i="78"/>
  <c r="J36" i="105"/>
  <c r="CY49" i="78"/>
  <c r="K27" i="105"/>
  <c r="AM59" i="78"/>
  <c r="AR50" i="78"/>
  <c r="DF24" i="78"/>
  <c r="AT45" i="78"/>
  <c r="CT54" i="78"/>
  <c r="BT34" i="78"/>
  <c r="O338" i="59"/>
  <c r="BD71" i="78"/>
  <c r="DE50" i="78"/>
  <c r="S29" i="78"/>
  <c r="CU66" i="78"/>
  <c r="K308" i="59"/>
  <c r="BP10" i="78"/>
  <c r="AA49" i="78"/>
  <c r="I98" i="78"/>
  <c r="S26" i="105"/>
  <c r="AE53" i="78"/>
  <c r="N328" i="59"/>
  <c r="CB71" i="78"/>
  <c r="CT81" i="78"/>
  <c r="CB34" i="78"/>
  <c r="CI12" i="78"/>
  <c r="AH79" i="105"/>
  <c r="Z28" i="105"/>
  <c r="T54" i="78"/>
  <c r="CI59" i="78"/>
  <c r="M101" i="59"/>
  <c r="AA19" i="105"/>
  <c r="CI34" i="78"/>
  <c r="AI65" i="78"/>
  <c r="AF65" i="78"/>
  <c r="BH79" i="78"/>
  <c r="L107" i="59"/>
  <c r="AT60" i="78"/>
  <c r="AI81" i="78"/>
  <c r="CW37" i="78"/>
  <c r="Z37" i="78"/>
  <c r="T63" i="105"/>
  <c r="AM67" i="78"/>
  <c r="O27" i="78"/>
  <c r="AX102" i="78"/>
  <c r="BD57" i="78"/>
  <c r="AH89" i="105"/>
  <c r="AN16" i="105"/>
  <c r="O107" i="59"/>
  <c r="J45" i="105"/>
  <c r="CB17" i="78"/>
  <c r="BO89" i="78"/>
  <c r="K357" i="59"/>
  <c r="AY9" i="78"/>
  <c r="BB26" i="78"/>
  <c r="V81" i="78"/>
  <c r="AV98" i="78"/>
  <c r="AY10" i="78"/>
  <c r="BZ103" i="78"/>
  <c r="V36" i="105"/>
  <c r="BY12" i="78"/>
  <c r="V58" i="78"/>
  <c r="N306" i="59"/>
  <c r="AH90" i="105"/>
  <c r="U27" i="105"/>
  <c r="CP62" i="78"/>
  <c r="AQ17" i="78"/>
  <c r="CB60" i="78"/>
  <c r="N81" i="105"/>
  <c r="CY67" i="78"/>
  <c r="AM60" i="78"/>
  <c r="I63" i="105"/>
  <c r="X9" i="78"/>
  <c r="AJ69" i="105"/>
  <c r="CG24" i="78"/>
  <c r="J60" i="78"/>
  <c r="W18" i="78"/>
  <c r="I329" i="59"/>
  <c r="X44" i="105"/>
  <c r="AK22" i="105"/>
  <c r="M311" i="59"/>
  <c r="AE98" i="78"/>
  <c r="CT48" i="78"/>
  <c r="BX13" i="78"/>
  <c r="M307" i="59"/>
  <c r="BE10" i="78"/>
  <c r="F41" i="105"/>
  <c r="BZ49" i="78"/>
  <c r="M108" i="59"/>
  <c r="AU67" i="78"/>
  <c r="K83" i="105"/>
  <c r="BO12" i="78"/>
  <c r="K108" i="59"/>
  <c r="G91" i="78"/>
  <c r="J43" i="105"/>
  <c r="CQ79" i="78"/>
  <c r="AH21" i="78"/>
  <c r="CT66" i="78"/>
  <c r="V60" i="105"/>
  <c r="CE13" i="78"/>
  <c r="H245" i="59"/>
  <c r="G97" i="105"/>
  <c r="CS30" i="78"/>
  <c r="L306" i="59"/>
  <c r="AH45" i="78"/>
  <c r="AO61" i="78"/>
  <c r="CA26" i="78"/>
  <c r="X29" i="78"/>
  <c r="L40" i="105"/>
  <c r="W90" i="105"/>
  <c r="I96" i="78"/>
  <c r="AH95" i="105"/>
  <c r="CL54" i="78"/>
  <c r="AQ65" i="78"/>
  <c r="L26" i="78"/>
  <c r="O9" i="78"/>
  <c r="BH65" i="78"/>
  <c r="J58" i="78"/>
  <c r="K18" i="105"/>
  <c r="AA58" i="78"/>
  <c r="AI44" i="105"/>
  <c r="Y61" i="78"/>
  <c r="I357" i="59"/>
  <c r="Q100" i="59"/>
  <c r="L22" i="105"/>
  <c r="BD37" i="78"/>
  <c r="AE48" i="78"/>
  <c r="BR34" i="78"/>
  <c r="AE50" i="78"/>
  <c r="CO65" i="78"/>
  <c r="AO60" i="78"/>
  <c r="AI27" i="105"/>
  <c r="N27" i="105"/>
  <c r="L24" i="78"/>
  <c r="BE25" i="78"/>
  <c r="BO62" i="78"/>
  <c r="M41" i="105"/>
  <c r="BZ92" i="78"/>
  <c r="BP54" i="78"/>
  <c r="BX65" i="78"/>
  <c r="Y50" i="105"/>
  <c r="CA13" i="78"/>
  <c r="BV61" i="78"/>
  <c r="T57" i="78"/>
  <c r="AK64" i="105"/>
  <c r="U40" i="105"/>
  <c r="AH79" i="78"/>
  <c r="AG98" i="105"/>
  <c r="AH16" i="105"/>
  <c r="CK21" i="78"/>
  <c r="AN46" i="105"/>
  <c r="CX98" i="78"/>
  <c r="T61" i="78"/>
  <c r="I245" i="59"/>
  <c r="H42" i="105"/>
  <c r="U58" i="78"/>
  <c r="N106" i="59"/>
  <c r="BO75" i="78"/>
  <c r="DF18" i="78"/>
  <c r="H60" i="78"/>
  <c r="CL61" i="78"/>
  <c r="S54" i="78"/>
  <c r="AL67" i="105"/>
  <c r="O65" i="78"/>
  <c r="AW66" i="78"/>
  <c r="CG96" i="78"/>
  <c r="AF16" i="105"/>
  <c r="M86" i="105"/>
  <c r="S28" i="105"/>
  <c r="AM100" i="105"/>
  <c r="AN102" i="78"/>
  <c r="O29" i="78"/>
  <c r="AA13" i="78"/>
  <c r="I301" i="59"/>
  <c r="AH102" i="78"/>
  <c r="DB21" i="78"/>
  <c r="AC17" i="78"/>
  <c r="F107" i="59"/>
  <c r="W37" i="78"/>
  <c r="D337" i="59"/>
  <c r="DB26" i="78"/>
  <c r="AZ65" i="78"/>
  <c r="Y60" i="105"/>
  <c r="V37" i="105"/>
  <c r="AS91" i="78"/>
  <c r="AV59" i="78"/>
  <c r="BA48" i="78"/>
  <c r="CR12" i="78"/>
  <c r="BR25" i="78"/>
  <c r="AV29" i="78"/>
  <c r="CL34" i="78"/>
  <c r="AJ34" i="105"/>
  <c r="N79" i="78"/>
  <c r="O104" i="59"/>
  <c r="BX96" i="78"/>
  <c r="Y63" i="105"/>
  <c r="I98" i="59"/>
  <c r="T40" i="105"/>
  <c r="L89" i="105"/>
  <c r="BI57" i="78"/>
  <c r="BZ53" i="78"/>
  <c r="BX45" i="78"/>
  <c r="U12" i="78"/>
  <c r="S83" i="105"/>
  <c r="K17" i="105"/>
  <c r="I16" i="105"/>
  <c r="AG76" i="105"/>
  <c r="CV25" i="78"/>
  <c r="AW59" i="78"/>
  <c r="AK38" i="105"/>
  <c r="AY27" i="78"/>
  <c r="CZ98" i="78"/>
  <c r="L120" i="59"/>
  <c r="CC13" i="78"/>
  <c r="K34" i="78"/>
  <c r="BX9" i="78"/>
  <c r="BZ54" i="78"/>
  <c r="Q311" i="59"/>
  <c r="BI98" i="78"/>
  <c r="BT96" i="78"/>
  <c r="CR29" i="78"/>
  <c r="AS37" i="78"/>
  <c r="AD48" i="78"/>
  <c r="CE53" i="78"/>
  <c r="N311" i="59"/>
  <c r="H337" i="59"/>
  <c r="AB21" i="78"/>
  <c r="BD67" i="78"/>
  <c r="H124" i="59"/>
  <c r="V13" i="105"/>
  <c r="CY45" i="78"/>
  <c r="S27" i="78"/>
  <c r="J75" i="105"/>
  <c r="CX13" i="78"/>
  <c r="M90" i="105"/>
  <c r="CZ61" i="78"/>
  <c r="BC26" i="78"/>
  <c r="CZ67" i="78"/>
  <c r="CO103" i="78"/>
  <c r="M52" i="105"/>
  <c r="AN22" i="105"/>
  <c r="P106" i="59"/>
  <c r="T13" i="105"/>
  <c r="DE60" i="78"/>
  <c r="G71" i="78"/>
  <c r="L18" i="78"/>
  <c r="CB67" i="78"/>
  <c r="CA18" i="78"/>
  <c r="M36" i="105"/>
  <c r="Q106" i="59"/>
  <c r="L36" i="105"/>
  <c r="O98" i="59"/>
  <c r="AI37" i="105"/>
  <c r="I18" i="105"/>
  <c r="BH62" i="78"/>
  <c r="H327" i="59"/>
  <c r="CG98" i="78"/>
  <c r="CA89" i="78"/>
  <c r="AA14" i="105"/>
  <c r="CL96" i="78"/>
  <c r="AJ22" i="105"/>
  <c r="X92" i="105"/>
  <c r="CO49" i="78"/>
  <c r="W83" i="105"/>
  <c r="AY45" i="78"/>
  <c r="BY98" i="78"/>
  <c r="CY30" i="78"/>
  <c r="AP79" i="78"/>
  <c r="H36" i="105"/>
  <c r="CM54" i="78"/>
  <c r="BX61" i="78"/>
  <c r="CC59" i="78"/>
  <c r="T89" i="78"/>
  <c r="BU24" i="78"/>
  <c r="CH10" i="78"/>
  <c r="G81" i="78"/>
  <c r="G61" i="78"/>
  <c r="AE27" i="78"/>
  <c r="CU79" i="78"/>
  <c r="S91" i="78"/>
  <c r="W72" i="105"/>
  <c r="DC81" i="78"/>
  <c r="AH12" i="78"/>
  <c r="BV62" i="78"/>
  <c r="X97" i="105"/>
  <c r="Q304" i="59"/>
  <c r="J303" i="59"/>
  <c r="AN69" i="105"/>
  <c r="BY96" i="78"/>
  <c r="CS65" i="78"/>
  <c r="CG45" i="78"/>
  <c r="BB21" i="78"/>
  <c r="BX79" i="78"/>
  <c r="V26" i="78"/>
  <c r="CR49" i="78"/>
  <c r="X16" i="105"/>
  <c r="X29" i="105"/>
  <c r="AX10" i="78"/>
  <c r="Q123" i="59"/>
  <c r="AT26" i="78"/>
  <c r="AZ92" i="78"/>
  <c r="CB37" i="78"/>
  <c r="CI96" i="78"/>
  <c r="AA57" i="78"/>
  <c r="CU30" i="78"/>
  <c r="S27" i="105"/>
  <c r="G30" i="78"/>
  <c r="O329" i="59"/>
  <c r="AC18" i="78"/>
  <c r="AC9" i="78"/>
  <c r="CD18" i="78"/>
  <c r="AY13" i="78"/>
  <c r="T50" i="78"/>
  <c r="AF48" i="105"/>
  <c r="AD66" i="78"/>
  <c r="BS66" i="78"/>
  <c r="AH9" i="78"/>
  <c r="AA48" i="78"/>
  <c r="CL50" i="78"/>
  <c r="CV89" i="78"/>
  <c r="AI53" i="105"/>
  <c r="CW50" i="78"/>
  <c r="CT37" i="78"/>
  <c r="AQ30" i="78"/>
  <c r="AB18" i="78"/>
  <c r="Y38" i="105"/>
  <c r="BW48" i="78"/>
  <c r="AA64" i="105"/>
  <c r="BW24" i="78"/>
  <c r="O304" i="59"/>
  <c r="H44" i="105"/>
  <c r="P336" i="59"/>
  <c r="AG23" i="105"/>
  <c r="P100" i="59"/>
  <c r="CY60" i="78"/>
  <c r="BR9" i="78"/>
  <c r="CJ59" i="78"/>
  <c r="BO18" i="78"/>
  <c r="AI59" i="105"/>
  <c r="Z37" i="105"/>
  <c r="CG26" i="78"/>
  <c r="BR98" i="78"/>
  <c r="U83" i="105"/>
  <c r="AI57" i="78"/>
  <c r="CB59" i="78"/>
  <c r="AI26" i="105"/>
  <c r="G67" i="105"/>
  <c r="AN34" i="78"/>
  <c r="BY71" i="78"/>
  <c r="BZ21" i="78"/>
  <c r="Y91" i="105"/>
  <c r="AF39" i="105"/>
  <c r="V97" i="105"/>
  <c r="AF94" i="105"/>
  <c r="AA66" i="78"/>
  <c r="DD37" i="78"/>
  <c r="DA98" i="78"/>
  <c r="AG54" i="78"/>
  <c r="L67" i="105"/>
  <c r="T61" i="105"/>
  <c r="BD9" i="78"/>
  <c r="AW26" i="78"/>
  <c r="CP29" i="78"/>
  <c r="AK50" i="105"/>
  <c r="CJ18" i="78"/>
  <c r="CN21" i="78"/>
  <c r="T16" i="105"/>
  <c r="F61" i="105"/>
  <c r="AH27" i="78"/>
  <c r="X81" i="105"/>
  <c r="BB45" i="78"/>
  <c r="CF71" i="78"/>
  <c r="AK39" i="105"/>
  <c r="CZ45" i="78"/>
  <c r="CX24" i="78"/>
  <c r="AH94" i="105"/>
  <c r="BX60" i="78"/>
  <c r="P110" i="59"/>
  <c r="DD26" i="78"/>
  <c r="F37" i="105"/>
  <c r="L329" i="59"/>
  <c r="CM62" i="78"/>
  <c r="CR102" i="78"/>
  <c r="P327" i="59"/>
  <c r="AQ71" i="78"/>
  <c r="AK16" i="105"/>
  <c r="BU17" i="78"/>
  <c r="CU71" i="78"/>
  <c r="CR57" i="78"/>
  <c r="AA38" i="105"/>
  <c r="Z60" i="105"/>
  <c r="CA71" i="78"/>
  <c r="H92" i="105"/>
  <c r="AE26" i="78"/>
  <c r="AH87" i="105"/>
  <c r="H299" i="59"/>
  <c r="W14" i="105"/>
  <c r="AZ21" i="78"/>
  <c r="AL88" i="105"/>
  <c r="AA60" i="105"/>
  <c r="AJ94" i="105"/>
  <c r="I70" i="105"/>
  <c r="CB49" i="78"/>
  <c r="H76" i="105"/>
  <c r="AW67" i="78"/>
  <c r="P330" i="59"/>
  <c r="CK65" i="78"/>
  <c r="CC66" i="78"/>
  <c r="N97" i="105"/>
  <c r="M122" i="59"/>
  <c r="CL89" i="78"/>
  <c r="AH71" i="105"/>
  <c r="X25" i="78"/>
  <c r="V72" i="105"/>
  <c r="U49" i="78"/>
  <c r="BH13" i="78"/>
  <c r="N248" i="59"/>
  <c r="M83" i="105"/>
  <c r="BS50" i="78"/>
  <c r="AD18" i="78"/>
  <c r="CI60" i="78"/>
  <c r="CI29" i="78"/>
  <c r="AJ73" i="105"/>
  <c r="BY45" i="78"/>
  <c r="CF66" i="78"/>
  <c r="AJ76" i="105"/>
  <c r="J52" i="105"/>
  <c r="AX30" i="78"/>
  <c r="BQ91" i="78"/>
  <c r="AU48" i="78"/>
  <c r="CB92" i="78"/>
  <c r="BA24" i="78"/>
  <c r="Y98" i="78"/>
  <c r="AH71" i="78"/>
  <c r="Q102" i="59"/>
  <c r="AK53" i="105"/>
  <c r="I121" i="59"/>
  <c r="AW58" i="78"/>
  <c r="AD89" i="78"/>
  <c r="U38" i="105"/>
  <c r="CG21" i="78"/>
  <c r="AE10" i="78"/>
  <c r="AN20" i="105"/>
  <c r="CK59" i="78"/>
  <c r="AS49" i="78"/>
  <c r="AM85" i="105"/>
  <c r="AS71" i="78"/>
  <c r="S12" i="78"/>
  <c r="CH61" i="78"/>
  <c r="I37" i="105"/>
  <c r="CN25" i="78"/>
  <c r="X99" i="105"/>
  <c r="BQ26" i="78"/>
  <c r="BV17" i="78"/>
  <c r="CU17" i="78"/>
  <c r="DD98" i="78"/>
  <c r="M102" i="78"/>
  <c r="CK60" i="78"/>
  <c r="AV60" i="78"/>
  <c r="I36" i="105"/>
  <c r="AO21" i="78"/>
  <c r="T10" i="78"/>
  <c r="AS96" i="78"/>
  <c r="X64" i="105"/>
  <c r="BC67" i="78"/>
  <c r="N34" i="78"/>
  <c r="DF65" i="78"/>
  <c r="CZ62" i="78"/>
  <c r="DA18" i="78"/>
  <c r="I67" i="105"/>
  <c r="AM87" i="105"/>
  <c r="AR10" i="78"/>
  <c r="AJ13" i="105"/>
  <c r="DB24" i="78"/>
  <c r="Z12" i="78"/>
  <c r="CN24" i="78"/>
  <c r="V14" i="105"/>
  <c r="AY67" i="78"/>
  <c r="W34" i="78"/>
  <c r="Q103" i="59"/>
  <c r="T48" i="105"/>
  <c r="BS12" i="78"/>
  <c r="CQ75" i="78"/>
  <c r="Q327" i="59"/>
  <c r="BS25" i="78"/>
  <c r="CH9" i="78"/>
  <c r="CT102" i="78"/>
  <c r="BA21" i="78"/>
  <c r="AI21" i="105"/>
  <c r="V61" i="105"/>
  <c r="O25" i="78"/>
  <c r="BC17" i="78"/>
  <c r="CZ12" i="78"/>
  <c r="Q245" i="59"/>
  <c r="BA26" i="78"/>
  <c r="CL30" i="78"/>
  <c r="AB12" i="78"/>
  <c r="G60" i="78"/>
  <c r="O245" i="59"/>
  <c r="CG18" i="78"/>
  <c r="H348" i="59"/>
  <c r="S60" i="78"/>
  <c r="J304" i="59"/>
  <c r="P9" i="78"/>
  <c r="I101" i="59"/>
  <c r="N57" i="78"/>
  <c r="V83" i="105"/>
  <c r="J17" i="105"/>
  <c r="I95" i="105"/>
  <c r="Q107" i="59"/>
  <c r="Y62" i="78"/>
  <c r="CQ58" i="78"/>
  <c r="DC67" i="78"/>
  <c r="AR75" i="78"/>
  <c r="BY57" i="78"/>
  <c r="AG49" i="78"/>
  <c r="AG53" i="105"/>
  <c r="BY91" i="78"/>
  <c r="CP53" i="78"/>
  <c r="O122" i="59"/>
  <c r="X17" i="105"/>
  <c r="AJ85" i="105"/>
  <c r="BW45" i="78"/>
  <c r="CZ60" i="78"/>
  <c r="P10" i="78"/>
  <c r="CL18" i="78"/>
  <c r="CZ50" i="78"/>
  <c r="K102" i="59"/>
  <c r="J248" i="59"/>
  <c r="O100" i="59"/>
  <c r="M231" i="59"/>
  <c r="P248" i="59"/>
  <c r="O231" i="59"/>
  <c r="L100" i="59"/>
  <c r="L248" i="59"/>
  <c r="L245" i="59"/>
  <c r="H110" i="59"/>
  <c r="AJ10" i="78"/>
  <c r="AL69" i="105"/>
  <c r="CT12" i="78"/>
  <c r="BW34" i="78"/>
  <c r="Q105" i="59"/>
  <c r="X92" i="78"/>
  <c r="AJ92" i="105"/>
  <c r="G12" i="78"/>
  <c r="N326" i="59"/>
  <c r="CJ54" i="78"/>
  <c r="X61" i="105"/>
  <c r="CM24" i="78"/>
  <c r="AX91" i="78"/>
  <c r="M98" i="59"/>
  <c r="O105" i="59"/>
  <c r="M245" i="59"/>
  <c r="O106" i="59"/>
  <c r="L106" i="59"/>
  <c r="Q248" i="59"/>
  <c r="J231" i="59"/>
  <c r="P102" i="59"/>
  <c r="P101" i="59"/>
  <c r="DE26" i="78"/>
  <c r="Z47" i="105"/>
  <c r="AY53" i="78"/>
  <c r="AY60" i="78"/>
  <c r="M107" i="59"/>
  <c r="AJ26" i="78"/>
  <c r="F96" i="59"/>
  <c r="BW10" i="78"/>
  <c r="I108" i="59"/>
  <c r="AZ27" i="78"/>
  <c r="AA47" i="105"/>
  <c r="M34" i="105"/>
  <c r="AQ54" i="78"/>
  <c r="O57" i="78"/>
  <c r="I40" i="105"/>
  <c r="BE66" i="78"/>
  <c r="H104" i="59"/>
  <c r="AN27" i="78"/>
  <c r="I336" i="59"/>
  <c r="CJ96" i="78"/>
  <c r="AM13" i="105"/>
  <c r="BI92" i="78"/>
  <c r="G46" i="105"/>
  <c r="CW89" i="78"/>
  <c r="AF93" i="105"/>
  <c r="CF91" i="78"/>
  <c r="BI50" i="78"/>
  <c r="D326" i="59"/>
  <c r="AC89" i="78"/>
  <c r="H108" i="59"/>
  <c r="P103" i="59"/>
  <c r="H106" i="59"/>
  <c r="P245" i="59"/>
  <c r="AW9" i="78"/>
  <c r="I105" i="59"/>
  <c r="H102" i="59"/>
  <c r="P107" i="59"/>
  <c r="J245" i="59"/>
  <c r="L98" i="59"/>
  <c r="L105" i="59"/>
  <c r="J102" i="59"/>
  <c r="L110" i="59"/>
  <c r="H101" i="59"/>
  <c r="J100" i="59"/>
  <c r="K100" i="59"/>
  <c r="N98" i="59"/>
  <c r="K245" i="59"/>
  <c r="N245" i="59"/>
  <c r="Q110" i="59"/>
  <c r="H248" i="59"/>
  <c r="P98" i="59"/>
  <c r="J109" i="59"/>
  <c r="H109" i="59"/>
  <c r="AW11" i="78"/>
  <c r="AC93" i="78"/>
  <c r="AP93" i="105"/>
  <c r="CW93" i="78"/>
  <c r="BK46" i="105"/>
  <c r="AT46" i="105"/>
  <c r="CJ99" i="78"/>
  <c r="AV40" i="105"/>
  <c r="BM40" i="105"/>
  <c r="O63" i="78"/>
  <c r="AZ34" i="105"/>
  <c r="BQ34" i="105"/>
  <c r="F99" i="59"/>
  <c r="AJ28" i="78"/>
  <c r="AY55" i="78"/>
  <c r="DE28" i="78"/>
  <c r="P109" i="59"/>
  <c r="G14" i="78"/>
  <c r="Q12" i="78"/>
  <c r="BW35" i="78"/>
  <c r="CT14" i="78"/>
  <c r="K109" i="59"/>
  <c r="BW46" i="78"/>
  <c r="CP55" i="78"/>
  <c r="BY63" i="78"/>
  <c r="AR76" i="78"/>
  <c r="AV95" i="105"/>
  <c r="BM95" i="105"/>
  <c r="BN17" i="105"/>
  <c r="AW17" i="105"/>
  <c r="N63" i="78"/>
  <c r="P11" i="78"/>
  <c r="J318" i="59"/>
  <c r="AK60" i="78"/>
  <c r="Q60" i="78"/>
  <c r="AB14" i="78"/>
  <c r="BA28" i="78"/>
  <c r="CZ14" i="78"/>
  <c r="BC19" i="78"/>
  <c r="BA22" i="78"/>
  <c r="CT104" i="78"/>
  <c r="CH11" i="78"/>
  <c r="CQ76" i="78"/>
  <c r="BS14" i="78"/>
  <c r="W35" i="78"/>
  <c r="Z14" i="78"/>
  <c r="BM67" i="105"/>
  <c r="AV67" i="105"/>
  <c r="DF68" i="78"/>
  <c r="N35" i="78"/>
  <c r="AS99" i="78"/>
  <c r="AO22" i="78"/>
  <c r="BM36" i="105"/>
  <c r="AV36" i="105"/>
  <c r="M104" i="78"/>
  <c r="CU19" i="78"/>
  <c r="BV19" i="78"/>
  <c r="BQ28" i="78"/>
  <c r="AV37" i="105"/>
  <c r="BM37" i="105"/>
  <c r="AK12" i="78"/>
  <c r="S14" i="78"/>
  <c r="AS72" i="78"/>
  <c r="CG22" i="78"/>
  <c r="AD93" i="78"/>
  <c r="Q109" i="59"/>
  <c r="AH72" i="78"/>
  <c r="AU51" i="78"/>
  <c r="BN52" i="105"/>
  <c r="BY46" i="78"/>
  <c r="CI31" i="78"/>
  <c r="AZ83" i="105"/>
  <c r="BQ83" i="105"/>
  <c r="BJ13" i="78"/>
  <c r="CL93" i="78"/>
  <c r="BA97" i="105"/>
  <c r="BR97" i="105"/>
  <c r="CK68" i="78"/>
  <c r="AU76" i="105"/>
  <c r="BL76" i="105"/>
  <c r="BM70" i="105"/>
  <c r="AV70" i="105"/>
  <c r="AZ22" i="78"/>
  <c r="AE28" i="78"/>
  <c r="BL92" i="105"/>
  <c r="AU92" i="105"/>
  <c r="CA72" i="78"/>
  <c r="CR63" i="78"/>
  <c r="CU72" i="78"/>
  <c r="BU19" i="78"/>
  <c r="AQ72" i="78"/>
  <c r="CR104" i="78"/>
  <c r="BJ37" i="105"/>
  <c r="BV37" i="105"/>
  <c r="P37" i="105"/>
  <c r="AS37" i="105"/>
  <c r="DD28" i="78"/>
  <c r="CZ46" i="78"/>
  <c r="CF72" i="78"/>
  <c r="BB46" i="78"/>
  <c r="BJ61" i="105"/>
  <c r="BV61" i="105"/>
  <c r="P61" i="105"/>
  <c r="CN22" i="78"/>
  <c r="CP31" i="78"/>
  <c r="AW28" i="78"/>
  <c r="BD11" i="78"/>
  <c r="AY67" i="105"/>
  <c r="BP67" i="105"/>
  <c r="DD38" i="78"/>
  <c r="AP94" i="105"/>
  <c r="AP39" i="105"/>
  <c r="BZ22" i="78"/>
  <c r="BY72" i="78"/>
  <c r="AN35" i="78"/>
  <c r="AT67" i="105"/>
  <c r="BK67" i="105"/>
  <c r="AI63" i="78"/>
  <c r="CG28" i="78"/>
  <c r="DH18" i="78"/>
  <c r="BR11" i="78"/>
  <c r="BL44" i="105"/>
  <c r="AU44" i="105"/>
  <c r="O318" i="59"/>
  <c r="BW51" i="78"/>
  <c r="CT38" i="78"/>
  <c r="CV93" i="78"/>
  <c r="AA51" i="78"/>
  <c r="AH11" i="78"/>
  <c r="AP48" i="105"/>
  <c r="AC11" i="78"/>
  <c r="Q30" i="78"/>
  <c r="AC27" i="105"/>
  <c r="AA63" i="78"/>
  <c r="CI99" i="78"/>
  <c r="CB38" i="78"/>
  <c r="AT28" i="78"/>
  <c r="V28" i="78"/>
  <c r="BX82" i="78"/>
  <c r="BB22" i="78"/>
  <c r="CG46" i="78"/>
  <c r="CS68" i="78"/>
  <c r="BY99" i="78"/>
  <c r="Q318" i="59"/>
  <c r="AH14" i="78"/>
  <c r="AH15" i="78"/>
  <c r="CU82" i="78"/>
  <c r="Q61" i="78"/>
  <c r="Q81" i="78"/>
  <c r="AU36" i="105"/>
  <c r="BL36" i="105"/>
  <c r="AP82" i="78"/>
  <c r="AY46" i="78"/>
  <c r="CL99" i="78"/>
  <c r="CA93" i="78"/>
  <c r="BJ62" i="78"/>
  <c r="BM18" i="105"/>
  <c r="AV18" i="105"/>
  <c r="BP36" i="105"/>
  <c r="AY36" i="105"/>
  <c r="BQ36" i="105"/>
  <c r="AZ36" i="105"/>
  <c r="Q71" i="78"/>
  <c r="G72" i="78"/>
  <c r="BQ52" i="105"/>
  <c r="BC28" i="78"/>
  <c r="AZ90" i="105"/>
  <c r="BQ90" i="105"/>
  <c r="BN75" i="105"/>
  <c r="AW75" i="105"/>
  <c r="AK27" i="78"/>
  <c r="CY46" i="78"/>
  <c r="AB22" i="78"/>
  <c r="CE55" i="78"/>
  <c r="AD51" i="78"/>
  <c r="AS38" i="78"/>
  <c r="CR31" i="78"/>
  <c r="BT99" i="78"/>
  <c r="BX11" i="78"/>
  <c r="K35" i="78"/>
  <c r="BM16" i="105"/>
  <c r="AV16" i="105"/>
  <c r="BO17" i="105"/>
  <c r="AX17" i="105"/>
  <c r="AC83" i="105"/>
  <c r="U14" i="78"/>
  <c r="BX46" i="78"/>
  <c r="BZ55" i="78"/>
  <c r="BI63" i="78"/>
  <c r="AY89" i="105"/>
  <c r="BP89" i="105"/>
  <c r="BX99" i="78"/>
  <c r="N82" i="78"/>
  <c r="CL35" i="78"/>
  <c r="AV31" i="78"/>
  <c r="CR14" i="78"/>
  <c r="BA51" i="78"/>
  <c r="AZ68" i="78"/>
  <c r="DB28" i="78"/>
  <c r="W38" i="78"/>
  <c r="AC19" i="78"/>
  <c r="DB22" i="78"/>
  <c r="AH104" i="78"/>
  <c r="O31" i="78"/>
  <c r="AN104" i="78"/>
  <c r="AC28" i="105"/>
  <c r="AZ86" i="105"/>
  <c r="BQ86" i="105"/>
  <c r="AP16" i="105"/>
  <c r="CG99" i="78"/>
  <c r="O68" i="78"/>
  <c r="AK54" i="78"/>
  <c r="DH75" i="78"/>
  <c r="BO76" i="78"/>
  <c r="AU42" i="105"/>
  <c r="BL42" i="105"/>
  <c r="CK22" i="78"/>
  <c r="AH82" i="78"/>
  <c r="T63" i="78"/>
  <c r="BX68" i="78"/>
  <c r="AZ41" i="105"/>
  <c r="BQ41" i="105"/>
  <c r="DH62" i="78"/>
  <c r="BA27" i="105"/>
  <c r="BR27" i="105"/>
  <c r="CO68" i="78"/>
  <c r="BR35" i="78"/>
  <c r="AE51" i="78"/>
  <c r="BD38" i="78"/>
  <c r="AY22" i="105"/>
  <c r="BP22" i="105"/>
  <c r="AX18" i="105"/>
  <c r="BO18" i="105"/>
  <c r="BJ65" i="78"/>
  <c r="BH68" i="78"/>
  <c r="O11" i="78"/>
  <c r="L28" i="78"/>
  <c r="AQ68" i="78"/>
  <c r="I99" i="78"/>
  <c r="BP40" i="105"/>
  <c r="AY40" i="105"/>
  <c r="X31" i="78"/>
  <c r="CA28" i="78"/>
  <c r="AH46" i="78"/>
  <c r="AT97" i="105"/>
  <c r="BK97" i="105"/>
  <c r="AH22" i="78"/>
  <c r="CQ82" i="78"/>
  <c r="BN43" i="105"/>
  <c r="AW43" i="105"/>
  <c r="Q91" i="78"/>
  <c r="BO14" i="78"/>
  <c r="AX83" i="105"/>
  <c r="BO83" i="105"/>
  <c r="P41" i="105"/>
  <c r="BJ41" i="105"/>
  <c r="BV41" i="105"/>
  <c r="AS41" i="105"/>
  <c r="CT51" i="78"/>
  <c r="X11" i="78"/>
  <c r="AV63" i="105"/>
  <c r="BM63" i="105"/>
  <c r="BF60" i="78"/>
  <c r="BR81" i="105"/>
  <c r="BA81" i="105"/>
  <c r="AQ19" i="78"/>
  <c r="BY14" i="78"/>
  <c r="BB28" i="78"/>
  <c r="AY11" i="78"/>
  <c r="CB19" i="78"/>
  <c r="AW45" i="105"/>
  <c r="BN45" i="105"/>
  <c r="BD63" i="78"/>
  <c r="AX104" i="78"/>
  <c r="BF67" i="78"/>
  <c r="Z38" i="78"/>
  <c r="CW38" i="78"/>
  <c r="BJ79" i="78"/>
  <c r="AF68" i="78"/>
  <c r="AI68" i="78"/>
  <c r="CI35" i="78"/>
  <c r="CI14" i="78"/>
  <c r="CB35" i="78"/>
  <c r="CB72" i="78"/>
  <c r="AE55" i="78"/>
  <c r="AC26" i="105"/>
  <c r="AK29" i="78"/>
  <c r="S31" i="78"/>
  <c r="BD72" i="78"/>
  <c r="BT35" i="78"/>
  <c r="AT46" i="78"/>
  <c r="BF59" i="78"/>
  <c r="BO27" i="105"/>
  <c r="AX27" i="105"/>
  <c r="AW36" i="105"/>
  <c r="BN36" i="105"/>
  <c r="AG82" i="78"/>
  <c r="AV93" i="78"/>
  <c r="F109" i="59"/>
  <c r="BL37" i="105"/>
  <c r="AU37" i="105"/>
  <c r="BY35" i="78"/>
  <c r="CO99" i="78"/>
  <c r="AX51" i="78"/>
  <c r="AP91" i="105"/>
  <c r="BR46" i="78"/>
  <c r="BQ29" i="105"/>
  <c r="AZ29" i="105"/>
  <c r="AN68" i="78"/>
  <c r="AP66" i="105"/>
  <c r="CY76" i="78"/>
  <c r="AK58" i="78"/>
  <c r="CB93" i="78"/>
  <c r="AP69" i="105"/>
  <c r="CB31" i="78"/>
  <c r="BT22" i="78"/>
  <c r="BR47" i="105"/>
  <c r="BA47" i="105"/>
  <c r="AC43" i="105"/>
  <c r="DC104" i="78"/>
  <c r="CR99" i="78"/>
  <c r="G51" i="78"/>
  <c r="Q48" i="78"/>
  <c r="BC72" i="78"/>
  <c r="BE76" i="78"/>
  <c r="CO38" i="78"/>
  <c r="K31" i="78"/>
  <c r="DA82" i="78"/>
  <c r="AT88" i="105"/>
  <c r="BK88" i="105"/>
  <c r="AE104" i="78"/>
  <c r="BV99" i="78"/>
  <c r="BR85" i="105"/>
  <c r="BA85" i="105"/>
  <c r="W28" i="78"/>
  <c r="H72" i="78"/>
  <c r="BN74" i="105"/>
  <c r="AW74" i="105"/>
  <c r="AQ99" i="78"/>
  <c r="BF24" i="78"/>
  <c r="BJ17" i="78"/>
  <c r="BH19" i="78"/>
  <c r="K55" i="78"/>
  <c r="AW50" i="105"/>
  <c r="BN50" i="105"/>
  <c r="I68" i="78"/>
  <c r="BP14" i="78"/>
  <c r="BQ19" i="105"/>
  <c r="AZ19" i="105"/>
  <c r="BP42" i="105"/>
  <c r="AY42" i="105"/>
  <c r="AF93" i="78"/>
  <c r="BK13" i="105"/>
  <c r="AT13" i="105"/>
  <c r="AZ51" i="78"/>
  <c r="J31" i="78"/>
  <c r="CY22" i="78"/>
  <c r="CO63" i="78"/>
  <c r="H63" i="78"/>
  <c r="DD51" i="78"/>
  <c r="CS104" i="78"/>
  <c r="BP22" i="78"/>
  <c r="BJ22" i="105"/>
  <c r="BV22" i="105"/>
  <c r="AS22" i="105"/>
  <c r="P22" i="105"/>
  <c r="BL70" i="105"/>
  <c r="AU70" i="105"/>
  <c r="AK79" i="78"/>
  <c r="S82" i="78"/>
  <c r="BR60" i="105"/>
  <c r="BA60" i="105"/>
  <c r="V63" i="78"/>
  <c r="U55" i="78"/>
  <c r="H318" i="59"/>
  <c r="BN48" i="105"/>
  <c r="AW48" i="105"/>
  <c r="AZ46" i="78"/>
  <c r="AO35" i="78"/>
  <c r="CP11" i="78"/>
  <c r="BL43" i="105"/>
  <c r="AU43" i="105"/>
  <c r="CW104" i="78"/>
  <c r="CQ93" i="78"/>
  <c r="AV99" i="78"/>
  <c r="BI11" i="78"/>
  <c r="BO72" i="105"/>
  <c r="CJ72" i="78"/>
  <c r="AE31" i="78"/>
  <c r="CC104" i="78"/>
  <c r="P31" i="78"/>
  <c r="CR28" i="78"/>
  <c r="BS28" i="78"/>
  <c r="BJ97" i="105"/>
  <c r="BV97" i="105"/>
  <c r="AS97" i="105"/>
  <c r="P97" i="105"/>
  <c r="AX94" i="105"/>
  <c r="BO94" i="105"/>
  <c r="L22" i="78"/>
  <c r="DC28" i="78"/>
  <c r="AC19" i="105"/>
  <c r="CX55" i="78"/>
  <c r="CC99" i="78"/>
  <c r="CM11" i="78"/>
  <c r="CA99" i="78"/>
  <c r="BO25" i="105"/>
  <c r="AT17" i="105"/>
  <c r="BK17" i="105"/>
  <c r="CN55" i="78"/>
  <c r="BX31" i="78"/>
  <c r="CR82" i="78"/>
  <c r="AO38" i="78"/>
  <c r="CO82" i="78"/>
  <c r="AG51" i="78"/>
  <c r="CC28" i="78"/>
  <c r="AD38" i="78"/>
  <c r="Y76" i="78"/>
  <c r="AH38" i="78"/>
  <c r="T31" i="78"/>
  <c r="BH11" i="78"/>
  <c r="BJ11" i="78"/>
  <c r="BJ9" i="78"/>
  <c r="M38" i="78"/>
  <c r="BV22" i="78"/>
  <c r="BU31" i="78"/>
  <c r="BR92" i="105"/>
  <c r="BA92" i="105"/>
  <c r="AC55" i="78"/>
  <c r="AS14" i="78"/>
  <c r="AH19" i="78"/>
  <c r="CG93" i="78"/>
  <c r="AC45" i="105"/>
  <c r="CY68" i="78"/>
  <c r="BO14" i="105"/>
  <c r="DE82" i="78"/>
  <c r="DH59" i="78"/>
  <c r="Y72" i="78"/>
  <c r="CX35" i="78"/>
  <c r="AV34" i="105"/>
  <c r="BM34" i="105"/>
  <c r="BQ35" i="78"/>
  <c r="U35" i="78"/>
  <c r="BV28" i="78"/>
  <c r="BQ87" i="105"/>
  <c r="AZ87" i="105"/>
  <c r="CQ11" i="78"/>
  <c r="AE93" i="78"/>
  <c r="CW46" i="78"/>
  <c r="CC82" i="78"/>
  <c r="AE46" i="78"/>
  <c r="AP32" i="105"/>
  <c r="BR34" i="105"/>
  <c r="BA34" i="105"/>
  <c r="AI51" i="78"/>
  <c r="CZ55" i="78"/>
  <c r="AT19" i="78"/>
  <c r="DH61" i="78"/>
  <c r="BP19" i="105"/>
  <c r="AY19" i="105"/>
  <c r="AW67" i="105"/>
  <c r="BN67" i="105"/>
  <c r="F82" i="59"/>
  <c r="BL72" i="105"/>
  <c r="BZ72" i="78"/>
  <c r="CV55" i="78"/>
  <c r="AV104" i="78"/>
  <c r="CO46" i="78"/>
  <c r="AP74" i="105"/>
  <c r="BU68" i="78"/>
  <c r="AH28" i="78"/>
  <c r="AX35" i="78"/>
  <c r="DA22" i="78"/>
  <c r="AB51" i="78"/>
  <c r="AK18" i="78"/>
  <c r="BO74" i="105"/>
  <c r="AX74" i="105"/>
  <c r="DE51" i="78"/>
  <c r="BY22" i="78"/>
  <c r="DA55" i="78"/>
  <c r="AT28" i="105"/>
  <c r="BK28" i="105"/>
  <c r="AO72" i="78"/>
  <c r="AY29" i="105"/>
  <c r="BP29" i="105"/>
  <c r="CG31" i="78"/>
  <c r="BB11" i="78"/>
  <c r="CP38" i="78"/>
  <c r="V35" i="78"/>
  <c r="CV19" i="78"/>
  <c r="L82" i="78"/>
  <c r="BJ36" i="105"/>
  <c r="BV36" i="105"/>
  <c r="AS36" i="105"/>
  <c r="P36" i="105"/>
  <c r="CN38" i="78"/>
  <c r="AG46" i="78"/>
  <c r="AC52" i="105"/>
  <c r="CH31" i="78"/>
  <c r="BV11" i="78"/>
  <c r="BI14" i="78"/>
  <c r="BI15" i="78"/>
  <c r="AR11" i="78"/>
  <c r="P38" i="105"/>
  <c r="AS38" i="105"/>
  <c r="BJ38" i="105"/>
  <c r="BV38" i="105"/>
  <c r="K51" i="78"/>
  <c r="AQ46" i="78"/>
  <c r="AP35" i="105"/>
  <c r="CA19" i="78"/>
  <c r="DF14" i="78"/>
  <c r="DC22" i="78"/>
  <c r="DH67" i="78"/>
  <c r="Z22" i="78"/>
  <c r="CY63" i="78"/>
  <c r="DA31" i="78"/>
  <c r="BQ22" i="78"/>
  <c r="CY28" i="78"/>
  <c r="DE46" i="78"/>
  <c r="DB46" i="78"/>
  <c r="BI68" i="78"/>
  <c r="AU69" i="105"/>
  <c r="BL69" i="105"/>
  <c r="CE51" i="78"/>
  <c r="DF28" i="78"/>
  <c r="BC14" i="78"/>
  <c r="BC93" i="78"/>
  <c r="BW68" i="78"/>
  <c r="Y46" i="78"/>
  <c r="BN63" i="105"/>
  <c r="AW63" i="105"/>
  <c r="CZ19" i="78"/>
  <c r="CF93" i="78"/>
  <c r="CO93" i="78"/>
  <c r="BM82" i="105"/>
  <c r="AV82" i="105"/>
  <c r="AU35" i="105"/>
  <c r="BL35" i="105"/>
  <c r="AS47" i="105"/>
  <c r="BJ47" i="105"/>
  <c r="BV47" i="105"/>
  <c r="P47" i="105"/>
  <c r="BL40" i="105"/>
  <c r="AU40" i="105"/>
  <c r="P38" i="78"/>
  <c r="P318" i="59"/>
  <c r="BA36" i="105"/>
  <c r="BR36" i="105"/>
  <c r="AP100" i="105"/>
  <c r="CF46" i="78"/>
  <c r="AP68" i="78"/>
  <c r="AE19" i="78"/>
  <c r="BK42" i="105"/>
  <c r="AT42" i="105"/>
  <c r="AZ82" i="78"/>
  <c r="BC55" i="78"/>
  <c r="CG76" i="78"/>
  <c r="T38" i="78"/>
  <c r="BY38" i="78"/>
  <c r="AY13" i="105"/>
  <c r="BP13" i="105"/>
  <c r="BO37" i="105"/>
  <c r="AX37" i="105"/>
  <c r="AJ14" i="78"/>
  <c r="AX36" i="105"/>
  <c r="BO36" i="105"/>
  <c r="BM60" i="105"/>
  <c r="AV60" i="105"/>
  <c r="AC74" i="105"/>
  <c r="AO68" i="78"/>
  <c r="CD38" i="78"/>
  <c r="O82" i="78"/>
  <c r="BF34" i="78"/>
  <c r="AM35" i="78"/>
  <c r="BK20" i="105"/>
  <c r="AT20" i="105"/>
  <c r="AC99" i="105"/>
  <c r="BF21" i="78"/>
  <c r="AM22" i="78"/>
  <c r="BU14" i="78"/>
  <c r="V76" i="78"/>
  <c r="BP17" i="105"/>
  <c r="AY17" i="105"/>
  <c r="CI22" i="78"/>
  <c r="CD51" i="78"/>
  <c r="M46" i="78"/>
  <c r="CO72" i="78"/>
  <c r="AP31" i="78"/>
  <c r="BO86" i="105"/>
  <c r="AX86" i="105"/>
  <c r="T55" i="78"/>
  <c r="AV35" i="78"/>
  <c r="L19" i="78"/>
  <c r="AG11" i="78"/>
  <c r="AJ82" i="78"/>
  <c r="CN28" i="78"/>
  <c r="AT48" i="105"/>
  <c r="BK48" i="105"/>
  <c r="BQ38" i="105"/>
  <c r="AZ38" i="105"/>
  <c r="BF27" i="78"/>
  <c r="BU72" i="78"/>
  <c r="AV83" i="105"/>
  <c r="BM83" i="105"/>
  <c r="AU31" i="78"/>
  <c r="AP38" i="105"/>
  <c r="BQ38" i="78"/>
  <c r="AU35" i="78"/>
  <c r="AP23" i="105"/>
  <c r="AO104" i="78"/>
  <c r="AP75" i="105"/>
  <c r="BR94" i="105"/>
  <c r="BA94" i="105"/>
  <c r="BT31" i="78"/>
  <c r="AP35" i="78"/>
  <c r="CS55" i="78"/>
  <c r="DC19" i="78"/>
  <c r="G28" i="78"/>
  <c r="Q26" i="78"/>
  <c r="AS74" i="105"/>
  <c r="P74" i="105"/>
  <c r="BJ74" i="105"/>
  <c r="BV74" i="105"/>
  <c r="AC62" i="105"/>
  <c r="AC87" i="105"/>
  <c r="CD72" i="78"/>
  <c r="BP68" i="78"/>
  <c r="BP73" i="105"/>
  <c r="AY73" i="105"/>
  <c r="S22" i="78"/>
  <c r="AK21" i="78"/>
  <c r="AP72" i="78"/>
  <c r="BQ61" i="105"/>
  <c r="BO91" i="105"/>
  <c r="AX91" i="105"/>
  <c r="BE28" i="78"/>
  <c r="BR26" i="105"/>
  <c r="BA26" i="105"/>
  <c r="AB28" i="78"/>
  <c r="BA99" i="78"/>
  <c r="CY104" i="78"/>
  <c r="AT22" i="78"/>
  <c r="BW11" i="78"/>
  <c r="DF51" i="78"/>
  <c r="AD11" i="78"/>
  <c r="BY31" i="78"/>
  <c r="BE72" i="78"/>
  <c r="CI36" i="105"/>
  <c r="AC36" i="105"/>
  <c r="AP76" i="105"/>
  <c r="AP104" i="78"/>
  <c r="CU11" i="78"/>
  <c r="CI63" i="78"/>
  <c r="CI47" i="105"/>
  <c r="AC47" i="105"/>
  <c r="AR14" i="78"/>
  <c r="AR15" i="78"/>
  <c r="AY68" i="78"/>
  <c r="AI72" i="78"/>
  <c r="BN85" i="105"/>
  <c r="AW85" i="105"/>
  <c r="BB14" i="78"/>
  <c r="BB15" i="78"/>
  <c r="CS46" i="78"/>
  <c r="Y93" i="78"/>
  <c r="O46" i="78"/>
  <c r="AQ55" i="78"/>
  <c r="BO60" i="105"/>
  <c r="AX60" i="105"/>
  <c r="CV31" i="78"/>
  <c r="AH63" i="78"/>
  <c r="CQ99" i="78"/>
  <c r="I55" i="78"/>
  <c r="U38" i="78"/>
  <c r="BP83" i="105"/>
  <c r="AY83" i="105"/>
  <c r="BP14" i="105"/>
  <c r="BJ90" i="105"/>
  <c r="BV90" i="105"/>
  <c r="P90" i="105"/>
  <c r="AS90" i="105"/>
  <c r="BE38" i="78"/>
  <c r="CS76" i="78"/>
  <c r="CZ28" i="78"/>
  <c r="AZ104" i="78"/>
  <c r="AX73" i="105"/>
  <c r="BO73" i="105"/>
  <c r="BP60" i="105"/>
  <c r="AY60" i="105"/>
  <c r="CA68" i="78"/>
  <c r="BH76" i="78"/>
  <c r="BJ75" i="78"/>
  <c r="AI31" i="78"/>
  <c r="DA93" i="78"/>
  <c r="CL68" i="78"/>
  <c r="BO22" i="105"/>
  <c r="AX22" i="105"/>
  <c r="CJ22" i="78"/>
  <c r="BS55" i="78"/>
  <c r="BA88" i="105"/>
  <c r="BR88" i="105"/>
  <c r="AD22" i="78"/>
  <c r="AF104" i="78"/>
  <c r="AU83" i="105"/>
  <c r="BL83" i="105"/>
  <c r="Q18" i="78"/>
  <c r="CA51" i="78"/>
  <c r="AU76" i="78"/>
  <c r="AY51" i="78"/>
  <c r="CP35" i="78"/>
  <c r="DD55" i="78"/>
  <c r="CC22" i="78"/>
  <c r="DF99" i="78"/>
  <c r="AG72" i="78"/>
  <c r="BL21" i="105"/>
  <c r="AU21" i="105"/>
  <c r="AV66" i="105"/>
  <c r="BM66" i="105"/>
  <c r="U28" i="78"/>
  <c r="O14" i="78"/>
  <c r="O15" i="78"/>
  <c r="AS13" i="105"/>
  <c r="P13" i="105"/>
  <c r="BJ13" i="105"/>
  <c r="BV13" i="105"/>
  <c r="AP96" i="105"/>
  <c r="CI68" i="78"/>
  <c r="AG35" i="78"/>
  <c r="BP104" i="78"/>
  <c r="AZ94" i="105"/>
  <c r="BQ94" i="105"/>
  <c r="O109" i="59"/>
  <c r="CL51" i="78"/>
  <c r="L35" i="78"/>
  <c r="BZ104" i="78"/>
  <c r="X82" i="78"/>
  <c r="AU84" i="105"/>
  <c r="BL84" i="105"/>
  <c r="CN76" i="78"/>
  <c r="BD93" i="78"/>
  <c r="M28" i="78"/>
  <c r="BL89" i="105"/>
  <c r="AU89" i="105"/>
  <c r="BU99" i="78"/>
  <c r="BQ84" i="105"/>
  <c r="AZ84" i="105"/>
  <c r="BJ25" i="78"/>
  <c r="AU72" i="78"/>
  <c r="CY35" i="78"/>
  <c r="AE76" i="78"/>
  <c r="BE63" i="78"/>
  <c r="BJ69" i="105"/>
  <c r="BV69" i="105"/>
  <c r="AS69" i="105"/>
  <c r="P69" i="105"/>
  <c r="AY91" i="105"/>
  <c r="BP91" i="105"/>
  <c r="BU104" i="78"/>
  <c r="CT35" i="78"/>
  <c r="AY97" i="105"/>
  <c r="BP97" i="105"/>
  <c r="BR28" i="78"/>
  <c r="CJ14" i="78"/>
  <c r="AX66" i="105"/>
  <c r="BO66" i="105"/>
  <c r="BN28" i="105"/>
  <c r="AW28" i="105"/>
  <c r="BK86" i="105"/>
  <c r="AT86" i="105"/>
  <c r="CE19" i="78"/>
  <c r="AW82" i="78"/>
  <c r="N51" i="78"/>
  <c r="AC15" i="105"/>
  <c r="AI46" i="78"/>
  <c r="M99" i="78"/>
  <c r="AS73" i="105"/>
  <c r="BJ73" i="105"/>
  <c r="BV73" i="105"/>
  <c r="P73" i="105"/>
  <c r="AS26" i="105"/>
  <c r="P26" i="105"/>
  <c r="BJ26" i="105"/>
  <c r="BV26" i="105"/>
  <c r="BI46" i="78"/>
  <c r="AX81" i="105"/>
  <c r="BO81" i="105"/>
  <c r="J28" i="78"/>
  <c r="J55" i="78"/>
  <c r="Q79" i="78"/>
  <c r="G82" i="78"/>
  <c r="BQ66" i="105"/>
  <c r="AZ66" i="105"/>
  <c r="BL20" i="105"/>
  <c r="AU20" i="105"/>
  <c r="K72" i="78"/>
  <c r="BC76" i="78"/>
  <c r="CH68" i="78"/>
  <c r="BF25" i="78"/>
  <c r="J38" i="78"/>
  <c r="AG14" i="78"/>
  <c r="AG15" i="78"/>
  <c r="CB11" i="78"/>
  <c r="CZ93" i="78"/>
  <c r="CN46" i="78"/>
  <c r="AX14" i="78"/>
  <c r="CU28" i="78"/>
  <c r="I109" i="59"/>
  <c r="CI46" i="78"/>
  <c r="Q89" i="78"/>
  <c r="G93" i="78"/>
  <c r="CJ19" i="78"/>
  <c r="CV76" i="78"/>
  <c r="CE31" i="78"/>
  <c r="CZ72" i="78"/>
  <c r="AN55" i="78"/>
  <c r="BD31" i="78"/>
  <c r="Q98" i="78"/>
  <c r="H19" i="78"/>
  <c r="W63" i="78"/>
  <c r="AT38" i="105"/>
  <c r="BK38" i="105"/>
  <c r="BW38" i="105"/>
  <c r="CJ38" i="105"/>
  <c r="Z19" i="78"/>
  <c r="AC18" i="105"/>
  <c r="CF68" i="78"/>
  <c r="X14" i="78"/>
  <c r="X15" i="78"/>
  <c r="BE82" i="78"/>
  <c r="AY16" i="105"/>
  <c r="BP16" i="105"/>
  <c r="CZ82" i="78"/>
  <c r="AU68" i="78"/>
  <c r="BI99" i="78"/>
  <c r="O22" i="78"/>
  <c r="DC55" i="78"/>
  <c r="BQ14" i="105"/>
  <c r="DC35" i="78"/>
  <c r="BR19" i="105"/>
  <c r="BA19" i="105"/>
  <c r="AC82" i="105"/>
  <c r="AP33" i="105"/>
  <c r="AI99" i="78"/>
  <c r="CC51" i="78"/>
  <c r="U22" i="78"/>
  <c r="N76" i="78"/>
  <c r="BU46" i="78"/>
  <c r="BF71" i="78"/>
  <c r="AM72" i="78"/>
  <c r="AW93" i="78"/>
  <c r="AK92" i="78"/>
  <c r="CQ51" i="78"/>
  <c r="DE31" i="78"/>
  <c r="AT35" i="78"/>
  <c r="CD93" i="78"/>
  <c r="BT55" i="78"/>
  <c r="BF58" i="78"/>
  <c r="AZ35" i="105"/>
  <c r="BQ35" i="105"/>
  <c r="AU45" i="105"/>
  <c r="BL45" i="105"/>
  <c r="AY88" i="105"/>
  <c r="BP88" i="105"/>
  <c r="AN76" i="78"/>
  <c r="CC55" i="78"/>
  <c r="CX11" i="78"/>
  <c r="P35" i="78"/>
  <c r="CJ46" i="78"/>
  <c r="CA104" i="78"/>
  <c r="DH54" i="78"/>
  <c r="AP37" i="105"/>
  <c r="AE14" i="78"/>
  <c r="CR19" i="78"/>
  <c r="S104" i="78"/>
  <c r="AA14" i="78"/>
  <c r="BT46" i="78"/>
  <c r="BN46" i="105"/>
  <c r="AW46" i="105"/>
  <c r="AY72" i="78"/>
  <c r="AJ104" i="78"/>
  <c r="Q92" i="78"/>
  <c r="P46" i="105"/>
  <c r="AS46" i="105"/>
  <c r="BJ46" i="105"/>
  <c r="BV46" i="105"/>
  <c r="BA31" i="78"/>
  <c r="BA32" i="78"/>
  <c r="BQ19" i="78"/>
  <c r="AS29" i="105"/>
  <c r="P29" i="105"/>
  <c r="BJ29" i="105"/>
  <c r="BV29" i="105"/>
  <c r="BS72" i="78"/>
  <c r="BW22" i="78"/>
  <c r="CD82" i="78"/>
  <c r="AS75" i="105"/>
  <c r="BJ75" i="105"/>
  <c r="BV75" i="105"/>
  <c r="P75" i="105"/>
  <c r="BE93" i="78"/>
  <c r="BJ21" i="105"/>
  <c r="BV21" i="105"/>
  <c r="P21" i="105"/>
  <c r="AS21" i="105"/>
  <c r="AP73" i="105"/>
  <c r="BN44" i="105"/>
  <c r="AW44" i="105"/>
  <c r="CM99" i="78"/>
  <c r="BJ34" i="78"/>
  <c r="BH35" i="78"/>
  <c r="I72" i="78"/>
  <c r="U31" i="78"/>
  <c r="U32" i="78"/>
  <c r="AC44" i="105"/>
  <c r="AO82" i="78"/>
  <c r="AA35" i="78"/>
  <c r="BK75" i="105"/>
  <c r="BW75" i="105"/>
  <c r="AT75" i="105"/>
  <c r="AR19" i="78"/>
  <c r="CF28" i="78"/>
  <c r="CQ68" i="78"/>
  <c r="BM87" i="105"/>
  <c r="AV87" i="105"/>
  <c r="DD63" i="78"/>
  <c r="BX14" i="78"/>
  <c r="BX15" i="78"/>
  <c r="O28" i="78"/>
  <c r="BM68" i="105"/>
  <c r="AV68" i="105"/>
  <c r="CD28" i="78"/>
  <c r="BQ72" i="105"/>
  <c r="DC99" i="78"/>
  <c r="BF54" i="78"/>
  <c r="AP82" i="105"/>
  <c r="L31" i="78"/>
  <c r="L32" i="78"/>
  <c r="AP71" i="105"/>
  <c r="AX82" i="78"/>
  <c r="AC68" i="105"/>
  <c r="L109" i="59"/>
  <c r="AT82" i="105"/>
  <c r="BK82" i="105"/>
  <c r="BR51" i="78"/>
  <c r="BJ45" i="105"/>
  <c r="BV45" i="105"/>
  <c r="CI45" i="105"/>
  <c r="P45" i="105"/>
  <c r="AS45" i="105"/>
  <c r="P62" i="105"/>
  <c r="AS62" i="105"/>
  <c r="BJ62" i="105"/>
  <c r="BV62" i="105"/>
  <c r="BA91" i="105"/>
  <c r="BR91" i="105"/>
  <c r="CM82" i="78"/>
  <c r="AX46" i="105"/>
  <c r="BO46" i="105"/>
  <c r="BD68" i="78"/>
  <c r="BL61" i="105"/>
  <c r="BO44" i="105"/>
  <c r="AX44" i="105"/>
  <c r="CZ31" i="78"/>
  <c r="CZ32" i="78"/>
  <c r="AZ20" i="105"/>
  <c r="BQ20" i="105"/>
  <c r="AC65" i="105"/>
  <c r="L11" i="78"/>
  <c r="BA55" i="78"/>
  <c r="K104" i="78"/>
  <c r="H82" i="78"/>
  <c r="AP27" i="105"/>
  <c r="CF31" i="78"/>
  <c r="X51" i="78"/>
  <c r="BQ60" i="105"/>
  <c r="AZ60" i="105"/>
  <c r="K19" i="78"/>
  <c r="BQ65" i="105"/>
  <c r="AZ65" i="105"/>
  <c r="CJ63" i="78"/>
  <c r="AW40" i="105"/>
  <c r="BN40" i="105"/>
  <c r="AB31" i="78"/>
  <c r="BB38" i="78"/>
  <c r="AP18" i="105"/>
  <c r="AW66" i="105"/>
  <c r="BN66" i="105"/>
  <c r="BP76" i="78"/>
  <c r="CO31" i="78"/>
  <c r="BJ52" i="105"/>
  <c r="BV52" i="105"/>
  <c r="P52" i="105"/>
  <c r="W68" i="78"/>
  <c r="AN51" i="78"/>
  <c r="AF38" i="78"/>
  <c r="AT84" i="105"/>
  <c r="BK84" i="105"/>
  <c r="BU63" i="78"/>
  <c r="BO97" i="105"/>
  <c r="AX97" i="105"/>
  <c r="AW88" i="105"/>
  <c r="BN88" i="105"/>
  <c r="DF19" i="78"/>
  <c r="BO39" i="105"/>
  <c r="AX39" i="105"/>
  <c r="DE55" i="78"/>
  <c r="I28" i="78"/>
  <c r="BY76" i="78"/>
  <c r="CG51" i="78"/>
  <c r="AP40" i="105"/>
  <c r="CZ68" i="78"/>
  <c r="BQ31" i="78"/>
  <c r="BQ32" i="78"/>
  <c r="AU73" i="105"/>
  <c r="BL73" i="105"/>
  <c r="CY72" i="78"/>
  <c r="BJ26" i="78"/>
  <c r="BH28" i="78"/>
  <c r="CV99" i="78"/>
  <c r="K93" i="78"/>
  <c r="BJ67" i="78"/>
  <c r="AW19" i="105"/>
  <c r="BN19" i="105"/>
  <c r="AP68" i="105"/>
  <c r="T22" i="78"/>
  <c r="AQ82" i="78"/>
  <c r="AZ93" i="78"/>
  <c r="AV14" i="78"/>
  <c r="CO104" i="78"/>
  <c r="AQ38" i="78"/>
  <c r="CL72" i="78"/>
  <c r="K99" i="78"/>
  <c r="CP28" i="78"/>
  <c r="AH55" i="78"/>
  <c r="I93" i="78"/>
  <c r="AX68" i="78"/>
  <c r="BT82" i="78"/>
  <c r="AS55" i="78"/>
  <c r="CI51" i="78"/>
  <c r="BJ48" i="78"/>
  <c r="BH51" i="78"/>
  <c r="CU35" i="78"/>
  <c r="BY28" i="78"/>
  <c r="Z11" i="78"/>
  <c r="CH76" i="78"/>
  <c r="CP63" i="78"/>
  <c r="AH35" i="78"/>
  <c r="AU82" i="78"/>
  <c r="AG28" i="78"/>
  <c r="BB104" i="78"/>
  <c r="BQ62" i="105"/>
  <c r="AZ62" i="105"/>
  <c r="CU93" i="78"/>
  <c r="CD46" i="78"/>
  <c r="BO22" i="78"/>
  <c r="DH21" i="78"/>
  <c r="AX35" i="105"/>
  <c r="BO35" i="105"/>
  <c r="BL41" i="105"/>
  <c r="AU41" i="105"/>
  <c r="BE51" i="78"/>
  <c r="CZ76" i="78"/>
  <c r="AU15" i="105"/>
  <c r="DE68" i="78"/>
  <c r="P55" i="78"/>
  <c r="BA28" i="105"/>
  <c r="BR28" i="105"/>
  <c r="BJ18" i="78"/>
  <c r="CM72" i="78"/>
  <c r="CJ104" i="78"/>
  <c r="AW22" i="78"/>
  <c r="AM55" i="78"/>
  <c r="BF53" i="78"/>
  <c r="P48" i="105"/>
  <c r="AS48" i="105"/>
  <c r="BJ48" i="105"/>
  <c r="BV48" i="105"/>
  <c r="DB76" i="78"/>
  <c r="DH17" i="78"/>
  <c r="BO19" i="78"/>
  <c r="AT62" i="105"/>
  <c r="BK62" i="105"/>
  <c r="BW62" i="105"/>
  <c r="N55" i="78"/>
  <c r="AF22" i="78"/>
  <c r="BL67" i="105"/>
  <c r="AU67" i="105"/>
  <c r="CK93" i="78"/>
  <c r="BO43" i="105"/>
  <c r="AX43" i="105"/>
  <c r="X63" i="78"/>
  <c r="CN104" i="78"/>
  <c r="AP28" i="105"/>
  <c r="CB46" i="78"/>
  <c r="AA82" i="78"/>
  <c r="AZ42" i="105"/>
  <c r="BQ42" i="105"/>
  <c r="AP41" i="105"/>
  <c r="H35" i="78"/>
  <c r="CK11" i="78"/>
  <c r="AV35" i="105"/>
  <c r="BM35" i="105"/>
  <c r="BO47" i="105"/>
  <c r="AX47" i="105"/>
  <c r="Z99" i="78"/>
  <c r="AW70" i="105"/>
  <c r="BN70" i="105"/>
  <c r="BJ66" i="78"/>
  <c r="AT37" i="105"/>
  <c r="BK37" i="105"/>
  <c r="BW37" i="105"/>
  <c r="CJ37" i="105"/>
  <c r="AK25" i="78"/>
  <c r="CP99" i="78"/>
  <c r="AX38" i="78"/>
  <c r="CI104" i="78"/>
  <c r="J82" i="78"/>
  <c r="Q66" i="78"/>
  <c r="L46" i="78"/>
  <c r="BQ81" i="105"/>
  <c r="AZ81" i="105"/>
  <c r="AP51" i="105"/>
  <c r="I14" i="78"/>
  <c r="Z46" i="78"/>
  <c r="X76" i="78"/>
  <c r="Q21" i="78"/>
  <c r="G22" i="78"/>
  <c r="AC75" i="105"/>
  <c r="CI75" i="105"/>
  <c r="AY21" i="105"/>
  <c r="BP21" i="105"/>
  <c r="BW55" i="78"/>
  <c r="AD55" i="78"/>
  <c r="BV38" i="78"/>
  <c r="N109" i="59"/>
  <c r="CW35" i="78"/>
  <c r="BA46" i="105"/>
  <c r="BR46" i="105"/>
  <c r="V46" i="78"/>
  <c r="DH58" i="78"/>
  <c r="BR83" i="105"/>
  <c r="BA83" i="105"/>
  <c r="AP92" i="105"/>
  <c r="AZ45" i="105"/>
  <c r="BQ45" i="105"/>
  <c r="AT65" i="105"/>
  <c r="BK65" i="105"/>
  <c r="I22" i="78"/>
  <c r="BA104" i="78"/>
  <c r="AP87" i="105"/>
  <c r="AZ63" i="78"/>
  <c r="BO26" i="105"/>
  <c r="AX26" i="105"/>
  <c r="BJ65" i="105"/>
  <c r="BV65" i="105"/>
  <c r="AS65" i="105"/>
  <c r="P65" i="105"/>
  <c r="AC69" i="105"/>
  <c r="CI69" i="105"/>
  <c r="AF72" i="78"/>
  <c r="BM45" i="105"/>
  <c r="AV45" i="105"/>
  <c r="CD68" i="78"/>
  <c r="BT19" i="78"/>
  <c r="BV63" i="78"/>
  <c r="BS51" i="78"/>
  <c r="CA38" i="78"/>
  <c r="CW31" i="78"/>
  <c r="BT68" i="78"/>
  <c r="AX84" i="105"/>
  <c r="BO84" i="105"/>
  <c r="CI13" i="105"/>
  <c r="AC13" i="105"/>
  <c r="AY35" i="78"/>
  <c r="AN22" i="78"/>
  <c r="CU14" i="78"/>
  <c r="CU15" i="78"/>
  <c r="M51" i="78"/>
  <c r="CL63" i="78"/>
  <c r="AT94" i="105"/>
  <c r="BK94" i="105"/>
  <c r="BK41" i="105"/>
  <c r="BW41" i="105"/>
  <c r="CJ41" i="105"/>
  <c r="AT41" i="105"/>
  <c r="CZ22" i="78"/>
  <c r="DB55" i="78"/>
  <c r="BQ76" i="78"/>
  <c r="CQ72" i="78"/>
  <c r="CJ93" i="78"/>
  <c r="CJ106" i="78"/>
  <c r="BS82" i="78"/>
  <c r="BO28" i="78"/>
  <c r="DH26" i="78"/>
  <c r="CY93" i="78"/>
  <c r="CL31" i="78"/>
  <c r="AA22" i="78"/>
  <c r="AX65" i="105"/>
  <c r="BO65" i="105"/>
  <c r="CK46" i="78"/>
  <c r="BZ14" i="78"/>
  <c r="AE11" i="78"/>
  <c r="CR46" i="78"/>
  <c r="AS22" i="78"/>
  <c r="AB46" i="78"/>
  <c r="DF93" i="78"/>
  <c r="BK45" i="105"/>
  <c r="BW45" i="105"/>
  <c r="CJ45" i="105"/>
  <c r="AT45" i="105"/>
  <c r="AU22" i="105"/>
  <c r="BL22" i="105"/>
  <c r="BM17" i="105"/>
  <c r="AV17" i="105"/>
  <c r="BF49" i="78"/>
  <c r="AA19" i="78"/>
  <c r="BR76" i="78"/>
  <c r="AT31" i="78"/>
  <c r="AB38" i="78"/>
  <c r="BD51" i="78"/>
  <c r="BL88" i="105"/>
  <c r="AU88" i="105"/>
  <c r="AX93" i="78"/>
  <c r="AU18" i="105"/>
  <c r="BL18" i="105"/>
  <c r="BA19" i="78"/>
  <c r="BN13" i="105"/>
  <c r="AW13" i="105"/>
  <c r="BZ99" i="78"/>
  <c r="Q29" i="78"/>
  <c r="G31" i="78"/>
  <c r="AX31" i="78"/>
  <c r="AR99" i="78"/>
  <c r="AO55" i="78"/>
  <c r="AT11" i="78"/>
  <c r="BZ28" i="78"/>
  <c r="BQ93" i="105"/>
  <c r="AZ93" i="105"/>
  <c r="CI73" i="105"/>
  <c r="AC73" i="105"/>
  <c r="AX99" i="78"/>
  <c r="CN14" i="78"/>
  <c r="J19" i="78"/>
  <c r="AW19" i="78"/>
  <c r="BP43" i="105"/>
  <c r="AY43" i="105"/>
  <c r="CD22" i="78"/>
  <c r="BX28" i="78"/>
  <c r="K318" i="59"/>
  <c r="AW39" i="105"/>
  <c r="BN39" i="105"/>
  <c r="P68" i="78"/>
  <c r="CT93" i="78"/>
  <c r="Z51" i="78"/>
  <c r="CA55" i="78"/>
  <c r="BJ59" i="78"/>
  <c r="AW87" i="105"/>
  <c r="BN87" i="105"/>
  <c r="DF63" i="78"/>
  <c r="M68" i="78"/>
  <c r="AP44" i="105"/>
  <c r="Q49" i="78"/>
  <c r="K38" i="78"/>
  <c r="CG82" i="78"/>
  <c r="BP90" i="105"/>
  <c r="AY90" i="105"/>
  <c r="BR19" i="78"/>
  <c r="P14" i="105"/>
  <c r="BJ14" i="105"/>
  <c r="BV14" i="105"/>
  <c r="BP31" i="78"/>
  <c r="V19" i="78"/>
  <c r="AP12" i="105"/>
  <c r="AW47" i="105"/>
  <c r="BN47" i="105"/>
  <c r="AV62" i="105"/>
  <c r="BM62" i="105"/>
  <c r="AV46" i="78"/>
  <c r="Q102" i="78"/>
  <c r="G104" i="78"/>
  <c r="AU46" i="78"/>
  <c r="BX93" i="78"/>
  <c r="BE55" i="78"/>
  <c r="DD104" i="78"/>
  <c r="DA11" i="78"/>
  <c r="AK65" i="78"/>
  <c r="S68" i="78"/>
  <c r="BK60" i="105"/>
  <c r="AT60" i="105"/>
  <c r="AY86" i="105"/>
  <c r="BP86" i="105"/>
  <c r="BC82" i="78"/>
  <c r="BU76" i="78"/>
  <c r="CE76" i="78"/>
  <c r="CF32" i="78"/>
  <c r="BF10" i="78"/>
  <c r="BB76" i="78"/>
  <c r="CW19" i="78"/>
  <c r="CF38" i="78"/>
  <c r="BO82" i="105"/>
  <c r="AX82" i="105"/>
  <c r="AP70" i="105"/>
  <c r="DF31" i="78"/>
  <c r="DF32" i="78"/>
  <c r="Q57" i="78"/>
  <c r="G63" i="78"/>
  <c r="CA14" i="78"/>
  <c r="BI72" i="78"/>
  <c r="DC31" i="78"/>
  <c r="DC32" i="78"/>
  <c r="DF72" i="78"/>
  <c r="BW99" i="78"/>
  <c r="S19" i="78"/>
  <c r="AK17" i="78"/>
  <c r="BR40" i="105"/>
  <c r="BA40" i="105"/>
  <c r="BN97" i="105"/>
  <c r="AW97" i="105"/>
  <c r="AC104" i="78"/>
  <c r="Z31" i="78"/>
  <c r="L76" i="78"/>
  <c r="BC38" i="78"/>
  <c r="AZ50" i="105"/>
  <c r="BQ50" i="105"/>
  <c r="O104" i="78"/>
  <c r="AN72" i="78"/>
  <c r="BK23" i="105"/>
  <c r="AT23" i="105"/>
  <c r="DD46" i="78"/>
  <c r="AT95" i="105"/>
  <c r="BK95" i="105"/>
  <c r="U63" i="78"/>
  <c r="BA42" i="105"/>
  <c r="BR42" i="105"/>
  <c r="DE32" i="78"/>
  <c r="AC76" i="78"/>
  <c r="AI55" i="78"/>
  <c r="CP51" i="78"/>
  <c r="CB82" i="78"/>
  <c r="AP51" i="78"/>
  <c r="U76" i="78"/>
  <c r="CS14" i="78"/>
  <c r="BR95" i="105"/>
  <c r="BA95" i="105"/>
  <c r="CH19" i="78"/>
  <c r="W72" i="78"/>
  <c r="AY93" i="105"/>
  <c r="BP93" i="105"/>
  <c r="CE38" i="78"/>
  <c r="CG35" i="78"/>
  <c r="CM63" i="78"/>
  <c r="CQ19" i="78"/>
  <c r="BJ49" i="78"/>
  <c r="BJ61" i="78"/>
  <c r="BO50" i="105"/>
  <c r="AX50" i="105"/>
  <c r="CB14" i="78"/>
  <c r="CB15" i="78"/>
  <c r="DF38" i="78"/>
  <c r="BM39" i="105"/>
  <c r="AV39" i="105"/>
  <c r="BA68" i="78"/>
  <c r="BJ72" i="105"/>
  <c r="BV72" i="105"/>
  <c r="P72" i="105"/>
  <c r="AV27" i="105"/>
  <c r="BM27" i="105"/>
  <c r="BV93" i="78"/>
  <c r="CF11" i="78"/>
  <c r="AJ31" i="78"/>
  <c r="AJ32" i="78"/>
  <c r="CS72" i="78"/>
  <c r="AE63" i="78"/>
  <c r="V31" i="78"/>
  <c r="V32" i="78"/>
  <c r="U68" i="78"/>
  <c r="BQ68" i="78"/>
  <c r="AC92" i="105"/>
  <c r="AE72" i="78"/>
  <c r="AQ93" i="78"/>
  <c r="J11" i="78"/>
  <c r="AW72" i="78"/>
  <c r="AN82" i="78"/>
  <c r="CI72" i="78"/>
  <c r="P76" i="105"/>
  <c r="AS76" i="105"/>
  <c r="BJ76" i="105"/>
  <c r="BV76" i="105"/>
  <c r="AR93" i="78"/>
  <c r="BL74" i="105"/>
  <c r="AU74" i="105"/>
  <c r="CM104" i="78"/>
  <c r="CE63" i="78"/>
  <c r="Y82" i="78"/>
  <c r="CJ55" i="78"/>
  <c r="I31" i="78"/>
  <c r="BR41" i="105"/>
  <c r="BA41" i="105"/>
  <c r="J93" i="78"/>
  <c r="BO15" i="105"/>
  <c r="AX15" i="105"/>
  <c r="AY18" i="105"/>
  <c r="BP18" i="105"/>
  <c r="CM68" i="78"/>
  <c r="BM81" i="105"/>
  <c r="AV81" i="105"/>
  <c r="CY55" i="78"/>
  <c r="BE31" i="78"/>
  <c r="CL76" i="78"/>
  <c r="BN34" i="105"/>
  <c r="AW34" i="105"/>
  <c r="AT47" i="105"/>
  <c r="BK47" i="105"/>
  <c r="BW47" i="105"/>
  <c r="BK36" i="105"/>
  <c r="BW36" i="105"/>
  <c r="CJ36" i="105"/>
  <c r="AT36" i="105"/>
  <c r="BC36" i="105"/>
  <c r="DE76" i="78"/>
  <c r="BQ64" i="105"/>
  <c r="AZ64" i="105"/>
  <c r="CL28" i="78"/>
  <c r="CL32" i="78"/>
  <c r="BN83" i="105"/>
  <c r="AW83" i="105"/>
  <c r="CV28" i="78"/>
  <c r="V68" i="78"/>
  <c r="M35" i="78"/>
  <c r="CT31" i="78"/>
  <c r="CO14" i="78"/>
  <c r="AZ89" i="105"/>
  <c r="BQ89" i="105"/>
  <c r="V38" i="78"/>
  <c r="BJ50" i="105"/>
  <c r="BV50" i="105"/>
  <c r="AS50" i="105"/>
  <c r="P50" i="105"/>
  <c r="BA29" i="105"/>
  <c r="BR29" i="105"/>
  <c r="AP63" i="78"/>
  <c r="AT14" i="78"/>
  <c r="AT15" i="78"/>
  <c r="DE93" i="78"/>
  <c r="AY14" i="78"/>
  <c r="AY15" i="78"/>
  <c r="AC28" i="78"/>
  <c r="CL82" i="78"/>
  <c r="AC64" i="105"/>
  <c r="BK69" i="105"/>
  <c r="BW69" i="105"/>
  <c r="CJ69" i="105"/>
  <c r="AT69" i="105"/>
  <c r="AS11" i="78"/>
  <c r="DE104" i="78"/>
  <c r="AC40" i="105"/>
  <c r="BV51" i="78"/>
  <c r="AV29" i="105"/>
  <c r="BM29" i="105"/>
  <c r="AO28" i="78"/>
  <c r="AT76" i="78"/>
  <c r="AT21" i="105"/>
  <c r="BK21" i="105"/>
  <c r="BW21" i="105"/>
  <c r="CJ21" i="105"/>
  <c r="AT87" i="105"/>
  <c r="BK87" i="105"/>
  <c r="AS19" i="78"/>
  <c r="AX22" i="78"/>
  <c r="BL93" i="105"/>
  <c r="AU93" i="105"/>
  <c r="CP104" i="78"/>
  <c r="AS93" i="78"/>
  <c r="V14" i="78"/>
  <c r="CS93" i="78"/>
  <c r="AR104" i="78"/>
  <c r="T68" i="78"/>
  <c r="AD14" i="78"/>
  <c r="AD15" i="78"/>
  <c r="BX63" i="78"/>
  <c r="S63" i="78"/>
  <c r="AK57" i="78"/>
  <c r="BA76" i="105"/>
  <c r="BR76" i="105"/>
  <c r="AT40" i="105"/>
  <c r="BK40" i="105"/>
  <c r="CV11" i="78"/>
  <c r="BJ58" i="78"/>
  <c r="AS76" i="78"/>
  <c r="AU38" i="78"/>
  <c r="AP62" i="105"/>
  <c r="L38" i="78"/>
  <c r="BA18" i="105"/>
  <c r="BR18" i="105"/>
  <c r="AK10" i="78"/>
  <c r="H38" i="78"/>
  <c r="V22" i="78"/>
  <c r="CP19" i="78"/>
  <c r="BI76" i="78"/>
  <c r="AW95" i="105"/>
  <c r="BN95" i="105"/>
  <c r="AC70" i="105"/>
  <c r="BF75" i="78"/>
  <c r="AM76" i="78"/>
  <c r="BE104" i="78"/>
  <c r="CD35" i="78"/>
  <c r="CQ38" i="78"/>
  <c r="BP61" i="105"/>
  <c r="DB11" i="78"/>
  <c r="BA86" i="105"/>
  <c r="BR86" i="105"/>
  <c r="O35" i="78"/>
  <c r="AS35" i="78"/>
  <c r="AV74" i="105"/>
  <c r="BM74" i="105"/>
  <c r="AG19" i="78"/>
  <c r="AC89" i="105"/>
  <c r="Y22" i="78"/>
  <c r="BP28" i="105"/>
  <c r="AY28" i="105"/>
  <c r="BK64" i="105"/>
  <c r="AT64" i="105"/>
  <c r="CE14" i="78"/>
  <c r="AU81" i="105"/>
  <c r="BL81" i="105"/>
  <c r="CF14" i="78"/>
  <c r="CF15" i="78"/>
  <c r="AW55" i="78"/>
  <c r="AU63" i="78"/>
  <c r="CM19" i="78"/>
  <c r="AF28" i="78"/>
  <c r="Z72" i="78"/>
  <c r="AY104" i="78"/>
  <c r="BU22" i="78"/>
  <c r="BP45" i="105"/>
  <c r="AY45" i="105"/>
  <c r="CB63" i="78"/>
  <c r="AT38" i="78"/>
  <c r="AS68" i="105"/>
  <c r="P68" i="105"/>
  <c r="BJ68" i="105"/>
  <c r="BV68" i="105"/>
  <c r="BQ16" i="105"/>
  <c r="AZ16" i="105"/>
  <c r="BQ67" i="105"/>
  <c r="AZ67" i="105"/>
  <c r="BV72" i="78"/>
  <c r="CB68" i="78"/>
  <c r="CS51" i="78"/>
  <c r="AZ99" i="78"/>
  <c r="CA76" i="78"/>
  <c r="AZ55" i="78"/>
  <c r="CM31" i="78"/>
  <c r="AO51" i="78"/>
  <c r="CX76" i="78"/>
  <c r="N68" i="78"/>
  <c r="AX70" i="105"/>
  <c r="BO70" i="105"/>
  <c r="I35" i="78"/>
  <c r="N46" i="78"/>
  <c r="AS46" i="78"/>
  <c r="AT32" i="78"/>
  <c r="AA28" i="78"/>
  <c r="AA38" i="78"/>
  <c r="CJ38" i="78"/>
  <c r="CH99" i="78"/>
  <c r="BJ24" i="78"/>
  <c r="DH49" i="78"/>
  <c r="AS51" i="78"/>
  <c r="DH48" i="78"/>
  <c r="BB51" i="78"/>
  <c r="P51" i="78"/>
  <c r="AY70" i="105"/>
  <c r="BP70" i="105"/>
  <c r="M31" i="78"/>
  <c r="M32" i="78"/>
  <c r="DC14" i="78"/>
  <c r="CU38" i="78"/>
  <c r="CN11" i="78"/>
  <c r="DA28" i="78"/>
  <c r="DA32" i="78"/>
  <c r="CY19" i="78"/>
  <c r="CK104" i="78"/>
  <c r="BP76" i="105"/>
  <c r="AY76" i="105"/>
  <c r="AC99" i="78"/>
  <c r="G68" i="78"/>
  <c r="Q65" i="78"/>
  <c r="CF51" i="78"/>
  <c r="BP52" i="105"/>
  <c r="BM22" i="105"/>
  <c r="AV22" i="105"/>
  <c r="DH30" i="78"/>
  <c r="BH93" i="78"/>
  <c r="BJ89" i="78"/>
  <c r="AY31" i="78"/>
  <c r="AC63" i="105"/>
  <c r="BK70" i="105"/>
  <c r="AT70" i="105"/>
  <c r="DB31" i="78"/>
  <c r="CF35" i="78"/>
  <c r="AS31" i="78"/>
  <c r="S38" i="78"/>
  <c r="AK37" i="78"/>
  <c r="AZ72" i="78"/>
  <c r="BR21" i="105"/>
  <c r="BA21" i="105"/>
  <c r="BM85" i="105"/>
  <c r="AV85" i="105"/>
  <c r="AE68" i="78"/>
  <c r="BM88" i="105"/>
  <c r="AV88" i="105"/>
  <c r="DC82" i="78"/>
  <c r="DC46" i="78"/>
  <c r="AU29" i="105"/>
  <c r="BL29" i="105"/>
  <c r="AQ31" i="78"/>
  <c r="AP49" i="105"/>
  <c r="I11" i="78"/>
  <c r="AQ11" i="78"/>
  <c r="O19" i="78"/>
  <c r="AG104" i="78"/>
  <c r="AP11" i="78"/>
  <c r="CP14" i="78"/>
  <c r="CP15" i="78"/>
  <c r="BV55" i="78"/>
  <c r="G76" i="78"/>
  <c r="Q75" i="78"/>
  <c r="Q53" i="78"/>
  <c r="G55" i="78"/>
  <c r="AJ76" i="78"/>
  <c r="CJ51" i="78"/>
  <c r="AH76" i="78"/>
  <c r="BF18" i="78"/>
  <c r="CF55" i="78"/>
  <c r="CM93" i="78"/>
  <c r="CM106" i="78"/>
  <c r="AH93" i="78"/>
  <c r="W31" i="78"/>
  <c r="W32" i="78"/>
  <c r="X22" i="78"/>
  <c r="BQ21" i="105"/>
  <c r="AZ21" i="105"/>
  <c r="AO76" i="78"/>
  <c r="CH22" i="78"/>
  <c r="CB99" i="78"/>
  <c r="AV63" i="78"/>
  <c r="AW68" i="105"/>
  <c r="BN68" i="105"/>
  <c r="CN99" i="78"/>
  <c r="AP88" i="105"/>
  <c r="J104" i="78"/>
  <c r="BJ12" i="78"/>
  <c r="BH14" i="78"/>
  <c r="AC51" i="78"/>
  <c r="S76" i="78"/>
  <c r="AK75" i="78"/>
  <c r="BO63" i="78"/>
  <c r="DH57" i="78"/>
  <c r="BF66" i="78"/>
  <c r="CJ62" i="105"/>
  <c r="AS63" i="105"/>
  <c r="P63" i="105"/>
  <c r="BJ63" i="105"/>
  <c r="BV63" i="105"/>
  <c r="BN21" i="105"/>
  <c r="AW21" i="105"/>
  <c r="BO88" i="105"/>
  <c r="AX88" i="105"/>
  <c r="N318" i="59"/>
  <c r="BA50" i="105"/>
  <c r="BR50" i="105"/>
  <c r="AJ68" i="78"/>
  <c r="X35" i="78"/>
  <c r="CT72" i="78"/>
  <c r="BM19" i="105"/>
  <c r="AV19" i="105"/>
  <c r="AC42" i="105"/>
  <c r="CW99" i="78"/>
  <c r="AI76" i="78"/>
  <c r="AB68" i="78"/>
  <c r="CN63" i="78"/>
  <c r="BK61" i="105"/>
  <c r="BW61" i="105"/>
  <c r="AK61" i="78"/>
  <c r="AX34" i="105"/>
  <c r="BO34" i="105"/>
  <c r="DA76" i="78"/>
  <c r="AT55" i="78"/>
  <c r="AC38" i="105"/>
  <c r="CI38" i="105"/>
  <c r="BS31" i="78"/>
  <c r="BS32" i="78"/>
  <c r="BX104" i="78"/>
  <c r="AJ93" i="78"/>
  <c r="AD72" i="78"/>
  <c r="AW41" i="105"/>
  <c r="BN41" i="105"/>
  <c r="CC31" i="78"/>
  <c r="CC32" i="78"/>
  <c r="BI51" i="78"/>
  <c r="CW22" i="78"/>
  <c r="AY15" i="105"/>
  <c r="BP15" i="105"/>
  <c r="BO68" i="78"/>
  <c r="DH65" i="78"/>
  <c r="AW51" i="78"/>
  <c r="CX38" i="78"/>
  <c r="M93" i="78"/>
  <c r="M106" i="78"/>
  <c r="AT51" i="78"/>
  <c r="DC11" i="78"/>
  <c r="AC84" i="105"/>
  <c r="AT63" i="105"/>
  <c r="BK63" i="105"/>
  <c r="BW63" i="105"/>
  <c r="CJ63" i="105"/>
  <c r="M63" i="78"/>
  <c r="BA82" i="78"/>
  <c r="J72" i="78"/>
  <c r="CH14" i="78"/>
  <c r="CH15" i="78"/>
  <c r="BI31" i="78"/>
  <c r="AW63" i="78"/>
  <c r="AZ28" i="78"/>
  <c r="AD104" i="78"/>
  <c r="AR35" i="78"/>
  <c r="AX63" i="105"/>
  <c r="BO63" i="105"/>
  <c r="CV22" i="78"/>
  <c r="DB35" i="78"/>
  <c r="BZ11" i="78"/>
  <c r="BR14" i="105"/>
  <c r="BK91" i="105"/>
  <c r="AT91" i="105"/>
  <c r="I76" i="78"/>
  <c r="CU104" i="78"/>
  <c r="BM76" i="105"/>
  <c r="AV76" i="105"/>
  <c r="BP27" i="105"/>
  <c r="AY27" i="105"/>
  <c r="AP84" i="105"/>
  <c r="AX55" i="78"/>
  <c r="AP60" i="105"/>
  <c r="AP17" i="105"/>
  <c r="AP50" i="105"/>
  <c r="AZ74" i="105"/>
  <c r="BQ74" i="105"/>
  <c r="DB93" i="78"/>
  <c r="CH93" i="78"/>
  <c r="CS35" i="78"/>
  <c r="AB32" i="78"/>
  <c r="CB51" i="78"/>
  <c r="AW92" i="105"/>
  <c r="BN92" i="105"/>
  <c r="CU31" i="78"/>
  <c r="CU32" i="78"/>
  <c r="BP19" i="78"/>
  <c r="AV28" i="78"/>
  <c r="AV32" i="78"/>
  <c r="K11" i="78"/>
  <c r="BD82" i="78"/>
  <c r="AA104" i="78"/>
  <c r="BQ27" i="105"/>
  <c r="AZ27" i="105"/>
  <c r="CU63" i="78"/>
  <c r="BL25" i="105"/>
  <c r="BL95" i="105"/>
  <c r="AU95" i="105"/>
  <c r="AX89" i="105"/>
  <c r="BO89" i="105"/>
  <c r="AZ63" i="105"/>
  <c r="BQ63" i="105"/>
  <c r="BK52" i="105"/>
  <c r="BW52" i="105"/>
  <c r="BB55" i="78"/>
  <c r="P25" i="105"/>
  <c r="BJ25" i="105"/>
  <c r="BV25" i="105"/>
  <c r="CG72" i="78"/>
  <c r="BN94" i="105"/>
  <c r="AW94" i="105"/>
  <c r="AY82" i="78"/>
  <c r="CK51" i="78"/>
  <c r="AF76" i="78"/>
  <c r="AX11" i="78"/>
  <c r="U19" i="78"/>
  <c r="CH51" i="78"/>
  <c r="CO28" i="78"/>
  <c r="CO32" i="78"/>
  <c r="CI97" i="105"/>
  <c r="AC97" i="105"/>
  <c r="BS93" i="78"/>
  <c r="DE14" i="78"/>
  <c r="CS82" i="78"/>
  <c r="AT72" i="78"/>
  <c r="AC16" i="105"/>
  <c r="AD19" i="78"/>
  <c r="CX19" i="78"/>
  <c r="AZ18" i="105"/>
  <c r="BQ18" i="105"/>
  <c r="AD35" i="78"/>
  <c r="AU87" i="105"/>
  <c r="BL87" i="105"/>
  <c r="G19" i="78"/>
  <c r="Q17" i="78"/>
  <c r="BR44" i="105"/>
  <c r="BA44" i="105"/>
  <c r="CJ31" i="78"/>
  <c r="AP19" i="78"/>
  <c r="DD14" i="78"/>
  <c r="AK66" i="78"/>
  <c r="AG55" i="78"/>
  <c r="Y31" i="78"/>
  <c r="BV31" i="78"/>
  <c r="BV32" i="78"/>
  <c r="CL46" i="78"/>
  <c r="V82" i="78"/>
  <c r="AP67" i="105"/>
  <c r="CZ99" i="78"/>
  <c r="BT51" i="78"/>
  <c r="AP19" i="105"/>
  <c r="BE46" i="78"/>
  <c r="BR104" i="78"/>
  <c r="AQ22" i="78"/>
  <c r="BP63" i="78"/>
  <c r="AY63" i="105"/>
  <c r="BP63" i="105"/>
  <c r="BL66" i="105"/>
  <c r="AU66" i="105"/>
  <c r="BR43" i="105"/>
  <c r="BA43" i="105"/>
  <c r="BV76" i="78"/>
  <c r="AU99" i="78"/>
  <c r="AP59" i="105"/>
  <c r="T14" i="78"/>
  <c r="H99" i="78"/>
  <c r="U46" i="78"/>
  <c r="BT93" i="78"/>
  <c r="DH24" i="78"/>
  <c r="BZ31" i="78"/>
  <c r="BA84" i="105"/>
  <c r="BR84" i="105"/>
  <c r="AR63" i="78"/>
  <c r="BT11" i="78"/>
  <c r="X38" i="78"/>
  <c r="BC35" i="78"/>
  <c r="BB68" i="78"/>
  <c r="AT99" i="78"/>
  <c r="DH27" i="78"/>
  <c r="BU28" i="78"/>
  <c r="BU32" i="78"/>
  <c r="CD99" i="78"/>
  <c r="AW38" i="78"/>
  <c r="CO11" i="78"/>
  <c r="AN63" i="78"/>
  <c r="AP76" i="78"/>
  <c r="CE72" i="78"/>
  <c r="AP13" i="105"/>
  <c r="AM99" i="78"/>
  <c r="BF96" i="78"/>
  <c r="CJ35" i="78"/>
  <c r="BA76" i="78"/>
  <c r="CX104" i="78"/>
  <c r="BM41" i="105"/>
  <c r="BY41" i="105"/>
  <c r="CL41" i="105"/>
  <c r="AV41" i="105"/>
  <c r="AW14" i="78"/>
  <c r="AW15" i="78"/>
  <c r="T35" i="78"/>
  <c r="P88" i="105"/>
  <c r="BJ88" i="105"/>
  <c r="BV88" i="105"/>
  <c r="AS88" i="105"/>
  <c r="K46" i="78"/>
  <c r="BF61" i="78"/>
  <c r="BV14" i="78"/>
  <c r="BV15" i="78"/>
  <c r="AC46" i="105"/>
  <c r="CI46" i="105"/>
  <c r="CQ28" i="78"/>
  <c r="BK14" i="105"/>
  <c r="BW14" i="105"/>
  <c r="BJ42" i="105"/>
  <c r="BV42" i="105"/>
  <c r="AS42" i="105"/>
  <c r="P42" i="105"/>
  <c r="W76" i="78"/>
  <c r="DB19" i="78"/>
  <c r="BE99" i="78"/>
  <c r="DC38" i="78"/>
  <c r="AU64" i="105"/>
  <c r="BL64" i="105"/>
  <c r="AZ13" i="105"/>
  <c r="BQ13" i="105"/>
  <c r="AI22" i="78"/>
  <c r="AW20" i="105"/>
  <c r="BN20" i="105"/>
  <c r="AH51" i="78"/>
  <c r="BR82" i="78"/>
  <c r="BQ99" i="105"/>
  <c r="AB63" i="78"/>
  <c r="AF19" i="78"/>
  <c r="K82" i="78"/>
  <c r="BU93" i="78"/>
  <c r="BU106" i="78"/>
  <c r="M76" i="78"/>
  <c r="DC51" i="78"/>
  <c r="BN22" i="105"/>
  <c r="AW22" i="105"/>
  <c r="AB76" i="78"/>
  <c r="BL39" i="105"/>
  <c r="AU39" i="105"/>
  <c r="DF82" i="78"/>
  <c r="BW82" i="78"/>
  <c r="AA76" i="78"/>
  <c r="CY82" i="78"/>
  <c r="H104" i="78"/>
  <c r="AJ19" i="78"/>
  <c r="BR73" i="105"/>
  <c r="BA73" i="105"/>
  <c r="CQ31" i="78"/>
  <c r="BY19" i="78"/>
  <c r="BA46" i="78"/>
  <c r="AO99" i="78"/>
  <c r="CK14" i="78"/>
  <c r="CK15" i="78"/>
  <c r="AN93" i="78"/>
  <c r="CG11" i="78"/>
  <c r="BQ14" i="78"/>
  <c r="AV55" i="78"/>
  <c r="AG68" i="78"/>
  <c r="X72" i="78"/>
  <c r="AF46" i="78"/>
  <c r="AY93" i="78"/>
  <c r="AA11" i="78"/>
  <c r="AJ72" i="78"/>
  <c r="AC39" i="105"/>
  <c r="BW63" i="78"/>
  <c r="Y35" i="78"/>
  <c r="AS60" i="105"/>
  <c r="P60" i="105"/>
  <c r="BJ60" i="105"/>
  <c r="BV60" i="105"/>
  <c r="DE19" i="78"/>
  <c r="CL11" i="78"/>
  <c r="AT68" i="105"/>
  <c r="BK68" i="105"/>
  <c r="BW68" i="105"/>
  <c r="CJ68" i="105"/>
  <c r="BJ64" i="105"/>
  <c r="BV64" i="105"/>
  <c r="P64" i="105"/>
  <c r="AS64" i="105"/>
  <c r="AX45" i="105"/>
  <c r="BO45" i="105"/>
  <c r="CA45" i="105"/>
  <c r="CN45" i="105"/>
  <c r="CY11" i="78"/>
  <c r="CX31" i="78"/>
  <c r="G32" i="78"/>
  <c r="Q24" i="78"/>
  <c r="BQ69" i="105"/>
  <c r="AZ69" i="105"/>
  <c r="I38" i="78"/>
  <c r="BO19" i="105"/>
  <c r="AX19" i="105"/>
  <c r="CO22" i="78"/>
  <c r="L51" i="78"/>
  <c r="AP80" i="105"/>
  <c r="P63" i="78"/>
  <c r="BI35" i="78"/>
  <c r="CV72" i="78"/>
  <c r="AI38" i="78"/>
  <c r="L99" i="78"/>
  <c r="BB72" i="78"/>
  <c r="X68" i="78"/>
  <c r="BL75" i="105"/>
  <c r="BX75" i="105"/>
  <c r="AU75" i="105"/>
  <c r="CV38" i="78"/>
  <c r="BB31" i="78"/>
  <c r="BB32" i="78"/>
  <c r="BS38" i="78"/>
  <c r="H93" i="78"/>
  <c r="H106" i="78"/>
  <c r="AC22" i="78"/>
  <c r="BM48" i="105"/>
  <c r="AV48" i="105"/>
  <c r="AX76" i="105"/>
  <c r="BO76" i="105"/>
  <c r="N38" i="78"/>
  <c r="AW35" i="105"/>
  <c r="BN35" i="105"/>
  <c r="AT15" i="105"/>
  <c r="BK15" i="105"/>
  <c r="DH79" i="78"/>
  <c r="BD22" i="78"/>
  <c r="CR76" i="78"/>
  <c r="AC85" i="105"/>
  <c r="AT76" i="105"/>
  <c r="BK76" i="105"/>
  <c r="BW76" i="105"/>
  <c r="CJ76" i="105"/>
  <c r="CM22" i="78"/>
  <c r="BO13" i="105"/>
  <c r="AX13" i="105"/>
  <c r="CK19" i="78"/>
  <c r="BW76" i="78"/>
  <c r="CR32" i="78"/>
  <c r="BP41" i="105"/>
  <c r="AY41" i="105"/>
  <c r="AI104" i="78"/>
  <c r="T28" i="78"/>
  <c r="T32" i="78"/>
  <c r="AA31" i="78"/>
  <c r="AA32" i="78"/>
  <c r="AN99" i="78"/>
  <c r="AG76" i="78"/>
  <c r="AY38" i="78"/>
  <c r="CE22" i="78"/>
  <c r="AC94" i="105"/>
  <c r="AS67" i="105"/>
  <c r="P67" i="105"/>
  <c r="BJ67" i="105"/>
  <c r="BV67" i="105"/>
  <c r="BP66" i="105"/>
  <c r="AY66" i="105"/>
  <c r="CL19" i="78"/>
  <c r="X93" i="78"/>
  <c r="N93" i="78"/>
  <c r="BL94" i="105"/>
  <c r="AU94" i="105"/>
  <c r="AW18" i="105"/>
  <c r="BN18" i="105"/>
  <c r="AW76" i="105"/>
  <c r="BN76" i="105"/>
  <c r="BZ76" i="105"/>
  <c r="CM76" i="105"/>
  <c r="AM63" i="78"/>
  <c r="BF57" i="78"/>
  <c r="W14" i="78"/>
  <c r="CS19" i="78"/>
  <c r="CM35" i="78"/>
  <c r="AN31" i="78"/>
  <c r="AM93" i="78"/>
  <c r="BF89" i="78"/>
  <c r="AJ63" i="78"/>
  <c r="AP97" i="105"/>
  <c r="CP32" i="78"/>
  <c r="BY82" i="78"/>
  <c r="BF30" i="78"/>
  <c r="AW68" i="78"/>
  <c r="BF26" i="78"/>
  <c r="AM28" i="78"/>
  <c r="BE11" i="78"/>
  <c r="CN82" i="78"/>
  <c r="BX32" i="78"/>
  <c r="AP90" i="105"/>
  <c r="BF92" i="78"/>
  <c r="AC82" i="78"/>
  <c r="Q10" i="78"/>
  <c r="BX72" i="78"/>
  <c r="CI11" i="78"/>
  <c r="Y38" i="78"/>
  <c r="BO38" i="78"/>
  <c r="DH37" i="78"/>
  <c r="J46" i="78"/>
  <c r="BJ17" i="105"/>
  <c r="BV17" i="105"/>
  <c r="AS17" i="105"/>
  <c r="P17" i="105"/>
  <c r="BR75" i="105"/>
  <c r="BA75" i="105"/>
  <c r="AN46" i="78"/>
  <c r="AZ70" i="105"/>
  <c r="BQ70" i="105"/>
  <c r="CC70" i="105"/>
  <c r="CP70" i="105"/>
  <c r="AC81" i="105"/>
  <c r="AP55" i="78"/>
  <c r="AC72" i="105"/>
  <c r="BU35" i="78"/>
  <c r="CZ51" i="78"/>
  <c r="CR93" i="78"/>
  <c r="CR106" i="78"/>
  <c r="BA93" i="105"/>
  <c r="BR93" i="105"/>
  <c r="CB76" i="78"/>
  <c r="BS46" i="78"/>
  <c r="L68" i="78"/>
  <c r="BR13" i="105"/>
  <c r="BA13" i="105"/>
  <c r="CI19" i="78"/>
  <c r="AP85" i="105"/>
  <c r="BR89" i="105"/>
  <c r="BA89" i="105"/>
  <c r="CD31" i="78"/>
  <c r="BK18" i="105"/>
  <c r="AT18" i="105"/>
  <c r="AV76" i="78"/>
  <c r="AO19" i="78"/>
  <c r="BA16" i="105"/>
  <c r="BR16" i="105"/>
  <c r="BN89" i="105"/>
  <c r="AW89" i="105"/>
  <c r="CG14" i="78"/>
  <c r="CG15" i="78"/>
  <c r="BM23" i="105"/>
  <c r="AV23" i="105"/>
  <c r="BL13" i="105"/>
  <c r="BX13" i="105"/>
  <c r="CK13" i="105"/>
  <c r="AU13" i="105"/>
  <c r="N11" i="78"/>
  <c r="W22" i="78"/>
  <c r="BO92" i="105"/>
  <c r="AX92" i="105"/>
  <c r="CH55" i="78"/>
  <c r="AI28" i="78"/>
  <c r="AI32" i="78"/>
  <c r="BU82" i="78"/>
  <c r="CO55" i="78"/>
  <c r="AS85" i="105"/>
  <c r="BJ85" i="105"/>
  <c r="BV85" i="105"/>
  <c r="P85" i="105"/>
  <c r="AQ28" i="78"/>
  <c r="AQ32" i="78"/>
  <c r="AV42" i="105"/>
  <c r="BM42" i="105"/>
  <c r="BY42" i="105"/>
  <c r="CL42" i="105"/>
  <c r="AP63" i="105"/>
  <c r="CX22" i="78"/>
  <c r="AO14" i="78"/>
  <c r="I318" i="59"/>
  <c r="CH35" i="78"/>
  <c r="AK48" i="78"/>
  <c r="BH104" i="78"/>
  <c r="BJ21" i="78"/>
  <c r="BH22" i="78"/>
  <c r="BQ72" i="78"/>
  <c r="P18" i="105"/>
  <c r="AS18" i="105"/>
  <c r="BJ18" i="105"/>
  <c r="BV18" i="105"/>
  <c r="CM14" i="78"/>
  <c r="CM15" i="78"/>
  <c r="Z28" i="78"/>
  <c r="Z32" i="78"/>
  <c r="CW76" i="78"/>
  <c r="CB28" i="78"/>
  <c r="CB32" i="78"/>
  <c r="N31" i="78"/>
  <c r="BF37" i="78"/>
  <c r="AM38" i="78"/>
  <c r="BE19" i="78"/>
  <c r="AP15" i="105"/>
  <c r="BZ46" i="78"/>
  <c r="Z55" i="78"/>
  <c r="BZ32" i="78"/>
  <c r="CJ68" i="78"/>
  <c r="BX38" i="78"/>
  <c r="BR39" i="105"/>
  <c r="BA39" i="105"/>
  <c r="CR55" i="78"/>
  <c r="AF35" i="78"/>
  <c r="AJ11" i="78"/>
  <c r="BD46" i="78"/>
  <c r="BW31" i="78"/>
  <c r="CJ47" i="105"/>
  <c r="BJ70" i="105"/>
  <c r="BV70" i="105"/>
  <c r="AS70" i="105"/>
  <c r="P70" i="105"/>
  <c r="AV73" i="105"/>
  <c r="BM73" i="105"/>
  <c r="CC63" i="78"/>
  <c r="BN65" i="105"/>
  <c r="AW65" i="105"/>
  <c r="CW68" i="78"/>
  <c r="BM28" i="105"/>
  <c r="AV28" i="105"/>
  <c r="AP26" i="105"/>
  <c r="AF55" i="78"/>
  <c r="U72" i="78"/>
  <c r="Q37" i="78"/>
  <c r="G38" i="78"/>
  <c r="BC68" i="78"/>
  <c r="CP76" i="78"/>
  <c r="AW99" i="78"/>
  <c r="BH38" i="78"/>
  <c r="BJ37" i="78"/>
  <c r="AA68" i="78"/>
  <c r="AW35" i="78"/>
  <c r="BY51" i="78"/>
  <c r="CI93" i="78"/>
  <c r="CI106" i="78"/>
  <c r="AR31" i="78"/>
  <c r="AQ51" i="78"/>
  <c r="AK62" i="78"/>
  <c r="T99" i="78"/>
  <c r="DC72" i="78"/>
  <c r="AV44" i="105"/>
  <c r="BM44" i="105"/>
  <c r="DH60" i="78"/>
  <c r="Z35" i="78"/>
  <c r="AS44" i="105"/>
  <c r="BJ44" i="105"/>
  <c r="BV44" i="105"/>
  <c r="P44" i="105"/>
  <c r="BP20" i="105"/>
  <c r="AY20" i="105"/>
  <c r="CV68" i="78"/>
  <c r="BJ50" i="78"/>
  <c r="BS76" i="78"/>
  <c r="AG22" i="78"/>
  <c r="Q62" i="78"/>
  <c r="BR22" i="78"/>
  <c r="AW81" i="105"/>
  <c r="BN81" i="105"/>
  <c r="AP20" i="105"/>
  <c r="BA93" i="78"/>
  <c r="BA106" i="78"/>
  <c r="AU22" i="78"/>
  <c r="CW63" i="78"/>
  <c r="Z76" i="78"/>
  <c r="BR68" i="78"/>
  <c r="BP99" i="78"/>
  <c r="AO31" i="78"/>
  <c r="BD104" i="78"/>
  <c r="BS104" i="78"/>
  <c r="BO72" i="78"/>
  <c r="DH71" i="78"/>
  <c r="AY85" i="105"/>
  <c r="BP85" i="105"/>
  <c r="CW82" i="78"/>
  <c r="AJ55" i="78"/>
  <c r="CQ46" i="78"/>
  <c r="M82" i="78"/>
  <c r="BM43" i="105"/>
  <c r="AV43" i="105"/>
  <c r="BT28" i="78"/>
  <c r="BT32" i="78"/>
  <c r="BE14" i="78"/>
  <c r="BE15" i="78"/>
  <c r="CP72" i="78"/>
  <c r="L318" i="59"/>
  <c r="CK72" i="78"/>
  <c r="CX68" i="78"/>
  <c r="AY28" i="78"/>
  <c r="AY32" i="78"/>
  <c r="J14" i="78"/>
  <c r="J15" i="78"/>
  <c r="AP28" i="78"/>
  <c r="AP32" i="78"/>
  <c r="AB19" i="78"/>
  <c r="AI14" i="78"/>
  <c r="CW11" i="78"/>
  <c r="P104" i="78"/>
  <c r="AP78" i="105"/>
  <c r="DH66" i="78"/>
  <c r="BR82" i="105"/>
  <c r="BA82" i="105"/>
  <c r="DC68" i="78"/>
  <c r="BB35" i="78"/>
  <c r="BP84" i="105"/>
  <c r="AY84" i="105"/>
  <c r="BP65" i="105"/>
  <c r="AY65" i="105"/>
  <c r="DE35" i="78"/>
  <c r="AP42" i="105"/>
  <c r="BP72" i="105"/>
  <c r="BF17" i="78"/>
  <c r="AM19" i="78"/>
  <c r="P19" i="78"/>
  <c r="BV68" i="78"/>
  <c r="AN11" i="78"/>
  <c r="CA63" i="78"/>
  <c r="Y11" i="78"/>
  <c r="BL68" i="105"/>
  <c r="BX68" i="105"/>
  <c r="CK68" i="105"/>
  <c r="AU68" i="105"/>
  <c r="BP62" i="105"/>
  <c r="AY62" i="105"/>
  <c r="CH104" i="78"/>
  <c r="BJ98" i="78"/>
  <c r="CL38" i="78"/>
  <c r="DB51" i="78"/>
  <c r="CY31" i="78"/>
  <c r="CY32" i="78"/>
  <c r="CS99" i="78"/>
  <c r="BD28" i="78"/>
  <c r="BD32" i="78"/>
  <c r="BZ82" i="78"/>
  <c r="CD104" i="78"/>
  <c r="AS82" i="78"/>
  <c r="H51" i="78"/>
  <c r="CC19" i="78"/>
  <c r="CK63" i="78"/>
  <c r="AP14" i="78"/>
  <c r="AP15" i="78"/>
  <c r="BF65" i="78"/>
  <c r="AM68" i="78"/>
  <c r="BP28" i="78"/>
  <c r="BP32" i="78"/>
  <c r="BM25" i="105"/>
  <c r="Z68" i="78"/>
  <c r="BN61" i="105"/>
  <c r="AW86" i="105"/>
  <c r="BN86" i="105"/>
  <c r="I104" i="78"/>
  <c r="AN19" i="78"/>
  <c r="AY34" i="105"/>
  <c r="BP34" i="105"/>
  <c r="BC46" i="78"/>
  <c r="O72" i="78"/>
  <c r="AZ46" i="105"/>
  <c r="BQ46" i="105"/>
  <c r="AS28" i="78"/>
  <c r="AS32" i="78"/>
  <c r="AC93" i="105"/>
  <c r="X46" i="78"/>
  <c r="BT72" i="78"/>
  <c r="BM52" i="105"/>
  <c r="Q54" i="78"/>
  <c r="Q13" i="78"/>
  <c r="AY19" i="78"/>
  <c r="BL17" i="105"/>
  <c r="BX17" i="105"/>
  <c r="CK17" i="105"/>
  <c r="AU17" i="105"/>
  <c r="AW62" i="105"/>
  <c r="BN62" i="105"/>
  <c r="BO99" i="105"/>
  <c r="AX93" i="105"/>
  <c r="BO93" i="105"/>
  <c r="BC51" i="78"/>
  <c r="J99" i="78"/>
  <c r="O51" i="78"/>
  <c r="AD31" i="78"/>
  <c r="AP21" i="105"/>
  <c r="BR14" i="78"/>
  <c r="BR15" i="78"/>
  <c r="AM104" i="78"/>
  <c r="BF102" i="78"/>
  <c r="BN14" i="105"/>
  <c r="AZ38" i="78"/>
  <c r="DB72" i="78"/>
  <c r="CU46" i="78"/>
  <c r="AV22" i="78"/>
  <c r="AW42" i="105"/>
  <c r="BN42" i="105"/>
  <c r="BZ42" i="105"/>
  <c r="CM42" i="105"/>
  <c r="CM46" i="78"/>
  <c r="H28" i="78"/>
  <c r="DD22" i="78"/>
  <c r="CF76" i="78"/>
  <c r="CI34" i="105"/>
  <c r="AS34" i="105"/>
  <c r="AC34" i="105"/>
  <c r="J63" i="78"/>
  <c r="BX19" i="78"/>
  <c r="AI19" i="78"/>
  <c r="BN64" i="105"/>
  <c r="BM64" i="105"/>
  <c r="BZ64" i="105"/>
  <c r="CM64" i="105"/>
  <c r="AW64" i="105"/>
  <c r="BU51" i="78"/>
  <c r="CE82" i="78"/>
  <c r="BJ54" i="78"/>
  <c r="P22" i="78"/>
  <c r="AD28" i="78"/>
  <c r="AD32" i="78"/>
  <c r="BY64" i="105"/>
  <c r="CL64" i="105"/>
  <c r="AV64" i="105"/>
  <c r="BO75" i="105"/>
  <c r="AX75" i="105"/>
  <c r="DD11" i="78"/>
  <c r="DF35" i="78"/>
  <c r="AF51" i="78"/>
  <c r="AV38" i="105"/>
  <c r="BM38" i="105"/>
  <c r="AC35" i="105"/>
  <c r="BS63" i="78"/>
  <c r="BK35" i="105"/>
  <c r="AT35" i="105"/>
  <c r="BD19" i="78"/>
  <c r="BL52" i="105"/>
  <c r="BX52" i="105"/>
  <c r="AU60" i="105"/>
  <c r="BL60" i="105"/>
  <c r="BX60" i="105"/>
  <c r="CK60" i="105"/>
  <c r="AP34" i="105"/>
  <c r="J68" i="78"/>
  <c r="CW28" i="78"/>
  <c r="CW32" i="78"/>
  <c r="V93" i="78"/>
  <c r="AF82" i="78"/>
  <c r="DH103" i="78"/>
  <c r="AP31" i="105"/>
  <c r="DE22" i="78"/>
  <c r="CE35" i="78"/>
  <c r="AW38" i="105"/>
  <c r="BN38" i="105"/>
  <c r="BW19" i="78"/>
  <c r="BR70" i="105"/>
  <c r="CD70" i="105"/>
  <c r="CQ70" i="105"/>
  <c r="BA70" i="105"/>
  <c r="AW23" i="105"/>
  <c r="BN23" i="105"/>
  <c r="AS86" i="105"/>
  <c r="P86" i="105"/>
  <c r="BJ86" i="105"/>
  <c r="BV86" i="105"/>
  <c r="DA99" i="78"/>
  <c r="CA31" i="78"/>
  <c r="CA32" i="78"/>
  <c r="M72" i="78"/>
  <c r="AE38" i="78"/>
  <c r="F72" i="59"/>
  <c r="CQ22" i="78"/>
  <c r="O38" i="78"/>
  <c r="Q27" i="78"/>
  <c r="AG38" i="78"/>
  <c r="AZ75" i="105"/>
  <c r="BQ75" i="105"/>
  <c r="BZ19" i="78"/>
  <c r="AR68" i="78"/>
  <c r="I46" i="78"/>
  <c r="AJ22" i="78"/>
  <c r="AC66" i="105"/>
  <c r="CC68" i="78"/>
  <c r="Z93" i="78"/>
  <c r="W93" i="78"/>
  <c r="AV86" i="105"/>
  <c r="BM86" i="105"/>
  <c r="AW60" i="105"/>
  <c r="BN60" i="105"/>
  <c r="BZ60" i="105"/>
  <c r="CM60" i="105"/>
  <c r="N28" i="78"/>
  <c r="N32" i="78"/>
  <c r="BI38" i="78"/>
  <c r="CF99" i="78"/>
  <c r="BL28" i="105"/>
  <c r="AU28" i="105"/>
  <c r="AO46" i="78"/>
  <c r="CD19" i="78"/>
  <c r="BM90" i="105"/>
  <c r="AV90" i="105"/>
  <c r="AV89" i="105"/>
  <c r="BM89" i="105"/>
  <c r="AP45" i="105"/>
  <c r="AW84" i="105"/>
  <c r="BN84" i="105"/>
  <c r="CX93" i="78"/>
  <c r="N72" i="78"/>
  <c r="BC99" i="78"/>
  <c r="CC72" i="78"/>
  <c r="K63" i="78"/>
  <c r="AR46" i="78"/>
  <c r="BR69" i="105"/>
  <c r="BA69" i="105"/>
  <c r="AX85" i="105"/>
  <c r="BO85" i="105"/>
  <c r="BE68" i="78"/>
  <c r="DE72" i="78"/>
  <c r="BM93" i="105"/>
  <c r="AV93" i="105"/>
  <c r="AS94" i="105"/>
  <c r="P94" i="105"/>
  <c r="BJ94" i="105"/>
  <c r="BV94" i="105"/>
  <c r="CS38" i="78"/>
  <c r="AR22" i="78"/>
  <c r="AK24" i="78"/>
  <c r="AC20" i="105"/>
  <c r="CV35" i="78"/>
  <c r="AW76" i="78"/>
  <c r="BQ23" i="105"/>
  <c r="AZ23" i="105"/>
  <c r="BR99" i="78"/>
  <c r="BA72" i="78"/>
  <c r="T46" i="78"/>
  <c r="AV51" i="78"/>
  <c r="AX28" i="78"/>
  <c r="AX32" i="78"/>
  <c r="BX51" i="78"/>
  <c r="BA11" i="78"/>
  <c r="M14" i="78"/>
  <c r="BV35" i="78"/>
  <c r="AE35" i="78"/>
  <c r="BO104" i="78"/>
  <c r="AU50" i="105"/>
  <c r="BL50" i="105"/>
  <c r="AZ39" i="105"/>
  <c r="BQ39" i="105"/>
  <c r="AB104" i="78"/>
  <c r="S93" i="78"/>
  <c r="AK89" i="78"/>
  <c r="AP47" i="105"/>
  <c r="CW14" i="78"/>
  <c r="CW15" i="78"/>
  <c r="CW40" i="78"/>
  <c r="DD31" i="78"/>
  <c r="DD32" i="78"/>
  <c r="AV47" i="105"/>
  <c r="BM47" i="105"/>
  <c r="AZ76" i="105"/>
  <c r="BQ76" i="105"/>
  <c r="CC76" i="105"/>
  <c r="CP76" i="105"/>
  <c r="BL63" i="105"/>
  <c r="BX63" i="105"/>
  <c r="CK63" i="105"/>
  <c r="AU63" i="105"/>
  <c r="AC35" i="78"/>
  <c r="AS20" i="105"/>
  <c r="P20" i="105"/>
  <c r="BJ20" i="105"/>
  <c r="BV20" i="105"/>
  <c r="AP89" i="105"/>
  <c r="DB68" i="78"/>
  <c r="BO52" i="105"/>
  <c r="CA52" i="105"/>
  <c r="CI55" i="78"/>
  <c r="CF104" i="78"/>
  <c r="DD35" i="78"/>
  <c r="BP44" i="105"/>
  <c r="AY44" i="105"/>
  <c r="AT90" i="105"/>
  <c r="BK90" i="105"/>
  <c r="BW90" i="105"/>
  <c r="CJ90" i="105"/>
  <c r="AX41" i="105"/>
  <c r="BO41" i="105"/>
  <c r="CA41" i="105"/>
  <c r="CN41" i="105"/>
  <c r="AC41" i="105"/>
  <c r="CI41" i="105"/>
  <c r="AC14" i="78"/>
  <c r="AC15" i="78"/>
  <c r="BK92" i="105"/>
  <c r="AT92" i="105"/>
  <c r="CF19" i="78"/>
  <c r="CA82" i="78"/>
  <c r="CT99" i="78"/>
  <c r="BS68" i="78"/>
  <c r="BQ43" i="105"/>
  <c r="CC43" i="105"/>
  <c r="CP43" i="105"/>
  <c r="AZ43" i="105"/>
  <c r="CA11" i="78"/>
  <c r="AV13" i="105"/>
  <c r="BM13" i="105"/>
  <c r="BY13" i="105"/>
  <c r="CL13" i="105"/>
  <c r="CI48" i="105"/>
  <c r="AC48" i="105"/>
  <c r="M19" i="78"/>
  <c r="AK49" i="78"/>
  <c r="K14" i="78"/>
  <c r="K15" i="78"/>
  <c r="BO90" i="105"/>
  <c r="AX90" i="105"/>
  <c r="BB63" i="78"/>
  <c r="BA87" i="105"/>
  <c r="BR87" i="105"/>
  <c r="Q59" i="78"/>
  <c r="AN38" i="78"/>
  <c r="L63" i="78"/>
  <c r="M55" i="78"/>
  <c r="O32" i="78"/>
  <c r="CM28" i="78"/>
  <c r="CM32" i="78"/>
  <c r="Y28" i="78"/>
  <c r="Y32" i="78"/>
  <c r="CT46" i="78"/>
  <c r="BN29" i="105"/>
  <c r="AW29" i="105"/>
  <c r="Q25" i="78"/>
  <c r="BL25" i="78"/>
  <c r="AU55" i="78"/>
  <c r="X99" i="78"/>
  <c r="BK83" i="105"/>
  <c r="AT83" i="105"/>
  <c r="M318" i="59"/>
  <c r="AF11" i="78"/>
  <c r="CZ11" i="78"/>
  <c r="CH38" i="78"/>
  <c r="BW28" i="78"/>
  <c r="BW32" i="78"/>
  <c r="CD11" i="78"/>
  <c r="CQ32" i="78"/>
  <c r="BK43" i="105"/>
  <c r="AT43" i="105"/>
  <c r="AQ63" i="78"/>
  <c r="CJ76" i="78"/>
  <c r="AG63" i="78"/>
  <c r="AX40" i="105"/>
  <c r="BO40" i="105"/>
  <c r="AS83" i="105"/>
  <c r="P83" i="105"/>
  <c r="BJ83" i="105"/>
  <c r="BV83" i="105"/>
  <c r="AC86" i="105"/>
  <c r="CI86" i="105"/>
  <c r="BA74" i="105"/>
  <c r="BR74" i="105"/>
  <c r="CS22" i="78"/>
  <c r="AI82" i="78"/>
  <c r="AJ51" i="78"/>
  <c r="CC38" i="78"/>
  <c r="AP53" i="105"/>
  <c r="BQ92" i="105"/>
  <c r="AZ92" i="105"/>
  <c r="H31" i="78"/>
  <c r="H32" i="78"/>
  <c r="DB99" i="78"/>
  <c r="AG31" i="78"/>
  <c r="AG32" i="78"/>
  <c r="BM14" i="105"/>
  <c r="BO31" i="78"/>
  <c r="DH29" i="78"/>
  <c r="BZ51" i="78"/>
  <c r="BP47" i="105"/>
  <c r="AY47" i="105"/>
  <c r="O93" i="78"/>
  <c r="AC63" i="78"/>
  <c r="BO67" i="105"/>
  <c r="CA67" i="105"/>
  <c r="CN67" i="105"/>
  <c r="AX67" i="105"/>
  <c r="BT14" i="78"/>
  <c r="BT15" i="78"/>
  <c r="CN68" i="78"/>
  <c r="CR68" i="78"/>
  <c r="BQ25" i="105"/>
  <c r="CG55" i="78"/>
  <c r="BP35" i="105"/>
  <c r="CB35" i="105"/>
  <c r="CO35" i="105"/>
  <c r="AY35" i="105"/>
  <c r="AV11" i="78"/>
  <c r="DF11" i="78"/>
  <c r="AD76" i="78"/>
  <c r="AT93" i="78"/>
  <c r="AC22" i="105"/>
  <c r="CI22" i="105"/>
  <c r="H76" i="78"/>
  <c r="AT16" i="105"/>
  <c r="BK16" i="105"/>
  <c r="AS35" i="105"/>
  <c r="P35" i="105"/>
  <c r="BJ35" i="105"/>
  <c r="BV35" i="105"/>
  <c r="AY37" i="105"/>
  <c r="BP37" i="105"/>
  <c r="BM69" i="105"/>
  <c r="BY69" i="105"/>
  <c r="CL69" i="105"/>
  <c r="AV69" i="105"/>
  <c r="CH28" i="78"/>
  <c r="CH32" i="78"/>
  <c r="CH40" i="78"/>
  <c r="AU90" i="105"/>
  <c r="BL90" i="105"/>
  <c r="BX90" i="105"/>
  <c r="CK90" i="105"/>
  <c r="BN69" i="105"/>
  <c r="AW69" i="105"/>
  <c r="CU76" i="78"/>
  <c r="L104" i="78"/>
  <c r="AU26" i="105"/>
  <c r="BL26" i="105"/>
  <c r="BN91" i="105"/>
  <c r="AW91" i="105"/>
  <c r="X19" i="78"/>
  <c r="CP22" i="78"/>
  <c r="BN73" i="105"/>
  <c r="AW73" i="105"/>
  <c r="CR11" i="78"/>
  <c r="CR15" i="78"/>
  <c r="DH25" i="78"/>
  <c r="V72" i="78"/>
  <c r="P84" i="105"/>
  <c r="BJ84" i="105"/>
  <c r="BV84" i="105"/>
  <c r="CI84" i="105"/>
  <c r="AS84" i="105"/>
  <c r="BK66" i="105"/>
  <c r="AT66" i="105"/>
  <c r="BP23" i="105"/>
  <c r="AY23" i="105"/>
  <c r="CJ28" i="78"/>
  <c r="CJ32" i="78"/>
  <c r="BF62" i="78"/>
  <c r="BS19" i="78"/>
  <c r="BP75" i="105"/>
  <c r="AY75" i="105"/>
  <c r="DE38" i="78"/>
  <c r="CQ63" i="78"/>
  <c r="CR38" i="78"/>
  <c r="BZ63" i="78"/>
  <c r="N19" i="78"/>
  <c r="CU99" i="78"/>
  <c r="DB14" i="78"/>
  <c r="DB15" i="78"/>
  <c r="AT85" i="105"/>
  <c r="BK85" i="105"/>
  <c r="BW85" i="105"/>
  <c r="AY48" i="105"/>
  <c r="BP48" i="105"/>
  <c r="AU28" i="78"/>
  <c r="AU32" i="78"/>
  <c r="M22" i="78"/>
  <c r="CQ104" i="78"/>
  <c r="AT81" i="105"/>
  <c r="BK81" i="105"/>
  <c r="BP50" i="105"/>
  <c r="AY50" i="105"/>
  <c r="BM72" i="105"/>
  <c r="BA64" i="105"/>
  <c r="BR64" i="105"/>
  <c r="BW93" i="78"/>
  <c r="BP99" i="105"/>
  <c r="CL55" i="78"/>
  <c r="AW104" i="78"/>
  <c r="AU48" i="105"/>
  <c r="BL48" i="105"/>
  <c r="BX48" i="105"/>
  <c r="CK48" i="105"/>
  <c r="CX46" i="78"/>
  <c r="H14" i="78"/>
  <c r="BD99" i="78"/>
  <c r="AY82" i="105"/>
  <c r="BP82" i="105"/>
  <c r="AC37" i="105"/>
  <c r="CI37" i="105"/>
  <c r="DE99" i="78"/>
  <c r="BF48" i="78"/>
  <c r="AM51" i="78"/>
  <c r="Y51" i="78"/>
  <c r="AU85" i="105"/>
  <c r="BL85" i="105"/>
  <c r="BX85" i="105"/>
  <c r="CK85" i="105"/>
  <c r="AA93" i="78"/>
  <c r="CC11" i="78"/>
  <c r="AQ76" i="78"/>
  <c r="CT82" i="78"/>
  <c r="CL14" i="78"/>
  <c r="CL15" i="78"/>
  <c r="AS68" i="78"/>
  <c r="CK76" i="78"/>
  <c r="DA104" i="78"/>
  <c r="BR38" i="105"/>
  <c r="BA38" i="105"/>
  <c r="BW14" i="78"/>
  <c r="BW15" i="78"/>
  <c r="CK99" i="78"/>
  <c r="BB19" i="78"/>
  <c r="AP46" i="105"/>
  <c r="BY11" i="78"/>
  <c r="BQ26" i="105"/>
  <c r="AZ26" i="105"/>
  <c r="AS81" i="105"/>
  <c r="P81" i="105"/>
  <c r="BJ81" i="105"/>
  <c r="BV81" i="105"/>
  <c r="AM11" i="78"/>
  <c r="BX35" i="78"/>
  <c r="CM51" i="78"/>
  <c r="CT68" i="78"/>
  <c r="CF82" i="78"/>
  <c r="CI50" i="105"/>
  <c r="AC50" i="105"/>
  <c r="CM55" i="78"/>
  <c r="X55" i="78"/>
  <c r="BM50" i="105"/>
  <c r="AV50" i="105"/>
  <c r="CX72" i="78"/>
  <c r="BO61" i="105"/>
  <c r="CM76" i="78"/>
  <c r="BA37" i="105"/>
  <c r="BR37" i="105"/>
  <c r="BA23" i="105"/>
  <c r="BR23" i="105"/>
  <c r="S72" i="78"/>
  <c r="BU55" i="78"/>
  <c r="BX22" i="78"/>
  <c r="BW38" i="78"/>
  <c r="BJ27" i="105"/>
  <c r="BV27" i="105"/>
  <c r="P27" i="105"/>
  <c r="AS27" i="105"/>
  <c r="BP25" i="105"/>
  <c r="AW93" i="105"/>
  <c r="BN93" i="105"/>
  <c r="CR51" i="78"/>
  <c r="BK19" i="105"/>
  <c r="AT19" i="105"/>
  <c r="BC63" i="78"/>
  <c r="BU38" i="78"/>
  <c r="DA68" i="78"/>
  <c r="CT55" i="78"/>
  <c r="CS63" i="78"/>
  <c r="AP22" i="78"/>
  <c r="DF55" i="78"/>
  <c r="DA51" i="78"/>
  <c r="CI17" i="105"/>
  <c r="AC17" i="105"/>
  <c r="AT73" i="105"/>
  <c r="BK73" i="105"/>
  <c r="BW73" i="105"/>
  <c r="CJ73" i="105"/>
  <c r="BO64" i="105"/>
  <c r="CA64" i="105"/>
  <c r="CN64" i="105"/>
  <c r="AX64" i="105"/>
  <c r="AH31" i="78"/>
  <c r="AH32" i="78"/>
  <c r="S99" i="78"/>
  <c r="L72" i="78"/>
  <c r="BR31" i="78"/>
  <c r="BR32" i="78"/>
  <c r="P28" i="105"/>
  <c r="BJ28" i="105"/>
  <c r="BV28" i="105"/>
  <c r="CI28" i="105"/>
  <c r="AS28" i="105"/>
  <c r="CW72" i="78"/>
  <c r="Y99" i="78"/>
  <c r="CW55" i="78"/>
  <c r="AW31" i="78"/>
  <c r="AW32" i="78"/>
  <c r="BQ63" i="78"/>
  <c r="AA55" i="78"/>
  <c r="K76" i="78"/>
  <c r="CI76" i="78"/>
  <c r="AZ37" i="105"/>
  <c r="BQ37" i="105"/>
  <c r="CB22" i="78"/>
  <c r="CD55" i="78"/>
  <c r="BQ68" i="105"/>
  <c r="AZ68" i="105"/>
  <c r="BM92" i="105"/>
  <c r="AV92" i="105"/>
  <c r="AB99" i="78"/>
  <c r="AW37" i="105"/>
  <c r="BN37" i="105"/>
  <c r="BZ37" i="105"/>
  <c r="CM37" i="105"/>
  <c r="BY32" i="78"/>
  <c r="AT82" i="78"/>
  <c r="CJ75" i="105"/>
  <c r="BR63" i="78"/>
  <c r="AT50" i="105"/>
  <c r="BC50" i="105"/>
  <c r="BK50" i="105"/>
  <c r="BW50" i="105"/>
  <c r="CJ50" i="105"/>
  <c r="AU19" i="105"/>
  <c r="BL19" i="105"/>
  <c r="AK13" i="78"/>
  <c r="AU19" i="78"/>
  <c r="AQ14" i="78"/>
  <c r="AQ15" i="78"/>
  <c r="DA14" i="78"/>
  <c r="DA15" i="78"/>
  <c r="AI35" i="78"/>
  <c r="BF91" i="78"/>
  <c r="AV68" i="78"/>
  <c r="BR90" i="105"/>
  <c r="BA90" i="105"/>
  <c r="BM61" i="105"/>
  <c r="BY61" i="105"/>
  <c r="AY26" i="105"/>
  <c r="BP26" i="105"/>
  <c r="P99" i="105"/>
  <c r="BJ99" i="105"/>
  <c r="BV99" i="105"/>
  <c r="BP92" i="105"/>
  <c r="CB92" i="105"/>
  <c r="CO92" i="105"/>
  <c r="AY92" i="105"/>
  <c r="BQ85" i="105"/>
  <c r="CC85" i="105"/>
  <c r="CP85" i="105"/>
  <c r="AZ85" i="105"/>
  <c r="AT44" i="105"/>
  <c r="BK44" i="105"/>
  <c r="BW44" i="105"/>
  <c r="CJ44" i="105"/>
  <c r="CV46" i="78"/>
  <c r="AN14" i="78"/>
  <c r="AN15" i="78"/>
  <c r="BR72" i="105"/>
  <c r="J32" i="78"/>
  <c r="H46" i="78"/>
  <c r="P72" i="78"/>
  <c r="AA99" i="78"/>
  <c r="CK55" i="78"/>
  <c r="BI28" i="78"/>
  <c r="BN99" i="105"/>
  <c r="AM14" i="78"/>
  <c r="BF12" i="78"/>
  <c r="AE32" i="78"/>
  <c r="AC91" i="105"/>
  <c r="L93" i="78"/>
  <c r="L106" i="78"/>
  <c r="CF22" i="78"/>
  <c r="DD19" i="78"/>
  <c r="CO19" i="78"/>
  <c r="P93" i="78"/>
  <c r="BR52" i="105"/>
  <c r="CD52" i="105"/>
  <c r="AC38" i="78"/>
  <c r="AD82" i="78"/>
  <c r="BM75" i="105"/>
  <c r="BY75" i="105"/>
  <c r="CL75" i="105"/>
  <c r="AV75" i="105"/>
  <c r="BA20" i="105"/>
  <c r="BR20" i="105"/>
  <c r="BR93" i="78"/>
  <c r="BR106" i="78"/>
  <c r="AC31" i="78"/>
  <c r="AC32" i="78"/>
  <c r="AZ28" i="105"/>
  <c r="BQ28" i="105"/>
  <c r="CE68" i="78"/>
  <c r="BA48" i="105"/>
  <c r="BR48" i="105"/>
  <c r="AV84" i="105"/>
  <c r="BM84" i="105"/>
  <c r="BY84" i="105"/>
  <c r="CL84" i="105"/>
  <c r="W19" i="78"/>
  <c r="CS11" i="78"/>
  <c r="BM46" i="105"/>
  <c r="AV46" i="105"/>
  <c r="CI21" i="105"/>
  <c r="AC21" i="105"/>
  <c r="BZ35" i="78"/>
  <c r="AT34" i="105"/>
  <c r="P34" i="105"/>
  <c r="BK34" i="105"/>
  <c r="BW34" i="105"/>
  <c r="BV82" i="78"/>
  <c r="AP65" i="105"/>
  <c r="BQ95" i="105"/>
  <c r="AZ95" i="105"/>
  <c r="DC63" i="78"/>
  <c r="BR72" i="78"/>
  <c r="BO20" i="105"/>
  <c r="AX20" i="105"/>
  <c r="BA35" i="78"/>
  <c r="CG63" i="78"/>
  <c r="CH63" i="78"/>
  <c r="AC25" i="105"/>
  <c r="BL38" i="105"/>
  <c r="BX38" i="105"/>
  <c r="CK38" i="105"/>
  <c r="AU38" i="105"/>
  <c r="AR28" i="78"/>
  <c r="M11" i="78"/>
  <c r="P99" i="78"/>
  <c r="BF45" i="78"/>
  <c r="AM46" i="78"/>
  <c r="O76" i="78"/>
  <c r="K22" i="78"/>
  <c r="BZ76" i="78"/>
  <c r="DF46" i="78"/>
  <c r="DE63" i="78"/>
  <c r="AH68" i="78"/>
  <c r="BI19" i="78"/>
  <c r="AC61" i="105"/>
  <c r="AZ19" i="78"/>
  <c r="Q34" i="78"/>
  <c r="G35" i="78"/>
  <c r="AY69" i="105"/>
  <c r="BP69" i="105"/>
  <c r="AO93" i="78"/>
  <c r="AO106" i="78"/>
  <c r="CO76" i="78"/>
  <c r="AT63" i="78"/>
  <c r="BP72" i="78"/>
  <c r="BA14" i="78"/>
  <c r="BA15" i="78"/>
  <c r="BZ68" i="78"/>
  <c r="AX63" i="78"/>
  <c r="L55" i="78"/>
  <c r="CE104" i="78"/>
  <c r="AZ44" i="105"/>
  <c r="BQ44" i="105"/>
  <c r="CC44" i="105"/>
  <c r="CP44" i="105"/>
  <c r="AG93" i="78"/>
  <c r="BY93" i="78"/>
  <c r="AC90" i="105"/>
  <c r="CI90" i="105"/>
  <c r="AY76" i="78"/>
  <c r="AF31" i="78"/>
  <c r="AF32" i="78"/>
  <c r="AK30" i="78"/>
  <c r="AP95" i="105"/>
  <c r="BJ92" i="105"/>
  <c r="BV92" i="105"/>
  <c r="AS92" i="105"/>
  <c r="P92" i="105"/>
  <c r="K28" i="78"/>
  <c r="K32" i="78"/>
  <c r="CS28" i="78"/>
  <c r="AU11" i="78"/>
  <c r="CA46" i="78"/>
  <c r="BW104" i="78"/>
  <c r="CS31" i="78"/>
  <c r="CX63" i="78"/>
  <c r="BO28" i="105"/>
  <c r="CA28" i="105"/>
  <c r="CN28" i="105"/>
  <c r="AX28" i="105"/>
  <c r="CD76" i="78"/>
  <c r="AZ35" i="78"/>
  <c r="BD14" i="78"/>
  <c r="BD15" i="78"/>
  <c r="I82" i="78"/>
  <c r="CC35" i="78"/>
  <c r="CZ63" i="78"/>
  <c r="AV26" i="105"/>
  <c r="BM26" i="105"/>
  <c r="BM94" i="105"/>
  <c r="BY94" i="105"/>
  <c r="CL94" i="105"/>
  <c r="AV94" i="105"/>
  <c r="AS23" i="105"/>
  <c r="BJ23" i="105"/>
  <c r="BV23" i="105"/>
  <c r="P23" i="105"/>
  <c r="AP38" i="78"/>
  <c r="BK27" i="105"/>
  <c r="BW27" i="105"/>
  <c r="CJ27" i="105"/>
  <c r="AT27" i="105"/>
  <c r="BA45" i="105"/>
  <c r="BR45" i="105"/>
  <c r="CD45" i="105"/>
  <c r="CQ45" i="105"/>
  <c r="CC93" i="78"/>
  <c r="CC106" i="78"/>
  <c r="BJ27" i="78"/>
  <c r="AV15" i="105"/>
  <c r="DD82" i="78"/>
  <c r="BO99" i="78"/>
  <c r="CU22" i="78"/>
  <c r="AB93" i="78"/>
  <c r="AB106" i="78"/>
  <c r="BL34" i="105"/>
  <c r="BX34" i="105"/>
  <c r="CK34" i="105"/>
  <c r="AU34" i="105"/>
  <c r="BP68" i="105"/>
  <c r="AY68" i="105"/>
  <c r="G99" i="78"/>
  <c r="Q96" i="78"/>
  <c r="AX19" i="78"/>
  <c r="BO69" i="105"/>
  <c r="CA69" i="105"/>
  <c r="CN69" i="105"/>
  <c r="AX69" i="105"/>
  <c r="CZ35" i="78"/>
  <c r="BD76" i="78"/>
  <c r="AX38" i="105"/>
  <c r="BO38" i="105"/>
  <c r="CA38" i="105"/>
  <c r="CN38" i="105"/>
  <c r="AC14" i="105"/>
  <c r="BA38" i="78"/>
  <c r="AX76" i="78"/>
  <c r="CD63" i="78"/>
  <c r="AX68" i="105"/>
  <c r="BO68" i="105"/>
  <c r="CA68" i="105"/>
  <c r="CN68" i="105"/>
  <c r="BQ15" i="105"/>
  <c r="AZ15" i="105"/>
  <c r="BK25" i="105"/>
  <c r="BW25" i="105"/>
  <c r="AP64" i="105"/>
  <c r="AT68" i="78"/>
  <c r="DD93" i="78"/>
  <c r="Z82" i="78"/>
  <c r="BF13" i="78"/>
  <c r="BT63" i="78"/>
  <c r="X28" i="78"/>
  <c r="BK29" i="105"/>
  <c r="BW29" i="105"/>
  <c r="CJ29" i="105"/>
  <c r="AT29" i="105"/>
  <c r="AX46" i="78"/>
  <c r="DE11" i="78"/>
  <c r="BO35" i="78"/>
  <c r="DH34" i="78"/>
  <c r="P46" i="78"/>
  <c r="CN19" i="78"/>
  <c r="Y68" i="78"/>
  <c r="CI67" i="105"/>
  <c r="AC67" i="105"/>
  <c r="DC76" i="78"/>
  <c r="BJ93" i="105"/>
  <c r="BV93" i="105"/>
  <c r="P93" i="105"/>
  <c r="AS93" i="105"/>
  <c r="J76" i="78"/>
  <c r="T76" i="78"/>
  <c r="AO32" i="78"/>
  <c r="BI22" i="78"/>
  <c r="AS15" i="105"/>
  <c r="P15" i="105"/>
  <c r="BJ15" i="105"/>
  <c r="S35" i="78"/>
  <c r="AK34" i="78"/>
  <c r="AS40" i="105"/>
  <c r="P40" i="105"/>
  <c r="BJ40" i="105"/>
  <c r="BV40" i="105"/>
  <c r="K68" i="78"/>
  <c r="AJ38" i="78"/>
  <c r="CZ104" i="78"/>
  <c r="P82" i="78"/>
  <c r="AJ35" i="78"/>
  <c r="BQ47" i="105"/>
  <c r="AZ47" i="105"/>
  <c r="CM38" i="78"/>
  <c r="BJ92" i="78"/>
  <c r="AT93" i="105"/>
  <c r="BK93" i="105"/>
  <c r="AD63" i="78"/>
  <c r="CO35" i="78"/>
  <c r="DA46" i="78"/>
  <c r="T19" i="78"/>
  <c r="AP83" i="105"/>
  <c r="CO51" i="78"/>
  <c r="CO84" i="78"/>
  <c r="CD14" i="78"/>
  <c r="CD15" i="78"/>
  <c r="BJ29" i="78"/>
  <c r="BH31" i="78"/>
  <c r="BJ31" i="78"/>
  <c r="CA22" i="78"/>
  <c r="AR55" i="78"/>
  <c r="AW15" i="105"/>
  <c r="BN15" i="105"/>
  <c r="BZ15" i="105"/>
  <c r="CM15" i="105"/>
  <c r="BB93" i="78"/>
  <c r="DB82" i="78"/>
  <c r="P95" i="105"/>
  <c r="AS95" i="105"/>
  <c r="BJ95" i="105"/>
  <c r="BV95" i="105"/>
  <c r="AW26" i="105"/>
  <c r="BN26" i="105"/>
  <c r="CY38" i="78"/>
  <c r="CL22" i="78"/>
  <c r="DA38" i="78"/>
  <c r="N14" i="78"/>
  <c r="N15" i="78"/>
  <c r="BT38" i="78"/>
  <c r="AK67" i="78"/>
  <c r="BA22" i="105"/>
  <c r="BR22" i="105"/>
  <c r="AC23" i="105"/>
  <c r="CI23" i="105"/>
  <c r="BC31" i="78"/>
  <c r="BC32" i="78"/>
  <c r="CH82" i="78"/>
  <c r="BL16" i="105"/>
  <c r="AU16" i="105"/>
  <c r="T51" i="78"/>
  <c r="BL14" i="105"/>
  <c r="BX14" i="105"/>
  <c r="U93" i="78"/>
  <c r="AI93" i="78"/>
  <c r="AI106" i="78"/>
  <c r="BQ48" i="105"/>
  <c r="AZ48" i="105"/>
  <c r="BL65" i="105"/>
  <c r="BX65" i="105"/>
  <c r="CK65" i="105"/>
  <c r="AU65" i="105"/>
  <c r="BK26" i="105"/>
  <c r="BW26" i="105"/>
  <c r="AT26" i="105"/>
  <c r="CR35" i="78"/>
  <c r="BJ91" i="105"/>
  <c r="BV91" i="105"/>
  <c r="P91" i="105"/>
  <c r="AS91" i="105"/>
  <c r="P82" i="105"/>
  <c r="AS82" i="105"/>
  <c r="BJ82" i="105"/>
  <c r="BV82" i="105"/>
  <c r="BP35" i="78"/>
  <c r="BC22" i="78"/>
  <c r="CC14" i="78"/>
  <c r="CC15" i="78"/>
  <c r="CC40" i="78"/>
  <c r="BJ39" i="105"/>
  <c r="BV39" i="105"/>
  <c r="P39" i="105"/>
  <c r="AS39" i="105"/>
  <c r="BJ60" i="78"/>
  <c r="CK38" i="78"/>
  <c r="BP94" i="105"/>
  <c r="CB94" i="105"/>
  <c r="CO94" i="105"/>
  <c r="AY94" i="105"/>
  <c r="CT63" i="78"/>
  <c r="BR25" i="105"/>
  <c r="AU97" i="105"/>
  <c r="BL97" i="105"/>
  <c r="BX97" i="105"/>
  <c r="CK97" i="105"/>
  <c r="CN35" i="78"/>
  <c r="AC68" i="78"/>
  <c r="AR51" i="78"/>
  <c r="Y19" i="78"/>
  <c r="BK99" i="105"/>
  <c r="BW99" i="105"/>
  <c r="CA35" i="78"/>
  <c r="BK72" i="105"/>
  <c r="BW72" i="105"/>
  <c r="AB35" i="78"/>
  <c r="BR65" i="105"/>
  <c r="BA65" i="105"/>
  <c r="AU93" i="78"/>
  <c r="CT11" i="78"/>
  <c r="G46" i="78"/>
  <c r="Q46" i="78"/>
  <c r="Q45" i="78"/>
  <c r="CN72" i="78"/>
  <c r="CE11" i="78"/>
  <c r="CV51" i="78"/>
  <c r="BR62" i="105"/>
  <c r="BA62" i="105"/>
  <c r="AZ31" i="78"/>
  <c r="AZ32" i="78"/>
  <c r="CK35" i="78"/>
  <c r="AR38" i="78"/>
  <c r="AU62" i="105"/>
  <c r="BL62" i="105"/>
  <c r="BX62" i="105"/>
  <c r="CK62" i="105"/>
  <c r="AP86" i="105"/>
  <c r="BJ66" i="105"/>
  <c r="BV66" i="105"/>
  <c r="AS66" i="105"/>
  <c r="P66" i="105"/>
  <c r="CB104" i="78"/>
  <c r="AA46" i="78"/>
  <c r="CE28" i="78"/>
  <c r="CE32" i="78"/>
  <c r="CT19" i="78"/>
  <c r="AX21" i="105"/>
  <c r="BO21" i="105"/>
  <c r="AZ14" i="78"/>
  <c r="BN72" i="105"/>
  <c r="BZ72" i="105"/>
  <c r="BA63" i="105"/>
  <c r="BR63" i="105"/>
  <c r="CD63" i="105"/>
  <c r="CQ63" i="105"/>
  <c r="BP39" i="105"/>
  <c r="AY39" i="105"/>
  <c r="CK82" i="78"/>
  <c r="BM99" i="105"/>
  <c r="AK59" i="78"/>
  <c r="H22" i="78"/>
  <c r="AA72" i="78"/>
  <c r="BQ99" i="78"/>
  <c r="AC72" i="78"/>
  <c r="CX99" i="78"/>
  <c r="BM91" i="105"/>
  <c r="AV91" i="105"/>
  <c r="CX28" i="78"/>
  <c r="CX32" i="78"/>
  <c r="J35" i="78"/>
  <c r="Q35" i="78"/>
  <c r="AD46" i="78"/>
  <c r="AC60" i="105"/>
  <c r="CI60" i="105"/>
  <c r="BA68" i="105"/>
  <c r="BR68" i="105"/>
  <c r="CD68" i="105"/>
  <c r="CQ68" i="105"/>
  <c r="DA19" i="78"/>
  <c r="CV63" i="78"/>
  <c r="BA66" i="105"/>
  <c r="BR66" i="105"/>
  <c r="CD66" i="105"/>
  <c r="CQ66" i="105"/>
  <c r="AC29" i="105"/>
  <c r="CI29" i="105"/>
  <c r="P28" i="78"/>
  <c r="P32" i="78"/>
  <c r="AY46" i="105"/>
  <c r="BP46" i="105"/>
  <c r="CF63" i="78"/>
  <c r="CX51" i="78"/>
  <c r="BZ38" i="78"/>
  <c r="BK89" i="105"/>
  <c r="AT89" i="105"/>
  <c r="BD55" i="78"/>
  <c r="CC46" i="78"/>
  <c r="AP36" i="105"/>
  <c r="CJ82" i="78"/>
  <c r="BR99" i="105"/>
  <c r="CD99" i="105"/>
  <c r="AS87" i="105"/>
  <c r="P87" i="105"/>
  <c r="BJ87" i="105"/>
  <c r="BV87" i="105"/>
  <c r="BJ10" i="78"/>
  <c r="DB38" i="78"/>
  <c r="BR67" i="105"/>
  <c r="CD67" i="105"/>
  <c r="CQ67" i="105"/>
  <c r="BA67" i="105"/>
  <c r="BP74" i="105"/>
  <c r="AY74" i="105"/>
  <c r="DD76" i="78"/>
  <c r="BC104" i="78"/>
  <c r="CP46" i="78"/>
  <c r="DD99" i="78"/>
  <c r="CI28" i="78"/>
  <c r="CI32" i="78"/>
  <c r="CE46" i="78"/>
  <c r="BY55" i="78"/>
  <c r="CT22" i="78"/>
  <c r="AU46" i="105"/>
  <c r="BL46" i="105"/>
  <c r="BX46" i="105"/>
  <c r="CK46" i="105"/>
  <c r="BA17" i="105"/>
  <c r="BR17" i="105"/>
  <c r="BF29" i="78"/>
  <c r="AM31" i="78"/>
  <c r="BF31" i="78"/>
  <c r="CU51" i="78"/>
  <c r="CX14" i="78"/>
  <c r="CX15" i="78"/>
  <c r="CX40" i="78"/>
  <c r="H315" i="59"/>
  <c r="CR72" i="78"/>
  <c r="AO63" i="78"/>
  <c r="BQ88" i="105"/>
  <c r="CC88" i="105"/>
  <c r="CP88" i="105"/>
  <c r="AZ88" i="105"/>
  <c r="P16" i="105"/>
  <c r="BJ16" i="105"/>
  <c r="BV16" i="105"/>
  <c r="AS16" i="105"/>
  <c r="AX72" i="78"/>
  <c r="AR82" i="78"/>
  <c r="AU47" i="105"/>
  <c r="BL47" i="105"/>
  <c r="BX47" i="105"/>
  <c r="CK47" i="105"/>
  <c r="DD68" i="78"/>
  <c r="DF104" i="78"/>
  <c r="AZ11" i="78"/>
  <c r="AP46" i="78"/>
  <c r="AC46" i="78"/>
  <c r="CV14" i="78"/>
  <c r="CV15" i="78"/>
  <c r="BL82" i="105"/>
  <c r="BX82" i="105"/>
  <c r="CK82" i="105"/>
  <c r="AU82" i="105"/>
  <c r="AN28" i="78"/>
  <c r="AN32" i="78"/>
  <c r="CT28" i="78"/>
  <c r="CT32" i="78"/>
  <c r="BV46" i="78"/>
  <c r="CJ11" i="78"/>
  <c r="CJ15" i="78"/>
  <c r="CJ40" i="78"/>
  <c r="DB63" i="78"/>
  <c r="AQ35" i="78"/>
  <c r="BF79" i="78"/>
  <c r="AM82" i="78"/>
  <c r="BY68" i="78"/>
  <c r="BQ22" i="105"/>
  <c r="CC22" i="105"/>
  <c r="CP22" i="105"/>
  <c r="AZ22" i="105"/>
  <c r="AY87" i="105"/>
  <c r="BP87" i="105"/>
  <c r="AY63" i="78"/>
  <c r="BO23" i="105"/>
  <c r="AX23" i="105"/>
  <c r="BS35" i="78"/>
  <c r="DA35" i="78"/>
  <c r="P76" i="78"/>
  <c r="BR61" i="105"/>
  <c r="CD61" i="105"/>
  <c r="BL27" i="105"/>
  <c r="BX27" i="105"/>
  <c r="CK27" i="105"/>
  <c r="AU27" i="105"/>
  <c r="AS63" i="78"/>
  <c r="BY104" i="78"/>
  <c r="H11" i="78"/>
  <c r="AB82" i="78"/>
  <c r="AZ76" i="78"/>
  <c r="BQ82" i="105"/>
  <c r="AZ82" i="105"/>
  <c r="BJ30" i="78"/>
  <c r="BO16" i="105"/>
  <c r="AX16" i="105"/>
  <c r="AU23" i="105"/>
  <c r="BL23" i="105"/>
  <c r="BX23" i="105"/>
  <c r="CK23" i="105"/>
  <c r="BE97" i="78"/>
  <c r="BF97" i="78"/>
  <c r="BM65" i="105"/>
  <c r="BY65" i="105"/>
  <c r="CL65" i="105"/>
  <c r="AV65" i="105"/>
  <c r="BX55" i="78"/>
  <c r="BW72" i="78"/>
  <c r="BS11" i="78"/>
  <c r="BP38" i="78"/>
  <c r="AT74" i="105"/>
  <c r="BC74" i="105"/>
  <c r="BK74" i="105"/>
  <c r="BW74" i="105"/>
  <c r="CJ74" i="105"/>
  <c r="BN27" i="105"/>
  <c r="BZ27" i="105"/>
  <c r="CM27" i="105"/>
  <c r="AW27" i="105"/>
  <c r="CC76" i="78"/>
  <c r="DA63" i="78"/>
  <c r="BB99" i="78"/>
  <c r="N99" i="78"/>
  <c r="CN93" i="78"/>
  <c r="CN106" i="78"/>
  <c r="BR38" i="78"/>
  <c r="BB82" i="78"/>
  <c r="CN31" i="78"/>
  <c r="CN32" i="78"/>
  <c r="CG68" i="78"/>
  <c r="Z63" i="78"/>
  <c r="AJ99" i="78"/>
  <c r="BA63" i="78"/>
  <c r="P14" i="78"/>
  <c r="P15" i="78"/>
  <c r="P40" i="78"/>
  <c r="BQ40" i="105"/>
  <c r="CC40" i="105"/>
  <c r="CP40" i="105"/>
  <c r="AZ40" i="105"/>
  <c r="AF14" i="78"/>
  <c r="AF15" i="78"/>
  <c r="AF40" i="78"/>
  <c r="H55" i="78"/>
  <c r="CZ38" i="78"/>
  <c r="O55" i="78"/>
  <c r="AP81" i="105"/>
  <c r="L14" i="78"/>
  <c r="L15" i="78"/>
  <c r="L40" i="78"/>
  <c r="AV82" i="78"/>
  <c r="CB55" i="78"/>
  <c r="BF50" i="78"/>
  <c r="O99" i="78"/>
  <c r="O106" i="78"/>
  <c r="AC88" i="105"/>
  <c r="CI88" i="105"/>
  <c r="BQ97" i="105"/>
  <c r="AZ97" i="105"/>
  <c r="F13" i="59"/>
  <c r="F18" i="59"/>
  <c r="F292" i="59"/>
  <c r="CU55" i="78"/>
  <c r="S28" i="78"/>
  <c r="AK28" i="78"/>
  <c r="AK26" i="78"/>
  <c r="CT76" i="78"/>
  <c r="DB104" i="78"/>
  <c r="AR32" i="78"/>
  <c r="I19" i="78"/>
  <c r="H68" i="78"/>
  <c r="Y63" i="78"/>
  <c r="BA15" i="105"/>
  <c r="BR15" i="105"/>
  <c r="CD15" i="105"/>
  <c r="CQ15" i="105"/>
  <c r="CI82" i="78"/>
  <c r="AW46" i="78"/>
  <c r="CG38" i="78"/>
  <c r="AP98" i="105"/>
  <c r="N22" i="78"/>
  <c r="CK75" i="105"/>
  <c r="BN25" i="105"/>
  <c r="BZ25" i="105"/>
  <c r="AV19" i="78"/>
  <c r="Q58" i="78"/>
  <c r="BL58" i="78"/>
  <c r="BX76" i="78"/>
  <c r="I63" i="78"/>
  <c r="AP24" i="105"/>
  <c r="CE93" i="78"/>
  <c r="AZ73" i="105"/>
  <c r="BQ73" i="105"/>
  <c r="CC73" i="105"/>
  <c r="CP73" i="105"/>
  <c r="CR22" i="78"/>
  <c r="CI38" i="78"/>
  <c r="AS43" i="105"/>
  <c r="BJ43" i="105"/>
  <c r="BV43" i="105"/>
  <c r="CI43" i="105"/>
  <c r="P43" i="105"/>
  <c r="CY51" i="78"/>
  <c r="CY84" i="78"/>
  <c r="CE99" i="78"/>
  <c r="CL104" i="78"/>
  <c r="BO29" i="105"/>
  <c r="CA29" i="105"/>
  <c r="CN29" i="105"/>
  <c r="AX29" i="105"/>
  <c r="DA72" i="78"/>
  <c r="CY14" i="78"/>
  <c r="CY15" i="78"/>
  <c r="CY40" i="78"/>
  <c r="CQ55" i="78"/>
  <c r="BP81" i="105"/>
  <c r="CB81" i="105"/>
  <c r="CO81" i="105"/>
  <c r="AY81" i="105"/>
  <c r="E28" i="108"/>
  <c r="BN16" i="105"/>
  <c r="BZ16" i="105"/>
  <c r="CM16" i="105"/>
  <c r="AW16" i="105"/>
  <c r="AE22" i="78"/>
  <c r="BS22" i="78"/>
  <c r="CQ14" i="78"/>
  <c r="CQ15" i="78"/>
  <c r="AP43" i="105"/>
  <c r="AV72" i="78"/>
  <c r="BV104" i="78"/>
  <c r="AZ17" i="105"/>
  <c r="BQ17" i="105"/>
  <c r="CC17" i="105"/>
  <c r="CP17" i="105"/>
  <c r="BE22" i="78"/>
  <c r="AV38" i="78"/>
  <c r="BK22" i="105"/>
  <c r="BW22" i="105"/>
  <c r="CJ22" i="105"/>
  <c r="AT22" i="105"/>
  <c r="BC22" i="105"/>
  <c r="BO48" i="105"/>
  <c r="CA48" i="105"/>
  <c r="CN48" i="105"/>
  <c r="AX48" i="105"/>
  <c r="BI32" i="78"/>
  <c r="CP93" i="78"/>
  <c r="CP106" i="78"/>
  <c r="CH46" i="78"/>
  <c r="BO42" i="105"/>
  <c r="CA42" i="105"/>
  <c r="CN42" i="105"/>
  <c r="AX42" i="105"/>
  <c r="AP22" i="105"/>
  <c r="CV82" i="78"/>
  <c r="CG104" i="78"/>
  <c r="CG106" i="78"/>
  <c r="BR35" i="105"/>
  <c r="CD35" i="105"/>
  <c r="CQ35" i="105"/>
  <c r="BA35" i="105"/>
  <c r="AO11" i="78"/>
  <c r="DC93" i="78"/>
  <c r="DC106" i="78"/>
  <c r="CI76" i="105"/>
  <c r="AC76" i="105"/>
  <c r="AY99" i="78"/>
  <c r="AS89" i="105"/>
  <c r="BJ89" i="105"/>
  <c r="BV89" i="105"/>
  <c r="P89" i="105"/>
  <c r="BQ104" i="78"/>
  <c r="BK39" i="105"/>
  <c r="BW39" i="105"/>
  <c r="CJ39" i="105"/>
  <c r="AT39" i="105"/>
  <c r="BC39" i="105"/>
  <c r="BO95" i="105"/>
  <c r="CA95" i="105"/>
  <c r="CN95" i="105"/>
  <c r="AX95" i="105"/>
  <c r="AY64" i="105"/>
  <c r="BP64" i="105"/>
  <c r="CB64" i="105"/>
  <c r="CO64" i="105"/>
  <c r="BZ93" i="78"/>
  <c r="BZ106" i="78"/>
  <c r="CW51" i="78"/>
  <c r="CW84" i="78"/>
  <c r="CP82" i="78"/>
  <c r="BP95" i="105"/>
  <c r="CB95" i="105"/>
  <c r="CO95" i="105"/>
  <c r="AY95" i="105"/>
  <c r="DF76" i="78"/>
  <c r="CK31" i="78"/>
  <c r="CP68" i="78"/>
  <c r="BU11" i="78"/>
  <c r="CN51" i="78"/>
  <c r="CN84" i="78"/>
  <c r="BP38" i="105"/>
  <c r="CB38" i="105"/>
  <c r="CO38" i="105"/>
  <c r="AY38" i="105"/>
  <c r="BE35" i="78"/>
  <c r="AP79" i="105"/>
  <c r="AR72" i="78"/>
  <c r="AU14" i="78"/>
  <c r="AU15" i="78"/>
  <c r="AU40" i="78"/>
  <c r="CV104" i="78"/>
  <c r="DD72" i="78"/>
  <c r="BO87" i="105"/>
  <c r="CA87" i="105"/>
  <c r="CN87" i="105"/>
  <c r="AX87" i="105"/>
  <c r="CG19" i="78"/>
  <c r="BN82" i="105"/>
  <c r="BZ82" i="105"/>
  <c r="CM82" i="105"/>
  <c r="AW82" i="105"/>
  <c r="AV20" i="105"/>
  <c r="C14" i="108"/>
  <c r="BM20" i="105"/>
  <c r="BY20" i="105"/>
  <c r="CL20" i="105"/>
  <c r="BH63" i="78"/>
  <c r="BJ63" i="78"/>
  <c r="BJ57" i="78"/>
  <c r="AU86" i="105"/>
  <c r="BL86" i="105"/>
  <c r="BX86" i="105"/>
  <c r="CK86" i="105"/>
  <c r="BF81" i="78"/>
  <c r="BL99" i="105"/>
  <c r="BX99" i="105"/>
  <c r="J22" i="78"/>
  <c r="CH72" i="78"/>
  <c r="AW90" i="105"/>
  <c r="BN90" i="105"/>
  <c r="BZ90" i="105"/>
  <c r="CM90" i="105"/>
  <c r="AV97" i="105"/>
  <c r="BM97" i="105"/>
  <c r="BY97" i="105"/>
  <c r="CL97" i="105"/>
  <c r="AE82" i="78"/>
  <c r="AE84" i="78"/>
  <c r="CI95" i="105"/>
  <c r="AC95" i="105"/>
  <c r="BM21" i="105"/>
  <c r="BY21" i="105"/>
  <c r="CL21" i="105"/>
  <c r="AV21" i="105"/>
  <c r="AZ91" i="105"/>
  <c r="BQ91" i="105"/>
  <c r="CJ85" i="105"/>
  <c r="CJ26" i="105"/>
  <c r="DF22" i="78"/>
  <c r="BD35" i="78"/>
  <c r="BD40" i="78"/>
  <c r="AU91" i="105"/>
  <c r="BL91" i="105"/>
  <c r="BX91" i="105"/>
  <c r="CK91" i="105"/>
  <c r="CJ34" i="105"/>
  <c r="BR55" i="78"/>
  <c r="Q67" i="78"/>
  <c r="BL67" i="78"/>
  <c r="AP29" i="105"/>
  <c r="J51" i="78"/>
  <c r="J84" i="78"/>
  <c r="AF63" i="78"/>
  <c r="Y14" i="78"/>
  <c r="Y15" i="78"/>
  <c r="Y40" i="78"/>
  <c r="AD68" i="78"/>
  <c r="AX62" i="105"/>
  <c r="BO62" i="105"/>
  <c r="CA62" i="105"/>
  <c r="CN62" i="105"/>
  <c r="X32" i="78"/>
  <c r="CK28" i="78"/>
  <c r="CK32" i="78"/>
  <c r="BS99" i="78"/>
  <c r="BT76" i="78"/>
  <c r="BT84" i="78"/>
  <c r="N104" i="78"/>
  <c r="Q104" i="78"/>
  <c r="CQ35" i="78"/>
  <c r="CV32" i="78"/>
  <c r="AS19" i="105"/>
  <c r="P19" i="105"/>
  <c r="BJ19" i="105"/>
  <c r="BV19" i="105"/>
  <c r="AP93" i="78"/>
  <c r="CU68" i="78"/>
  <c r="AY22" i="78"/>
  <c r="CX82" i="78"/>
  <c r="M106" i="59"/>
  <c r="F30" i="59"/>
  <c r="K239" i="59"/>
  <c r="M239" i="59"/>
  <c r="O239" i="59"/>
  <c r="I239" i="59"/>
  <c r="P239" i="59"/>
  <c r="Q233" i="59"/>
  <c r="H239" i="59"/>
  <c r="N233" i="59"/>
  <c r="F34" i="59"/>
  <c r="L238" i="59"/>
  <c r="J246" i="59"/>
  <c r="F28" i="59"/>
  <c r="Q238" i="59"/>
  <c r="Q239" i="59"/>
  <c r="L239" i="59"/>
  <c r="J233" i="59"/>
  <c r="F24" i="59"/>
  <c r="M233" i="59"/>
  <c r="I233" i="59"/>
  <c r="P238" i="59"/>
  <c r="Q246" i="59"/>
  <c r="L233" i="59"/>
  <c r="P233" i="59"/>
  <c r="F41" i="59"/>
  <c r="F35" i="59"/>
  <c r="F25" i="59"/>
  <c r="O233" i="59"/>
  <c r="F26" i="59"/>
  <c r="H238" i="59"/>
  <c r="F42" i="59"/>
  <c r="F23" i="59"/>
  <c r="I238" i="59"/>
  <c r="F27" i="59"/>
  <c r="F37" i="59"/>
  <c r="I246" i="59"/>
  <c r="H233" i="59"/>
  <c r="P246" i="59"/>
  <c r="F33" i="59"/>
  <c r="K246" i="59"/>
  <c r="F32" i="59"/>
  <c r="O238" i="59"/>
  <c r="K233" i="59"/>
  <c r="N239" i="59"/>
  <c r="F44" i="59"/>
  <c r="F29" i="59"/>
  <c r="O246" i="59"/>
  <c r="H246" i="59"/>
  <c r="M246" i="59"/>
  <c r="L246" i="59"/>
  <c r="N246" i="59"/>
  <c r="M238" i="59"/>
  <c r="K238" i="59"/>
  <c r="J239" i="59"/>
  <c r="F45" i="59"/>
  <c r="F40" i="59"/>
  <c r="N238" i="59"/>
  <c r="M24" i="59"/>
  <c r="CS32" i="78"/>
  <c r="BZ69" i="105"/>
  <c r="CM69" i="105"/>
  <c r="BW65" i="105"/>
  <c r="CJ65" i="105"/>
  <c r="CB46" i="105"/>
  <c r="CO46" i="105"/>
  <c r="AM32" i="78"/>
  <c r="M277" i="59"/>
  <c r="F43" i="59"/>
  <c r="F287" i="59"/>
  <c r="F282" i="59"/>
  <c r="F46" i="59"/>
  <c r="F288" i="59"/>
  <c r="F284" i="59"/>
  <c r="F36" i="59"/>
  <c r="F285" i="59"/>
  <c r="F280" i="59"/>
  <c r="F276" i="59"/>
  <c r="F290" i="59"/>
  <c r="F31" i="59"/>
  <c r="F279" i="59"/>
  <c r="F278" i="59"/>
  <c r="F277" i="59"/>
  <c r="F281" i="59"/>
  <c r="F283" i="59"/>
  <c r="M109" i="59"/>
  <c r="BC19" i="105"/>
  <c r="C13" i="108"/>
  <c r="BC43" i="105"/>
  <c r="C37" i="108"/>
  <c r="CI39" i="105"/>
  <c r="BC82" i="105"/>
  <c r="E29" i="108"/>
  <c r="E38" i="108"/>
  <c r="BC91" i="105"/>
  <c r="CI91" i="105"/>
  <c r="BY15" i="105"/>
  <c r="CL15" i="105"/>
  <c r="BX15" i="105"/>
  <c r="CK15" i="105"/>
  <c r="BV15" i="105"/>
  <c r="BC15" i="105"/>
  <c r="C9" i="108"/>
  <c r="E39" i="108"/>
  <c r="BC92" i="105"/>
  <c r="AM15" i="78"/>
  <c r="BF14" i="78"/>
  <c r="C22" i="108"/>
  <c r="BC28" i="105"/>
  <c r="BC27" i="105"/>
  <c r="C21" i="108"/>
  <c r="AM84" i="78"/>
  <c r="BF51" i="78"/>
  <c r="E31" i="108"/>
  <c r="BC84" i="105"/>
  <c r="C29" i="108"/>
  <c r="BC35" i="105"/>
  <c r="C28" i="108"/>
  <c r="D28" i="108"/>
  <c r="BC34" i="105"/>
  <c r="C38" i="108"/>
  <c r="BC44" i="105"/>
  <c r="E17" i="108"/>
  <c r="BC70" i="105"/>
  <c r="C12" i="108"/>
  <c r="BC18" i="105"/>
  <c r="CI85" i="105"/>
  <c r="BC17" i="105"/>
  <c r="C11" i="108"/>
  <c r="AM106" i="78"/>
  <c r="BF93" i="78"/>
  <c r="E11" i="108"/>
  <c r="BC64" i="105"/>
  <c r="E10" i="108"/>
  <c r="BC63" i="105"/>
  <c r="BH15" i="78"/>
  <c r="BJ14" i="78"/>
  <c r="E15" i="108"/>
  <c r="BC68" i="105"/>
  <c r="E23" i="108"/>
  <c r="BC76" i="105"/>
  <c r="BC48" i="105"/>
  <c r="C41" i="108"/>
  <c r="BJ51" i="78"/>
  <c r="BC75" i="105"/>
  <c r="E22" i="108"/>
  <c r="D22" i="108"/>
  <c r="C23" i="108"/>
  <c r="BC29" i="105"/>
  <c r="G106" i="78"/>
  <c r="Q93" i="78"/>
  <c r="BC38" i="105"/>
  <c r="C32" i="108"/>
  <c r="G84" i="78"/>
  <c r="BC41" i="105"/>
  <c r="C35" i="108"/>
  <c r="AK14" i="78"/>
  <c r="CC91" i="105"/>
  <c r="CP91" i="105"/>
  <c r="CQ40" i="78"/>
  <c r="CA16" i="105"/>
  <c r="CN16" i="105"/>
  <c r="CC82" i="105"/>
  <c r="CP82" i="105"/>
  <c r="CA23" i="105"/>
  <c r="CN23" i="105"/>
  <c r="BF82" i="78"/>
  <c r="CV40" i="78"/>
  <c r="CD17" i="105"/>
  <c r="CQ17" i="105"/>
  <c r="BW89" i="105"/>
  <c r="CJ89" i="105"/>
  <c r="CX84" i="78"/>
  <c r="BY91" i="105"/>
  <c r="CL91" i="105"/>
  <c r="BY99" i="105"/>
  <c r="CB39" i="105"/>
  <c r="CO39" i="105"/>
  <c r="CA21" i="105"/>
  <c r="CN21" i="105"/>
  <c r="CD62" i="105"/>
  <c r="CQ62" i="105"/>
  <c r="CV84" i="78"/>
  <c r="CD25" i="105"/>
  <c r="C33" i="108"/>
  <c r="CC48" i="105"/>
  <c r="CP48" i="105"/>
  <c r="BZ26" i="105"/>
  <c r="CM26" i="105"/>
  <c r="BB106" i="78"/>
  <c r="BW93" i="105"/>
  <c r="CJ93" i="105"/>
  <c r="DH35" i="78"/>
  <c r="DD106" i="78"/>
  <c r="Q99" i="78"/>
  <c r="BY106" i="78"/>
  <c r="CA20" i="105"/>
  <c r="CN20" i="105"/>
  <c r="BY46" i="105"/>
  <c r="CL46" i="105"/>
  <c r="CC28" i="105"/>
  <c r="CP28" i="105"/>
  <c r="P106" i="78"/>
  <c r="CD72" i="105"/>
  <c r="BY92" i="105"/>
  <c r="CL92" i="105"/>
  <c r="CC37" i="105"/>
  <c r="CP37" i="105"/>
  <c r="BW19" i="105"/>
  <c r="CJ19" i="105"/>
  <c r="BZ93" i="105"/>
  <c r="CM93" i="105"/>
  <c r="CB25" i="105"/>
  <c r="CD23" i="105"/>
  <c r="CQ23" i="105"/>
  <c r="CA61" i="105"/>
  <c r="BY50" i="105"/>
  <c r="CL50" i="105"/>
  <c r="CM84" i="78"/>
  <c r="BC81" i="105"/>
  <c r="CC26" i="105"/>
  <c r="CP26" i="105"/>
  <c r="CD38" i="105"/>
  <c r="CQ38" i="105"/>
  <c r="CL40" i="78"/>
  <c r="AA106" i="78"/>
  <c r="CB99" i="105"/>
  <c r="CD64" i="105"/>
  <c r="CQ64" i="105"/>
  <c r="CB50" i="105"/>
  <c r="CO50" i="105"/>
  <c r="CB48" i="105"/>
  <c r="CO48" i="105"/>
  <c r="CB75" i="105"/>
  <c r="CO75" i="105"/>
  <c r="CB23" i="105"/>
  <c r="CO23" i="105"/>
  <c r="BW66" i="105"/>
  <c r="CJ66" i="105"/>
  <c r="CR40" i="78"/>
  <c r="BX26" i="105"/>
  <c r="CK26" i="105"/>
  <c r="CC25" i="105"/>
  <c r="BT40" i="78"/>
  <c r="CB47" i="105"/>
  <c r="CO47" i="105"/>
  <c r="BZ84" i="78"/>
  <c r="DH31" i="78"/>
  <c r="CA40" i="105"/>
  <c r="CN40" i="105"/>
  <c r="BW83" i="105"/>
  <c r="CJ83" i="105"/>
  <c r="BZ29" i="105"/>
  <c r="CM29" i="105"/>
  <c r="BL59" i="78"/>
  <c r="CA90" i="105"/>
  <c r="CN90" i="105"/>
  <c r="BW92" i="105"/>
  <c r="CJ92" i="105"/>
  <c r="AC40" i="78"/>
  <c r="CB44" i="105"/>
  <c r="CO44" i="105"/>
  <c r="CC39" i="105"/>
  <c r="CP39" i="105"/>
  <c r="BX50" i="105"/>
  <c r="CK50" i="105"/>
  <c r="AV84" i="78"/>
  <c r="CC23" i="105"/>
  <c r="CP23" i="105"/>
  <c r="BY93" i="105"/>
  <c r="CL93" i="105"/>
  <c r="CD69" i="105"/>
  <c r="CQ69" i="105"/>
  <c r="CC75" i="105"/>
  <c r="CP75" i="105"/>
  <c r="BL27" i="78"/>
  <c r="BZ38" i="105"/>
  <c r="CM38" i="105"/>
  <c r="BW35" i="105"/>
  <c r="CJ35" i="105"/>
  <c r="CA75" i="105"/>
  <c r="CN75" i="105"/>
  <c r="BU84" i="78"/>
  <c r="BR40" i="78"/>
  <c r="BC84" i="78"/>
  <c r="CA99" i="105"/>
  <c r="BZ62" i="105"/>
  <c r="CM62" i="105"/>
  <c r="BL13" i="78"/>
  <c r="CB34" i="105"/>
  <c r="CO34" i="105"/>
  <c r="BZ86" i="105"/>
  <c r="CM86" i="105"/>
  <c r="BZ61" i="105"/>
  <c r="BY25" i="105"/>
  <c r="AP40" i="78"/>
  <c r="CB62" i="105"/>
  <c r="CO62" i="105"/>
  <c r="BF19" i="78"/>
  <c r="CB72" i="105"/>
  <c r="CB65" i="105"/>
  <c r="CO65" i="105"/>
  <c r="CB84" i="105"/>
  <c r="CO84" i="105"/>
  <c r="CD82" i="105"/>
  <c r="CQ82" i="105"/>
  <c r="CB85" i="105"/>
  <c r="CO85" i="105"/>
  <c r="DH72" i="78"/>
  <c r="BL62" i="78"/>
  <c r="BY44" i="105"/>
  <c r="CL44" i="105"/>
  <c r="AQ84" i="78"/>
  <c r="BY84" i="78"/>
  <c r="BL37" i="78"/>
  <c r="BZ65" i="105"/>
  <c r="CM65" i="105"/>
  <c r="CD39" i="105"/>
  <c r="CQ39" i="105"/>
  <c r="BF38" i="78"/>
  <c r="CM40" i="78"/>
  <c r="CM109" i="78"/>
  <c r="BJ22" i="78"/>
  <c r="CD89" i="105"/>
  <c r="CQ89" i="105"/>
  <c r="CD13" i="105"/>
  <c r="CQ13" i="105"/>
  <c r="CD93" i="105"/>
  <c r="CQ93" i="105"/>
  <c r="CZ84" i="78"/>
  <c r="CI81" i="105"/>
  <c r="CD75" i="105"/>
  <c r="CQ75" i="105"/>
  <c r="BZ18" i="105"/>
  <c r="CM18" i="105"/>
  <c r="CB66" i="105"/>
  <c r="CO66" i="105"/>
  <c r="CB41" i="105"/>
  <c r="CO41" i="105"/>
  <c r="BW15" i="105"/>
  <c r="CJ15" i="105"/>
  <c r="BZ35" i="105"/>
  <c r="CM35" i="105"/>
  <c r="CC69" i="105"/>
  <c r="CP69" i="105"/>
  <c r="AN106" i="78"/>
  <c r="CK40" i="78"/>
  <c r="CC99" i="105"/>
  <c r="BO32" i="78"/>
  <c r="CD43" i="105"/>
  <c r="CQ43" i="105"/>
  <c r="Q19" i="78"/>
  <c r="BX87" i="105"/>
  <c r="CK87" i="105"/>
  <c r="CC18" i="105"/>
  <c r="CP18" i="105"/>
  <c r="CI16" i="105"/>
  <c r="BZ94" i="105"/>
  <c r="CM94" i="105"/>
  <c r="CA89" i="105"/>
  <c r="CN89" i="105"/>
  <c r="BX95" i="105"/>
  <c r="CK95" i="105"/>
  <c r="BX25" i="105"/>
  <c r="BZ92" i="105"/>
  <c r="CM92" i="105"/>
  <c r="CH106" i="78"/>
  <c r="DB106" i="78"/>
  <c r="CC74" i="105"/>
  <c r="CP74" i="105"/>
  <c r="BW91" i="105"/>
  <c r="CJ91" i="105"/>
  <c r="DH68" i="78"/>
  <c r="CA88" i="105"/>
  <c r="CN88" i="105"/>
  <c r="BZ21" i="105"/>
  <c r="CM21" i="105"/>
  <c r="AK76" i="78"/>
  <c r="AC84" i="78"/>
  <c r="BZ68" i="105"/>
  <c r="CM68" i="105"/>
  <c r="CC21" i="105"/>
  <c r="CP21" i="105"/>
  <c r="BL75" i="78"/>
  <c r="CP40" i="78"/>
  <c r="BX29" i="105"/>
  <c r="CK29" i="105"/>
  <c r="BY85" i="105"/>
  <c r="CL85" i="105"/>
  <c r="CD21" i="105"/>
  <c r="CQ21" i="105"/>
  <c r="AK38" i="78"/>
  <c r="BW70" i="105"/>
  <c r="CJ70" i="105"/>
  <c r="BY22" i="105"/>
  <c r="CL22" i="105"/>
  <c r="Q68" i="78"/>
  <c r="CB70" i="105"/>
  <c r="CO70" i="105"/>
  <c r="P84" i="78"/>
  <c r="P109" i="78"/>
  <c r="AS84" i="78"/>
  <c r="CA70" i="105"/>
  <c r="CN70" i="105"/>
  <c r="AO84" i="78"/>
  <c r="BX81" i="105"/>
  <c r="CK81" i="105"/>
  <c r="CE15" i="78"/>
  <c r="CE40" i="78"/>
  <c r="BW64" i="105"/>
  <c r="CJ64" i="105"/>
  <c r="BY74" i="105"/>
  <c r="CL74" i="105"/>
  <c r="BF76" i="78"/>
  <c r="CD18" i="105"/>
  <c r="CQ18" i="105"/>
  <c r="AD40" i="78"/>
  <c r="BX93" i="105"/>
  <c r="CK93" i="105"/>
  <c r="BW87" i="105"/>
  <c r="CJ87" i="105"/>
  <c r="BV84" i="78"/>
  <c r="CI64" i="105"/>
  <c r="AT40" i="78"/>
  <c r="CO15" i="78"/>
  <c r="CO40" i="78"/>
  <c r="CC64" i="105"/>
  <c r="CP64" i="105"/>
  <c r="BZ34" i="105"/>
  <c r="CM34" i="105"/>
  <c r="CA15" i="105"/>
  <c r="CN15" i="105"/>
  <c r="CD41" i="105"/>
  <c r="CQ41" i="105"/>
  <c r="BX74" i="105"/>
  <c r="CK74" i="105"/>
  <c r="BY27" i="105"/>
  <c r="CL27" i="105"/>
  <c r="CB93" i="105"/>
  <c r="CO93" i="105"/>
  <c r="CS15" i="78"/>
  <c r="CS40" i="78"/>
  <c r="CD42" i="105"/>
  <c r="CQ42" i="105"/>
  <c r="BW23" i="105"/>
  <c r="CJ23" i="105"/>
  <c r="CC50" i="105"/>
  <c r="CP50" i="105"/>
  <c r="CD40" i="105"/>
  <c r="CQ40" i="105"/>
  <c r="AK19" i="78"/>
  <c r="BL57" i="78"/>
  <c r="BY62" i="105"/>
  <c r="CL62" i="105"/>
  <c r="CB90" i="105"/>
  <c r="CO90" i="105"/>
  <c r="CB43" i="105"/>
  <c r="CO43" i="105"/>
  <c r="CN15" i="78"/>
  <c r="CN40" i="78"/>
  <c r="CN109" i="78"/>
  <c r="CC93" i="105"/>
  <c r="CP93" i="105"/>
  <c r="BL29" i="78"/>
  <c r="BZ13" i="105"/>
  <c r="CM13" i="105"/>
  <c r="BX18" i="105"/>
  <c r="CK18" i="105"/>
  <c r="BX88" i="105"/>
  <c r="CK88" i="105"/>
  <c r="BY17" i="105"/>
  <c r="CL17" i="105"/>
  <c r="BZ15" i="78"/>
  <c r="BZ40" i="78"/>
  <c r="BZ109" i="78"/>
  <c r="CA65" i="105"/>
  <c r="CN65" i="105"/>
  <c r="DH28" i="78"/>
  <c r="BW94" i="105"/>
  <c r="CJ94" i="105"/>
  <c r="M84" i="78"/>
  <c r="CU40" i="78"/>
  <c r="CA84" i="105"/>
  <c r="CN84" i="105"/>
  <c r="CC45" i="105"/>
  <c r="CP45" i="105"/>
  <c r="CD46" i="105"/>
  <c r="CQ46" i="105"/>
  <c r="BL21" i="78"/>
  <c r="I15" i="78"/>
  <c r="CC81" i="105"/>
  <c r="CP81" i="105"/>
  <c r="CA47" i="105"/>
  <c r="CN47" i="105"/>
  <c r="CA43" i="105"/>
  <c r="CN43" i="105"/>
  <c r="CK106" i="78"/>
  <c r="BE84" i="78"/>
  <c r="BX41" i="105"/>
  <c r="CK41" i="105"/>
  <c r="DH22" i="78"/>
  <c r="CU106" i="78"/>
  <c r="CC62" i="105"/>
  <c r="CP62" i="105"/>
  <c r="CI84" i="78"/>
  <c r="AZ106" i="78"/>
  <c r="BZ19" i="105"/>
  <c r="CM19" i="105"/>
  <c r="K106" i="78"/>
  <c r="BZ88" i="105"/>
  <c r="CM88" i="105"/>
  <c r="BW84" i="105"/>
  <c r="CJ84" i="105"/>
  <c r="BZ66" i="105"/>
  <c r="CM66" i="105"/>
  <c r="BZ40" i="105"/>
  <c r="CM40" i="105"/>
  <c r="CC65" i="105"/>
  <c r="CP65" i="105"/>
  <c r="CI65" i="105"/>
  <c r="CA44" i="105"/>
  <c r="CN44" i="105"/>
  <c r="BX61" i="105"/>
  <c r="CA46" i="105"/>
  <c r="CN46" i="105"/>
  <c r="CF62" i="105"/>
  <c r="CD32" i="78"/>
  <c r="CD40" i="78"/>
  <c r="BY68" i="105"/>
  <c r="CL68" i="105"/>
  <c r="BX40" i="78"/>
  <c r="BZ44" i="105"/>
  <c r="CM44" i="105"/>
  <c r="AA15" i="78"/>
  <c r="AA40" i="78"/>
  <c r="CB88" i="105"/>
  <c r="CO88" i="105"/>
  <c r="CC35" i="105"/>
  <c r="CP35" i="105"/>
  <c r="AW106" i="78"/>
  <c r="CC84" i="78"/>
  <c r="CC109" i="78"/>
  <c r="CC14" i="105"/>
  <c r="X40" i="78"/>
  <c r="CZ106" i="78"/>
  <c r="AG40" i="78"/>
  <c r="BX20" i="105"/>
  <c r="CK20" i="105"/>
  <c r="BL79" i="78"/>
  <c r="CA81" i="105"/>
  <c r="CN81" i="105"/>
  <c r="BW86" i="105"/>
  <c r="CJ86" i="105"/>
  <c r="BZ28" i="105"/>
  <c r="CM28" i="105"/>
  <c r="CA66" i="105"/>
  <c r="CN66" i="105"/>
  <c r="CC84" i="105"/>
  <c r="CP84" i="105"/>
  <c r="BX89" i="105"/>
  <c r="CK89" i="105"/>
  <c r="BX84" i="105"/>
  <c r="CK84" i="105"/>
  <c r="O40" i="78"/>
  <c r="BY66" i="105"/>
  <c r="CL66" i="105"/>
  <c r="AY84" i="78"/>
  <c r="BL18" i="78"/>
  <c r="BX83" i="105"/>
  <c r="CK83" i="105"/>
  <c r="DA106" i="78"/>
  <c r="CB60" i="105"/>
  <c r="CO60" i="105"/>
  <c r="CA73" i="105"/>
  <c r="CN73" i="105"/>
  <c r="CB14" i="105"/>
  <c r="CB83" i="105"/>
  <c r="CO83" i="105"/>
  <c r="CA60" i="105"/>
  <c r="CN60" i="105"/>
  <c r="BZ85" i="105"/>
  <c r="CM85" i="105"/>
  <c r="AR40" i="78"/>
  <c r="CD26" i="105"/>
  <c r="CQ26" i="105"/>
  <c r="BE32" i="78"/>
  <c r="BF32" i="78"/>
  <c r="AK22" i="78"/>
  <c r="CB73" i="105"/>
  <c r="CO73" i="105"/>
  <c r="CI62" i="105"/>
  <c r="CS62" i="105"/>
  <c r="E21" i="108"/>
  <c r="D21" i="108"/>
  <c r="BL26" i="78"/>
  <c r="BY83" i="105"/>
  <c r="CL83" i="105"/>
  <c r="CC38" i="105"/>
  <c r="CP38" i="105"/>
  <c r="CA86" i="105"/>
  <c r="CN86" i="105"/>
  <c r="BU15" i="78"/>
  <c r="BU40" i="78"/>
  <c r="BU109" i="78"/>
  <c r="BW20" i="105"/>
  <c r="CJ20" i="105"/>
  <c r="BF35" i="78"/>
  <c r="CA36" i="105"/>
  <c r="CN36" i="105"/>
  <c r="AJ15" i="78"/>
  <c r="AJ40" i="78"/>
  <c r="AJ44" i="78"/>
  <c r="CD36" i="105"/>
  <c r="CQ36" i="105"/>
  <c r="BX35" i="105"/>
  <c r="CK35" i="105"/>
  <c r="CF106" i="78"/>
  <c r="BZ63" i="105"/>
  <c r="CM63" i="105"/>
  <c r="BC106" i="78"/>
  <c r="CE84" i="78"/>
  <c r="BX69" i="105"/>
  <c r="CK69" i="105"/>
  <c r="K84" i="78"/>
  <c r="BI40" i="78"/>
  <c r="CB29" i="105"/>
  <c r="CO29" i="105"/>
  <c r="BW28" i="105"/>
  <c r="CJ28" i="105"/>
  <c r="DE84" i="78"/>
  <c r="BX72" i="105"/>
  <c r="CD34" i="105"/>
  <c r="CQ34" i="105"/>
  <c r="BY34" i="105"/>
  <c r="CL34" i="105"/>
  <c r="CA14" i="105"/>
  <c r="AS15" i="78"/>
  <c r="AS40" i="78"/>
  <c r="CD92" i="105"/>
  <c r="CQ92" i="105"/>
  <c r="AG84" i="78"/>
  <c r="BW17" i="105"/>
  <c r="CJ17" i="105"/>
  <c r="CA25" i="105"/>
  <c r="CI19" i="105"/>
  <c r="CA94" i="105"/>
  <c r="CN94" i="105"/>
  <c r="CQ106" i="78"/>
  <c r="BZ48" i="105"/>
  <c r="CM48" i="105"/>
  <c r="CD60" i="105"/>
  <c r="CQ60" i="105"/>
  <c r="BX70" i="105"/>
  <c r="CK70" i="105"/>
  <c r="C16" i="108"/>
  <c r="DD84" i="78"/>
  <c r="AZ84" i="78"/>
  <c r="BJ19" i="78"/>
  <c r="CD85" i="105"/>
  <c r="CQ85" i="105"/>
  <c r="CD47" i="105"/>
  <c r="CQ47" i="105"/>
  <c r="BX37" i="105"/>
  <c r="CK37" i="105"/>
  <c r="AV106" i="78"/>
  <c r="BZ36" i="105"/>
  <c r="CM36" i="105"/>
  <c r="CA27" i="105"/>
  <c r="CN27" i="105"/>
  <c r="AK31" i="78"/>
  <c r="CD81" i="105"/>
  <c r="CQ81" i="105"/>
  <c r="BY63" i="105"/>
  <c r="CL63" i="105"/>
  <c r="CA83" i="105"/>
  <c r="CN83" i="105"/>
  <c r="BW97" i="105"/>
  <c r="CJ97" i="105"/>
  <c r="BJ68" i="78"/>
  <c r="CA18" i="105"/>
  <c r="CN18" i="105"/>
  <c r="CD27" i="105"/>
  <c r="CQ27" i="105"/>
  <c r="CC41" i="105"/>
  <c r="CP41" i="105"/>
  <c r="DB32" i="78"/>
  <c r="DB40" i="78"/>
  <c r="CA17" i="105"/>
  <c r="CN17" i="105"/>
  <c r="BY16" i="105"/>
  <c r="CL16" i="105"/>
  <c r="AD84" i="78"/>
  <c r="CC90" i="105"/>
  <c r="CP90" i="105"/>
  <c r="CC52" i="105"/>
  <c r="BY18" i="105"/>
  <c r="CL18" i="105"/>
  <c r="BX36" i="105"/>
  <c r="CK36" i="105"/>
  <c r="CI27" i="105"/>
  <c r="AA84" i="78"/>
  <c r="CV106" i="78"/>
  <c r="BW84" i="78"/>
  <c r="CB67" i="105"/>
  <c r="CO67" i="105"/>
  <c r="BX92" i="105"/>
  <c r="CK92" i="105"/>
  <c r="CD97" i="105"/>
  <c r="CQ97" i="105"/>
  <c r="CC83" i="105"/>
  <c r="CP83" i="105"/>
  <c r="BS15" i="78"/>
  <c r="BS40" i="78"/>
  <c r="CZ15" i="78"/>
  <c r="CZ40" i="78"/>
  <c r="CZ109" i="78"/>
  <c r="BL60" i="78"/>
  <c r="BZ17" i="105"/>
  <c r="CM17" i="105"/>
  <c r="CT15" i="78"/>
  <c r="CT40" i="78"/>
  <c r="BL12" i="78"/>
  <c r="F111" i="59"/>
  <c r="CC34" i="105"/>
  <c r="CP34" i="105"/>
  <c r="CW106" i="78"/>
  <c r="AC106" i="78"/>
  <c r="BC89" i="105"/>
  <c r="E36" i="108"/>
  <c r="BC16" i="105"/>
  <c r="C10" i="108"/>
  <c r="E34" i="108"/>
  <c r="BC87" i="105"/>
  <c r="BC66" i="105"/>
  <c r="E13" i="108"/>
  <c r="D13" i="108"/>
  <c r="BC95" i="105"/>
  <c r="E41" i="108"/>
  <c r="D41" i="108"/>
  <c r="C34" i="108"/>
  <c r="BC40" i="105"/>
  <c r="E40" i="108"/>
  <c r="BC93" i="105"/>
  <c r="BC23" i="105"/>
  <c r="C17" i="108"/>
  <c r="CI83" i="105"/>
  <c r="BC83" i="105"/>
  <c r="E30" i="108"/>
  <c r="CI20" i="105"/>
  <c r="S106" i="78"/>
  <c r="E33" i="108"/>
  <c r="D33" i="108"/>
  <c r="BC86" i="105"/>
  <c r="CI44" i="105"/>
  <c r="E32" i="108"/>
  <c r="D32" i="108"/>
  <c r="BC85" i="105"/>
  <c r="BC67" i="105"/>
  <c r="E14" i="108"/>
  <c r="D14" i="108"/>
  <c r="E7" i="108"/>
  <c r="BC60" i="105"/>
  <c r="C36" i="108"/>
  <c r="BC42" i="105"/>
  <c r="BC88" i="105"/>
  <c r="E35" i="108"/>
  <c r="D35" i="108"/>
  <c r="E12" i="108"/>
  <c r="D12" i="108"/>
  <c r="BC65" i="105"/>
  <c r="BC62" i="105"/>
  <c r="E9" i="108"/>
  <c r="D9" i="108"/>
  <c r="C39" i="108"/>
  <c r="BC45" i="105"/>
  <c r="C15" i="108"/>
  <c r="BC21" i="105"/>
  <c r="BC46" i="105"/>
  <c r="C40" i="108"/>
  <c r="CI26" i="105"/>
  <c r="BC26" i="105"/>
  <c r="C20" i="108"/>
  <c r="BC73" i="105"/>
  <c r="E20" i="108"/>
  <c r="D20" i="108"/>
  <c r="E16" i="108"/>
  <c r="D16" i="108"/>
  <c r="BC69" i="105"/>
  <c r="BC13" i="105"/>
  <c r="C7" i="108"/>
  <c r="E37" i="108"/>
  <c r="D37" i="108"/>
  <c r="BC90" i="105"/>
  <c r="E43" i="108"/>
  <c r="BC97" i="105"/>
  <c r="BC37" i="105"/>
  <c r="C31" i="108"/>
  <c r="Q14" i="78"/>
  <c r="BL14" i="78"/>
  <c r="CE106" i="78"/>
  <c r="CC97" i="105"/>
  <c r="CP97" i="105"/>
  <c r="CB87" i="105"/>
  <c r="CO87" i="105"/>
  <c r="CU84" i="78"/>
  <c r="CB74" i="105"/>
  <c r="CO74" i="105"/>
  <c r="AZ15" i="78"/>
  <c r="AZ40" i="78"/>
  <c r="AZ109" i="78"/>
  <c r="CD65" i="105"/>
  <c r="CQ65" i="105"/>
  <c r="AR84" i="78"/>
  <c r="BX16" i="105"/>
  <c r="CK16" i="105"/>
  <c r="CD22" i="105"/>
  <c r="CQ22" i="105"/>
  <c r="CC47" i="105"/>
  <c r="CP47" i="105"/>
  <c r="AK35" i="78"/>
  <c r="CC15" i="105"/>
  <c r="CP15" i="105"/>
  <c r="CB68" i="105"/>
  <c r="CO68" i="105"/>
  <c r="BY26" i="105"/>
  <c r="CL26" i="105"/>
  <c r="BA40" i="78"/>
  <c r="CB69" i="105"/>
  <c r="CO69" i="105"/>
  <c r="BL34" i="78"/>
  <c r="BF46" i="78"/>
  <c r="CC95" i="105"/>
  <c r="CP95" i="105"/>
  <c r="CD48" i="105"/>
  <c r="CQ48" i="105"/>
  <c r="CD20" i="105"/>
  <c r="CQ20" i="105"/>
  <c r="BZ99" i="105"/>
  <c r="AN40" i="78"/>
  <c r="CB26" i="105"/>
  <c r="CO26" i="105"/>
  <c r="CD90" i="105"/>
  <c r="CQ90" i="105"/>
  <c r="DA40" i="78"/>
  <c r="AQ40" i="78"/>
  <c r="BX19" i="105"/>
  <c r="CK19" i="105"/>
  <c r="CC68" i="105"/>
  <c r="CP68" i="105"/>
  <c r="DA84" i="78"/>
  <c r="CR84" i="78"/>
  <c r="CD37" i="105"/>
  <c r="CQ37" i="105"/>
  <c r="BW40" i="78"/>
  <c r="CB82" i="105"/>
  <c r="CO82" i="105"/>
  <c r="H15" i="78"/>
  <c r="H40" i="78"/>
  <c r="BW106" i="78"/>
  <c r="BY72" i="105"/>
  <c r="BW81" i="105"/>
  <c r="CJ81" i="105"/>
  <c r="BZ73" i="105"/>
  <c r="CM73" i="105"/>
  <c r="BZ91" i="105"/>
  <c r="CM91" i="105"/>
  <c r="CB37" i="105"/>
  <c r="CO37" i="105"/>
  <c r="BW16" i="105"/>
  <c r="CJ16" i="105"/>
  <c r="BY14" i="105"/>
  <c r="CC92" i="105"/>
  <c r="CP92" i="105"/>
  <c r="CD74" i="105"/>
  <c r="CQ74" i="105"/>
  <c r="BW43" i="105"/>
  <c r="CJ43" i="105"/>
  <c r="CD87" i="105"/>
  <c r="CQ87" i="105"/>
  <c r="K40" i="78"/>
  <c r="K109" i="78"/>
  <c r="BC20" i="105"/>
  <c r="BY47" i="105"/>
  <c r="CL47" i="105"/>
  <c r="CW109" i="78"/>
  <c r="M15" i="78"/>
  <c r="M40" i="78"/>
  <c r="M109" i="78"/>
  <c r="BX84" i="78"/>
  <c r="S32" i="78"/>
  <c r="AK32" i="78"/>
  <c r="BC94" i="105"/>
  <c r="CA85" i="105"/>
  <c r="CN85" i="105"/>
  <c r="CX106" i="78"/>
  <c r="BZ84" i="105"/>
  <c r="CM84" i="105"/>
  <c r="BY89" i="105"/>
  <c r="CL89" i="105"/>
  <c r="BY90" i="105"/>
  <c r="CL90" i="105"/>
  <c r="CS90" i="105"/>
  <c r="BX28" i="105"/>
  <c r="CK28" i="105"/>
  <c r="N40" i="78"/>
  <c r="BY86" i="105"/>
  <c r="CL86" i="105"/>
  <c r="CI66" i="105"/>
  <c r="BZ23" i="105"/>
  <c r="CM23" i="105"/>
  <c r="CI35" i="105"/>
  <c r="BY38" i="105"/>
  <c r="CL38" i="105"/>
  <c r="AF84" i="78"/>
  <c r="AF95" i="78"/>
  <c r="BZ14" i="105"/>
  <c r="O84" i="78"/>
  <c r="CA93" i="105"/>
  <c r="CN93" i="105"/>
  <c r="BY52" i="105"/>
  <c r="CI93" i="105"/>
  <c r="CC46" i="105"/>
  <c r="CP46" i="105"/>
  <c r="BF68" i="78"/>
  <c r="H84" i="78"/>
  <c r="DB84" i="78"/>
  <c r="DB109" i="78"/>
  <c r="J40" i="78"/>
  <c r="BY43" i="105"/>
  <c r="CL43" i="105"/>
  <c r="BZ81" i="105"/>
  <c r="CM81" i="105"/>
  <c r="CB20" i="105"/>
  <c r="CO20" i="105"/>
  <c r="BJ38" i="78"/>
  <c r="Q38" i="78"/>
  <c r="BY28" i="105"/>
  <c r="CL28" i="105"/>
  <c r="BY73" i="105"/>
  <c r="CL73" i="105"/>
  <c r="AO15" i="78"/>
  <c r="AO40" i="78"/>
  <c r="AO109" i="78"/>
  <c r="CA92" i="105"/>
  <c r="CN92" i="105"/>
  <c r="BY23" i="105"/>
  <c r="CL23" i="105"/>
  <c r="BZ89" i="105"/>
  <c r="CM89" i="105"/>
  <c r="CD16" i="105"/>
  <c r="CQ16" i="105"/>
  <c r="BW18" i="105"/>
  <c r="CJ18" i="105"/>
  <c r="DH38" i="78"/>
  <c r="BL10" i="78"/>
  <c r="BF28" i="78"/>
  <c r="BF63" i="78"/>
  <c r="BX94" i="105"/>
  <c r="CK94" i="105"/>
  <c r="N106" i="78"/>
  <c r="CI94" i="105"/>
  <c r="CA13" i="105"/>
  <c r="CN13" i="105"/>
  <c r="CA76" i="105"/>
  <c r="CN76" i="105"/>
  <c r="BY48" i="105"/>
  <c r="CL48" i="105"/>
  <c r="L84" i="78"/>
  <c r="L109" i="78"/>
  <c r="CA19" i="105"/>
  <c r="CN19" i="105"/>
  <c r="BL24" i="78"/>
  <c r="AY106" i="78"/>
  <c r="CD73" i="105"/>
  <c r="CQ73" i="105"/>
  <c r="BX39" i="105"/>
  <c r="CK39" i="105"/>
  <c r="BZ22" i="105"/>
  <c r="CM22" i="105"/>
  <c r="DC84" i="78"/>
  <c r="AH84" i="78"/>
  <c r="BZ20" i="105"/>
  <c r="CM20" i="105"/>
  <c r="CC13" i="105"/>
  <c r="CP13" i="105"/>
  <c r="BX64" i="105"/>
  <c r="CK64" i="105"/>
  <c r="BV40" i="78"/>
  <c r="AW40" i="78"/>
  <c r="CD84" i="105"/>
  <c r="CQ84" i="105"/>
  <c r="BX66" i="105"/>
  <c r="CK66" i="105"/>
  <c r="CB63" i="105"/>
  <c r="CO63" i="105"/>
  <c r="DD15" i="78"/>
  <c r="DD40" i="78"/>
  <c r="DD109" i="78"/>
  <c r="CD44" i="105"/>
  <c r="CQ44" i="105"/>
  <c r="BL17" i="78"/>
  <c r="DE15" i="78"/>
  <c r="DE40" i="78"/>
  <c r="BS106" i="78"/>
  <c r="CH84" i="78"/>
  <c r="CH109" i="78"/>
  <c r="CK84" i="78"/>
  <c r="CC63" i="105"/>
  <c r="CP63" i="105"/>
  <c r="CC27" i="105"/>
  <c r="CP27" i="105"/>
  <c r="CB84" i="78"/>
  <c r="CB27" i="105"/>
  <c r="CO27" i="105"/>
  <c r="BY76" i="105"/>
  <c r="CL76" i="105"/>
  <c r="CD14" i="105"/>
  <c r="CA63" i="105"/>
  <c r="CN63" i="105"/>
  <c r="AT84" i="78"/>
  <c r="AW84" i="78"/>
  <c r="CB15" i="105"/>
  <c r="CO15" i="105"/>
  <c r="BZ41" i="105"/>
  <c r="CM41" i="105"/>
  <c r="AJ106" i="78"/>
  <c r="CA34" i="105"/>
  <c r="CN34" i="105"/>
  <c r="CS34" i="105"/>
  <c r="CI42" i="105"/>
  <c r="BY19" i="105"/>
  <c r="CL19" i="105"/>
  <c r="CD50" i="105"/>
  <c r="CQ50" i="105"/>
  <c r="DH63" i="78"/>
  <c r="CJ84" i="78"/>
  <c r="CJ109" i="78"/>
  <c r="Q55" i="78"/>
  <c r="Q76" i="78"/>
  <c r="BY88" i="105"/>
  <c r="CL88" i="105"/>
  <c r="CI63" i="105"/>
  <c r="CS63" i="105"/>
  <c r="CB52" i="105"/>
  <c r="CF84" i="78"/>
  <c r="BL65" i="78"/>
  <c r="CB76" i="105"/>
  <c r="CO76" i="105"/>
  <c r="DC15" i="78"/>
  <c r="DC40" i="78"/>
  <c r="DC109" i="78"/>
  <c r="BB84" i="78"/>
  <c r="BH32" i="78"/>
  <c r="BJ32" i="78"/>
  <c r="CS84" i="78"/>
  <c r="CC67" i="105"/>
  <c r="CP67" i="105"/>
  <c r="CC16" i="105"/>
  <c r="CP16" i="105"/>
  <c r="CB45" i="105"/>
  <c r="CO45" i="105"/>
  <c r="CF40" i="78"/>
  <c r="CF109" i="78"/>
  <c r="CB28" i="105"/>
  <c r="CO28" i="105"/>
  <c r="CI89" i="105"/>
  <c r="CD86" i="105"/>
  <c r="CQ86" i="105"/>
  <c r="CB61" i="105"/>
  <c r="CI70" i="105"/>
  <c r="BZ95" i="105"/>
  <c r="CM95" i="105"/>
  <c r="BW40" i="105"/>
  <c r="CJ40" i="105"/>
  <c r="CD76" i="105"/>
  <c r="CQ76" i="105"/>
  <c r="AK63" i="78"/>
  <c r="CS106" i="78"/>
  <c r="BY29" i="105"/>
  <c r="CL29" i="105"/>
  <c r="CI40" i="105"/>
  <c r="AY40" i="78"/>
  <c r="AY109" i="78"/>
  <c r="DE106" i="78"/>
  <c r="CD29" i="105"/>
  <c r="CQ29" i="105"/>
  <c r="C43" i="108"/>
  <c r="CC89" i="105"/>
  <c r="CP89" i="105"/>
  <c r="BZ83" i="105"/>
  <c r="CM83" i="105"/>
  <c r="BY81" i="105"/>
  <c r="CL81" i="105"/>
  <c r="CB18" i="105"/>
  <c r="CO18" i="105"/>
  <c r="J106" i="78"/>
  <c r="AR106" i="78"/>
  <c r="CI92" i="105"/>
  <c r="CS92" i="105"/>
  <c r="BV106" i="78"/>
  <c r="BY39" i="105"/>
  <c r="CL39" i="105"/>
  <c r="CB40" i="78"/>
  <c r="CA50" i="105"/>
  <c r="CN50" i="105"/>
  <c r="CD95" i="105"/>
  <c r="CQ95" i="105"/>
  <c r="AP84" i="78"/>
  <c r="CP84" i="78"/>
  <c r="BW95" i="105"/>
  <c r="CJ95" i="105"/>
  <c r="BZ97" i="105"/>
  <c r="CM97" i="105"/>
  <c r="CA15" i="78"/>
  <c r="CA40" i="78"/>
  <c r="Q63" i="78"/>
  <c r="BL63" i="78"/>
  <c r="CA82" i="105"/>
  <c r="CN82" i="105"/>
  <c r="CB86" i="105"/>
  <c r="CO86" i="105"/>
  <c r="BW60" i="105"/>
  <c r="CJ60" i="105"/>
  <c r="AK68" i="78"/>
  <c r="BX106" i="78"/>
  <c r="BZ47" i="105"/>
  <c r="CM47" i="105"/>
  <c r="BZ87" i="105"/>
  <c r="CM87" i="105"/>
  <c r="Z84" i="78"/>
  <c r="CT106" i="78"/>
  <c r="BZ39" i="105"/>
  <c r="CM39" i="105"/>
  <c r="Q31" i="78"/>
  <c r="BL31" i="78"/>
  <c r="AX106" i="78"/>
  <c r="BD84" i="78"/>
  <c r="BX22" i="105"/>
  <c r="CK22" i="105"/>
  <c r="DF106" i="78"/>
  <c r="BS84" i="78"/>
  <c r="BY45" i="105"/>
  <c r="CL45" i="105"/>
  <c r="CA26" i="105"/>
  <c r="CN26" i="105"/>
  <c r="CS65" i="105"/>
  <c r="CD83" i="105"/>
  <c r="CQ83" i="105"/>
  <c r="CB21" i="105"/>
  <c r="CO21" i="105"/>
  <c r="Q22" i="78"/>
  <c r="BL66" i="78"/>
  <c r="BZ70" i="105"/>
  <c r="CM70" i="105"/>
  <c r="BY35" i="105"/>
  <c r="CL35" i="105"/>
  <c r="CC42" i="105"/>
  <c r="CP42" i="105"/>
  <c r="BX67" i="105"/>
  <c r="CK67" i="105"/>
  <c r="DH19" i="78"/>
  <c r="BF55" i="78"/>
  <c r="CD28" i="105"/>
  <c r="CQ28" i="105"/>
  <c r="CA35" i="105"/>
  <c r="CN35" i="105"/>
  <c r="I106" i="78"/>
  <c r="AV15" i="78"/>
  <c r="AV40" i="78"/>
  <c r="AV109" i="78"/>
  <c r="BJ28" i="78"/>
  <c r="BX73" i="105"/>
  <c r="CK73" i="105"/>
  <c r="CS73" i="105"/>
  <c r="CG84" i="78"/>
  <c r="I32" i="78"/>
  <c r="Q32" i="78"/>
  <c r="BL32" i="78"/>
  <c r="CA39" i="105"/>
  <c r="CN39" i="105"/>
  <c r="CA97" i="105"/>
  <c r="CN97" i="105"/>
  <c r="AN84" i="78"/>
  <c r="CC60" i="105"/>
  <c r="CP60" i="105"/>
  <c r="X84" i="78"/>
  <c r="CC20" i="105"/>
  <c r="CP20" i="105"/>
  <c r="CD91" i="105"/>
  <c r="CQ91" i="105"/>
  <c r="BR84" i="78"/>
  <c r="BW82" i="105"/>
  <c r="CJ82" i="105"/>
  <c r="CI68" i="105"/>
  <c r="CC72" i="105"/>
  <c r="BY87" i="105"/>
  <c r="CL87" i="105"/>
  <c r="BJ35" i="78"/>
  <c r="BE106" i="78"/>
  <c r="BL92" i="78"/>
  <c r="BZ46" i="105"/>
  <c r="CM46" i="105"/>
  <c r="AE15" i="78"/>
  <c r="AE40" i="78"/>
  <c r="AE95" i="78"/>
  <c r="BX45" i="105"/>
  <c r="CK45" i="105"/>
  <c r="CD106" i="78"/>
  <c r="CQ84" i="78"/>
  <c r="BF72" i="78"/>
  <c r="CI82" i="105"/>
  <c r="CD19" i="105"/>
  <c r="CQ19" i="105"/>
  <c r="CB16" i="105"/>
  <c r="CO16" i="105"/>
  <c r="CI18" i="105"/>
  <c r="CS18" i="105"/>
  <c r="BL89" i="78"/>
  <c r="AX15" i="78"/>
  <c r="AX40" i="78"/>
  <c r="CC66" i="105"/>
  <c r="CP66" i="105"/>
  <c r="Q82" i="78"/>
  <c r="N84" i="78"/>
  <c r="N109" i="78"/>
  <c r="CB97" i="105"/>
  <c r="CO97" i="105"/>
  <c r="CB91" i="105"/>
  <c r="CO91" i="105"/>
  <c r="BD106" i="78"/>
  <c r="CL84" i="78"/>
  <c r="CC94" i="105"/>
  <c r="CP94" i="105"/>
  <c r="BX21" i="105"/>
  <c r="CK21" i="105"/>
  <c r="CS21" i="105"/>
  <c r="CA84" i="78"/>
  <c r="CD88" i="105"/>
  <c r="CQ88" i="105"/>
  <c r="CA22" i="105"/>
  <c r="CN22" i="105"/>
  <c r="BJ76" i="78"/>
  <c r="CF90" i="105"/>
  <c r="BB40" i="78"/>
  <c r="BB109" i="78"/>
  <c r="DF84" i="78"/>
  <c r="CA91" i="105"/>
  <c r="CN91" i="105"/>
  <c r="CC61" i="105"/>
  <c r="CI87" i="105"/>
  <c r="Q28" i="78"/>
  <c r="BL28" i="78"/>
  <c r="CD94" i="105"/>
  <c r="CQ94" i="105"/>
  <c r="BW48" i="105"/>
  <c r="CJ48" i="105"/>
  <c r="CS48" i="105"/>
  <c r="CD84" i="78"/>
  <c r="CD109" i="78"/>
  <c r="CB17" i="105"/>
  <c r="CO17" i="105"/>
  <c r="CS17" i="105"/>
  <c r="BF22" i="78"/>
  <c r="CI74" i="105"/>
  <c r="BY60" i="105"/>
  <c r="CL60" i="105"/>
  <c r="CA37" i="105"/>
  <c r="CN37" i="105"/>
  <c r="CB13" i="105"/>
  <c r="CO13" i="105"/>
  <c r="BW42" i="105"/>
  <c r="CJ42" i="105"/>
  <c r="BX40" i="105"/>
  <c r="CK40" i="105"/>
  <c r="BC47" i="105"/>
  <c r="BY82" i="105"/>
  <c r="CL82" i="105"/>
  <c r="CO106" i="78"/>
  <c r="DF15" i="78"/>
  <c r="DF40" i="78"/>
  <c r="DF109" i="78"/>
  <c r="CF38" i="105"/>
  <c r="C30" i="108"/>
  <c r="CA74" i="105"/>
  <c r="CN74" i="105"/>
  <c r="BZ67" i="105"/>
  <c r="CM67" i="105"/>
  <c r="CB19" i="105"/>
  <c r="CO19" i="105"/>
  <c r="AI84" i="78"/>
  <c r="CC87" i="105"/>
  <c r="CP87" i="105"/>
  <c r="CA72" i="105"/>
  <c r="BX43" i="105"/>
  <c r="CK43" i="105"/>
  <c r="BW13" i="105"/>
  <c r="CJ13" i="105"/>
  <c r="CS13" i="105"/>
  <c r="CB42" i="105"/>
  <c r="CO42" i="105"/>
  <c r="CC19" i="105"/>
  <c r="CP19" i="105"/>
  <c r="BZ50" i="105"/>
  <c r="CM50" i="105"/>
  <c r="BZ74" i="105"/>
  <c r="CM74" i="105"/>
  <c r="BW88" i="105"/>
  <c r="CJ88" i="105"/>
  <c r="CS88" i="105"/>
  <c r="CB106" i="78"/>
  <c r="CC29" i="105"/>
  <c r="CP29" i="105"/>
  <c r="AX84" i="78"/>
  <c r="CI15" i="78"/>
  <c r="CI40" i="78"/>
  <c r="CI109" i="78"/>
  <c r="BZ45" i="105"/>
  <c r="CM45" i="105"/>
  <c r="BY15" i="78"/>
  <c r="BY40" i="78"/>
  <c r="BY109" i="78"/>
  <c r="CT84" i="78"/>
  <c r="CF41" i="105"/>
  <c r="BZ43" i="105"/>
  <c r="CM43" i="105"/>
  <c r="CB40" i="105"/>
  <c r="CO40" i="105"/>
  <c r="CB22" i="105"/>
  <c r="CO22" i="105"/>
  <c r="BX42" i="105"/>
  <c r="CK42" i="105"/>
  <c r="DH76" i="78"/>
  <c r="CC86" i="105"/>
  <c r="CP86" i="105"/>
  <c r="BA84" i="78"/>
  <c r="BA109" i="78"/>
  <c r="CB89" i="105"/>
  <c r="CO89" i="105"/>
  <c r="BZ75" i="105"/>
  <c r="CM75" i="105"/>
  <c r="CS75" i="105"/>
  <c r="Q72" i="78"/>
  <c r="CC36" i="105"/>
  <c r="CP36" i="105"/>
  <c r="CB36" i="105"/>
  <c r="CO36" i="105"/>
  <c r="CA106" i="78"/>
  <c r="BL61" i="78"/>
  <c r="AH40" i="78"/>
  <c r="AH95" i="78"/>
  <c r="BL30" i="78"/>
  <c r="BX44" i="105"/>
  <c r="CK44" i="105"/>
  <c r="CS44" i="105"/>
  <c r="CG32" i="78"/>
  <c r="CG40" i="78"/>
  <c r="CG109" i="78"/>
  <c r="BW67" i="105"/>
  <c r="CJ67" i="105"/>
  <c r="BY70" i="105"/>
  <c r="CL70" i="105"/>
  <c r="BX76" i="105"/>
  <c r="CK76" i="105"/>
  <c r="CS76" i="105"/>
  <c r="CL106" i="78"/>
  <c r="BZ52" i="105"/>
  <c r="CF52" i="105"/>
  <c r="AU84" i="78"/>
  <c r="BY37" i="105"/>
  <c r="CL37" i="105"/>
  <c r="BY36" i="105"/>
  <c r="CL36" i="105"/>
  <c r="CS36" i="105"/>
  <c r="BY67" i="105"/>
  <c r="CL67" i="105"/>
  <c r="Z15" i="78"/>
  <c r="Z40" i="78"/>
  <c r="BY95" i="105"/>
  <c r="CL95" i="105"/>
  <c r="BY40" i="105"/>
  <c r="CL40" i="105"/>
  <c r="BW46" i="105"/>
  <c r="CJ46" i="105"/>
  <c r="CS46" i="105"/>
  <c r="K158" i="59"/>
  <c r="M158" i="59"/>
  <c r="Q169" i="59"/>
  <c r="BP35" i="60"/>
  <c r="H40" i="59"/>
  <c r="BO38" i="60"/>
  <c r="H165" i="59"/>
  <c r="O23" i="59"/>
  <c r="M15" i="107"/>
  <c r="Q23" i="59"/>
  <c r="O15" i="107"/>
  <c r="I158" i="59"/>
  <c r="O186" i="59"/>
  <c r="H11" i="59"/>
  <c r="O157" i="59"/>
  <c r="J159" i="59"/>
  <c r="I157" i="59"/>
  <c r="Q172" i="59"/>
  <c r="J166" i="59"/>
  <c r="H10" i="59"/>
  <c r="N16" i="59"/>
  <c r="I34" i="59"/>
  <c r="Q159" i="59"/>
  <c r="P165" i="59"/>
  <c r="H159" i="59"/>
  <c r="N169" i="59"/>
  <c r="P159" i="59"/>
  <c r="O28" i="59"/>
  <c r="J16" i="59"/>
  <c r="I168" i="59"/>
  <c r="N159" i="59"/>
  <c r="O169" i="59"/>
  <c r="O8" i="59"/>
  <c r="P169" i="59"/>
  <c r="M167" i="59"/>
  <c r="P168" i="59"/>
  <c r="L166" i="59"/>
  <c r="J157" i="59"/>
  <c r="M186" i="59"/>
  <c r="O64" i="59"/>
  <c r="Q8" i="59"/>
  <c r="I165" i="59"/>
  <c r="P42" i="59"/>
  <c r="K166" i="59"/>
  <c r="H157" i="59"/>
  <c r="I159" i="59"/>
  <c r="Q45" i="59"/>
  <c r="H163" i="59"/>
  <c r="J8" i="59"/>
  <c r="J169" i="59"/>
  <c r="N26" i="59"/>
  <c r="O34" i="59"/>
  <c r="J165" i="59"/>
  <c r="Q26" i="59"/>
  <c r="L8" i="59"/>
  <c r="H16" i="59"/>
  <c r="O17" i="59"/>
  <c r="K165" i="59"/>
  <c r="O29" i="59"/>
  <c r="K16" i="59"/>
  <c r="M168" i="59"/>
  <c r="J45" i="59"/>
  <c r="K181" i="59"/>
  <c r="Q29" i="59"/>
  <c r="H29" i="59"/>
  <c r="H185" i="59"/>
  <c r="M45" i="59"/>
  <c r="L42" i="59"/>
  <c r="M25" i="59"/>
  <c r="N17" i="59"/>
  <c r="Q157" i="59"/>
  <c r="N165" i="59"/>
  <c r="K157" i="59"/>
  <c r="P11" i="59"/>
  <c r="O45" i="59"/>
  <c r="K11" i="59"/>
  <c r="K34" i="59"/>
  <c r="P167" i="59"/>
  <c r="N158" i="59"/>
  <c r="N40" i="59"/>
  <c r="BP39" i="60"/>
  <c r="Q166" i="59"/>
  <c r="P158" i="59"/>
  <c r="BO43" i="60"/>
  <c r="H171" i="59"/>
  <c r="L158" i="59"/>
  <c r="AI9" i="78"/>
  <c r="O40" i="59"/>
  <c r="J158" i="59"/>
  <c r="L15" i="107"/>
  <c r="N23" i="59"/>
  <c r="H169" i="59"/>
  <c r="BO35" i="60"/>
  <c r="BO39" i="60"/>
  <c r="H166" i="59"/>
  <c r="Q158" i="59"/>
  <c r="O158" i="59"/>
  <c r="J15" i="107"/>
  <c r="L23" i="59"/>
  <c r="J40" i="59"/>
  <c r="Q165" i="59"/>
  <c r="BP38" i="60"/>
  <c r="K23" i="59"/>
  <c r="I15" i="107"/>
  <c r="M40" i="59"/>
  <c r="H158" i="59"/>
  <c r="M166" i="59"/>
  <c r="P172" i="59"/>
  <c r="Q168" i="59"/>
  <c r="N25" i="59"/>
  <c r="O159" i="59"/>
  <c r="I169" i="59"/>
  <c r="I172" i="59"/>
  <c r="L169" i="59"/>
  <c r="M159" i="59"/>
  <c r="P166" i="59"/>
  <c r="M8" i="59"/>
  <c r="Q17" i="59"/>
  <c r="P64" i="59"/>
  <c r="K26" i="59"/>
  <c r="N34" i="59"/>
  <c r="M169" i="59"/>
  <c r="K168" i="59"/>
  <c r="M172" i="59"/>
  <c r="L172" i="59"/>
  <c r="I28" i="59"/>
  <c r="J172" i="59"/>
  <c r="J238" i="59"/>
  <c r="M157" i="59"/>
  <c r="O168" i="59"/>
  <c r="L157" i="59"/>
  <c r="K159" i="59"/>
  <c r="O7" i="59"/>
  <c r="J24" i="59"/>
  <c r="L165" i="59"/>
  <c r="N166" i="59"/>
  <c r="L24" i="59"/>
  <c r="I166" i="59"/>
  <c r="O10" i="59"/>
  <c r="Q27" i="59"/>
  <c r="J168" i="59"/>
  <c r="O166" i="59"/>
  <c r="M165" i="59"/>
  <c r="O165" i="59"/>
  <c r="I7" i="59"/>
  <c r="Q10" i="59"/>
  <c r="J26" i="59"/>
  <c r="H172" i="59"/>
  <c r="L7" i="59"/>
  <c r="K172" i="59"/>
  <c r="J11" i="59"/>
  <c r="Q9" i="59"/>
  <c r="P45" i="59"/>
  <c r="P157" i="59"/>
  <c r="O25" i="59"/>
  <c r="N28" i="59"/>
  <c r="O172" i="59"/>
  <c r="P33" i="59"/>
  <c r="M28" i="59"/>
  <c r="P34" i="59"/>
  <c r="L16" i="59"/>
  <c r="J167" i="59"/>
  <c r="N172" i="59"/>
  <c r="K9" i="59"/>
  <c r="L10" i="59"/>
  <c r="H26" i="59"/>
  <c r="N7" i="59"/>
  <c r="J27" i="59"/>
  <c r="L17" i="59"/>
  <c r="K169" i="59"/>
  <c r="H168" i="59"/>
  <c r="P9" i="59"/>
  <c r="I9" i="59"/>
  <c r="N168" i="59"/>
  <c r="J17" i="59"/>
  <c r="N42" i="59"/>
  <c r="L167" i="59"/>
  <c r="J28" i="59"/>
  <c r="Q11" i="59"/>
  <c r="M12" i="59"/>
  <c r="H25" i="59"/>
  <c r="M64" i="59"/>
  <c r="K24" i="59"/>
  <c r="P17" i="59"/>
  <c r="H12" i="59"/>
  <c r="N157" i="59"/>
  <c r="M11" i="59"/>
  <c r="L28" i="59"/>
  <c r="L29" i="59"/>
  <c r="K42" i="59"/>
  <c r="L168" i="59"/>
  <c r="P16" i="59"/>
  <c r="N8" i="59"/>
  <c r="I167" i="59"/>
  <c r="I45" i="59"/>
  <c r="K17" i="59"/>
  <c r="Q28" i="59"/>
  <c r="O167" i="59"/>
  <c r="K29" i="59"/>
  <c r="M27" i="59"/>
  <c r="L9" i="59"/>
  <c r="L159" i="59"/>
  <c r="M23" i="59"/>
  <c r="K15" i="107"/>
  <c r="P29" i="59"/>
  <c r="K12" i="59"/>
  <c r="K167" i="59"/>
  <c r="P8" i="59"/>
  <c r="D11" i="108"/>
  <c r="CS93" i="105"/>
  <c r="CF21" i="105"/>
  <c r="D34" i="108"/>
  <c r="CS97" i="105"/>
  <c r="CS28" i="105"/>
  <c r="CX109" i="78"/>
  <c r="CF37" i="105"/>
  <c r="CS45" i="105"/>
  <c r="CF61" i="105"/>
  <c r="CS86" i="105"/>
  <c r="CS43" i="105"/>
  <c r="CS84" i="105"/>
  <c r="CS23" i="105"/>
  <c r="P282" i="59"/>
  <c r="M276" i="59"/>
  <c r="M280" i="59"/>
  <c r="K282" i="59"/>
  <c r="Q281" i="59"/>
  <c r="L282" i="59"/>
  <c r="L281" i="59"/>
  <c r="K277" i="59"/>
  <c r="H278" i="59"/>
  <c r="J281" i="59"/>
  <c r="J280" i="59"/>
  <c r="H279" i="59"/>
  <c r="M281" i="59"/>
  <c r="N281" i="59"/>
  <c r="O278" i="59"/>
  <c r="J279" i="59"/>
  <c r="Q280" i="59"/>
  <c r="L277" i="59"/>
  <c r="J277" i="59"/>
  <c r="I281" i="59"/>
  <c r="K279" i="59"/>
  <c r="N278" i="59"/>
  <c r="K276" i="59"/>
  <c r="L276" i="59"/>
  <c r="N276" i="59"/>
  <c r="AI11" i="78"/>
  <c r="AI15" i="78"/>
  <c r="AI40" i="78"/>
  <c r="AI109" i="78"/>
  <c r="M278" i="59"/>
  <c r="H282" i="59"/>
  <c r="Q282" i="59"/>
  <c r="O282" i="59"/>
  <c r="Q279" i="59"/>
  <c r="N279" i="59"/>
  <c r="I367" i="59"/>
  <c r="O281" i="59"/>
  <c r="Q276" i="59"/>
  <c r="O276" i="59"/>
  <c r="I414" i="59"/>
  <c r="O407" i="59"/>
  <c r="Q407" i="59"/>
  <c r="R407" i="59"/>
  <c r="AC95" i="78"/>
  <c r="AC97" i="78"/>
  <c r="AC109" i="78"/>
  <c r="BJ15" i="78"/>
  <c r="BH40" i="78"/>
  <c r="AM40" i="78"/>
  <c r="CF22" i="105"/>
  <c r="CF13" i="105"/>
  <c r="CS82" i="105"/>
  <c r="CF75" i="105"/>
  <c r="CF45" i="105"/>
  <c r="CF48" i="105"/>
  <c r="BL22" i="78"/>
  <c r="CS95" i="105"/>
  <c r="CB109" i="78"/>
  <c r="CS29" i="105"/>
  <c r="CS89" i="105"/>
  <c r="BL76" i="78"/>
  <c r="DE109" i="78"/>
  <c r="BV109" i="78"/>
  <c r="CS39" i="105"/>
  <c r="CF60" i="105"/>
  <c r="CS94" i="105"/>
  <c r="CF17" i="105"/>
  <c r="CF14" i="105"/>
  <c r="CS35" i="105"/>
  <c r="CF86" i="105"/>
  <c r="CF92" i="105"/>
  <c r="CF93" i="105"/>
  <c r="CF40" i="105"/>
  <c r="CF82" i="105"/>
  <c r="CF87" i="105"/>
  <c r="CF43" i="105"/>
  <c r="CF26" i="105"/>
  <c r="CF44" i="105"/>
  <c r="CF20" i="105"/>
  <c r="D30" i="108"/>
  <c r="CF83" i="105"/>
  <c r="CT109" i="78"/>
  <c r="CS27" i="105"/>
  <c r="CS37" i="105"/>
  <c r="CF97" i="105"/>
  <c r="CF47" i="105"/>
  <c r="CF74" i="105"/>
  <c r="AR109" i="78"/>
  <c r="AA109" i="78"/>
  <c r="CF46" i="105"/>
  <c r="CF29" i="105"/>
  <c r="BX109" i="78"/>
  <c r="I40" i="78"/>
  <c r="CF65" i="105"/>
  <c r="CU109" i="78"/>
  <c r="CS109" i="78"/>
  <c r="CS64" i="105"/>
  <c r="AD95" i="78"/>
  <c r="CF68" i="105"/>
  <c r="BL68" i="78"/>
  <c r="CS85" i="105"/>
  <c r="CF63" i="105"/>
  <c r="CS91" i="105"/>
  <c r="CF25" i="105"/>
  <c r="CS16" i="105"/>
  <c r="DH32" i="78"/>
  <c r="CK109" i="78"/>
  <c r="CS81" i="105"/>
  <c r="CS83" i="105"/>
  <c r="CF35" i="105"/>
  <c r="CR109" i="78"/>
  <c r="CF23" i="105"/>
  <c r="CF95" i="105"/>
  <c r="CF99" i="105"/>
  <c r="CF16" i="105"/>
  <c r="CQ109" i="78"/>
  <c r="Q106" i="78"/>
  <c r="D23" i="108"/>
  <c r="D15" i="108"/>
  <c r="D10" i="108"/>
  <c r="D17" i="108"/>
  <c r="D31" i="108"/>
  <c r="BF84" i="78"/>
  <c r="D39" i="108"/>
  <c r="CF91" i="105"/>
  <c r="D29" i="108"/>
  <c r="CF39" i="105"/>
  <c r="CF15" i="105"/>
  <c r="CI15" i="105"/>
  <c r="CS15" i="105"/>
  <c r="CS67" i="105"/>
  <c r="CS42" i="105"/>
  <c r="CS74" i="105"/>
  <c r="CS87" i="105"/>
  <c r="CS22" i="105"/>
  <c r="AX109" i="78"/>
  <c r="BD109" i="78"/>
  <c r="CS60" i="105"/>
  <c r="CA109" i="78"/>
  <c r="CF76" i="105"/>
  <c r="CS40" i="105"/>
  <c r="CS70" i="105"/>
  <c r="AW109" i="78"/>
  <c r="CF67" i="105"/>
  <c r="CF18" i="105"/>
  <c r="CF70" i="105"/>
  <c r="J109" i="78"/>
  <c r="CS66" i="105"/>
  <c r="CF94" i="105"/>
  <c r="CF84" i="105"/>
  <c r="H109" i="78"/>
  <c r="BW109" i="78"/>
  <c r="CF28" i="105"/>
  <c r="DA109" i="78"/>
  <c r="AN109" i="78"/>
  <c r="CF34" i="105"/>
  <c r="BL35" i="78"/>
  <c r="D43" i="108"/>
  <c r="D7" i="108"/>
  <c r="D40" i="108"/>
  <c r="D36" i="108"/>
  <c r="BS109" i="78"/>
  <c r="CS47" i="105"/>
  <c r="CS19" i="105"/>
  <c r="CF72" i="105"/>
  <c r="CF36" i="105"/>
  <c r="CS69" i="105"/>
  <c r="CS20" i="105"/>
  <c r="CS38" i="105"/>
  <c r="O109" i="78"/>
  <c r="CF69" i="105"/>
  <c r="CF73" i="105"/>
  <c r="AG95" i="78"/>
  <c r="CS68" i="105"/>
  <c r="CO109" i="78"/>
  <c r="CF50" i="105"/>
  <c r="CE109" i="78"/>
  <c r="BL38" i="78"/>
  <c r="CP109" i="78"/>
  <c r="BL19" i="78"/>
  <c r="CF88" i="105"/>
  <c r="CF42" i="105"/>
  <c r="CF64" i="105"/>
  <c r="CS41" i="105"/>
  <c r="BE40" i="78"/>
  <c r="BR109" i="78"/>
  <c r="CS50" i="105"/>
  <c r="CS26" i="105"/>
  <c r="CL109" i="78"/>
  <c r="CF81" i="105"/>
  <c r="CF27" i="105"/>
  <c r="CF66" i="105"/>
  <c r="CV109" i="78"/>
  <c r="CF89" i="105"/>
  <c r="CF19" i="105"/>
  <c r="CF85" i="105"/>
  <c r="D38" i="108"/>
  <c r="H27" i="59"/>
  <c r="O42" i="59"/>
  <c r="H9" i="118"/>
  <c r="J189" i="59"/>
  <c r="Q189" i="59"/>
  <c r="O9" i="118"/>
  <c r="N15" i="107"/>
  <c r="P23" i="59"/>
  <c r="F15" i="107"/>
  <c r="H23" i="59"/>
  <c r="N189" i="59"/>
  <c r="L9" i="118"/>
  <c r="H167" i="59"/>
  <c r="BO41" i="60"/>
  <c r="F38" i="59"/>
  <c r="G9" i="118"/>
  <c r="I189" i="59"/>
  <c r="H189" i="59"/>
  <c r="F9" i="118"/>
  <c r="Q40" i="59"/>
  <c r="P40" i="59"/>
  <c r="J23" i="59"/>
  <c r="H15" i="107"/>
  <c r="L40" i="59"/>
  <c r="O189" i="59"/>
  <c r="M9" i="118"/>
  <c r="AE96" i="78"/>
  <c r="Q69" i="59"/>
  <c r="N69" i="59"/>
  <c r="H69" i="59"/>
  <c r="K69" i="59"/>
  <c r="J33" i="59"/>
  <c r="M65" i="59"/>
  <c r="Q65" i="59"/>
  <c r="O9" i="59"/>
  <c r="I25" i="59"/>
  <c r="H181" i="59"/>
  <c r="J181" i="59"/>
  <c r="J29" i="59"/>
  <c r="H7" i="59"/>
  <c r="L45" i="59"/>
  <c r="P187" i="59"/>
  <c r="N167" i="59"/>
  <c r="I182" i="59"/>
  <c r="P182" i="59"/>
  <c r="H179" i="59"/>
  <c r="J184" i="59"/>
  <c r="J183" i="59"/>
  <c r="J9" i="59"/>
  <c r="L11" i="59"/>
  <c r="J7" i="59"/>
  <c r="J34" i="59"/>
  <c r="L27" i="59"/>
  <c r="Q42" i="59"/>
  <c r="N185" i="59"/>
  <c r="K25" i="59"/>
  <c r="Q64" i="59"/>
  <c r="Q187" i="59"/>
  <c r="K45" i="59"/>
  <c r="M26" i="59"/>
  <c r="K186" i="59"/>
  <c r="K187" i="59"/>
  <c r="J186" i="59"/>
  <c r="Q184" i="59"/>
  <c r="L12" i="59"/>
  <c r="I12" i="59"/>
  <c r="P24" i="59"/>
  <c r="N9" i="59"/>
  <c r="K8" i="59"/>
  <c r="L34" i="59"/>
  <c r="I16" i="59"/>
  <c r="M181" i="59"/>
  <c r="H17" i="59"/>
  <c r="P183" i="59"/>
  <c r="I11" i="59"/>
  <c r="H64" i="59"/>
  <c r="I65" i="59"/>
  <c r="O65" i="59"/>
  <c r="N33" i="59"/>
  <c r="K65" i="59"/>
  <c r="M33" i="59"/>
  <c r="M29" i="59"/>
  <c r="L187" i="59"/>
  <c r="P25" i="59"/>
  <c r="Q25" i="59"/>
  <c r="I185" i="59"/>
  <c r="N45" i="59"/>
  <c r="M10" i="59"/>
  <c r="Q34" i="59"/>
  <c r="K7" i="59"/>
  <c r="L25" i="59"/>
  <c r="N29" i="59"/>
  <c r="Q7" i="59"/>
  <c r="N11" i="59"/>
  <c r="P26" i="59"/>
  <c r="H184" i="59"/>
  <c r="Q181" i="59"/>
  <c r="N187" i="59"/>
  <c r="H42" i="59"/>
  <c r="K28" i="59"/>
  <c r="M42" i="59"/>
  <c r="H34" i="59"/>
  <c r="I17" i="59"/>
  <c r="O181" i="59"/>
  <c r="H186" i="59"/>
  <c r="L26" i="59"/>
  <c r="O184" i="59"/>
  <c r="Q12" i="59"/>
  <c r="H28" i="59"/>
  <c r="J187" i="59"/>
  <c r="J64" i="59"/>
  <c r="M7" i="59"/>
  <c r="I26" i="59"/>
  <c r="L185" i="59"/>
  <c r="H182" i="59"/>
  <c r="O183" i="59"/>
  <c r="L184" i="59"/>
  <c r="O16" i="59"/>
  <c r="P186" i="59"/>
  <c r="N186" i="59"/>
  <c r="I186" i="59"/>
  <c r="N182" i="59"/>
  <c r="N12" i="59"/>
  <c r="H187" i="59"/>
  <c r="M184" i="59"/>
  <c r="I8" i="59"/>
  <c r="K189" i="59"/>
  <c r="I9" i="118"/>
  <c r="Q167" i="59"/>
  <c r="BP41" i="60"/>
  <c r="K40" i="59"/>
  <c r="I40" i="59"/>
  <c r="K9" i="118"/>
  <c r="M189" i="59"/>
  <c r="N9" i="118"/>
  <c r="P189" i="59"/>
  <c r="L189" i="59"/>
  <c r="J9" i="118"/>
  <c r="G15" i="107"/>
  <c r="I23" i="59"/>
  <c r="AH96" i="78"/>
  <c r="AF96" i="78"/>
  <c r="J69" i="59"/>
  <c r="I69" i="59"/>
  <c r="N67" i="59"/>
  <c r="L69" i="59"/>
  <c r="M69" i="59"/>
  <c r="H65" i="59"/>
  <c r="J65" i="59"/>
  <c r="N65" i="59"/>
  <c r="P65" i="59"/>
  <c r="H33" i="59"/>
  <c r="J182" i="59"/>
  <c r="J25" i="59"/>
  <c r="L181" i="59"/>
  <c r="J185" i="59"/>
  <c r="P181" i="59"/>
  <c r="N183" i="59"/>
  <c r="M9" i="59"/>
  <c r="M185" i="59"/>
  <c r="K27" i="59"/>
  <c r="I29" i="59"/>
  <c r="O24" i="59"/>
  <c r="H8" i="59"/>
  <c r="K10" i="59"/>
  <c r="P12" i="59"/>
  <c r="P7" i="59"/>
  <c r="J12" i="59"/>
  <c r="M17" i="59"/>
  <c r="I187" i="59"/>
  <c r="M34" i="59"/>
  <c r="L186" i="59"/>
  <c r="I42" i="59"/>
  <c r="O187" i="59"/>
  <c r="K184" i="59"/>
  <c r="N24" i="59"/>
  <c r="M182" i="59"/>
  <c r="I183" i="59"/>
  <c r="P27" i="59"/>
  <c r="N184" i="59"/>
  <c r="I184" i="59"/>
  <c r="I27" i="59"/>
  <c r="P185" i="59"/>
  <c r="K64" i="59"/>
  <c r="O182" i="59"/>
  <c r="K185" i="59"/>
  <c r="I181" i="59"/>
  <c r="O185" i="59"/>
  <c r="H183" i="59"/>
  <c r="Q186" i="59"/>
  <c r="K33" i="59"/>
  <c r="O33" i="59"/>
  <c r="L33" i="59"/>
  <c r="I33" i="59"/>
  <c r="L65" i="59"/>
  <c r="H9" i="59"/>
  <c r="O26" i="59"/>
  <c r="L183" i="59"/>
  <c r="O27" i="59"/>
  <c r="Q182" i="59"/>
  <c r="H24" i="59"/>
  <c r="Q24" i="59"/>
  <c r="I10" i="59"/>
  <c r="I64" i="59"/>
  <c r="N10" i="59"/>
  <c r="Q16" i="59"/>
  <c r="M183" i="59"/>
  <c r="N181" i="59"/>
  <c r="P184" i="59"/>
  <c r="I24" i="59"/>
  <c r="J42" i="59"/>
  <c r="J10" i="59"/>
  <c r="M16" i="59"/>
  <c r="N64" i="59"/>
  <c r="P10" i="59"/>
  <c r="O11" i="59"/>
  <c r="O12" i="59"/>
  <c r="Q185" i="59"/>
  <c r="Q183" i="59"/>
  <c r="H45" i="59"/>
  <c r="K183" i="59"/>
  <c r="P28" i="59"/>
  <c r="L182" i="59"/>
  <c r="N27" i="59"/>
  <c r="M187" i="59"/>
  <c r="K182" i="59"/>
  <c r="L64" i="59"/>
  <c r="H280" i="59"/>
  <c r="N280" i="59"/>
  <c r="P281" i="59"/>
  <c r="I277" i="59"/>
  <c r="Q277" i="59"/>
  <c r="H277" i="59"/>
  <c r="O280" i="59"/>
  <c r="O279" i="59"/>
  <c r="I280" i="59"/>
  <c r="P280" i="59"/>
  <c r="N277" i="59"/>
  <c r="P13" i="59"/>
  <c r="O277" i="59"/>
  <c r="I282" i="59"/>
  <c r="K280" i="59"/>
  <c r="J278" i="59"/>
  <c r="AF99" i="78"/>
  <c r="AF106" i="78"/>
  <c r="AF109" i="78"/>
  <c r="AF97" i="78"/>
  <c r="AH99" i="78"/>
  <c r="AH106" i="78"/>
  <c r="AH109" i="78"/>
  <c r="AH97" i="78"/>
  <c r="I276" i="59"/>
  <c r="J37" i="118"/>
  <c r="N37" i="118"/>
  <c r="K37" i="118"/>
  <c r="I37" i="118"/>
  <c r="I13" i="59"/>
  <c r="I279" i="59"/>
  <c r="M13" i="59"/>
  <c r="H281" i="59"/>
  <c r="L279" i="59"/>
  <c r="K281" i="59"/>
  <c r="P279" i="59"/>
  <c r="Q13" i="59"/>
  <c r="N282" i="59"/>
  <c r="L278" i="59"/>
  <c r="K13" i="59"/>
  <c r="Q278" i="59"/>
  <c r="P278" i="59"/>
  <c r="M282" i="59"/>
  <c r="N13" i="59"/>
  <c r="P277" i="59"/>
  <c r="M279" i="59"/>
  <c r="K278" i="59"/>
  <c r="L280" i="59"/>
  <c r="J13" i="59"/>
  <c r="L13" i="59"/>
  <c r="H13" i="59"/>
  <c r="J282" i="59"/>
  <c r="I278" i="59"/>
  <c r="O13" i="59"/>
  <c r="AE99" i="78"/>
  <c r="AE106" i="78"/>
  <c r="AE109" i="78"/>
  <c r="AE97" i="78"/>
  <c r="M37" i="118"/>
  <c r="J276" i="59"/>
  <c r="I365" i="59"/>
  <c r="F37" i="118"/>
  <c r="G37" i="118"/>
  <c r="F39" i="59"/>
  <c r="L37" i="118"/>
  <c r="H276" i="59"/>
  <c r="P276" i="59"/>
  <c r="O37" i="118"/>
  <c r="H37" i="118"/>
  <c r="I418" i="59"/>
  <c r="I397" i="59"/>
  <c r="I400" i="59"/>
  <c r="I399" i="59"/>
  <c r="I398" i="59"/>
  <c r="I401" i="59"/>
  <c r="BJ40" i="78"/>
  <c r="O378" i="59"/>
  <c r="Q378" i="59"/>
  <c r="R378" i="59"/>
  <c r="BE109" i="78"/>
  <c r="BE95" i="78"/>
  <c r="BF95" i="78"/>
  <c r="AM109" i="78"/>
  <c r="M38" i="59"/>
  <c r="P38" i="59"/>
  <c r="J38" i="59"/>
  <c r="L38" i="59"/>
  <c r="Q38" i="59"/>
  <c r="I38" i="59"/>
  <c r="K38" i="59"/>
  <c r="O38" i="59"/>
  <c r="AK14" i="105"/>
  <c r="AI14" i="105"/>
  <c r="AH14" i="105"/>
  <c r="AJ14" i="105"/>
  <c r="H67" i="59"/>
  <c r="N71" i="59"/>
  <c r="K68" i="59"/>
  <c r="AG96" i="78"/>
  <c r="AL61" i="105"/>
  <c r="AN61" i="105"/>
  <c r="AK61" i="105"/>
  <c r="AJ61" i="105"/>
  <c r="Q33" i="59"/>
  <c r="AJ45" i="78"/>
  <c r="H38" i="59"/>
  <c r="N38" i="59"/>
  <c r="AL14" i="105"/>
  <c r="AN14" i="105"/>
  <c r="O71" i="59"/>
  <c r="I67" i="59"/>
  <c r="J67" i="59"/>
  <c r="H71" i="59"/>
  <c r="P67" i="59"/>
  <c r="N68" i="59"/>
  <c r="Q67" i="59"/>
  <c r="O67" i="59"/>
  <c r="P71" i="59"/>
  <c r="M68" i="59"/>
  <c r="K71" i="59"/>
  <c r="L67" i="59"/>
  <c r="I71" i="59"/>
  <c r="P68" i="59"/>
  <c r="J71" i="59"/>
  <c r="O69" i="59"/>
  <c r="AD96" i="78"/>
  <c r="P69" i="59"/>
  <c r="AI61" i="105"/>
  <c r="AH61" i="105"/>
  <c r="F89" i="59"/>
  <c r="AU61" i="105"/>
  <c r="CK61" i="105"/>
  <c r="AV61" i="105"/>
  <c r="CL61" i="105"/>
  <c r="AD99" i="78"/>
  <c r="AD106" i="78"/>
  <c r="AD109" i="78"/>
  <c r="AD97" i="78"/>
  <c r="CQ14" i="105"/>
  <c r="BA14" i="105"/>
  <c r="CO14" i="105"/>
  <c r="AY14" i="105"/>
  <c r="AJ46" i="78"/>
  <c r="AJ84" i="78"/>
  <c r="AJ109" i="78"/>
  <c r="CM61" i="105"/>
  <c r="AW61" i="105"/>
  <c r="AX61" i="105"/>
  <c r="CN61" i="105"/>
  <c r="BA61" i="105"/>
  <c r="CQ61" i="105"/>
  <c r="AY61" i="105"/>
  <c r="CO61" i="105"/>
  <c r="AG99" i="78"/>
  <c r="AG106" i="78"/>
  <c r="AG109" i="78"/>
  <c r="AG97" i="78"/>
  <c r="CM14" i="105"/>
  <c r="AW14" i="105"/>
  <c r="CK14" i="105"/>
  <c r="AU14" i="105"/>
  <c r="CL14" i="105"/>
  <c r="AV14" i="105"/>
  <c r="AX14" i="105"/>
  <c r="CN14" i="105"/>
  <c r="I363" i="59"/>
  <c r="I412" i="59"/>
  <c r="P381" i="59"/>
  <c r="Q381" i="59"/>
  <c r="R381" i="59"/>
  <c r="O52" i="118"/>
  <c r="O61" i="118"/>
  <c r="O49" i="118"/>
  <c r="O59" i="118"/>
  <c r="L52" i="118"/>
  <c r="L61" i="118"/>
  <c r="L49" i="118"/>
  <c r="L59" i="118"/>
  <c r="F52" i="118"/>
  <c r="F61" i="118"/>
  <c r="F49" i="118"/>
  <c r="F59" i="118"/>
  <c r="O399" i="59"/>
  <c r="Q399" i="59"/>
  <c r="R399" i="59"/>
  <c r="I49" i="118"/>
  <c r="I59" i="118"/>
  <c r="I52" i="118"/>
  <c r="I61" i="118"/>
  <c r="K52" i="118"/>
  <c r="K61" i="118"/>
  <c r="K49" i="118"/>
  <c r="K59" i="118"/>
  <c r="N49" i="118"/>
  <c r="N59" i="118"/>
  <c r="N52" i="118"/>
  <c r="N61" i="118"/>
  <c r="P368" i="59"/>
  <c r="H52" i="118"/>
  <c r="H61" i="118"/>
  <c r="H49" i="118"/>
  <c r="H59" i="118"/>
  <c r="F286" i="59"/>
  <c r="F47" i="59"/>
  <c r="G52" i="118"/>
  <c r="G61" i="118"/>
  <c r="G49" i="118"/>
  <c r="G59" i="118"/>
  <c r="M49" i="118"/>
  <c r="M59" i="118"/>
  <c r="M52" i="118"/>
  <c r="M61" i="118"/>
  <c r="J49" i="118"/>
  <c r="J59" i="118"/>
  <c r="J52" i="118"/>
  <c r="J61" i="118"/>
  <c r="O368" i="59"/>
  <c r="Q368" i="59"/>
  <c r="R368" i="59"/>
  <c r="J68" i="59"/>
  <c r="U9" i="78"/>
  <c r="AB9" i="78"/>
  <c r="AM14" i="105"/>
  <c r="AG14" i="105"/>
  <c r="N214" i="59"/>
  <c r="Q214" i="59"/>
  <c r="V96" i="78"/>
  <c r="J214" i="59"/>
  <c r="I214" i="59"/>
  <c r="L215" i="59"/>
  <c r="H215" i="59"/>
  <c r="M70" i="59"/>
  <c r="P70" i="59"/>
  <c r="I70" i="59"/>
  <c r="L71" i="59"/>
  <c r="Q68" i="59"/>
  <c r="H68" i="59"/>
  <c r="M67" i="59"/>
  <c r="L68" i="59"/>
  <c r="N101" i="105"/>
  <c r="K101" i="105"/>
  <c r="H101" i="105"/>
  <c r="J54" i="105"/>
  <c r="M101" i="105"/>
  <c r="AF61" i="105"/>
  <c r="V71" i="105"/>
  <c r="H70" i="59"/>
  <c r="G54" i="105"/>
  <c r="F54" i="105"/>
  <c r="AG61" i="105"/>
  <c r="L101" i="105"/>
  <c r="I101" i="105"/>
  <c r="T9" i="78"/>
  <c r="BC9" i="78"/>
  <c r="N215" i="59"/>
  <c r="L214" i="59"/>
  <c r="H214" i="59"/>
  <c r="W9" i="78"/>
  <c r="V9" i="78"/>
  <c r="O214" i="59"/>
  <c r="AF14" i="105"/>
  <c r="K214" i="59"/>
  <c r="O215" i="59"/>
  <c r="P214" i="59"/>
  <c r="J70" i="59"/>
  <c r="N70" i="59"/>
  <c r="Q71" i="59"/>
  <c r="I68" i="59"/>
  <c r="O68" i="59"/>
  <c r="K67" i="59"/>
  <c r="M71" i="59"/>
  <c r="Q70" i="59"/>
  <c r="K70" i="59"/>
  <c r="L70" i="59"/>
  <c r="N54" i="105"/>
  <c r="K54" i="105"/>
  <c r="BH53" i="78"/>
  <c r="H54" i="105"/>
  <c r="J101" i="105"/>
  <c r="M54" i="105"/>
  <c r="V24" i="105"/>
  <c r="G101" i="105"/>
  <c r="AM61" i="105"/>
  <c r="F101" i="105"/>
  <c r="L54" i="105"/>
  <c r="I54" i="105"/>
  <c r="X24" i="105"/>
  <c r="J215" i="59"/>
  <c r="K215" i="59"/>
  <c r="W96" i="78"/>
  <c r="Q215" i="59"/>
  <c r="L244" i="59"/>
  <c r="M97" i="59"/>
  <c r="I244" i="59"/>
  <c r="N97" i="59"/>
  <c r="K244" i="59"/>
  <c r="I97" i="59"/>
  <c r="L97" i="59"/>
  <c r="N244" i="59"/>
  <c r="K97" i="59"/>
  <c r="H97" i="59"/>
  <c r="Q97" i="59"/>
  <c r="M244" i="59"/>
  <c r="H244" i="59"/>
  <c r="Q244" i="59"/>
  <c r="J97" i="59"/>
  <c r="J244" i="59"/>
  <c r="AV54" i="105"/>
  <c r="BM54" i="105"/>
  <c r="AY54" i="105"/>
  <c r="BP54" i="105"/>
  <c r="P101" i="105"/>
  <c r="BJ101" i="105"/>
  <c r="BV101" i="105"/>
  <c r="AS101" i="105"/>
  <c r="CP61" i="105"/>
  <c r="AZ61" i="105"/>
  <c r="BK101" i="105"/>
  <c r="BW101" i="105"/>
  <c r="CJ101" i="105"/>
  <c r="AT101" i="105"/>
  <c r="BQ54" i="105"/>
  <c r="AZ54" i="105"/>
  <c r="AW101" i="105"/>
  <c r="BN101" i="105"/>
  <c r="AU54" i="105"/>
  <c r="BL54" i="105"/>
  <c r="BH55" i="78"/>
  <c r="BO54" i="105"/>
  <c r="AX54" i="105"/>
  <c r="BA54" i="105"/>
  <c r="BR54" i="105"/>
  <c r="AP14" i="105"/>
  <c r="CI14" i="105"/>
  <c r="AS14" i="105"/>
  <c r="V11" i="78"/>
  <c r="V15" i="78"/>
  <c r="V40" i="78"/>
  <c r="W11" i="78"/>
  <c r="W15" i="78"/>
  <c r="W40" i="78"/>
  <c r="BC11" i="78"/>
  <c r="BF9" i="78"/>
  <c r="T11" i="78"/>
  <c r="T15" i="78"/>
  <c r="T40" i="78"/>
  <c r="BM101" i="105"/>
  <c r="AV101" i="105"/>
  <c r="BP101" i="105"/>
  <c r="AY101" i="105"/>
  <c r="CJ61" i="105"/>
  <c r="AT61" i="105"/>
  <c r="AS54" i="105"/>
  <c r="P54" i="105"/>
  <c r="BJ54" i="105"/>
  <c r="BV54" i="105"/>
  <c r="AT54" i="105"/>
  <c r="BK54" i="105"/>
  <c r="BW54" i="105"/>
  <c r="CJ54" i="105"/>
  <c r="AP61" i="105"/>
  <c r="AS61" i="105"/>
  <c r="CI61" i="105"/>
  <c r="BQ101" i="105"/>
  <c r="AZ101" i="105"/>
  <c r="BN54" i="105"/>
  <c r="BZ54" i="105"/>
  <c r="CM54" i="105"/>
  <c r="AW54" i="105"/>
  <c r="BL101" i="105"/>
  <c r="BX101" i="105"/>
  <c r="CK101" i="105"/>
  <c r="AU101" i="105"/>
  <c r="BO101" i="105"/>
  <c r="CA101" i="105"/>
  <c r="CN101" i="105"/>
  <c r="AX101" i="105"/>
  <c r="BA101" i="105"/>
  <c r="BR101" i="105"/>
  <c r="AT14" i="105"/>
  <c r="CJ14" i="105"/>
  <c r="AZ14" i="105"/>
  <c r="CP14" i="105"/>
  <c r="AB11" i="78"/>
  <c r="AB15" i="78"/>
  <c r="AB40" i="78"/>
  <c r="U11" i="78"/>
  <c r="U15" i="78"/>
  <c r="I385" i="59"/>
  <c r="I426" i="59"/>
  <c r="I427" i="59"/>
  <c r="I416" i="59"/>
  <c r="O402" i="59"/>
  <c r="Q402" i="59"/>
  <c r="R402" i="59"/>
  <c r="I384" i="59"/>
  <c r="F54" i="59"/>
  <c r="F74" i="59"/>
  <c r="F91" i="59"/>
  <c r="F289" i="59"/>
  <c r="I420" i="59"/>
  <c r="I425" i="59"/>
  <c r="O371" i="59"/>
  <c r="Q371" i="59"/>
  <c r="R371" i="59"/>
  <c r="P215" i="59"/>
  <c r="L234" i="59"/>
  <c r="K213" i="59"/>
  <c r="P213" i="59"/>
  <c r="J213" i="59"/>
  <c r="P299" i="59"/>
  <c r="N299" i="59"/>
  <c r="M299" i="59"/>
  <c r="N213" i="59"/>
  <c r="M215" i="59"/>
  <c r="I215" i="59"/>
  <c r="I302" i="59"/>
  <c r="BO9" i="78"/>
  <c r="BP9" i="78"/>
  <c r="BO45" i="78"/>
  <c r="N302" i="59"/>
  <c r="J299" i="59"/>
  <c r="I299" i="59"/>
  <c r="BH45" i="78"/>
  <c r="L302" i="59"/>
  <c r="K299" i="59"/>
  <c r="Z24" i="105"/>
  <c r="Y24" i="105"/>
  <c r="BQ45" i="78"/>
  <c r="Z71" i="105"/>
  <c r="AA24" i="105"/>
  <c r="U24" i="105"/>
  <c r="X71" i="105"/>
  <c r="J234" i="59"/>
  <c r="H234" i="59"/>
  <c r="N234" i="59"/>
  <c r="M234" i="59"/>
  <c r="I234" i="59"/>
  <c r="Q234" i="59"/>
  <c r="K234" i="59"/>
  <c r="O213" i="59"/>
  <c r="I213" i="59"/>
  <c r="L213" i="59"/>
  <c r="Q213" i="59"/>
  <c r="U96" i="78"/>
  <c r="BH96" i="78"/>
  <c r="M302" i="59"/>
  <c r="H213" i="59"/>
  <c r="J302" i="59"/>
  <c r="S9" i="78"/>
  <c r="Q302" i="59"/>
  <c r="BQ9" i="78"/>
  <c r="L299" i="59"/>
  <c r="W45" i="78"/>
  <c r="H302" i="59"/>
  <c r="K302" i="59"/>
  <c r="Q299" i="59"/>
  <c r="S45" i="78"/>
  <c r="M214" i="59"/>
  <c r="G9" i="78"/>
  <c r="O70" i="59"/>
  <c r="W71" i="105"/>
  <c r="W24" i="105"/>
  <c r="V33" i="105"/>
  <c r="T71" i="105"/>
  <c r="AA71" i="105"/>
  <c r="Y71" i="105"/>
  <c r="S24" i="105"/>
  <c r="U71" i="105"/>
  <c r="BP45" i="78"/>
  <c r="W80" i="105"/>
  <c r="T24" i="105"/>
  <c r="S71" i="105"/>
  <c r="P244" i="59"/>
  <c r="P97" i="59"/>
  <c r="O97" i="59"/>
  <c r="O244" i="59"/>
  <c r="AC71" i="105"/>
  <c r="BP46" i="78"/>
  <c r="AC24" i="105"/>
  <c r="Q9" i="78"/>
  <c r="G11" i="78"/>
  <c r="AK45" i="78"/>
  <c r="S46" i="78"/>
  <c r="Q315" i="59"/>
  <c r="W46" i="78"/>
  <c r="L315" i="59"/>
  <c r="BQ11" i="78"/>
  <c r="BQ15" i="78"/>
  <c r="BQ40" i="78"/>
  <c r="S11" i="78"/>
  <c r="AK9" i="78"/>
  <c r="BJ96" i="78"/>
  <c r="BH99" i="78"/>
  <c r="AK96" i="78"/>
  <c r="BL96" i="78"/>
  <c r="BQ46" i="78"/>
  <c r="K315" i="59"/>
  <c r="BH46" i="78"/>
  <c r="BJ46" i="78"/>
  <c r="BJ45" i="78"/>
  <c r="I315" i="59"/>
  <c r="J315" i="59"/>
  <c r="BO46" i="78"/>
  <c r="DH46" i="78"/>
  <c r="DH45" i="78"/>
  <c r="BP11" i="78"/>
  <c r="BP15" i="78"/>
  <c r="BP40" i="78"/>
  <c r="BO11" i="78"/>
  <c r="BO15" i="78"/>
  <c r="M315" i="59"/>
  <c r="N315" i="59"/>
  <c r="P315" i="59"/>
  <c r="I408" i="59"/>
  <c r="I411" i="59"/>
  <c r="I386" i="59"/>
  <c r="I383" i="59"/>
  <c r="O365" i="59"/>
  <c r="Q365" i="59"/>
  <c r="R365" i="59"/>
  <c r="U40" i="78"/>
  <c r="CI54" i="105"/>
  <c r="T90" i="78"/>
  <c r="BC15" i="78"/>
  <c r="BF11" i="78"/>
  <c r="BC14" i="105"/>
  <c r="C8" i="108"/>
  <c r="CI101" i="105"/>
  <c r="CD101" i="105"/>
  <c r="CQ101" i="105"/>
  <c r="CS61" i="105"/>
  <c r="BC54" i="105"/>
  <c r="CD54" i="105"/>
  <c r="CQ54" i="105"/>
  <c r="BX54" i="105"/>
  <c r="CK54" i="105"/>
  <c r="BZ101" i="105"/>
  <c r="CM101" i="105"/>
  <c r="CB54" i="105"/>
  <c r="CO54" i="105"/>
  <c r="BY54" i="105"/>
  <c r="CL54" i="105"/>
  <c r="I413" i="59"/>
  <c r="O382" i="59"/>
  <c r="BC61" i="105"/>
  <c r="E8" i="108"/>
  <c r="D8" i="108"/>
  <c r="CC101" i="105"/>
  <c r="CP101" i="105"/>
  <c r="CB101" i="105"/>
  <c r="CO101" i="105"/>
  <c r="BY101" i="105"/>
  <c r="CL101" i="105"/>
  <c r="CS14" i="105"/>
  <c r="CA54" i="105"/>
  <c r="CN54" i="105"/>
  <c r="CC54" i="105"/>
  <c r="CP54" i="105"/>
  <c r="BC101" i="105"/>
  <c r="AB53" i="78"/>
  <c r="O302" i="59"/>
  <c r="O310" i="59"/>
  <c r="M9" i="114"/>
  <c r="K163" i="59"/>
  <c r="Q163" i="59"/>
  <c r="N71" i="105"/>
  <c r="Y53" i="78"/>
  <c r="K71" i="105"/>
  <c r="S80" i="105"/>
  <c r="Z80" i="105"/>
  <c r="U33" i="105"/>
  <c r="AA33" i="105"/>
  <c r="K24" i="105"/>
  <c r="W33" i="105"/>
  <c r="V80" i="105"/>
  <c r="U80" i="105"/>
  <c r="X33" i="105"/>
  <c r="X80" i="105"/>
  <c r="O234" i="59"/>
  <c r="P234" i="59"/>
  <c r="W53" i="78"/>
  <c r="O299" i="59"/>
  <c r="P302" i="59"/>
  <c r="M213" i="59"/>
  <c r="I163" i="59"/>
  <c r="P163" i="59"/>
  <c r="J163" i="59"/>
  <c r="N163" i="59"/>
  <c r="M24" i="105"/>
  <c r="L24" i="105"/>
  <c r="F71" i="105"/>
  <c r="T80" i="105"/>
  <c r="Y49" i="105"/>
  <c r="Y96" i="105"/>
  <c r="H80" i="105"/>
  <c r="S33" i="105"/>
  <c r="Z33" i="105"/>
  <c r="T33" i="105"/>
  <c r="AA80" i="105"/>
  <c r="O240" i="59"/>
  <c r="P382" i="59"/>
  <c r="AU80" i="105"/>
  <c r="BL80" i="105"/>
  <c r="AS71" i="105"/>
  <c r="BJ71" i="105"/>
  <c r="BV71" i="105"/>
  <c r="AY24" i="105"/>
  <c r="BP24" i="105"/>
  <c r="AZ24" i="105"/>
  <c r="BQ24" i="105"/>
  <c r="O315" i="59"/>
  <c r="W55" i="78"/>
  <c r="AX24" i="105"/>
  <c r="BO24" i="105"/>
  <c r="AX71" i="105"/>
  <c r="BO71" i="105"/>
  <c r="Y55" i="78"/>
  <c r="Y84" i="78"/>
  <c r="BR71" i="105"/>
  <c r="BA71" i="105"/>
  <c r="M40" i="114"/>
  <c r="AB55" i="78"/>
  <c r="AB70" i="78"/>
  <c r="BC40" i="78"/>
  <c r="BF15" i="78"/>
  <c r="I439" i="59"/>
  <c r="AK11" i="78"/>
  <c r="S15" i="78"/>
  <c r="CF101" i="105"/>
  <c r="CF54" i="105"/>
  <c r="AK46" i="78"/>
  <c r="BL46" i="78"/>
  <c r="BL9" i="78"/>
  <c r="I424" i="59"/>
  <c r="P384" i="59"/>
  <c r="Q384" i="59"/>
  <c r="R384" i="59"/>
  <c r="I422" i="59"/>
  <c r="DH15" i="78"/>
  <c r="BO40" i="78"/>
  <c r="BJ99" i="78"/>
  <c r="BH106" i="78"/>
  <c r="Q11" i="78"/>
  <c r="G15" i="78"/>
  <c r="CS54" i="105"/>
  <c r="CS101" i="105"/>
  <c r="Q382" i="59"/>
  <c r="R382" i="59"/>
  <c r="V53" i="78"/>
  <c r="P310" i="59"/>
  <c r="N310" i="59"/>
  <c r="BP37" i="60"/>
  <c r="Q164" i="59"/>
  <c r="G71" i="105"/>
  <c r="I71" i="105"/>
  <c r="Z49" i="105"/>
  <c r="L71" i="105"/>
  <c r="H24" i="105"/>
  <c r="BP53" i="78"/>
  <c r="AA96" i="105"/>
  <c r="N164" i="59"/>
  <c r="K164" i="59"/>
  <c r="K33" i="105"/>
  <c r="G80" i="105"/>
  <c r="I80" i="105"/>
  <c r="J80" i="105"/>
  <c r="G24" i="105"/>
  <c r="I24" i="105"/>
  <c r="J24" i="105"/>
  <c r="X49" i="105"/>
  <c r="H71" i="105"/>
  <c r="T49" i="105"/>
  <c r="T96" i="105"/>
  <c r="BI53" i="78"/>
  <c r="I164" i="59"/>
  <c r="L164" i="59"/>
  <c r="H33" i="105"/>
  <c r="Y80" i="105"/>
  <c r="K80" i="105"/>
  <c r="G33" i="105"/>
  <c r="I33" i="105"/>
  <c r="J33" i="105"/>
  <c r="L163" i="59"/>
  <c r="L15" i="59"/>
  <c r="J310" i="59"/>
  <c r="BO53" i="78"/>
  <c r="H15" i="59"/>
  <c r="Q310" i="59"/>
  <c r="S53" i="78"/>
  <c r="BO37" i="60"/>
  <c r="H164" i="59"/>
  <c r="L9" i="114"/>
  <c r="N9" i="114"/>
  <c r="H9" i="114"/>
  <c r="O9" i="114"/>
  <c r="J71" i="105"/>
  <c r="Z96" i="105"/>
  <c r="F24" i="105"/>
  <c r="BQ53" i="78"/>
  <c r="AA49" i="105"/>
  <c r="M164" i="59"/>
  <c r="J164" i="59"/>
  <c r="Y33" i="105"/>
  <c r="N80" i="105"/>
  <c r="M33" i="105"/>
  <c r="F33" i="105"/>
  <c r="X96" i="105"/>
  <c r="M71" i="105"/>
  <c r="N24" i="105"/>
  <c r="N33" i="105"/>
  <c r="M80" i="105"/>
  <c r="F80" i="105"/>
  <c r="M163" i="59"/>
  <c r="Q240" i="59"/>
  <c r="N240" i="59"/>
  <c r="P240" i="59"/>
  <c r="J240" i="59"/>
  <c r="AS80" i="105"/>
  <c r="BJ80" i="105"/>
  <c r="BV80" i="105"/>
  <c r="BQ80" i="105"/>
  <c r="AZ80" i="105"/>
  <c r="BA33" i="105"/>
  <c r="BR33" i="105"/>
  <c r="BA24" i="105"/>
  <c r="BR24" i="105"/>
  <c r="AZ71" i="105"/>
  <c r="BQ71" i="105"/>
  <c r="AS33" i="105"/>
  <c r="BJ33" i="105"/>
  <c r="BV33" i="105"/>
  <c r="BQ33" i="105"/>
  <c r="AZ33" i="105"/>
  <c r="BA80" i="105"/>
  <c r="BR80" i="105"/>
  <c r="AC33" i="105"/>
  <c r="BQ55" i="78"/>
  <c r="AS24" i="105"/>
  <c r="BJ24" i="105"/>
  <c r="BV24" i="105"/>
  <c r="P24" i="105"/>
  <c r="AW71" i="105"/>
  <c r="BN71" i="105"/>
  <c r="O40" i="114"/>
  <c r="H40" i="114"/>
  <c r="N40" i="114"/>
  <c r="L40" i="114"/>
  <c r="AK53" i="78"/>
  <c r="S55" i="78"/>
  <c r="DH53" i="78"/>
  <c r="BO55" i="78"/>
  <c r="AW33" i="105"/>
  <c r="BN33" i="105"/>
  <c r="AV33" i="105"/>
  <c r="BM33" i="105"/>
  <c r="AT33" i="105"/>
  <c r="BK33" i="105"/>
  <c r="BW33" i="105"/>
  <c r="CJ33" i="105"/>
  <c r="AX80" i="105"/>
  <c r="BO80" i="105"/>
  <c r="AC80" i="105"/>
  <c r="AU33" i="105"/>
  <c r="BL33" i="105"/>
  <c r="BI55" i="78"/>
  <c r="BJ55" i="78"/>
  <c r="BJ53" i="78"/>
  <c r="AU71" i="105"/>
  <c r="BL71" i="105"/>
  <c r="AW24" i="105"/>
  <c r="BN24" i="105"/>
  <c r="BM24" i="105"/>
  <c r="AV24" i="105"/>
  <c r="BK24" i="105"/>
  <c r="BW24" i="105"/>
  <c r="CJ24" i="105"/>
  <c r="AT24" i="105"/>
  <c r="BN80" i="105"/>
  <c r="AW80" i="105"/>
  <c r="BM80" i="105"/>
  <c r="AV80" i="105"/>
  <c r="BK80" i="105"/>
  <c r="BW80" i="105"/>
  <c r="CJ80" i="105"/>
  <c r="AT80" i="105"/>
  <c r="AX33" i="105"/>
  <c r="BO33" i="105"/>
  <c r="CA33" i="105"/>
  <c r="CN33" i="105"/>
  <c r="BP55" i="78"/>
  <c r="BL24" i="105"/>
  <c r="BX24" i="105"/>
  <c r="CK24" i="105"/>
  <c r="AU24" i="105"/>
  <c r="BP71" i="105"/>
  <c r="AY71" i="105"/>
  <c r="BM71" i="105"/>
  <c r="BK71" i="105"/>
  <c r="BY71" i="105"/>
  <c r="CL71" i="105"/>
  <c r="AV71" i="105"/>
  <c r="BW71" i="105"/>
  <c r="CJ71" i="105"/>
  <c r="AT71" i="105"/>
  <c r="P71" i="105"/>
  <c r="V55" i="78"/>
  <c r="Q15" i="78"/>
  <c r="G40" i="78"/>
  <c r="G109" i="78"/>
  <c r="DH40" i="78"/>
  <c r="I436" i="59"/>
  <c r="CI71" i="105"/>
  <c r="BL11" i="78"/>
  <c r="BX80" i="105"/>
  <c r="CK80" i="105"/>
  <c r="S40" i="78"/>
  <c r="AK15" i="78"/>
  <c r="I438" i="59"/>
  <c r="P386" i="59"/>
  <c r="Q386" i="59"/>
  <c r="R386" i="59"/>
  <c r="BC109" i="78"/>
  <c r="BF40" i="78"/>
  <c r="M66" i="114"/>
  <c r="M46" i="114"/>
  <c r="M42" i="114"/>
  <c r="M67" i="114"/>
  <c r="BC71" i="105"/>
  <c r="E18" i="108"/>
  <c r="CD71" i="105"/>
  <c r="CQ71" i="105"/>
  <c r="CA71" i="105"/>
  <c r="CN71" i="105"/>
  <c r="CA24" i="105"/>
  <c r="CN24" i="105"/>
  <c r="CC24" i="105"/>
  <c r="CP24" i="105"/>
  <c r="CB24" i="105"/>
  <c r="CO24" i="105"/>
  <c r="K15" i="59"/>
  <c r="M15" i="59"/>
  <c r="J15" i="59"/>
  <c r="I310" i="59"/>
  <c r="P15" i="59"/>
  <c r="G9" i="114"/>
  <c r="I9" i="114"/>
  <c r="S49" i="105"/>
  <c r="W96" i="105"/>
  <c r="H32" i="59"/>
  <c r="L32" i="59"/>
  <c r="M32" i="59"/>
  <c r="U49" i="105"/>
  <c r="P164" i="59"/>
  <c r="N15" i="59"/>
  <c r="Q15" i="59"/>
  <c r="O15" i="59"/>
  <c r="I15" i="59"/>
  <c r="H310" i="59"/>
  <c r="M310" i="59"/>
  <c r="K310" i="59"/>
  <c r="O312" i="59"/>
  <c r="F9" i="114"/>
  <c r="K9" i="114"/>
  <c r="S96" i="105"/>
  <c r="W49" i="105"/>
  <c r="O164" i="59"/>
  <c r="L80" i="105"/>
  <c r="Q32" i="59"/>
  <c r="I32" i="59"/>
  <c r="N32" i="59"/>
  <c r="K32" i="59"/>
  <c r="J32" i="59"/>
  <c r="U96" i="105"/>
  <c r="O170" i="59"/>
  <c r="L33" i="105"/>
  <c r="O163" i="59"/>
  <c r="I240" i="59"/>
  <c r="H240" i="59"/>
  <c r="M240" i="59"/>
  <c r="K240" i="59"/>
  <c r="BX33" i="105"/>
  <c r="CK33" i="105"/>
  <c r="M43" i="114"/>
  <c r="M68" i="114"/>
  <c r="BP33" i="105"/>
  <c r="CB33" i="105"/>
  <c r="CO33" i="105"/>
  <c r="AY33" i="105"/>
  <c r="P33" i="105"/>
  <c r="J284" i="59"/>
  <c r="K284" i="59"/>
  <c r="N284" i="59"/>
  <c r="I284" i="59"/>
  <c r="Q284" i="59"/>
  <c r="BP80" i="105"/>
  <c r="CB80" i="105"/>
  <c r="CO80" i="105"/>
  <c r="AY80" i="105"/>
  <c r="P80" i="105"/>
  <c r="K40" i="114"/>
  <c r="F77" i="114"/>
  <c r="F40" i="114"/>
  <c r="O317" i="59"/>
  <c r="M284" i="59"/>
  <c r="L284" i="59"/>
  <c r="H284" i="59"/>
  <c r="I40" i="114"/>
  <c r="G40" i="114"/>
  <c r="M69" i="114"/>
  <c r="AK40" i="78"/>
  <c r="DH55" i="78"/>
  <c r="N66" i="114"/>
  <c r="N46" i="114"/>
  <c r="N42" i="114"/>
  <c r="N67" i="114"/>
  <c r="N43" i="114"/>
  <c r="N68" i="114"/>
  <c r="O66" i="114"/>
  <c r="O46" i="114"/>
  <c r="O42" i="114"/>
  <c r="O67" i="114"/>
  <c r="O43" i="114"/>
  <c r="O68" i="114"/>
  <c r="BC24" i="105"/>
  <c r="C18" i="108"/>
  <c r="C27" i="108"/>
  <c r="BC33" i="105"/>
  <c r="BC80" i="105"/>
  <c r="E27" i="108"/>
  <c r="D27" i="108"/>
  <c r="BY80" i="105"/>
  <c r="CL80" i="105"/>
  <c r="BZ80" i="105"/>
  <c r="CM80" i="105"/>
  <c r="BZ24" i="105"/>
  <c r="CM24" i="105"/>
  <c r="BX71" i="105"/>
  <c r="BL53" i="78"/>
  <c r="CD80" i="105"/>
  <c r="CQ80" i="105"/>
  <c r="CC71" i="105"/>
  <c r="CP71" i="105"/>
  <c r="CD24" i="105"/>
  <c r="CQ24" i="105"/>
  <c r="CD33" i="105"/>
  <c r="CQ33" i="105"/>
  <c r="M54" i="114"/>
  <c r="M87" i="114"/>
  <c r="M58" i="114"/>
  <c r="M89" i="114"/>
  <c r="N48" i="114"/>
  <c r="BL15" i="78"/>
  <c r="Q40" i="78"/>
  <c r="BL40" i="78"/>
  <c r="AK55" i="78"/>
  <c r="BL55" i="78"/>
  <c r="L66" i="114"/>
  <c r="L46" i="114"/>
  <c r="L42" i="114"/>
  <c r="L67" i="114"/>
  <c r="H42" i="114"/>
  <c r="H67" i="114"/>
  <c r="H46" i="114"/>
  <c r="H66" i="114"/>
  <c r="CI24" i="105"/>
  <c r="CI33" i="105"/>
  <c r="CI80" i="105"/>
  <c r="D18" i="108"/>
  <c r="CB71" i="105"/>
  <c r="CO71" i="105"/>
  <c r="BY24" i="105"/>
  <c r="CL24" i="105"/>
  <c r="CA80" i="105"/>
  <c r="CN80" i="105"/>
  <c r="BY33" i="105"/>
  <c r="CL33" i="105"/>
  <c r="BZ33" i="105"/>
  <c r="CM33" i="105"/>
  <c r="BZ71" i="105"/>
  <c r="CM71" i="105"/>
  <c r="CC33" i="105"/>
  <c r="CP33" i="105"/>
  <c r="CC80" i="105"/>
  <c r="CP80" i="105"/>
  <c r="Q170" i="59"/>
  <c r="BP42" i="60"/>
  <c r="P312" i="59"/>
  <c r="AB71" i="78"/>
  <c r="T71" i="78"/>
  <c r="Q312" i="59"/>
  <c r="N312" i="59"/>
  <c r="J312" i="59"/>
  <c r="O32" i="59"/>
  <c r="L96" i="105"/>
  <c r="M49" i="105"/>
  <c r="N170" i="59"/>
  <c r="Y53" i="105"/>
  <c r="Y100" i="105"/>
  <c r="M96" i="105"/>
  <c r="V49" i="105"/>
  <c r="V96" i="105"/>
  <c r="J170" i="59"/>
  <c r="P170" i="59"/>
  <c r="L310" i="59"/>
  <c r="BH71" i="78"/>
  <c r="J9" i="114"/>
  <c r="O66" i="59"/>
  <c r="P32" i="59"/>
  <c r="L49" i="105"/>
  <c r="L240" i="59"/>
  <c r="BP49" i="105"/>
  <c r="AY49" i="105"/>
  <c r="P284" i="59"/>
  <c r="J40" i="114"/>
  <c r="BH72" i="78"/>
  <c r="BJ71" i="78"/>
  <c r="AC96" i="105"/>
  <c r="AC49" i="105"/>
  <c r="BQ96" i="105"/>
  <c r="AZ96" i="105"/>
  <c r="BQ49" i="105"/>
  <c r="AZ49" i="105"/>
  <c r="AY96" i="105"/>
  <c r="BP96" i="105"/>
  <c r="O284" i="59"/>
  <c r="J317" i="59"/>
  <c r="N317" i="59"/>
  <c r="Q317" i="59"/>
  <c r="T72" i="78"/>
  <c r="AK71" i="78"/>
  <c r="AB72" i="78"/>
  <c r="AB84" i="78"/>
  <c r="AB109" i="78"/>
  <c r="P317" i="59"/>
  <c r="H54" i="114"/>
  <c r="H87" i="114"/>
  <c r="I48" i="114"/>
  <c r="H58" i="114"/>
  <c r="H89" i="114"/>
  <c r="L58" i="114"/>
  <c r="L89" i="114"/>
  <c r="M48" i="114"/>
  <c r="L54" i="114"/>
  <c r="L87" i="114"/>
  <c r="O58" i="114"/>
  <c r="O89" i="114"/>
  <c r="O47" i="114"/>
  <c r="O54" i="114"/>
  <c r="O87" i="114"/>
  <c r="N47" i="114"/>
  <c r="N49" i="114"/>
  <c r="N58" i="114"/>
  <c r="N89" i="114"/>
  <c r="O48" i="114"/>
  <c r="N54" i="114"/>
  <c r="N87" i="114"/>
  <c r="G66" i="114"/>
  <c r="G46" i="114"/>
  <c r="H47" i="114"/>
  <c r="G42" i="114"/>
  <c r="G67" i="114"/>
  <c r="CS80" i="105"/>
  <c r="CS33" i="105"/>
  <c r="H43" i="114"/>
  <c r="H68" i="114"/>
  <c r="L43" i="114"/>
  <c r="L68" i="114"/>
  <c r="M47" i="114"/>
  <c r="M49" i="114"/>
  <c r="CS24" i="105"/>
  <c r="H69" i="114"/>
  <c r="L69" i="114"/>
  <c r="CK71" i="105"/>
  <c r="CS71" i="105"/>
  <c r="CF71" i="105"/>
  <c r="I394" i="59"/>
  <c r="O69" i="114"/>
  <c r="N69" i="114"/>
  <c r="I66" i="114"/>
  <c r="I42" i="114"/>
  <c r="I67" i="114"/>
  <c r="I46" i="114"/>
  <c r="I43" i="114"/>
  <c r="I68" i="114"/>
  <c r="F66" i="114"/>
  <c r="F42" i="114"/>
  <c r="F67" i="114"/>
  <c r="F46" i="114"/>
  <c r="K42" i="114"/>
  <c r="K67" i="114"/>
  <c r="K66" i="114"/>
  <c r="K46" i="114"/>
  <c r="L47" i="114"/>
  <c r="CF80" i="105"/>
  <c r="CF33" i="105"/>
  <c r="CF24" i="105"/>
  <c r="BO42" i="60"/>
  <c r="H170" i="59"/>
  <c r="H312" i="59"/>
  <c r="M312" i="59"/>
  <c r="N66" i="59"/>
  <c r="Q66" i="59"/>
  <c r="T53" i="105"/>
  <c r="X100" i="105"/>
  <c r="X53" i="105"/>
  <c r="H49" i="105"/>
  <c r="AA100" i="105"/>
  <c r="AA53" i="105"/>
  <c r="Z100" i="105"/>
  <c r="Z53" i="105"/>
  <c r="N49" i="105"/>
  <c r="H96" i="105"/>
  <c r="K49" i="105"/>
  <c r="G49" i="105"/>
  <c r="N96" i="105"/>
  <c r="I170" i="59"/>
  <c r="I312" i="59"/>
  <c r="K312" i="59"/>
  <c r="J66" i="59"/>
  <c r="P66" i="59"/>
  <c r="T100" i="105"/>
  <c r="K96" i="105"/>
  <c r="G96" i="105"/>
  <c r="K170" i="59"/>
  <c r="M170" i="59"/>
  <c r="K43" i="114"/>
  <c r="K68" i="114"/>
  <c r="F43" i="114"/>
  <c r="F68" i="114"/>
  <c r="BK96" i="105"/>
  <c r="AT96" i="105"/>
  <c r="BO96" i="105"/>
  <c r="AX96" i="105"/>
  <c r="K317" i="59"/>
  <c r="I317" i="59"/>
  <c r="BA96" i="105"/>
  <c r="BR96" i="105"/>
  <c r="BK49" i="105"/>
  <c r="AT49" i="105"/>
  <c r="AX49" i="105"/>
  <c r="BO49" i="105"/>
  <c r="BL96" i="105"/>
  <c r="AU96" i="105"/>
  <c r="BA49" i="105"/>
  <c r="BR49" i="105"/>
  <c r="BL49" i="105"/>
  <c r="AU49" i="105"/>
  <c r="M317" i="59"/>
  <c r="H317" i="59"/>
  <c r="K69" i="114"/>
  <c r="G48" i="114"/>
  <c r="F58" i="114"/>
  <c r="F89" i="114"/>
  <c r="F54" i="114"/>
  <c r="F87" i="114"/>
  <c r="P372" i="59"/>
  <c r="I423" i="59"/>
  <c r="O372" i="59"/>
  <c r="M53" i="114"/>
  <c r="M86" i="114"/>
  <c r="M57" i="114"/>
  <c r="M88" i="114"/>
  <c r="N53" i="114"/>
  <c r="N86" i="114"/>
  <c r="N57" i="114"/>
  <c r="N88" i="114"/>
  <c r="BJ72" i="78"/>
  <c r="J46" i="114"/>
  <c r="K47" i="114"/>
  <c r="J66" i="114"/>
  <c r="J42" i="114"/>
  <c r="J67" i="114"/>
  <c r="O49" i="114"/>
  <c r="L48" i="114"/>
  <c r="L49" i="114"/>
  <c r="K58" i="114"/>
  <c r="K89" i="114"/>
  <c r="K54" i="114"/>
  <c r="K87" i="114"/>
  <c r="F69" i="114"/>
  <c r="I54" i="114"/>
  <c r="I87" i="114"/>
  <c r="J48" i="114"/>
  <c r="I58" i="114"/>
  <c r="I89" i="114"/>
  <c r="I47" i="114"/>
  <c r="I49" i="114"/>
  <c r="I69" i="114"/>
  <c r="G47" i="114"/>
  <c r="G49" i="114"/>
  <c r="H48" i="114"/>
  <c r="H49" i="114"/>
  <c r="G54" i="114"/>
  <c r="G87" i="114"/>
  <c r="G58" i="114"/>
  <c r="G89" i="114"/>
  <c r="AK72" i="78"/>
  <c r="G43" i="114"/>
  <c r="G68" i="114"/>
  <c r="BL71" i="78"/>
  <c r="M66" i="59"/>
  <c r="I66" i="59"/>
  <c r="H66" i="59"/>
  <c r="F49" i="105"/>
  <c r="L53" i="105"/>
  <c r="M53" i="105"/>
  <c r="J96" i="105"/>
  <c r="I49" i="105"/>
  <c r="L170" i="59"/>
  <c r="W53" i="105"/>
  <c r="S53" i="105"/>
  <c r="J49" i="105"/>
  <c r="I96" i="105"/>
  <c r="L312" i="59"/>
  <c r="K66" i="59"/>
  <c r="L100" i="105"/>
  <c r="M100" i="105"/>
  <c r="W100" i="105"/>
  <c r="U53" i="105"/>
  <c r="U100" i="105"/>
  <c r="F96" i="105"/>
  <c r="S100" i="105"/>
  <c r="J43" i="114"/>
  <c r="J68" i="114"/>
  <c r="BJ96" i="105"/>
  <c r="BV96" i="105"/>
  <c r="AS96" i="105"/>
  <c r="P96" i="105"/>
  <c r="AZ100" i="105"/>
  <c r="BQ100" i="105"/>
  <c r="AY100" i="105"/>
  <c r="BP100" i="105"/>
  <c r="L317" i="59"/>
  <c r="AV96" i="105"/>
  <c r="BM96" i="105"/>
  <c r="BN96" i="105"/>
  <c r="CD96" i="105"/>
  <c r="CQ96" i="105"/>
  <c r="AW49" i="105"/>
  <c r="BN49" i="105"/>
  <c r="AV49" i="105"/>
  <c r="BM49" i="105"/>
  <c r="CA96" i="105"/>
  <c r="CN96" i="105"/>
  <c r="AW96" i="105"/>
  <c r="BQ53" i="105"/>
  <c r="AZ53" i="105"/>
  <c r="BP53" i="105"/>
  <c r="AY53" i="105"/>
  <c r="AS49" i="105"/>
  <c r="BJ49" i="105"/>
  <c r="BV49" i="105"/>
  <c r="P49" i="105"/>
  <c r="H53" i="114"/>
  <c r="H86" i="114"/>
  <c r="H57" i="114"/>
  <c r="H88" i="114"/>
  <c r="L57" i="114"/>
  <c r="L88" i="114"/>
  <c r="L53" i="114"/>
  <c r="L86" i="114"/>
  <c r="J58" i="114"/>
  <c r="J89" i="114"/>
  <c r="J54" i="114"/>
  <c r="J87" i="114"/>
  <c r="K48" i="114"/>
  <c r="K49" i="114"/>
  <c r="J47" i="114"/>
  <c r="J49" i="114"/>
  <c r="BL72" i="78"/>
  <c r="Q372" i="59"/>
  <c r="R372" i="59"/>
  <c r="BW96" i="105"/>
  <c r="CJ96" i="105"/>
  <c r="G57" i="114"/>
  <c r="G88" i="114"/>
  <c r="G53" i="114"/>
  <c r="G86" i="114"/>
  <c r="I53" i="114"/>
  <c r="I86" i="114"/>
  <c r="I57" i="114"/>
  <c r="I88" i="114"/>
  <c r="O57" i="114"/>
  <c r="O88" i="114"/>
  <c r="O53" i="114"/>
  <c r="O86" i="114"/>
  <c r="J69" i="114"/>
  <c r="G69" i="114"/>
  <c r="BX49" i="105"/>
  <c r="CK49" i="105"/>
  <c r="CD49" i="105"/>
  <c r="CQ49" i="105"/>
  <c r="BX96" i="105"/>
  <c r="CK96" i="105"/>
  <c r="CA49" i="105"/>
  <c r="CN49" i="105"/>
  <c r="BW49" i="105"/>
  <c r="CJ49" i="105"/>
  <c r="L66" i="59"/>
  <c r="G100" i="105"/>
  <c r="K53" i="105"/>
  <c r="V100" i="105"/>
  <c r="F53" i="105"/>
  <c r="H100" i="105"/>
  <c r="N53" i="105"/>
  <c r="G53" i="105"/>
  <c r="K100" i="105"/>
  <c r="V53" i="105"/>
  <c r="F100" i="105"/>
  <c r="H53" i="105"/>
  <c r="N100" i="105"/>
  <c r="BR100" i="105"/>
  <c r="BA100" i="105"/>
  <c r="AU53" i="105"/>
  <c r="BL53" i="105"/>
  <c r="BJ100" i="105"/>
  <c r="BV100" i="105"/>
  <c r="AS100" i="105"/>
  <c r="AC53" i="105"/>
  <c r="AX100" i="105"/>
  <c r="BO100" i="105"/>
  <c r="AT53" i="105"/>
  <c r="BK53" i="105"/>
  <c r="BR53" i="105"/>
  <c r="BA53" i="105"/>
  <c r="AU100" i="105"/>
  <c r="BL100" i="105"/>
  <c r="BJ53" i="105"/>
  <c r="BV53" i="105"/>
  <c r="AS53" i="105"/>
  <c r="AC100" i="105"/>
  <c r="AX53" i="105"/>
  <c r="BO53" i="105"/>
  <c r="AT100" i="105"/>
  <c r="BK100" i="105"/>
  <c r="BW100" i="105"/>
  <c r="CJ100" i="105"/>
  <c r="K53" i="114"/>
  <c r="K86" i="114"/>
  <c r="K57" i="114"/>
  <c r="K88" i="114"/>
  <c r="J57" i="114"/>
  <c r="J88" i="114"/>
  <c r="J53" i="114"/>
  <c r="J86" i="114"/>
  <c r="BC49" i="105"/>
  <c r="C42" i="108"/>
  <c r="BC96" i="105"/>
  <c r="E42" i="108"/>
  <c r="D42" i="108"/>
  <c r="BZ96" i="105"/>
  <c r="CM96" i="105"/>
  <c r="CI49" i="105"/>
  <c r="BY49" i="105"/>
  <c r="CL49" i="105"/>
  <c r="CB49" i="105"/>
  <c r="CO49" i="105"/>
  <c r="CC49" i="105"/>
  <c r="CP49" i="105"/>
  <c r="BY96" i="105"/>
  <c r="CL96" i="105"/>
  <c r="CB96" i="105"/>
  <c r="CO96" i="105"/>
  <c r="CC96" i="105"/>
  <c r="CP96" i="105"/>
  <c r="CI96" i="105"/>
  <c r="BZ49" i="105"/>
  <c r="CM49" i="105"/>
  <c r="J53" i="105"/>
  <c r="I100" i="105"/>
  <c r="J100" i="105"/>
  <c r="I53" i="105"/>
  <c r="CS96" i="105"/>
  <c r="CF96" i="105"/>
  <c r="BW53" i="105"/>
  <c r="CJ53" i="105"/>
  <c r="BM53" i="105"/>
  <c r="AV53" i="105"/>
  <c r="P53" i="105"/>
  <c r="AW100" i="105"/>
  <c r="BN100" i="105"/>
  <c r="AV100" i="105"/>
  <c r="BM100" i="105"/>
  <c r="P100" i="105"/>
  <c r="AW53" i="105"/>
  <c r="BN53" i="105"/>
  <c r="CD53" i="105"/>
  <c r="CQ53" i="105"/>
  <c r="CI53" i="105"/>
  <c r="CI100" i="105"/>
  <c r="CS49" i="105"/>
  <c r="CA53" i="105"/>
  <c r="CN53" i="105"/>
  <c r="CD100" i="105"/>
  <c r="CQ100" i="105"/>
  <c r="BC53" i="105"/>
  <c r="C46" i="108"/>
  <c r="E46" i="108"/>
  <c r="BC100" i="105"/>
  <c r="CF49" i="105"/>
  <c r="BX100" i="105"/>
  <c r="CK100" i="105"/>
  <c r="CA100" i="105"/>
  <c r="CN100" i="105"/>
  <c r="BX53" i="105"/>
  <c r="CK53" i="105"/>
  <c r="BZ53" i="105"/>
  <c r="CM53" i="105"/>
  <c r="BY100" i="105"/>
  <c r="CL100" i="105"/>
  <c r="CC100" i="105"/>
  <c r="CP100" i="105"/>
  <c r="CB100" i="105"/>
  <c r="CO100" i="105"/>
  <c r="BY53" i="105"/>
  <c r="CL53" i="105"/>
  <c r="CC53" i="105"/>
  <c r="CP53" i="105"/>
  <c r="CB53" i="105"/>
  <c r="CO53" i="105"/>
  <c r="CS53" i="105"/>
  <c r="D46" i="108"/>
  <c r="CF53" i="105"/>
  <c r="BZ100" i="105"/>
  <c r="CM100" i="105"/>
  <c r="CS100" i="105"/>
  <c r="CF100" i="105"/>
  <c r="CA8" i="60"/>
  <c r="CD8" i="60"/>
  <c r="H15" i="22"/>
  <c r="H16" i="22"/>
  <c r="H181" i="22"/>
  <c r="H184" i="22"/>
  <c r="H186" i="22"/>
  <c r="H188" i="22"/>
  <c r="H191" i="22"/>
  <c r="H193" i="22"/>
  <c r="H201" i="22"/>
  <c r="H203" i="22"/>
  <c r="H218" i="22"/>
  <c r="H222" i="22"/>
  <c r="H234" i="22"/>
  <c r="H241" i="22"/>
  <c r="H312" i="22"/>
  <c r="T12" i="105"/>
  <c r="G15" i="22"/>
  <c r="G16" i="22"/>
  <c r="G181" i="22"/>
  <c r="G184" i="22"/>
  <c r="G186" i="22"/>
  <c r="G188" i="22"/>
  <c r="G191" i="22"/>
  <c r="G193" i="22"/>
  <c r="G201" i="22"/>
  <c r="G203" i="22"/>
  <c r="G218" i="22"/>
  <c r="H221" i="22"/>
  <c r="H224" i="22"/>
  <c r="H225" i="22"/>
  <c r="G234" i="22"/>
  <c r="H236" i="22"/>
  <c r="H237" i="22"/>
  <c r="H240" i="22"/>
  <c r="H311" i="22"/>
  <c r="G12" i="105"/>
  <c r="BK12" i="105"/>
  <c r="F15" i="22"/>
  <c r="F16" i="22"/>
  <c r="F181" i="22"/>
  <c r="F184" i="22"/>
  <c r="F186" i="22"/>
  <c r="F188" i="22"/>
  <c r="F191" i="22"/>
  <c r="F193" i="22"/>
  <c r="F201" i="22"/>
  <c r="F203" i="22"/>
  <c r="F218" i="22"/>
  <c r="G221" i="22"/>
  <c r="G240" i="22"/>
  <c r="G311" i="22"/>
  <c r="F12" i="105"/>
  <c r="BJ12" i="105"/>
  <c r="BW12" i="105"/>
  <c r="CJ12" i="105"/>
  <c r="H194" i="22"/>
  <c r="H195" i="22"/>
  <c r="H197" i="22"/>
  <c r="H256" i="22"/>
  <c r="AG25" i="105"/>
  <c r="CJ25" i="105"/>
  <c r="H255" i="22"/>
  <c r="T30" i="105"/>
  <c r="AG30" i="105"/>
  <c r="G255" i="22"/>
  <c r="G30" i="105"/>
  <c r="BK30" i="105"/>
  <c r="F255" i="22"/>
  <c r="F30" i="105"/>
  <c r="BJ30" i="105"/>
  <c r="BW30" i="105"/>
  <c r="CJ30" i="105"/>
  <c r="H246" i="22"/>
  <c r="H315" i="22"/>
  <c r="T59" i="105"/>
  <c r="H245" i="22"/>
  <c r="H314" i="22"/>
  <c r="G59" i="105"/>
  <c r="BK59" i="105"/>
  <c r="G245" i="22"/>
  <c r="G314" i="22"/>
  <c r="F59" i="105"/>
  <c r="BJ59" i="105"/>
  <c r="BW59" i="105"/>
  <c r="CJ59" i="105"/>
  <c r="AG72" i="105"/>
  <c r="CJ72" i="105"/>
  <c r="T77" i="105"/>
  <c r="AG77" i="105"/>
  <c r="G77" i="105"/>
  <c r="BK77" i="105"/>
  <c r="F77" i="105"/>
  <c r="BJ77" i="105"/>
  <c r="BW77" i="105"/>
  <c r="CJ77" i="105"/>
  <c r="H295" i="22"/>
  <c r="H217" i="22"/>
  <c r="H288" i="22"/>
  <c r="T79" i="105"/>
  <c r="G295" i="22"/>
  <c r="G217" i="22"/>
  <c r="G288" i="22"/>
  <c r="G79" i="105"/>
  <c r="BK79" i="105"/>
  <c r="F295" i="22"/>
  <c r="F217" i="22"/>
  <c r="F288" i="22"/>
  <c r="F79" i="105"/>
  <c r="BJ79" i="105"/>
  <c r="BW79" i="105"/>
  <c r="CJ79" i="105"/>
  <c r="I15" i="22"/>
  <c r="I16" i="22"/>
  <c r="I181" i="22"/>
  <c r="I184" i="22"/>
  <c r="I186" i="22"/>
  <c r="I188" i="22"/>
  <c r="I191" i="22"/>
  <c r="I193" i="22"/>
  <c r="I201" i="22"/>
  <c r="I203" i="22"/>
  <c r="I255" i="22"/>
  <c r="I218" i="22"/>
  <c r="I295" i="22"/>
  <c r="I217" i="22"/>
  <c r="I288" i="22"/>
  <c r="U79" i="105"/>
  <c r="H79" i="105"/>
  <c r="BL79" i="105"/>
  <c r="BX79" i="105"/>
  <c r="CK79" i="105"/>
  <c r="J15" i="22"/>
  <c r="J16" i="22"/>
  <c r="J181" i="22"/>
  <c r="J184" i="22"/>
  <c r="J186" i="22"/>
  <c r="J188" i="22"/>
  <c r="J191" i="22"/>
  <c r="J193" i="22"/>
  <c r="J201" i="22"/>
  <c r="J203" i="22"/>
  <c r="J255" i="22"/>
  <c r="J218" i="22"/>
  <c r="J295" i="22"/>
  <c r="J217" i="22"/>
  <c r="J288" i="22"/>
  <c r="V79" i="105"/>
  <c r="I79" i="105"/>
  <c r="BM79" i="105"/>
  <c r="BY79" i="105"/>
  <c r="CL79" i="105"/>
  <c r="K15" i="22"/>
  <c r="K16" i="22"/>
  <c r="K181" i="22"/>
  <c r="K184" i="22"/>
  <c r="K186" i="22"/>
  <c r="K188" i="22"/>
  <c r="K193" i="22"/>
  <c r="K201" i="22"/>
  <c r="K203" i="22"/>
  <c r="K255" i="22"/>
  <c r="K218" i="22"/>
  <c r="K295" i="22"/>
  <c r="K217" i="22"/>
  <c r="K288" i="22"/>
  <c r="W79" i="105"/>
  <c r="J79" i="105"/>
  <c r="BN79" i="105"/>
  <c r="BZ79" i="105"/>
  <c r="CM79" i="105"/>
  <c r="L15" i="22"/>
  <c r="L16" i="22"/>
  <c r="L181" i="22"/>
  <c r="L184" i="22"/>
  <c r="L186" i="22"/>
  <c r="L188" i="22"/>
  <c r="L193" i="22"/>
  <c r="L201" i="22"/>
  <c r="L203" i="22"/>
  <c r="L255" i="22"/>
  <c r="L218" i="22"/>
  <c r="L295" i="22"/>
  <c r="L217" i="22"/>
  <c r="L288" i="22"/>
  <c r="X79" i="105"/>
  <c r="K79" i="105"/>
  <c r="BO79" i="105"/>
  <c r="CA79" i="105"/>
  <c r="CN79" i="105"/>
  <c r="M15" i="22"/>
  <c r="M16" i="22"/>
  <c r="M181" i="22"/>
  <c r="M184" i="22"/>
  <c r="M186" i="22"/>
  <c r="M188" i="22"/>
  <c r="M193" i="22"/>
  <c r="M201" i="22"/>
  <c r="M203" i="22"/>
  <c r="M255" i="22"/>
  <c r="M218" i="22"/>
  <c r="M295" i="22"/>
  <c r="M217" i="22"/>
  <c r="M288" i="22"/>
  <c r="Y79" i="105"/>
  <c r="L79" i="105"/>
  <c r="BP79" i="105"/>
  <c r="CB79" i="105"/>
  <c r="CO79" i="105"/>
  <c r="N15" i="22"/>
  <c r="N16" i="22"/>
  <c r="N181" i="22"/>
  <c r="N184" i="22"/>
  <c r="N186" i="22"/>
  <c r="N188" i="22"/>
  <c r="N193" i="22"/>
  <c r="N201" i="22"/>
  <c r="N203" i="22"/>
  <c r="N255" i="22"/>
  <c r="N218" i="22"/>
  <c r="N295" i="22"/>
  <c r="N217" i="22"/>
  <c r="N288" i="22"/>
  <c r="Z79" i="105"/>
  <c r="M79" i="105"/>
  <c r="BQ79" i="105"/>
  <c r="CC79" i="105"/>
  <c r="CP79" i="105"/>
  <c r="S50" i="78"/>
  <c r="S51" i="78"/>
  <c r="S74" i="78"/>
  <c r="S78" i="78"/>
  <c r="S80" i="78"/>
  <c r="O15" i="22"/>
  <c r="S90" i="78"/>
  <c r="T91" i="78"/>
  <c r="T93" i="78"/>
  <c r="T74" i="78"/>
  <c r="T78" i="78"/>
  <c r="T80" i="78"/>
  <c r="O16" i="22"/>
  <c r="O181" i="22"/>
  <c r="O184" i="22"/>
  <c r="O186" i="22"/>
  <c r="O188" i="22"/>
  <c r="O193" i="22"/>
  <c r="O201" i="22"/>
  <c r="O203" i="22"/>
  <c r="O255" i="22"/>
  <c r="T81" i="78"/>
  <c r="T82" i="78"/>
  <c r="T84" i="78"/>
  <c r="T101" i="78"/>
  <c r="S84" i="78"/>
  <c r="S101" i="78"/>
  <c r="T103" i="78"/>
  <c r="O218" i="22"/>
  <c r="O295" i="22"/>
  <c r="O217" i="22"/>
  <c r="O288" i="22"/>
  <c r="AA79" i="105"/>
  <c r="N79" i="105"/>
  <c r="BR79" i="105"/>
  <c r="CD79" i="105"/>
  <c r="CQ79" i="105"/>
  <c r="S79" i="105"/>
  <c r="BV79" i="105"/>
  <c r="CI79" i="105"/>
  <c r="CS79" i="105"/>
  <c r="J222" i="22"/>
  <c r="J234" i="22"/>
  <c r="J246" i="22"/>
  <c r="J315" i="22"/>
  <c r="V59" i="105"/>
  <c r="J221" i="22"/>
  <c r="I234" i="22"/>
  <c r="J236" i="22"/>
  <c r="J237" i="22"/>
  <c r="J245" i="22"/>
  <c r="J314" i="22"/>
  <c r="I59" i="105"/>
  <c r="BM59" i="105"/>
  <c r="I221" i="22"/>
  <c r="I224" i="22"/>
  <c r="I225" i="22"/>
  <c r="I236" i="22"/>
  <c r="I237" i="22"/>
  <c r="I245" i="22"/>
  <c r="I314" i="22"/>
  <c r="H59" i="105"/>
  <c r="BL59" i="105"/>
  <c r="BY59" i="105"/>
  <c r="CL59" i="105"/>
  <c r="J194" i="22"/>
  <c r="J195" i="22"/>
  <c r="J197" i="22"/>
  <c r="J256" i="22"/>
  <c r="AI72" i="105"/>
  <c r="CL72" i="105"/>
  <c r="V77" i="105"/>
  <c r="AI77" i="105"/>
  <c r="I77" i="105"/>
  <c r="BM77" i="105"/>
  <c r="H77" i="105"/>
  <c r="BL77" i="105"/>
  <c r="BY77" i="105"/>
  <c r="CL77" i="105"/>
  <c r="T32" i="105"/>
  <c r="G32" i="105"/>
  <c r="BK32" i="105"/>
  <c r="F32" i="105"/>
  <c r="BJ32" i="105"/>
  <c r="BW32" i="105"/>
  <c r="CJ32" i="105"/>
  <c r="U32" i="105"/>
  <c r="H32" i="105"/>
  <c r="BL32" i="105"/>
  <c r="BX32" i="105"/>
  <c r="CK32" i="105"/>
  <c r="V32" i="105"/>
  <c r="I32" i="105"/>
  <c r="BM32" i="105"/>
  <c r="BY32" i="105"/>
  <c r="CL32" i="105"/>
  <c r="W32" i="105"/>
  <c r="J32" i="105"/>
  <c r="BN32" i="105"/>
  <c r="BZ32" i="105"/>
  <c r="CM32" i="105"/>
  <c r="X32" i="105"/>
  <c r="K32" i="105"/>
  <c r="BO32" i="105"/>
  <c r="CA32" i="105"/>
  <c r="CN32" i="105"/>
  <c r="Y32" i="105"/>
  <c r="L32" i="105"/>
  <c r="BP32" i="105"/>
  <c r="CB32" i="105"/>
  <c r="CO32" i="105"/>
  <c r="Z32" i="105"/>
  <c r="M32" i="105"/>
  <c r="BQ32" i="105"/>
  <c r="CC32" i="105"/>
  <c r="CP32" i="105"/>
  <c r="AA32" i="105"/>
  <c r="N32" i="105"/>
  <c r="BR32" i="105"/>
  <c r="CD32" i="105"/>
  <c r="CQ32" i="105"/>
  <c r="S32" i="105"/>
  <c r="BV32" i="105"/>
  <c r="CI32" i="105"/>
  <c r="CS32" i="105"/>
  <c r="J241" i="22"/>
  <c r="J312" i="22"/>
  <c r="V12" i="105"/>
  <c r="J240" i="22"/>
  <c r="J311" i="22"/>
  <c r="I12" i="105"/>
  <c r="BM12" i="105"/>
  <c r="I240" i="22"/>
  <c r="I311" i="22"/>
  <c r="H12" i="105"/>
  <c r="BL12" i="105"/>
  <c r="BY12" i="105"/>
  <c r="CL12" i="105"/>
  <c r="AI25" i="105"/>
  <c r="CL25" i="105"/>
  <c r="V30" i="105"/>
  <c r="AI30" i="105"/>
  <c r="I30" i="105"/>
  <c r="BM30" i="105"/>
  <c r="H30" i="105"/>
  <c r="BL30" i="105"/>
  <c r="BY30" i="105"/>
  <c r="CL30" i="105"/>
  <c r="AT59" i="105"/>
  <c r="AT72" i="105"/>
  <c r="AT77" i="105"/>
  <c r="AT12" i="105"/>
  <c r="AT25" i="105"/>
  <c r="AT30" i="105"/>
  <c r="O222" i="22"/>
  <c r="O234" i="22"/>
  <c r="O241" i="22"/>
  <c r="O312" i="22"/>
  <c r="AA12" i="105"/>
  <c r="O221" i="22"/>
  <c r="N234" i="22"/>
  <c r="O235" i="22"/>
  <c r="O236" i="22"/>
  <c r="O237" i="22"/>
  <c r="O240" i="22"/>
  <c r="O311" i="22"/>
  <c r="N12" i="105"/>
  <c r="BR12" i="105"/>
  <c r="K221" i="22"/>
  <c r="K234" i="22"/>
  <c r="K236" i="22"/>
  <c r="K237" i="22"/>
  <c r="K240" i="22"/>
  <c r="K311" i="22"/>
  <c r="J12" i="105"/>
  <c r="BN12" i="105"/>
  <c r="L221" i="22"/>
  <c r="L234" i="22"/>
  <c r="L235" i="22"/>
  <c r="L236" i="22"/>
  <c r="L237" i="22"/>
  <c r="L240" i="22"/>
  <c r="L311" i="22"/>
  <c r="K12" i="105"/>
  <c r="BO12" i="105"/>
  <c r="M221" i="22"/>
  <c r="M234" i="22"/>
  <c r="M235" i="22"/>
  <c r="M236" i="22"/>
  <c r="M237" i="22"/>
  <c r="M240" i="22"/>
  <c r="M311" i="22"/>
  <c r="L12" i="105"/>
  <c r="BP12" i="105"/>
  <c r="N221" i="22"/>
  <c r="N235" i="22"/>
  <c r="N236" i="22"/>
  <c r="N237" i="22"/>
  <c r="N240" i="22"/>
  <c r="N311" i="22"/>
  <c r="M12" i="105"/>
  <c r="BQ12" i="105"/>
  <c r="CD12" i="105"/>
  <c r="CQ12" i="105"/>
  <c r="U50" i="78"/>
  <c r="U51" i="78"/>
  <c r="O194" i="22"/>
  <c r="O195" i="22"/>
  <c r="O197" i="22"/>
  <c r="O256" i="22"/>
  <c r="U81" i="78"/>
  <c r="U82" i="78"/>
  <c r="U84" i="78"/>
  <c r="U95" i="78"/>
  <c r="U97" i="78"/>
  <c r="V50" i="78"/>
  <c r="V51" i="78"/>
  <c r="V84" i="78"/>
  <c r="V95" i="78"/>
  <c r="V97" i="78"/>
  <c r="AN25" i="105"/>
  <c r="CQ25" i="105"/>
  <c r="AA30" i="105"/>
  <c r="AN30" i="105"/>
  <c r="N30" i="105"/>
  <c r="BR30" i="105"/>
  <c r="J30" i="105"/>
  <c r="BN30" i="105"/>
  <c r="K30" i="105"/>
  <c r="BO30" i="105"/>
  <c r="L30" i="105"/>
  <c r="BP30" i="105"/>
  <c r="M30" i="105"/>
  <c r="BQ30" i="105"/>
  <c r="CD30" i="105"/>
  <c r="CQ30" i="105"/>
  <c r="N222" i="22"/>
  <c r="N246" i="22"/>
  <c r="N315" i="22"/>
  <c r="Z59" i="105"/>
  <c r="N245" i="22"/>
  <c r="N314" i="22"/>
  <c r="M59" i="105"/>
  <c r="BQ59" i="105"/>
  <c r="K245" i="22"/>
  <c r="K314" i="22"/>
  <c r="J59" i="105"/>
  <c r="BN59" i="105"/>
  <c r="L245" i="22"/>
  <c r="L314" i="22"/>
  <c r="K59" i="105"/>
  <c r="BO59" i="105"/>
  <c r="M245" i="22"/>
  <c r="M314" i="22"/>
  <c r="L59" i="105"/>
  <c r="BP59" i="105"/>
  <c r="CC59" i="105"/>
  <c r="CP59" i="105"/>
  <c r="N194" i="22"/>
  <c r="N195" i="22"/>
  <c r="N197" i="22"/>
  <c r="N256" i="22"/>
  <c r="AM72" i="105"/>
  <c r="CP72" i="105"/>
  <c r="Z77" i="105"/>
  <c r="AM77" i="105"/>
  <c r="M77" i="105"/>
  <c r="BQ77" i="105"/>
  <c r="J77" i="105"/>
  <c r="BN77" i="105"/>
  <c r="K77" i="105"/>
  <c r="BO77" i="105"/>
  <c r="L77" i="105"/>
  <c r="BP77" i="105"/>
  <c r="CC77" i="105"/>
  <c r="CP77" i="105"/>
  <c r="CF32" i="105"/>
  <c r="L222" i="22"/>
  <c r="L241" i="22"/>
  <c r="L312" i="22"/>
  <c r="X12" i="105"/>
  <c r="CA12" i="105"/>
  <c r="CN12" i="105"/>
  <c r="L194" i="22"/>
  <c r="L195" i="22"/>
  <c r="L197" i="22"/>
  <c r="L256" i="22"/>
  <c r="AK25" i="105"/>
  <c r="CN25" i="105"/>
  <c r="X30" i="105"/>
  <c r="AK30" i="105"/>
  <c r="CA30" i="105"/>
  <c r="CN30" i="105"/>
  <c r="BO50" i="78"/>
  <c r="BO51" i="78"/>
  <c r="O204" i="22"/>
  <c r="O205" i="22"/>
  <c r="O207" i="22"/>
  <c r="O210" i="22"/>
  <c r="O269" i="22"/>
  <c r="BO81" i="78"/>
  <c r="BO82" i="78"/>
  <c r="BO84" i="78"/>
  <c r="BO92" i="78"/>
  <c r="BO93" i="78"/>
  <c r="BO106" i="78"/>
  <c r="BO109" i="78"/>
  <c r="BP50" i="78"/>
  <c r="BP51" i="78"/>
  <c r="O211" i="22"/>
  <c r="O270" i="22"/>
  <c r="BP81" i="78"/>
  <c r="BP82" i="78"/>
  <c r="BP84" i="78"/>
  <c r="BP92" i="78"/>
  <c r="BP93" i="78"/>
  <c r="BP106" i="78"/>
  <c r="BP109" i="78"/>
  <c r="BQ50" i="78"/>
  <c r="BQ51" i="78"/>
  <c r="O212" i="22"/>
  <c r="O271" i="22"/>
  <c r="BQ81" i="78"/>
  <c r="BQ82" i="78"/>
  <c r="BQ84" i="78"/>
  <c r="BQ92" i="78"/>
  <c r="BQ93" i="78"/>
  <c r="BQ106" i="78"/>
  <c r="BQ109" i="78"/>
  <c r="Q178" i="59"/>
  <c r="W50" i="78"/>
  <c r="W51" i="78"/>
  <c r="O258" i="22"/>
  <c r="W81" i="78"/>
  <c r="W82" i="78"/>
  <c r="W84" i="78"/>
  <c r="W95" i="78"/>
  <c r="W97" i="78"/>
  <c r="W98" i="78"/>
  <c r="W99" i="78"/>
  <c r="W101" i="78"/>
  <c r="O11" i="116"/>
  <c r="O51" i="116"/>
  <c r="F204" i="22"/>
  <c r="F205" i="22"/>
  <c r="F207" i="22"/>
  <c r="F258" i="22"/>
  <c r="F11" i="116"/>
  <c r="F51" i="116"/>
  <c r="O60" i="116"/>
  <c r="O104" i="116"/>
  <c r="BT102" i="78"/>
  <c r="BT104" i="78"/>
  <c r="BT106" i="78"/>
  <c r="BT109" i="78"/>
  <c r="Q179" i="59"/>
  <c r="Q180" i="59"/>
  <c r="F194" i="22"/>
  <c r="F195" i="22"/>
  <c r="F197" i="22"/>
  <c r="F210" i="22"/>
  <c r="F269" i="22"/>
  <c r="F211" i="22"/>
  <c r="F270" i="22"/>
  <c r="F212" i="22"/>
  <c r="F271" i="22"/>
  <c r="H178" i="59"/>
  <c r="H180" i="59"/>
  <c r="AV12" i="105"/>
  <c r="AV25" i="105"/>
  <c r="AV30" i="105"/>
  <c r="N241" i="22"/>
  <c r="N312" i="22"/>
  <c r="Z12" i="105"/>
  <c r="CC12" i="105"/>
  <c r="CP12" i="105"/>
  <c r="AM25" i="105"/>
  <c r="CP25" i="105"/>
  <c r="Z30" i="105"/>
  <c r="AM30" i="105"/>
  <c r="CC30" i="105"/>
  <c r="CP30" i="105"/>
  <c r="O246" i="22"/>
  <c r="O315" i="22"/>
  <c r="AA59" i="105"/>
  <c r="O245" i="22"/>
  <c r="O314" i="22"/>
  <c r="N59" i="105"/>
  <c r="BR59" i="105"/>
  <c r="CD59" i="105"/>
  <c r="CQ59" i="105"/>
  <c r="AN72" i="105"/>
  <c r="CQ72" i="105"/>
  <c r="AA77" i="105"/>
  <c r="AN77" i="105"/>
  <c r="N77" i="105"/>
  <c r="BR77" i="105"/>
  <c r="CD77" i="105"/>
  <c r="CQ77" i="105"/>
  <c r="AV59" i="105"/>
  <c r="AV72" i="105"/>
  <c r="AV77" i="105"/>
  <c r="K222" i="22"/>
  <c r="K241" i="22"/>
  <c r="K312" i="22"/>
  <c r="W12" i="105"/>
  <c r="BZ12" i="105"/>
  <c r="CM12" i="105"/>
  <c r="K194" i="22"/>
  <c r="K195" i="22"/>
  <c r="K197" i="22"/>
  <c r="K256" i="22"/>
  <c r="AJ25" i="105"/>
  <c r="CM25" i="105"/>
  <c r="W30" i="105"/>
  <c r="AJ30" i="105"/>
  <c r="BZ30" i="105"/>
  <c r="CM30" i="105"/>
  <c r="CF79" i="105"/>
  <c r="L246" i="22"/>
  <c r="L315" i="22"/>
  <c r="X59" i="105"/>
  <c r="CA59" i="105"/>
  <c r="CN59" i="105"/>
  <c r="AK72" i="105"/>
  <c r="CN72" i="105"/>
  <c r="X77" i="105"/>
  <c r="AK77" i="105"/>
  <c r="CA77" i="105"/>
  <c r="CN77" i="105"/>
  <c r="K246" i="22"/>
  <c r="K315" i="22"/>
  <c r="W59" i="105"/>
  <c r="BZ59" i="105"/>
  <c r="CM59" i="105"/>
  <c r="AJ72" i="105"/>
  <c r="CM72" i="105"/>
  <c r="W77" i="105"/>
  <c r="AJ77" i="105"/>
  <c r="BZ77" i="105"/>
  <c r="CM77" i="105"/>
  <c r="K204" i="22"/>
  <c r="K205" i="22"/>
  <c r="K207" i="22"/>
  <c r="K210" i="22"/>
  <c r="K269" i="22"/>
  <c r="K211" i="22"/>
  <c r="K270" i="22"/>
  <c r="K212" i="22"/>
  <c r="K271" i="22"/>
  <c r="M178" i="59"/>
  <c r="K258" i="22"/>
  <c r="K11" i="116"/>
  <c r="K51" i="116"/>
  <c r="K60" i="116"/>
  <c r="K104" i="116"/>
  <c r="M179" i="59"/>
  <c r="M180" i="59"/>
  <c r="N204" i="22"/>
  <c r="N205" i="22"/>
  <c r="N207" i="22"/>
  <c r="N210" i="22"/>
  <c r="N269" i="22"/>
  <c r="N211" i="22"/>
  <c r="N270" i="22"/>
  <c r="N212" i="22"/>
  <c r="N271" i="22"/>
  <c r="P178" i="59"/>
  <c r="N258" i="22"/>
  <c r="N11" i="116"/>
  <c r="N51" i="116"/>
  <c r="N60" i="116"/>
  <c r="N104" i="116"/>
  <c r="P179" i="59"/>
  <c r="P180" i="59"/>
  <c r="AT32" i="105"/>
  <c r="AU32" i="105"/>
  <c r="AV32" i="105"/>
  <c r="AW32" i="105"/>
  <c r="AX32" i="105"/>
  <c r="AY32" i="105"/>
  <c r="AZ32" i="105"/>
  <c r="BA32" i="105"/>
  <c r="AS32" i="105"/>
  <c r="BC32" i="105"/>
  <c r="G194" i="22"/>
  <c r="G195" i="22"/>
  <c r="G197" i="22"/>
  <c r="G204" i="22"/>
  <c r="G205" i="22"/>
  <c r="G207" i="22"/>
  <c r="G210" i="22"/>
  <c r="G269" i="22"/>
  <c r="G211" i="22"/>
  <c r="G270" i="22"/>
  <c r="G212" i="22"/>
  <c r="G271" i="22"/>
  <c r="I178" i="59"/>
  <c r="G258" i="22"/>
  <c r="G11" i="116"/>
  <c r="G51" i="116"/>
  <c r="G60" i="116"/>
  <c r="G104" i="116"/>
  <c r="I179" i="59"/>
  <c r="I180" i="59"/>
  <c r="AT79" i="105"/>
  <c r="AU79" i="105"/>
  <c r="AV79" i="105"/>
  <c r="AW79" i="105"/>
  <c r="AX79" i="105"/>
  <c r="AY79" i="105"/>
  <c r="AZ79" i="105"/>
  <c r="BA79" i="105"/>
  <c r="AS79" i="105"/>
  <c r="BC79" i="105"/>
  <c r="M222" i="22"/>
  <c r="M241" i="22"/>
  <c r="M312" i="22"/>
  <c r="Y12" i="105"/>
  <c r="CB12" i="105"/>
  <c r="CO12" i="105"/>
  <c r="M194" i="22"/>
  <c r="M195" i="22"/>
  <c r="M197" i="22"/>
  <c r="M256" i="22"/>
  <c r="AL25" i="105"/>
  <c r="CO25" i="105"/>
  <c r="Y30" i="105"/>
  <c r="AL30" i="105"/>
  <c r="CB30" i="105"/>
  <c r="CO30" i="105"/>
  <c r="M246" i="22"/>
  <c r="M315" i="22"/>
  <c r="Y59" i="105"/>
  <c r="CB59" i="105"/>
  <c r="CO59" i="105"/>
  <c r="AL72" i="105"/>
  <c r="CO72" i="105"/>
  <c r="Y77" i="105"/>
  <c r="AL77" i="105"/>
  <c r="CB77" i="105"/>
  <c r="CO77" i="105"/>
  <c r="I194" i="22"/>
  <c r="I195" i="22"/>
  <c r="I197" i="22"/>
  <c r="I204" i="22"/>
  <c r="I205" i="22"/>
  <c r="I207" i="22"/>
  <c r="I210" i="22"/>
  <c r="I269" i="22"/>
  <c r="I211" i="22"/>
  <c r="I270" i="22"/>
  <c r="I212" i="22"/>
  <c r="I271" i="22"/>
  <c r="K178" i="59"/>
  <c r="I258" i="22"/>
  <c r="I11" i="116"/>
  <c r="I51" i="116"/>
  <c r="I60" i="116"/>
  <c r="I104" i="116"/>
  <c r="K179" i="59"/>
  <c r="K180" i="59"/>
  <c r="M204" i="22"/>
  <c r="M205" i="22"/>
  <c r="M207" i="22"/>
  <c r="M210" i="22"/>
  <c r="M269" i="22"/>
  <c r="M211" i="22"/>
  <c r="M270" i="22"/>
  <c r="M212" i="22"/>
  <c r="M271" i="22"/>
  <c r="O178" i="59"/>
  <c r="M258" i="22"/>
  <c r="M11" i="116"/>
  <c r="M51" i="116"/>
  <c r="M60" i="116"/>
  <c r="M104" i="116"/>
  <c r="O179" i="59"/>
  <c r="O180" i="59"/>
  <c r="J204" i="22"/>
  <c r="J205" i="22"/>
  <c r="J207" i="22"/>
  <c r="J210" i="22"/>
  <c r="J269" i="22"/>
  <c r="J211" i="22"/>
  <c r="J270" i="22"/>
  <c r="J212" i="22"/>
  <c r="J271" i="22"/>
  <c r="L178" i="59"/>
  <c r="J258" i="22"/>
  <c r="J11" i="116"/>
  <c r="J51" i="116"/>
  <c r="J60" i="116"/>
  <c r="J104" i="116"/>
  <c r="L179" i="59"/>
  <c r="L180" i="59"/>
  <c r="P156" i="59"/>
  <c r="O156" i="59"/>
  <c r="L204" i="22"/>
  <c r="L205" i="22"/>
  <c r="L207" i="22"/>
  <c r="L210" i="22"/>
  <c r="L269" i="22"/>
  <c r="L211" i="22"/>
  <c r="L270" i="22"/>
  <c r="L212" i="22"/>
  <c r="L271" i="22"/>
  <c r="N156" i="59"/>
  <c r="M156" i="59"/>
  <c r="L156" i="59"/>
  <c r="H204" i="22"/>
  <c r="H205" i="22"/>
  <c r="H207" i="22"/>
  <c r="H210" i="22"/>
  <c r="H269" i="22"/>
  <c r="H211" i="22"/>
  <c r="H270" i="22"/>
  <c r="H212" i="22"/>
  <c r="H271" i="22"/>
  <c r="J178" i="59"/>
  <c r="H258" i="22"/>
  <c r="H11" i="116"/>
  <c r="H51" i="116"/>
  <c r="H60" i="116"/>
  <c r="H104" i="116"/>
  <c r="J179" i="59"/>
  <c r="J180" i="59"/>
  <c r="N178" i="59"/>
  <c r="L258" i="22"/>
  <c r="L11" i="116"/>
  <c r="L51" i="116"/>
  <c r="L60" i="116"/>
  <c r="L104" i="116"/>
  <c r="N179" i="59"/>
  <c r="N180" i="59"/>
  <c r="DH82" i="78"/>
  <c r="BP33" i="60"/>
  <c r="DH104" i="78"/>
  <c r="BP43" i="60"/>
  <c r="DH51" i="78"/>
  <c r="BP36" i="60"/>
  <c r="AW12" i="105"/>
  <c r="AW25" i="105"/>
  <c r="AW30" i="105"/>
  <c r="BA12" i="105"/>
  <c r="BA25" i="105"/>
  <c r="BA30" i="105"/>
  <c r="AZ12" i="105"/>
  <c r="AZ25" i="105"/>
  <c r="AZ30" i="105"/>
  <c r="BA59" i="105"/>
  <c r="BA72" i="105"/>
  <c r="BA77" i="105"/>
  <c r="P79" i="105"/>
  <c r="AZ59" i="105"/>
  <c r="AZ72" i="105"/>
  <c r="AZ77" i="105"/>
  <c r="P32" i="105"/>
  <c r="AW59" i="105"/>
  <c r="AW72" i="105"/>
  <c r="AW77" i="105"/>
  <c r="H9" i="116"/>
  <c r="H48" i="116"/>
  <c r="H92" i="116"/>
  <c r="H9" i="107"/>
  <c r="H36" i="107"/>
  <c r="H10" i="116"/>
  <c r="H49" i="116"/>
  <c r="H93" i="116"/>
  <c r="H10" i="107"/>
  <c r="H37" i="107"/>
  <c r="H52" i="116"/>
  <c r="H53" i="116"/>
  <c r="H94" i="116"/>
  <c r="H11" i="107"/>
  <c r="H38" i="107"/>
  <c r="H39" i="107"/>
  <c r="H79" i="107"/>
  <c r="AG52" i="105"/>
  <c r="AG55" i="105"/>
  <c r="I256" i="22"/>
  <c r="AH25" i="105"/>
  <c r="AH30" i="105"/>
  <c r="I9" i="116"/>
  <c r="I48" i="116"/>
  <c r="I92" i="116"/>
  <c r="I9" i="107"/>
  <c r="I36" i="107"/>
  <c r="I10" i="116"/>
  <c r="I49" i="116"/>
  <c r="I93" i="116"/>
  <c r="I10" i="107"/>
  <c r="I37" i="107"/>
  <c r="I52" i="116"/>
  <c r="I53" i="116"/>
  <c r="I94" i="116"/>
  <c r="I11" i="107"/>
  <c r="I38" i="107"/>
  <c r="I39" i="107"/>
  <c r="I79" i="107"/>
  <c r="AH52" i="105"/>
  <c r="AH55" i="105"/>
  <c r="J9" i="116"/>
  <c r="J48" i="116"/>
  <c r="J92" i="116"/>
  <c r="J9" i="107"/>
  <c r="J36" i="107"/>
  <c r="J10" i="116"/>
  <c r="J49" i="116"/>
  <c r="J93" i="116"/>
  <c r="J10" i="107"/>
  <c r="J37" i="107"/>
  <c r="J52" i="116"/>
  <c r="J53" i="116"/>
  <c r="J94" i="116"/>
  <c r="J11" i="107"/>
  <c r="J38" i="107"/>
  <c r="J39" i="107"/>
  <c r="J79" i="107"/>
  <c r="AI52" i="105"/>
  <c r="AI55" i="105"/>
  <c r="K9" i="116"/>
  <c r="K48" i="116"/>
  <c r="K92" i="116"/>
  <c r="K9" i="107"/>
  <c r="K36" i="107"/>
  <c r="K10" i="116"/>
  <c r="K49" i="116"/>
  <c r="K93" i="116"/>
  <c r="K10" i="107"/>
  <c r="K37" i="107"/>
  <c r="K52" i="116"/>
  <c r="K53" i="116"/>
  <c r="K94" i="116"/>
  <c r="K11" i="107"/>
  <c r="K38" i="107"/>
  <c r="K39" i="107"/>
  <c r="K79" i="107"/>
  <c r="AJ52" i="105"/>
  <c r="AJ55" i="105"/>
  <c r="L9" i="116"/>
  <c r="L48" i="116"/>
  <c r="L92" i="116"/>
  <c r="L9" i="107"/>
  <c r="L36" i="107"/>
  <c r="L10" i="116"/>
  <c r="L49" i="116"/>
  <c r="L93" i="116"/>
  <c r="L10" i="107"/>
  <c r="L37" i="107"/>
  <c r="L52" i="116"/>
  <c r="L53" i="116"/>
  <c r="L94" i="116"/>
  <c r="L11" i="107"/>
  <c r="L38" i="107"/>
  <c r="L39" i="107"/>
  <c r="L79" i="107"/>
  <c r="AK52" i="105"/>
  <c r="AK55" i="105"/>
  <c r="M9" i="116"/>
  <c r="M48" i="116"/>
  <c r="M92" i="116"/>
  <c r="M9" i="107"/>
  <c r="M36" i="107"/>
  <c r="M10" i="116"/>
  <c r="M49" i="116"/>
  <c r="M93" i="116"/>
  <c r="M10" i="107"/>
  <c r="M37" i="107"/>
  <c r="M52" i="116"/>
  <c r="M53" i="116"/>
  <c r="M94" i="116"/>
  <c r="M11" i="107"/>
  <c r="M38" i="107"/>
  <c r="M39" i="107"/>
  <c r="M79" i="107"/>
  <c r="AL52" i="105"/>
  <c r="AL55" i="105"/>
  <c r="N9" i="116"/>
  <c r="N48" i="116"/>
  <c r="N92" i="116"/>
  <c r="N9" i="107"/>
  <c r="N36" i="107"/>
  <c r="N10" i="116"/>
  <c r="N49" i="116"/>
  <c r="N93" i="116"/>
  <c r="N10" i="107"/>
  <c r="N37" i="107"/>
  <c r="N52" i="116"/>
  <c r="N53" i="116"/>
  <c r="N94" i="116"/>
  <c r="N11" i="107"/>
  <c r="N38" i="107"/>
  <c r="N39" i="107"/>
  <c r="N79" i="107"/>
  <c r="AM52" i="105"/>
  <c r="AM55" i="105"/>
  <c r="U98" i="78"/>
  <c r="U99" i="78"/>
  <c r="U101" i="78"/>
  <c r="O9" i="116"/>
  <c r="O48" i="116"/>
  <c r="O92" i="116"/>
  <c r="X102" i="78"/>
  <c r="X103" i="78"/>
  <c r="AS103" i="78"/>
  <c r="AS104" i="78"/>
  <c r="AS106" i="78"/>
  <c r="AS109" i="78"/>
  <c r="O9" i="107"/>
  <c r="O36" i="107"/>
  <c r="V98" i="78"/>
  <c r="V99" i="78"/>
  <c r="V101" i="78"/>
  <c r="O10" i="116"/>
  <c r="O49" i="116"/>
  <c r="O93" i="116"/>
  <c r="Y102" i="78"/>
  <c r="Y103" i="78"/>
  <c r="AT103" i="78"/>
  <c r="AT104" i="78"/>
  <c r="AT106" i="78"/>
  <c r="AT109" i="78"/>
  <c r="O10" i="107"/>
  <c r="O37" i="107"/>
  <c r="O52" i="116"/>
  <c r="O53" i="116"/>
  <c r="O94" i="116"/>
  <c r="Z102" i="78"/>
  <c r="Z103" i="78"/>
  <c r="AU103" i="78"/>
  <c r="AU104" i="78"/>
  <c r="AU106" i="78"/>
  <c r="AU109" i="78"/>
  <c r="O11" i="107"/>
  <c r="O38" i="107"/>
  <c r="O39" i="107"/>
  <c r="O79" i="107"/>
  <c r="AN52" i="105"/>
  <c r="AN55" i="105"/>
  <c r="G256" i="22"/>
  <c r="AF25" i="105"/>
  <c r="AF30" i="105"/>
  <c r="G9" i="116"/>
  <c r="G48" i="116"/>
  <c r="G92" i="116"/>
  <c r="G9" i="107"/>
  <c r="G36" i="107"/>
  <c r="G10" i="116"/>
  <c r="G49" i="116"/>
  <c r="G93" i="116"/>
  <c r="G10" i="107"/>
  <c r="G37" i="107"/>
  <c r="G52" i="116"/>
  <c r="G53" i="116"/>
  <c r="G94" i="116"/>
  <c r="G11" i="107"/>
  <c r="G38" i="107"/>
  <c r="G39" i="107"/>
  <c r="G79" i="107"/>
  <c r="AF52" i="105"/>
  <c r="AF55" i="105"/>
  <c r="AP55" i="105"/>
  <c r="F56" i="108"/>
  <c r="K156" i="59"/>
  <c r="I222" i="22"/>
  <c r="I246" i="22"/>
  <c r="I315" i="22"/>
  <c r="U59" i="105"/>
  <c r="BX59" i="105"/>
  <c r="CK59" i="105"/>
  <c r="AH72" i="105"/>
  <c r="CK72" i="105"/>
  <c r="U77" i="105"/>
  <c r="AH77" i="105"/>
  <c r="BX77" i="105"/>
  <c r="CK77" i="105"/>
  <c r="I241" i="22"/>
  <c r="I312" i="22"/>
  <c r="U12" i="105"/>
  <c r="BX12" i="105"/>
  <c r="CK12" i="105"/>
  <c r="CK25" i="105"/>
  <c r="U30" i="105"/>
  <c r="BX30" i="105"/>
  <c r="CK30" i="105"/>
  <c r="AT52" i="105"/>
  <c r="AU52" i="105"/>
  <c r="AV52" i="105"/>
  <c r="AW52" i="105"/>
  <c r="AX52" i="105"/>
  <c r="AY52" i="105"/>
  <c r="AZ52" i="105"/>
  <c r="BA52" i="105"/>
  <c r="AS52" i="105"/>
  <c r="BC52" i="105"/>
  <c r="C45" i="108"/>
  <c r="H42" i="107"/>
  <c r="H43" i="107"/>
  <c r="H44" i="107"/>
  <c r="H45" i="107"/>
  <c r="H80" i="107"/>
  <c r="AG99" i="105"/>
  <c r="AT99" i="105"/>
  <c r="I42" i="107"/>
  <c r="I43" i="107"/>
  <c r="I44" i="107"/>
  <c r="I45" i="107"/>
  <c r="I80" i="107"/>
  <c r="AH99" i="105"/>
  <c r="AU99" i="105"/>
  <c r="J42" i="107"/>
  <c r="J43" i="107"/>
  <c r="J44" i="107"/>
  <c r="J45" i="107"/>
  <c r="J80" i="107"/>
  <c r="AI99" i="105"/>
  <c r="AV99" i="105"/>
  <c r="K42" i="107"/>
  <c r="K43" i="107"/>
  <c r="K44" i="107"/>
  <c r="K45" i="107"/>
  <c r="K80" i="107"/>
  <c r="AJ99" i="105"/>
  <c r="AW99" i="105"/>
  <c r="L42" i="107"/>
  <c r="L43" i="107"/>
  <c r="L44" i="107"/>
  <c r="L45" i="107"/>
  <c r="L80" i="107"/>
  <c r="AK99" i="105"/>
  <c r="AX99" i="105"/>
  <c r="M42" i="107"/>
  <c r="M43" i="107"/>
  <c r="M44" i="107"/>
  <c r="M45" i="107"/>
  <c r="M80" i="107"/>
  <c r="AL99" i="105"/>
  <c r="AY99" i="105"/>
  <c r="N42" i="107"/>
  <c r="N43" i="107"/>
  <c r="N44" i="107"/>
  <c r="N45" i="107"/>
  <c r="N80" i="107"/>
  <c r="AM99" i="105"/>
  <c r="AZ99" i="105"/>
  <c r="O42" i="107"/>
  <c r="O43" i="107"/>
  <c r="O44" i="107"/>
  <c r="O45" i="107"/>
  <c r="O80" i="107"/>
  <c r="AN99" i="105"/>
  <c r="BA99" i="105"/>
  <c r="G42" i="107"/>
  <c r="G43" i="107"/>
  <c r="G44" i="107"/>
  <c r="G45" i="107"/>
  <c r="G80" i="107"/>
  <c r="AF99" i="105"/>
  <c r="AS99" i="105"/>
  <c r="BC99" i="105"/>
  <c r="AG102" i="105"/>
  <c r="AH102" i="105"/>
  <c r="AI102" i="105"/>
  <c r="AJ102" i="105"/>
  <c r="AK102" i="105"/>
  <c r="AL102" i="105"/>
  <c r="AM102" i="105"/>
  <c r="AN102" i="105"/>
  <c r="AF72" i="105"/>
  <c r="AF77" i="105"/>
  <c r="AF102" i="105"/>
  <c r="AP102" i="105"/>
  <c r="F57" i="108"/>
  <c r="G222" i="22"/>
  <c r="G246" i="22"/>
  <c r="G315" i="22"/>
  <c r="S59" i="105"/>
  <c r="BV59" i="105"/>
  <c r="CI59" i="105"/>
  <c r="CI72" i="105"/>
  <c r="S77" i="105"/>
  <c r="BV77" i="105"/>
  <c r="CI77" i="105"/>
  <c r="G241" i="22"/>
  <c r="G312" i="22"/>
  <c r="S12" i="105"/>
  <c r="BV12" i="105"/>
  <c r="CI12" i="105"/>
  <c r="CI25" i="105"/>
  <c r="S30" i="105"/>
  <c r="BV30" i="105"/>
  <c r="CI30" i="105"/>
  <c r="L30" i="59"/>
  <c r="L31" i="59"/>
  <c r="L35" i="59"/>
  <c r="L36" i="59"/>
  <c r="L37" i="59"/>
  <c r="L39" i="59"/>
  <c r="L41" i="59"/>
  <c r="L43" i="59"/>
  <c r="L44" i="59"/>
  <c r="L46" i="59"/>
  <c r="L47" i="59"/>
  <c r="L289" i="59"/>
  <c r="L14" i="59"/>
  <c r="L18" i="59"/>
  <c r="L49" i="59"/>
  <c r="L20" i="59"/>
  <c r="J259" i="22"/>
  <c r="L52" i="59"/>
  <c r="J260" i="22"/>
  <c r="J95" i="116"/>
  <c r="L53" i="59"/>
  <c r="L54" i="59"/>
  <c r="L58" i="59"/>
  <c r="L59" i="59"/>
  <c r="L60" i="59"/>
  <c r="J89" i="116"/>
  <c r="L61" i="59"/>
  <c r="J90" i="116"/>
  <c r="L62" i="59"/>
  <c r="J91" i="116"/>
  <c r="L63" i="59"/>
  <c r="L72" i="59"/>
  <c r="L74" i="59"/>
  <c r="L80" i="59"/>
  <c r="L81" i="59"/>
  <c r="L82" i="59"/>
  <c r="L89" i="59"/>
  <c r="L91" i="59"/>
  <c r="AY12" i="105"/>
  <c r="AY25" i="105"/>
  <c r="AY30" i="105"/>
  <c r="AY59" i="105"/>
  <c r="AY72" i="105"/>
  <c r="AY77" i="105"/>
  <c r="P162" i="59"/>
  <c r="L286" i="59"/>
  <c r="AS59" i="105"/>
  <c r="AS72" i="105"/>
  <c r="AS77" i="105"/>
  <c r="O30" i="59"/>
  <c r="O31" i="59"/>
  <c r="O35" i="59"/>
  <c r="O36" i="59"/>
  <c r="O37" i="59"/>
  <c r="O39" i="59"/>
  <c r="O41" i="59"/>
  <c r="O43" i="59"/>
  <c r="O44" i="59"/>
  <c r="O46" i="59"/>
  <c r="O47" i="59"/>
  <c r="O289" i="59"/>
  <c r="O14" i="59"/>
  <c r="O18" i="59"/>
  <c r="O20" i="59"/>
  <c r="O49" i="59"/>
  <c r="M259" i="22"/>
  <c r="O52" i="59"/>
  <c r="M260" i="22"/>
  <c r="M95" i="116"/>
  <c r="O53" i="59"/>
  <c r="O54" i="59"/>
  <c r="O58" i="59"/>
  <c r="O59" i="59"/>
  <c r="O60" i="59"/>
  <c r="M89" i="116"/>
  <c r="O61" i="59"/>
  <c r="M90" i="116"/>
  <c r="O62" i="59"/>
  <c r="M91" i="116"/>
  <c r="O63" i="59"/>
  <c r="O72" i="59"/>
  <c r="O74" i="59"/>
  <c r="O80" i="59"/>
  <c r="O81" i="59"/>
  <c r="O82" i="59"/>
  <c r="O89" i="59"/>
  <c r="O91" i="59"/>
  <c r="P30" i="59"/>
  <c r="P31" i="59"/>
  <c r="P35" i="59"/>
  <c r="P36" i="59"/>
  <c r="P37" i="59"/>
  <c r="P39" i="59"/>
  <c r="P41" i="59"/>
  <c r="P43" i="59"/>
  <c r="P44" i="59"/>
  <c r="P46" i="59"/>
  <c r="P47" i="59"/>
  <c r="P14" i="59"/>
  <c r="P18" i="59"/>
  <c r="P20" i="59"/>
  <c r="P289" i="59"/>
  <c r="N259" i="22"/>
  <c r="P52" i="59"/>
  <c r="N260" i="22"/>
  <c r="N95" i="116"/>
  <c r="P53" i="59"/>
  <c r="P54" i="59"/>
  <c r="P58" i="59"/>
  <c r="P59" i="59"/>
  <c r="P60" i="59"/>
  <c r="N89" i="116"/>
  <c r="P61" i="59"/>
  <c r="N90" i="116"/>
  <c r="P62" i="59"/>
  <c r="N91" i="116"/>
  <c r="P63" i="59"/>
  <c r="P72" i="59"/>
  <c r="P74" i="59"/>
  <c r="P80" i="59"/>
  <c r="P81" i="59"/>
  <c r="P82" i="59"/>
  <c r="P89" i="59"/>
  <c r="P91" i="59"/>
  <c r="P49" i="59"/>
  <c r="AS12" i="105"/>
  <c r="AS25" i="105"/>
  <c r="AS30" i="105"/>
  <c r="AP99" i="105"/>
  <c r="CJ99" i="105"/>
  <c r="CK99" i="105"/>
  <c r="CL99" i="105"/>
  <c r="CM99" i="105"/>
  <c r="CN99" i="105"/>
  <c r="CO99" i="105"/>
  <c r="CP99" i="105"/>
  <c r="CQ99" i="105"/>
  <c r="CI99" i="105"/>
  <c r="CS99" i="105"/>
  <c r="AX12" i="105"/>
  <c r="AX25" i="105"/>
  <c r="AX30" i="105"/>
  <c r="AC79" i="105"/>
  <c r="AP52" i="105"/>
  <c r="CJ52" i="105"/>
  <c r="CK52" i="105"/>
  <c r="CL52" i="105"/>
  <c r="CM52" i="105"/>
  <c r="CN52" i="105"/>
  <c r="CO52" i="105"/>
  <c r="CP52" i="105"/>
  <c r="CQ52" i="105"/>
  <c r="CI52" i="105"/>
  <c r="CS52" i="105"/>
  <c r="AX59" i="105"/>
  <c r="AX72" i="105"/>
  <c r="AX77" i="105"/>
  <c r="AC32" i="105"/>
  <c r="O162" i="59"/>
  <c r="L162" i="59"/>
  <c r="AU12" i="105"/>
  <c r="AU25" i="105"/>
  <c r="AU30" i="105"/>
  <c r="AU59" i="105"/>
  <c r="AU72" i="105"/>
  <c r="AU77" i="105"/>
  <c r="AQ103" i="78"/>
  <c r="AQ104" i="78"/>
  <c r="AQ106" i="78"/>
  <c r="AQ109" i="78"/>
  <c r="Q30" i="59"/>
  <c r="Q31" i="59"/>
  <c r="AP98" i="78"/>
  <c r="AP99" i="78"/>
  <c r="AP106" i="78"/>
  <c r="AP109" i="78"/>
  <c r="Q35" i="59"/>
  <c r="Q36" i="59"/>
  <c r="Q37" i="59"/>
  <c r="Q39" i="59"/>
  <c r="Q41" i="59"/>
  <c r="Q43" i="59"/>
  <c r="Q44" i="59"/>
  <c r="Q46" i="59"/>
  <c r="Q47" i="59"/>
  <c r="I50" i="78"/>
  <c r="I51" i="78"/>
  <c r="I84" i="78"/>
  <c r="I109" i="78"/>
  <c r="Q14" i="59"/>
  <c r="Q18" i="59"/>
  <c r="Q20" i="59"/>
  <c r="O259" i="22"/>
  <c r="BH81" i="78"/>
  <c r="BH82" i="78"/>
  <c r="BH84" i="78"/>
  <c r="BH109" i="78"/>
  <c r="Q52" i="59"/>
  <c r="O260" i="22"/>
  <c r="BI81" i="78"/>
  <c r="BI82" i="78"/>
  <c r="BI84" i="78"/>
  <c r="BI91" i="78"/>
  <c r="BI93" i="78"/>
  <c r="O95" i="116"/>
  <c r="BI102" i="78"/>
  <c r="BI104" i="78"/>
  <c r="BI106" i="78"/>
  <c r="BI109" i="78"/>
  <c r="Q53" i="59"/>
  <c r="Q54" i="59"/>
  <c r="X104" i="78"/>
  <c r="X106" i="78"/>
  <c r="X109" i="78"/>
  <c r="Q58" i="59"/>
  <c r="Y104" i="78"/>
  <c r="Y106" i="78"/>
  <c r="Y109" i="78"/>
  <c r="Q59" i="59"/>
  <c r="Z104" i="78"/>
  <c r="Z106" i="78"/>
  <c r="Z109" i="78"/>
  <c r="Q60" i="59"/>
  <c r="O89" i="116"/>
  <c r="U102" i="78"/>
  <c r="U104" i="78"/>
  <c r="U106" i="78"/>
  <c r="U109" i="78"/>
  <c r="Q61" i="59"/>
  <c r="O90" i="116"/>
  <c r="V102" i="78"/>
  <c r="V104" i="78"/>
  <c r="V106" i="78"/>
  <c r="V109" i="78"/>
  <c r="Q62" i="59"/>
  <c r="O91" i="116"/>
  <c r="W102" i="78"/>
  <c r="W104" i="78"/>
  <c r="W106" i="78"/>
  <c r="W109" i="78"/>
  <c r="Q63" i="59"/>
  <c r="Q72" i="59"/>
  <c r="Q74" i="59"/>
  <c r="S109" i="78"/>
  <c r="Q80" i="59"/>
  <c r="T104" i="78"/>
  <c r="T106" i="78"/>
  <c r="T109" i="78"/>
  <c r="Q81" i="59"/>
  <c r="Q82" i="59"/>
  <c r="Q109" i="78"/>
  <c r="AK109" i="78"/>
  <c r="BF109" i="78"/>
  <c r="BJ109" i="78"/>
  <c r="BL109" i="78"/>
  <c r="Q89" i="59"/>
  <c r="Q91" i="59"/>
  <c r="Q49" i="59"/>
  <c r="Q290" i="59"/>
  <c r="Q289" i="59"/>
  <c r="Q291" i="59"/>
  <c r="H30" i="59"/>
  <c r="H31" i="59"/>
  <c r="F256" i="22"/>
  <c r="H35" i="59"/>
  <c r="H36" i="59"/>
  <c r="F9" i="116"/>
  <c r="F48" i="116"/>
  <c r="F92" i="116"/>
  <c r="H37" i="59"/>
  <c r="H39" i="59"/>
  <c r="F10" i="116"/>
  <c r="F49" i="116"/>
  <c r="F93" i="116"/>
  <c r="H41" i="59"/>
  <c r="H43" i="59"/>
  <c r="F52" i="116"/>
  <c r="F53" i="116"/>
  <c r="F94" i="116"/>
  <c r="H44" i="59"/>
  <c r="H46" i="59"/>
  <c r="H47" i="59"/>
  <c r="H14" i="59"/>
  <c r="H18" i="59"/>
  <c r="H20" i="59"/>
  <c r="H289" i="59"/>
  <c r="H49" i="59"/>
  <c r="F259" i="22"/>
  <c r="H52" i="59"/>
  <c r="F260" i="22"/>
  <c r="F95" i="116"/>
  <c r="H53" i="59"/>
  <c r="H54" i="59"/>
  <c r="H58" i="59"/>
  <c r="H59" i="59"/>
  <c r="H60" i="59"/>
  <c r="F89" i="116"/>
  <c r="H61" i="59"/>
  <c r="F90" i="116"/>
  <c r="H62" i="59"/>
  <c r="F91" i="116"/>
  <c r="H63" i="59"/>
  <c r="H72" i="59"/>
  <c r="H74" i="59"/>
  <c r="H80" i="59"/>
  <c r="H81" i="59"/>
  <c r="H82" i="59"/>
  <c r="H89" i="59"/>
  <c r="H91" i="59"/>
  <c r="I387" i="59"/>
  <c r="I390" i="59"/>
  <c r="I441" i="59"/>
  <c r="O408" i="59"/>
  <c r="I374" i="59"/>
  <c r="I364" i="59"/>
  <c r="I376" i="59"/>
  <c r="P408" i="59"/>
  <c r="Q408" i="59"/>
  <c r="R408" i="59"/>
  <c r="O369" i="59"/>
  <c r="P369" i="59"/>
  <c r="Q369" i="59"/>
  <c r="R369" i="59"/>
  <c r="G65" i="116"/>
  <c r="H66" i="116"/>
  <c r="H65" i="116"/>
  <c r="H67" i="116"/>
  <c r="H68" i="116"/>
  <c r="H73" i="116"/>
  <c r="H122" i="116"/>
  <c r="G51" i="105"/>
  <c r="BK51" i="105"/>
  <c r="F65" i="116"/>
  <c r="G66" i="116"/>
  <c r="G67" i="116"/>
  <c r="G68" i="116"/>
  <c r="G73" i="116"/>
  <c r="G122" i="116"/>
  <c r="F51" i="105"/>
  <c r="BJ51" i="105"/>
  <c r="BW51" i="105"/>
  <c r="I66" i="116"/>
  <c r="I65" i="116"/>
  <c r="I67" i="116"/>
  <c r="I68" i="116"/>
  <c r="I73" i="116"/>
  <c r="I122" i="116"/>
  <c r="H51" i="105"/>
  <c r="BL51" i="105"/>
  <c r="BX51" i="105"/>
  <c r="J66" i="116"/>
  <c r="J65" i="116"/>
  <c r="J67" i="116"/>
  <c r="J68" i="116"/>
  <c r="J73" i="116"/>
  <c r="J122" i="116"/>
  <c r="I51" i="105"/>
  <c r="BM51" i="105"/>
  <c r="BY51" i="105"/>
  <c r="K66" i="116"/>
  <c r="K65" i="116"/>
  <c r="K67" i="116"/>
  <c r="K68" i="116"/>
  <c r="K73" i="116"/>
  <c r="K122" i="116"/>
  <c r="J51" i="105"/>
  <c r="BN51" i="105"/>
  <c r="BZ51" i="105"/>
  <c r="L66" i="116"/>
  <c r="L65" i="116"/>
  <c r="L67" i="116"/>
  <c r="L68" i="116"/>
  <c r="L73" i="116"/>
  <c r="L122" i="116"/>
  <c r="K51" i="105"/>
  <c r="BO51" i="105"/>
  <c r="CA51" i="105"/>
  <c r="M66" i="116"/>
  <c r="M65" i="116"/>
  <c r="M67" i="116"/>
  <c r="M68" i="116"/>
  <c r="M73" i="116"/>
  <c r="M122" i="116"/>
  <c r="L51" i="105"/>
  <c r="BP51" i="105"/>
  <c r="CB51" i="105"/>
  <c r="N66" i="116"/>
  <c r="N65" i="116"/>
  <c r="N67" i="116"/>
  <c r="N68" i="116"/>
  <c r="N73" i="116"/>
  <c r="N122" i="116"/>
  <c r="M51" i="105"/>
  <c r="BQ51" i="105"/>
  <c r="CC51" i="105"/>
  <c r="O66" i="116"/>
  <c r="O65" i="116"/>
  <c r="O67" i="116"/>
  <c r="O68" i="116"/>
  <c r="O73" i="116"/>
  <c r="O122" i="116"/>
  <c r="N51" i="105"/>
  <c r="BR51" i="105"/>
  <c r="CD51" i="105"/>
  <c r="BV51" i="105"/>
  <c r="CF51" i="105"/>
  <c r="H74" i="116"/>
  <c r="H123" i="116"/>
  <c r="T51" i="105"/>
  <c r="CJ51" i="105"/>
  <c r="I74" i="116"/>
  <c r="I123" i="116"/>
  <c r="U51" i="105"/>
  <c r="CK51" i="105"/>
  <c r="J74" i="116"/>
  <c r="J123" i="116"/>
  <c r="V51" i="105"/>
  <c r="CL51" i="105"/>
  <c r="K74" i="116"/>
  <c r="K123" i="116"/>
  <c r="W51" i="105"/>
  <c r="CM51" i="105"/>
  <c r="L74" i="116"/>
  <c r="L123" i="116"/>
  <c r="X51" i="105"/>
  <c r="CN51" i="105"/>
  <c r="M74" i="116"/>
  <c r="M123" i="116"/>
  <c r="Y51" i="105"/>
  <c r="CO51" i="105"/>
  <c r="N74" i="116"/>
  <c r="N123" i="116"/>
  <c r="Z51" i="105"/>
  <c r="CP51" i="105"/>
  <c r="O74" i="116"/>
  <c r="O123" i="116"/>
  <c r="AA51" i="105"/>
  <c r="CQ51" i="105"/>
  <c r="G74" i="116"/>
  <c r="G123" i="116"/>
  <c r="S51" i="105"/>
  <c r="CI51" i="105"/>
  <c r="CS51" i="105"/>
  <c r="C56" i="108"/>
  <c r="P286" i="59"/>
  <c r="O286" i="59"/>
  <c r="C57" i="108"/>
  <c r="H79" i="116"/>
  <c r="H125" i="116"/>
  <c r="G98" i="105"/>
  <c r="BK98" i="105"/>
  <c r="G79" i="116"/>
  <c r="G125" i="116"/>
  <c r="F98" i="105"/>
  <c r="BJ98" i="105"/>
  <c r="BW98" i="105"/>
  <c r="I79" i="116"/>
  <c r="I125" i="116"/>
  <c r="H98" i="105"/>
  <c r="BL98" i="105"/>
  <c r="BX98" i="105"/>
  <c r="J79" i="116"/>
  <c r="J125" i="116"/>
  <c r="I98" i="105"/>
  <c r="BM98" i="105"/>
  <c r="BY98" i="105"/>
  <c r="K79" i="116"/>
  <c r="K125" i="116"/>
  <c r="J98" i="105"/>
  <c r="BN98" i="105"/>
  <c r="BZ98" i="105"/>
  <c r="L79" i="116"/>
  <c r="L125" i="116"/>
  <c r="K98" i="105"/>
  <c r="BO98" i="105"/>
  <c r="CA98" i="105"/>
  <c r="M79" i="116"/>
  <c r="M125" i="116"/>
  <c r="L98" i="105"/>
  <c r="BP98" i="105"/>
  <c r="CB98" i="105"/>
  <c r="N79" i="116"/>
  <c r="N125" i="116"/>
  <c r="M98" i="105"/>
  <c r="BQ98" i="105"/>
  <c r="CC98" i="105"/>
  <c r="O79" i="116"/>
  <c r="O125" i="116"/>
  <c r="N98" i="105"/>
  <c r="BR98" i="105"/>
  <c r="CD98" i="105"/>
  <c r="BV98" i="105"/>
  <c r="CF98" i="105"/>
  <c r="H80" i="116"/>
  <c r="H126" i="116"/>
  <c r="T98" i="105"/>
  <c r="CJ98" i="105"/>
  <c r="I80" i="116"/>
  <c r="I126" i="116"/>
  <c r="U98" i="105"/>
  <c r="CK98" i="105"/>
  <c r="J80" i="116"/>
  <c r="J126" i="116"/>
  <c r="V98" i="105"/>
  <c r="CL98" i="105"/>
  <c r="K80" i="116"/>
  <c r="K126" i="116"/>
  <c r="W98" i="105"/>
  <c r="CM98" i="105"/>
  <c r="L80" i="116"/>
  <c r="L126" i="116"/>
  <c r="X98" i="105"/>
  <c r="CN98" i="105"/>
  <c r="M80" i="116"/>
  <c r="M126" i="116"/>
  <c r="Y98" i="105"/>
  <c r="CO98" i="105"/>
  <c r="N80" i="116"/>
  <c r="N126" i="116"/>
  <c r="Z98" i="105"/>
  <c r="CP98" i="105"/>
  <c r="O80" i="116"/>
  <c r="O126" i="116"/>
  <c r="AA98" i="105"/>
  <c r="CQ98" i="105"/>
  <c r="G80" i="116"/>
  <c r="G126" i="116"/>
  <c r="S98" i="105"/>
  <c r="CI98" i="105"/>
  <c r="CS98" i="105"/>
  <c r="K14" i="59"/>
  <c r="K18" i="59"/>
  <c r="K30" i="59"/>
  <c r="K31" i="59"/>
  <c r="K35" i="59"/>
  <c r="K36" i="59"/>
  <c r="K37" i="59"/>
  <c r="K39" i="59"/>
  <c r="K41" i="59"/>
  <c r="K43" i="59"/>
  <c r="K44" i="59"/>
  <c r="K46" i="59"/>
  <c r="K47" i="59"/>
  <c r="I259" i="22"/>
  <c r="K52" i="59"/>
  <c r="I260" i="22"/>
  <c r="I95" i="116"/>
  <c r="K53" i="59"/>
  <c r="K54" i="59"/>
  <c r="K58" i="59"/>
  <c r="K59" i="59"/>
  <c r="K60" i="59"/>
  <c r="I89" i="116"/>
  <c r="K61" i="59"/>
  <c r="I90" i="116"/>
  <c r="K62" i="59"/>
  <c r="I91" i="116"/>
  <c r="K63" i="59"/>
  <c r="K72" i="59"/>
  <c r="K74" i="59"/>
  <c r="K80" i="59"/>
  <c r="K81" i="59"/>
  <c r="K82" i="59"/>
  <c r="K89" i="59"/>
  <c r="K91" i="59"/>
  <c r="K49" i="59"/>
  <c r="K289" i="59"/>
  <c r="K20" i="59"/>
  <c r="N30" i="59"/>
  <c r="N31" i="59"/>
  <c r="N35" i="59"/>
  <c r="N36" i="59"/>
  <c r="N37" i="59"/>
  <c r="N39" i="59"/>
  <c r="N41" i="59"/>
  <c r="N43" i="59"/>
  <c r="N44" i="59"/>
  <c r="N46" i="59"/>
  <c r="N47" i="59"/>
  <c r="N289" i="59"/>
  <c r="N14" i="59"/>
  <c r="N18" i="59"/>
  <c r="N20" i="59"/>
  <c r="L259" i="22"/>
  <c r="N52" i="59"/>
  <c r="L260" i="22"/>
  <c r="L95" i="116"/>
  <c r="N53" i="59"/>
  <c r="N54" i="59"/>
  <c r="N58" i="59"/>
  <c r="N59" i="59"/>
  <c r="N60" i="59"/>
  <c r="L89" i="116"/>
  <c r="N61" i="59"/>
  <c r="L90" i="116"/>
  <c r="N62" i="59"/>
  <c r="L91" i="116"/>
  <c r="N63" i="59"/>
  <c r="N72" i="59"/>
  <c r="N74" i="59"/>
  <c r="N80" i="59"/>
  <c r="N81" i="59"/>
  <c r="N82" i="59"/>
  <c r="N89" i="59"/>
  <c r="N91" i="59"/>
  <c r="N49" i="59"/>
  <c r="M30" i="59"/>
  <c r="M31" i="59"/>
  <c r="M35" i="59"/>
  <c r="M36" i="59"/>
  <c r="M37" i="59"/>
  <c r="M39" i="59"/>
  <c r="M41" i="59"/>
  <c r="M43" i="59"/>
  <c r="M44" i="59"/>
  <c r="M46" i="59"/>
  <c r="M47" i="59"/>
  <c r="M289" i="59"/>
  <c r="M14" i="59"/>
  <c r="M18" i="59"/>
  <c r="K259" i="22"/>
  <c r="M52" i="59"/>
  <c r="K260" i="22"/>
  <c r="K95" i="116"/>
  <c r="M53" i="59"/>
  <c r="M54" i="59"/>
  <c r="M58" i="59"/>
  <c r="M59" i="59"/>
  <c r="M60" i="59"/>
  <c r="K89" i="116"/>
  <c r="M61" i="59"/>
  <c r="K90" i="116"/>
  <c r="M62" i="59"/>
  <c r="K91" i="116"/>
  <c r="M63" i="59"/>
  <c r="M72" i="59"/>
  <c r="M74" i="59"/>
  <c r="M80" i="59"/>
  <c r="M81" i="59"/>
  <c r="M82" i="59"/>
  <c r="M89" i="59"/>
  <c r="M91" i="59"/>
  <c r="M20" i="59"/>
  <c r="M49" i="59"/>
  <c r="I30" i="59"/>
  <c r="I31" i="59"/>
  <c r="I35" i="59"/>
  <c r="I36" i="59"/>
  <c r="I37" i="59"/>
  <c r="I39" i="59"/>
  <c r="I41" i="59"/>
  <c r="I43" i="59"/>
  <c r="I44" i="59"/>
  <c r="I46" i="59"/>
  <c r="I47" i="59"/>
  <c r="I14" i="59"/>
  <c r="I18" i="59"/>
  <c r="I49" i="59"/>
  <c r="G259" i="22"/>
  <c r="I52" i="59"/>
  <c r="G260" i="22"/>
  <c r="G95" i="116"/>
  <c r="I53" i="59"/>
  <c r="I54" i="59"/>
  <c r="I58" i="59"/>
  <c r="I59" i="59"/>
  <c r="I60" i="59"/>
  <c r="G89" i="116"/>
  <c r="I61" i="59"/>
  <c r="G90" i="116"/>
  <c r="I62" i="59"/>
  <c r="G91" i="116"/>
  <c r="I63" i="59"/>
  <c r="I72" i="59"/>
  <c r="I74" i="59"/>
  <c r="I80" i="59"/>
  <c r="I81" i="59"/>
  <c r="I82" i="59"/>
  <c r="I89" i="59"/>
  <c r="I91" i="59"/>
  <c r="I289" i="59"/>
  <c r="I20" i="59"/>
  <c r="J14" i="59"/>
  <c r="J18" i="59"/>
  <c r="J30" i="59"/>
  <c r="J31" i="59"/>
  <c r="J35" i="59"/>
  <c r="J36" i="59"/>
  <c r="J37" i="59"/>
  <c r="J39" i="59"/>
  <c r="J41" i="59"/>
  <c r="J43" i="59"/>
  <c r="J44" i="59"/>
  <c r="J46" i="59"/>
  <c r="J47" i="59"/>
  <c r="H259" i="22"/>
  <c r="J52" i="59"/>
  <c r="H260" i="22"/>
  <c r="H95" i="116"/>
  <c r="J53" i="59"/>
  <c r="J54" i="59"/>
  <c r="J58" i="59"/>
  <c r="J59" i="59"/>
  <c r="J60" i="59"/>
  <c r="H89" i="116"/>
  <c r="J61" i="59"/>
  <c r="H90" i="116"/>
  <c r="J62" i="59"/>
  <c r="H91" i="116"/>
  <c r="J63" i="59"/>
  <c r="J72" i="59"/>
  <c r="J74" i="59"/>
  <c r="J80" i="59"/>
  <c r="J81" i="59"/>
  <c r="J82" i="59"/>
  <c r="J89" i="59"/>
  <c r="J91" i="59"/>
  <c r="J20" i="59"/>
  <c r="J49" i="59"/>
  <c r="J289" i="59"/>
  <c r="L290" i="59"/>
  <c r="J57" i="108"/>
  <c r="I57" i="108"/>
  <c r="J56" i="108"/>
  <c r="I56" i="108"/>
  <c r="L356" i="59"/>
  <c r="M162" i="59"/>
  <c r="P356" i="59"/>
  <c r="J156" i="59"/>
  <c r="J286" i="59"/>
  <c r="I286" i="59"/>
  <c r="M286" i="59"/>
  <c r="N286" i="59"/>
  <c r="K286" i="59"/>
  <c r="I388" i="59"/>
  <c r="I389" i="59"/>
  <c r="I409" i="59"/>
  <c r="P401" i="59"/>
  <c r="Q401" i="59"/>
  <c r="R401" i="59"/>
  <c r="O370" i="59"/>
  <c r="Q370" i="59"/>
  <c r="R370" i="59"/>
  <c r="H286" i="59"/>
  <c r="I156" i="59"/>
  <c r="Q286" i="59"/>
  <c r="D56" i="108"/>
  <c r="G57" i="108"/>
  <c r="H57" i="108"/>
  <c r="E57" i="108"/>
  <c r="K57" i="108"/>
  <c r="O290" i="59"/>
  <c r="P290" i="59"/>
  <c r="D57" i="108"/>
  <c r="G56" i="108"/>
  <c r="H56" i="108"/>
  <c r="E56" i="108"/>
  <c r="K56" i="108"/>
  <c r="H156" i="59"/>
  <c r="H162" i="59"/>
  <c r="K162" i="59"/>
  <c r="O356" i="59"/>
  <c r="AT51" i="105"/>
  <c r="AU51" i="105"/>
  <c r="AV51" i="105"/>
  <c r="AW51" i="105"/>
  <c r="AX51" i="105"/>
  <c r="AY51" i="105"/>
  <c r="AZ51" i="105"/>
  <c r="BA51" i="105"/>
  <c r="AS51" i="105"/>
  <c r="BC51" i="105"/>
  <c r="AT98" i="105"/>
  <c r="AU98" i="105"/>
  <c r="AV98" i="105"/>
  <c r="AW98" i="105"/>
  <c r="AX98" i="105"/>
  <c r="AY98" i="105"/>
  <c r="AZ98" i="105"/>
  <c r="BA98" i="105"/>
  <c r="AS98" i="105"/>
  <c r="BC98" i="105"/>
  <c r="Q156" i="59"/>
  <c r="P98" i="105"/>
  <c r="H290" i="59"/>
  <c r="F9" i="107"/>
  <c r="F42" i="107"/>
  <c r="F10" i="107"/>
  <c r="F43" i="107"/>
  <c r="F11" i="107"/>
  <c r="F44" i="107"/>
  <c r="F45" i="107"/>
  <c r="F80" i="107"/>
  <c r="F36" i="107"/>
  <c r="F37" i="107"/>
  <c r="F38" i="107"/>
  <c r="F39" i="107"/>
  <c r="F79" i="107"/>
  <c r="K290" i="59"/>
  <c r="N290" i="59"/>
  <c r="M290" i="59"/>
  <c r="I290" i="59"/>
  <c r="J290" i="59"/>
  <c r="P51" i="105"/>
  <c r="CC10" i="60"/>
  <c r="J162" i="59"/>
  <c r="CC20" i="60"/>
  <c r="CB20" i="60"/>
  <c r="CD20" i="60"/>
  <c r="CA20" i="60"/>
  <c r="N162" i="59"/>
  <c r="DH93" i="78"/>
  <c r="Q162" i="59"/>
  <c r="M356" i="59"/>
  <c r="CC9" i="60"/>
  <c r="K81" i="116"/>
  <c r="AK106" i="78"/>
  <c r="BF106" i="78"/>
  <c r="BJ106" i="78"/>
  <c r="BL106" i="78"/>
  <c r="K75" i="116"/>
  <c r="L292" i="59"/>
  <c r="CA10" i="60"/>
  <c r="CB10" i="60"/>
  <c r="I162" i="59"/>
  <c r="K356" i="59"/>
  <c r="H356" i="59"/>
  <c r="CF30" i="105"/>
  <c r="J81" i="116"/>
  <c r="N75" i="116"/>
  <c r="CS77" i="105"/>
  <c r="CS30" i="105"/>
  <c r="CF77" i="105"/>
  <c r="CB9" i="60"/>
  <c r="J75" i="116"/>
  <c r="N81" i="116"/>
  <c r="AK104" i="78"/>
  <c r="BF104" i="78"/>
  <c r="BJ104" i="78"/>
  <c r="BL104" i="78"/>
  <c r="I443" i="59"/>
  <c r="I453" i="59"/>
  <c r="O376" i="59"/>
  <c r="I368" i="59"/>
  <c r="I378" i="59"/>
  <c r="P376" i="59"/>
  <c r="Q376" i="59"/>
  <c r="R376" i="59"/>
  <c r="O395" i="59"/>
  <c r="P395" i="59"/>
  <c r="Q395" i="59"/>
  <c r="R395" i="59"/>
  <c r="CA9" i="60"/>
  <c r="L288" i="59"/>
  <c r="O292" i="59"/>
  <c r="CD10" i="60"/>
  <c r="P292" i="59"/>
  <c r="L171" i="59"/>
  <c r="N356" i="59"/>
  <c r="I356" i="59"/>
  <c r="Q356" i="59"/>
  <c r="J356" i="59"/>
  <c r="L285" i="59"/>
  <c r="O81" i="116"/>
  <c r="I81" i="116"/>
  <c r="L81" i="116"/>
  <c r="M81" i="116"/>
  <c r="O377" i="59"/>
  <c r="Q377" i="59"/>
  <c r="R377" i="59"/>
  <c r="O75" i="116"/>
  <c r="I75" i="116"/>
  <c r="L75" i="116"/>
  <c r="AK103" i="78"/>
  <c r="BF103" i="78"/>
  <c r="BL103" i="78"/>
  <c r="CD9" i="60"/>
  <c r="M75" i="116"/>
  <c r="J96" i="116"/>
  <c r="I292" i="59"/>
  <c r="J292" i="59"/>
  <c r="H292" i="59"/>
  <c r="M292" i="59"/>
  <c r="Q292" i="59"/>
  <c r="K292" i="59"/>
  <c r="N292" i="59"/>
  <c r="AC51" i="105"/>
  <c r="AC98" i="105"/>
  <c r="E24" i="108"/>
  <c r="C24" i="108"/>
  <c r="D24" i="108"/>
  <c r="O171" i="59"/>
  <c r="P171" i="59"/>
  <c r="J72" i="116"/>
  <c r="J78" i="116"/>
  <c r="M96" i="116"/>
  <c r="G75" i="116"/>
  <c r="H75" i="116"/>
  <c r="N96" i="116"/>
  <c r="E19" i="108"/>
  <c r="C19" i="108"/>
  <c r="D19" i="108"/>
  <c r="O285" i="59"/>
  <c r="P285" i="59"/>
  <c r="BC30" i="105"/>
  <c r="J105" i="116"/>
  <c r="G81" i="116"/>
  <c r="H81" i="116"/>
  <c r="Q288" i="59"/>
  <c r="H288" i="59"/>
  <c r="P77" i="105"/>
  <c r="BC77" i="105"/>
  <c r="P30" i="105"/>
  <c r="O288" i="59"/>
  <c r="I288" i="59"/>
  <c r="M288" i="59"/>
  <c r="P288" i="59"/>
  <c r="K288" i="59"/>
  <c r="J288" i="59"/>
  <c r="N288" i="59"/>
  <c r="M171" i="59"/>
  <c r="N171" i="59"/>
  <c r="CC22" i="60"/>
  <c r="I171" i="59"/>
  <c r="J171" i="59"/>
  <c r="K171" i="59"/>
  <c r="Q171" i="59"/>
  <c r="CA22" i="60"/>
  <c r="CD22" i="60"/>
  <c r="CB22" i="60"/>
  <c r="BC25" i="105"/>
  <c r="K285" i="59"/>
  <c r="H285" i="59"/>
  <c r="N285" i="59"/>
  <c r="I96" i="116"/>
  <c r="L254" i="59"/>
  <c r="L242" i="59"/>
  <c r="L243" i="59"/>
  <c r="L247" i="59"/>
  <c r="L256" i="59"/>
  <c r="L229" i="59"/>
  <c r="L230" i="59"/>
  <c r="L232" i="59"/>
  <c r="L257" i="59"/>
  <c r="L258" i="59"/>
  <c r="L259" i="59"/>
  <c r="L260" i="59"/>
  <c r="L266" i="59"/>
  <c r="L96" i="59"/>
  <c r="L99" i="59"/>
  <c r="L111" i="59"/>
  <c r="L268" i="59"/>
  <c r="L269" i="59"/>
  <c r="M105" i="116"/>
  <c r="O96" i="116"/>
  <c r="F96" i="116"/>
  <c r="N78" i="116"/>
  <c r="N72" i="116"/>
  <c r="G96" i="116"/>
  <c r="BC72" i="105"/>
  <c r="I285" i="59"/>
  <c r="Q285" i="59"/>
  <c r="M285" i="59"/>
  <c r="J285" i="59"/>
  <c r="K96" i="116"/>
  <c r="M78" i="116"/>
  <c r="M72" i="116"/>
  <c r="H96" i="116"/>
  <c r="L96" i="116"/>
  <c r="N105" i="116"/>
  <c r="AK102" i="78"/>
  <c r="BJ102" i="78"/>
  <c r="BL102" i="78"/>
  <c r="P242" i="59"/>
  <c r="P243" i="59"/>
  <c r="P247" i="59"/>
  <c r="P256" i="59"/>
  <c r="P229" i="59"/>
  <c r="P230" i="59"/>
  <c r="P232" i="59"/>
  <c r="P257" i="59"/>
  <c r="P258" i="59"/>
  <c r="P259" i="59"/>
  <c r="P264" i="59"/>
  <c r="CS12" i="105"/>
  <c r="G72" i="116"/>
  <c r="G78" i="116"/>
  <c r="O72" i="116"/>
  <c r="O78" i="116"/>
  <c r="K72" i="116"/>
  <c r="K78" i="116"/>
  <c r="I105" i="116"/>
  <c r="O254" i="59"/>
  <c r="O242" i="59"/>
  <c r="O243" i="59"/>
  <c r="O247" i="59"/>
  <c r="O256" i="59"/>
  <c r="O229" i="59"/>
  <c r="O230" i="59"/>
  <c r="O232" i="59"/>
  <c r="O257" i="59"/>
  <c r="O258" i="59"/>
  <c r="O259" i="59"/>
  <c r="O260" i="59"/>
  <c r="O266" i="59"/>
  <c r="O96" i="59"/>
  <c r="O99" i="59"/>
  <c r="O111" i="59"/>
  <c r="O268" i="59"/>
  <c r="O269" i="59"/>
  <c r="F72" i="116"/>
  <c r="F78" i="116"/>
  <c r="H105" i="116"/>
  <c r="CS59" i="105"/>
  <c r="L264" i="59"/>
  <c r="G105" i="116"/>
  <c r="L78" i="116"/>
  <c r="L72" i="116"/>
  <c r="L105" i="116"/>
  <c r="O105" i="116"/>
  <c r="I396" i="59"/>
  <c r="I410" i="59"/>
  <c r="P392" i="59"/>
  <c r="Q392" i="59"/>
  <c r="R392" i="59"/>
  <c r="K105" i="116"/>
  <c r="I72" i="116"/>
  <c r="I78" i="116"/>
  <c r="H78" i="116"/>
  <c r="H72" i="116"/>
  <c r="P254" i="59"/>
  <c r="P260" i="59"/>
  <c r="P96" i="59"/>
  <c r="P99" i="59"/>
  <c r="P111" i="59"/>
  <c r="P268" i="59"/>
  <c r="P269" i="59"/>
  <c r="P266" i="59"/>
  <c r="DH102" i="78"/>
  <c r="AP72" i="105"/>
  <c r="CS72" i="105"/>
  <c r="AP25" i="105"/>
  <c r="CS25" i="105"/>
  <c r="L283" i="59"/>
  <c r="CB23" i="60"/>
  <c r="CA23" i="60"/>
  <c r="CD23" i="60"/>
  <c r="CC23" i="60"/>
  <c r="CF12" i="105"/>
  <c r="O264" i="59"/>
  <c r="K254" i="59"/>
  <c r="K242" i="59"/>
  <c r="K243" i="59"/>
  <c r="K247" i="59"/>
  <c r="K256" i="59"/>
  <c r="K229" i="59"/>
  <c r="K230" i="59"/>
  <c r="K232" i="59"/>
  <c r="K257" i="59"/>
  <c r="K258" i="59"/>
  <c r="K259" i="59"/>
  <c r="K260" i="59"/>
  <c r="K266" i="59"/>
  <c r="K96" i="59"/>
  <c r="K99" i="59"/>
  <c r="K111" i="59"/>
  <c r="K268" i="59"/>
  <c r="K269" i="59"/>
  <c r="H254" i="59"/>
  <c r="H242" i="59"/>
  <c r="H243" i="59"/>
  <c r="H247" i="59"/>
  <c r="H256" i="59"/>
  <c r="H229" i="59"/>
  <c r="H230" i="59"/>
  <c r="H232" i="59"/>
  <c r="H257" i="59"/>
  <c r="H258" i="59"/>
  <c r="H259" i="59"/>
  <c r="H260" i="59"/>
  <c r="H266" i="59"/>
  <c r="H96" i="59"/>
  <c r="H99" i="59"/>
  <c r="H111" i="59"/>
  <c r="H268" i="59"/>
  <c r="H269" i="59"/>
  <c r="Q254" i="59"/>
  <c r="Q242" i="59"/>
  <c r="Q243" i="59"/>
  <c r="Q247" i="59"/>
  <c r="Q256" i="59"/>
  <c r="Q229" i="59"/>
  <c r="Q230" i="59"/>
  <c r="Q232" i="59"/>
  <c r="Q257" i="59"/>
  <c r="Q258" i="59"/>
  <c r="Q259" i="59"/>
  <c r="Q260" i="59"/>
  <c r="Q266" i="59"/>
  <c r="Q96" i="59"/>
  <c r="Q99" i="59"/>
  <c r="Q111" i="59"/>
  <c r="Q268" i="59"/>
  <c r="Q269" i="59"/>
  <c r="M254" i="59"/>
  <c r="M242" i="59"/>
  <c r="M243" i="59"/>
  <c r="M247" i="59"/>
  <c r="M256" i="59"/>
  <c r="M229" i="59"/>
  <c r="M230" i="59"/>
  <c r="M232" i="59"/>
  <c r="M257" i="59"/>
  <c r="M258" i="59"/>
  <c r="M259" i="59"/>
  <c r="M260" i="59"/>
  <c r="M266" i="59"/>
  <c r="M96" i="59"/>
  <c r="M99" i="59"/>
  <c r="M111" i="59"/>
  <c r="M268" i="59"/>
  <c r="M269" i="59"/>
  <c r="I254" i="59"/>
  <c r="I242" i="59"/>
  <c r="I243" i="59"/>
  <c r="I247" i="59"/>
  <c r="I256" i="59"/>
  <c r="I229" i="59"/>
  <c r="I230" i="59"/>
  <c r="I232" i="59"/>
  <c r="I257" i="59"/>
  <c r="I258" i="59"/>
  <c r="I259" i="59"/>
  <c r="I260" i="59"/>
  <c r="I96" i="59"/>
  <c r="I99" i="59"/>
  <c r="I111" i="59"/>
  <c r="I268" i="59"/>
  <c r="I269" i="59"/>
  <c r="I266" i="59"/>
  <c r="N254" i="59"/>
  <c r="N242" i="59"/>
  <c r="N243" i="59"/>
  <c r="N247" i="59"/>
  <c r="N256" i="59"/>
  <c r="N229" i="59"/>
  <c r="N230" i="59"/>
  <c r="N232" i="59"/>
  <c r="N257" i="59"/>
  <c r="N258" i="59"/>
  <c r="N259" i="59"/>
  <c r="N260" i="59"/>
  <c r="N96" i="59"/>
  <c r="N99" i="59"/>
  <c r="N111" i="59"/>
  <c r="N268" i="59"/>
  <c r="N269" i="59"/>
  <c r="N266" i="59"/>
  <c r="J254" i="59"/>
  <c r="J242" i="59"/>
  <c r="J243" i="59"/>
  <c r="J247" i="59"/>
  <c r="J256" i="59"/>
  <c r="J229" i="59"/>
  <c r="J230" i="59"/>
  <c r="J232" i="59"/>
  <c r="J257" i="59"/>
  <c r="J258" i="59"/>
  <c r="J259" i="59"/>
  <c r="J260" i="59"/>
  <c r="J96" i="59"/>
  <c r="J99" i="59"/>
  <c r="J111" i="59"/>
  <c r="J268" i="59"/>
  <c r="J269" i="59"/>
  <c r="J266" i="59"/>
  <c r="CF59" i="105"/>
  <c r="L218" i="59"/>
  <c r="L223" i="59"/>
  <c r="AP77" i="105"/>
  <c r="BO33" i="60"/>
  <c r="P283" i="59"/>
  <c r="O283" i="59"/>
  <c r="AC30" i="105"/>
  <c r="AC77" i="105"/>
  <c r="AP30" i="105"/>
  <c r="K264" i="59"/>
  <c r="H264" i="59"/>
  <c r="AK99" i="78"/>
  <c r="BF99" i="78"/>
  <c r="BL99" i="78"/>
  <c r="L343" i="59"/>
  <c r="M264" i="59"/>
  <c r="BC12" i="105"/>
  <c r="E6" i="108"/>
  <c r="C6" i="108"/>
  <c r="D6" i="108"/>
  <c r="J264" i="59"/>
  <c r="N264" i="59"/>
  <c r="Q264" i="59"/>
  <c r="AK98" i="78"/>
  <c r="BF98" i="78"/>
  <c r="BL98" i="78"/>
  <c r="BC59" i="105"/>
  <c r="L263" i="59"/>
  <c r="I264" i="59"/>
  <c r="P218" i="59"/>
  <c r="P223" i="59"/>
  <c r="O218" i="59"/>
  <c r="O223" i="59"/>
  <c r="L220" i="59"/>
  <c r="L225" i="59"/>
  <c r="H283" i="59"/>
  <c r="CA24" i="60"/>
  <c r="O343" i="59"/>
  <c r="P343" i="59"/>
  <c r="CC44" i="60"/>
  <c r="CC45" i="60"/>
  <c r="CD44" i="60"/>
  <c r="CD45" i="60"/>
  <c r="CB44" i="60"/>
  <c r="CB45" i="60"/>
  <c r="CA44" i="60"/>
  <c r="CA45" i="60"/>
  <c r="O263" i="59"/>
  <c r="DH112" i="78"/>
  <c r="DH113" i="78"/>
  <c r="DH114" i="78"/>
  <c r="O367" i="59"/>
  <c r="Q367" i="59"/>
  <c r="R367" i="59"/>
  <c r="O220" i="59"/>
  <c r="O225" i="59"/>
  <c r="K283" i="59"/>
  <c r="M218" i="59"/>
  <c r="M223" i="59"/>
  <c r="M283" i="59"/>
  <c r="I218" i="59"/>
  <c r="I223" i="59"/>
  <c r="P12" i="105"/>
  <c r="I283" i="59"/>
  <c r="P220" i="59"/>
  <c r="P225" i="59"/>
  <c r="J218" i="59"/>
  <c r="J223" i="59"/>
  <c r="Q218" i="59"/>
  <c r="Q223" i="59"/>
  <c r="Q283" i="59"/>
  <c r="CY98" i="78"/>
  <c r="DH98" i="78"/>
  <c r="K218" i="59"/>
  <c r="K223" i="59"/>
  <c r="H218" i="59"/>
  <c r="H223" i="59"/>
  <c r="N218" i="59"/>
  <c r="N223" i="59"/>
  <c r="N283" i="59"/>
  <c r="J283" i="59"/>
  <c r="P59" i="105"/>
  <c r="K343" i="59"/>
  <c r="Q343" i="59"/>
  <c r="CD24" i="60"/>
  <c r="CC30" i="60"/>
  <c r="CC31" i="60"/>
  <c r="N343" i="59"/>
  <c r="H343" i="59"/>
  <c r="I343" i="59"/>
  <c r="M343" i="59"/>
  <c r="J343" i="59"/>
  <c r="CC24" i="60"/>
  <c r="CB24" i="60"/>
  <c r="CA30" i="60"/>
  <c r="CA31" i="60"/>
  <c r="CB30" i="60"/>
  <c r="CB31" i="60"/>
  <c r="CD30" i="60"/>
  <c r="CD31" i="60"/>
  <c r="P263" i="59"/>
  <c r="J263" i="59"/>
  <c r="N263" i="59"/>
  <c r="K242" i="22"/>
  <c r="K247" i="22"/>
  <c r="J247" i="22"/>
  <c r="J242" i="22"/>
  <c r="I220" i="59"/>
  <c r="I225" i="59"/>
  <c r="J220" i="59"/>
  <c r="J225" i="59"/>
  <c r="N220" i="59"/>
  <c r="N225" i="59"/>
  <c r="AC59" i="105"/>
  <c r="M220" i="59"/>
  <c r="M225" i="59"/>
  <c r="H220" i="59"/>
  <c r="H225" i="59"/>
  <c r="K220" i="59"/>
  <c r="K225" i="59"/>
  <c r="Q220" i="59"/>
  <c r="Q225" i="59"/>
  <c r="AC12" i="105"/>
  <c r="J302" i="22"/>
  <c r="J303" i="22"/>
  <c r="L352" i="59"/>
  <c r="J261" i="22"/>
  <c r="I263" i="59"/>
  <c r="M263" i="59"/>
  <c r="K263" i="59"/>
  <c r="H263" i="59"/>
  <c r="J224" i="22"/>
  <c r="J225" i="22"/>
  <c r="N247" i="22"/>
  <c r="M247" i="22"/>
  <c r="J272" i="22"/>
  <c r="Q263" i="59"/>
  <c r="J297" i="22"/>
  <c r="N223" i="22"/>
  <c r="N224" i="22"/>
  <c r="N225" i="22"/>
  <c r="K223" i="22"/>
  <c r="K224" i="22"/>
  <c r="K225" i="22"/>
  <c r="N242" i="22"/>
  <c r="M242" i="22"/>
  <c r="I440" i="59"/>
  <c r="O374" i="59"/>
  <c r="I395" i="59"/>
  <c r="P374" i="59"/>
  <c r="Q374" i="59"/>
  <c r="R374" i="59"/>
  <c r="H242" i="22"/>
  <c r="L118" i="59"/>
  <c r="L119" i="59"/>
  <c r="L128" i="59"/>
  <c r="M302" i="22"/>
  <c r="M303" i="22"/>
  <c r="O352" i="59"/>
  <c r="N302" i="22"/>
  <c r="N303" i="22"/>
  <c r="P352" i="59"/>
  <c r="L116" i="59"/>
  <c r="O247" i="22"/>
  <c r="M297" i="22"/>
  <c r="F222" i="22"/>
  <c r="F234" i="22"/>
  <c r="F241" i="22"/>
  <c r="F242" i="22"/>
  <c r="F312" i="22"/>
  <c r="I247" i="22"/>
  <c r="Q84" i="78"/>
  <c r="AK84" i="78"/>
  <c r="BJ84" i="78"/>
  <c r="BL84" i="78"/>
  <c r="DH84" i="78"/>
  <c r="L242" i="22"/>
  <c r="G247" i="22"/>
  <c r="O242" i="22"/>
  <c r="Q240" i="22"/>
  <c r="Q241" i="22"/>
  <c r="Q242" i="22"/>
  <c r="Q243" i="22"/>
  <c r="R243" i="22"/>
  <c r="S243" i="22"/>
  <c r="Q245" i="22"/>
  <c r="Q246" i="22"/>
  <c r="Q247" i="22"/>
  <c r="Q248" i="22"/>
  <c r="R248" i="22"/>
  <c r="H247" i="22"/>
  <c r="F246" i="22"/>
  <c r="F315" i="22"/>
  <c r="F247" i="22"/>
  <c r="I242" i="22"/>
  <c r="N297" i="22"/>
  <c r="M272" i="22"/>
  <c r="L247" i="22"/>
  <c r="G242" i="22"/>
  <c r="M261" i="22"/>
  <c r="O118" i="59"/>
  <c r="O119" i="59"/>
  <c r="O128" i="59"/>
  <c r="P118" i="59"/>
  <c r="P119" i="59"/>
  <c r="P128" i="59"/>
  <c r="L86" i="59"/>
  <c r="I302" i="22"/>
  <c r="I303" i="22"/>
  <c r="K352" i="59"/>
  <c r="G302" i="22"/>
  <c r="G303" i="22"/>
  <c r="I352" i="59"/>
  <c r="K302" i="22"/>
  <c r="K303" i="22"/>
  <c r="M352" i="59"/>
  <c r="L302" i="22"/>
  <c r="L303" i="22"/>
  <c r="N352" i="59"/>
  <c r="F302" i="22"/>
  <c r="F303" i="22"/>
  <c r="H352" i="59"/>
  <c r="CB48" i="60"/>
  <c r="CB46" i="60"/>
  <c r="CD32" i="60"/>
  <c r="CD35" i="60"/>
  <c r="CD47" i="60"/>
  <c r="CD49" i="60"/>
  <c r="CC49" i="60"/>
  <c r="CC47" i="60"/>
  <c r="CA49" i="60"/>
  <c r="CA47" i="60"/>
  <c r="CB32" i="60"/>
  <c r="CB36" i="60"/>
  <c r="CC32" i="60"/>
  <c r="CC35" i="60"/>
  <c r="CC36" i="60"/>
  <c r="CA34" i="60"/>
  <c r="CA32" i="60"/>
  <c r="CA35" i="60"/>
  <c r="O116" i="59"/>
  <c r="O302" i="22"/>
  <c r="O303" i="22"/>
  <c r="Q352" i="59"/>
  <c r="H302" i="22"/>
  <c r="H303" i="22"/>
  <c r="J352" i="59"/>
  <c r="CB47" i="60"/>
  <c r="CB49" i="60"/>
  <c r="CD34" i="60"/>
  <c r="CD36" i="60"/>
  <c r="CD33" i="60"/>
  <c r="CD48" i="60"/>
  <c r="CD46" i="60"/>
  <c r="CC48" i="60"/>
  <c r="CC46" i="60"/>
  <c r="CA46" i="60"/>
  <c r="CA48" i="60"/>
  <c r="CB34" i="60"/>
  <c r="CB33" i="60"/>
  <c r="CB35" i="60"/>
  <c r="CC34" i="60"/>
  <c r="CC33" i="60"/>
  <c r="CA33" i="60"/>
  <c r="CA36" i="60"/>
  <c r="P116" i="59"/>
  <c r="G261" i="22"/>
  <c r="K272" i="22"/>
  <c r="I297" i="22"/>
  <c r="F297" i="22"/>
  <c r="L272" i="22"/>
  <c r="G224" i="22"/>
  <c r="G225" i="22"/>
  <c r="O223" i="22"/>
  <c r="O224" i="22"/>
  <c r="O225" i="22"/>
  <c r="L223" i="22"/>
  <c r="L224" i="22"/>
  <c r="L225" i="22"/>
  <c r="H297" i="22"/>
  <c r="N272" i="22"/>
  <c r="O297" i="22"/>
  <c r="L261" i="22"/>
  <c r="O261" i="22"/>
  <c r="AK81" i="78"/>
  <c r="BJ81" i="78"/>
  <c r="BL81" i="78"/>
  <c r="G272" i="22"/>
  <c r="AK82" i="78"/>
  <c r="BJ82" i="78"/>
  <c r="BL82" i="78"/>
  <c r="M223" i="22"/>
  <c r="M224" i="22"/>
  <c r="M225" i="22"/>
  <c r="N261" i="22"/>
  <c r="G297" i="22"/>
  <c r="K297" i="22"/>
  <c r="J290" i="22"/>
  <c r="L297" i="22"/>
  <c r="H272" i="22"/>
  <c r="K118" i="59"/>
  <c r="K119" i="59"/>
  <c r="K128" i="59"/>
  <c r="H118" i="59"/>
  <c r="H119" i="59"/>
  <c r="H128" i="59"/>
  <c r="J118" i="59"/>
  <c r="J119" i="59"/>
  <c r="J128" i="59"/>
  <c r="Q118" i="59"/>
  <c r="Q119" i="59"/>
  <c r="Q128" i="59"/>
  <c r="I118" i="59"/>
  <c r="I119" i="59"/>
  <c r="I128" i="59"/>
  <c r="M118" i="59"/>
  <c r="M119" i="59"/>
  <c r="M128" i="59"/>
  <c r="N118" i="59"/>
  <c r="N119" i="59"/>
  <c r="N128" i="59"/>
  <c r="O86" i="59"/>
  <c r="P86" i="59"/>
  <c r="O409" i="59"/>
  <c r="I391" i="59"/>
  <c r="P409" i="59"/>
  <c r="Q409" i="59"/>
  <c r="R409" i="59"/>
  <c r="J116" i="59"/>
  <c r="H116" i="59"/>
  <c r="N116" i="59"/>
  <c r="Q116" i="59"/>
  <c r="M116" i="59"/>
  <c r="I116" i="59"/>
  <c r="K116" i="59"/>
  <c r="H261" i="22"/>
  <c r="I261" i="22"/>
  <c r="K261" i="22"/>
  <c r="F261" i="22"/>
  <c r="N290" i="22"/>
  <c r="O272" i="22"/>
  <c r="F272" i="22"/>
  <c r="M290" i="22"/>
  <c r="I272" i="22"/>
  <c r="DH81" i="78"/>
  <c r="H86" i="59"/>
  <c r="H290" i="22"/>
  <c r="I290" i="22"/>
  <c r="O290" i="22"/>
  <c r="L290" i="22"/>
  <c r="I442" i="59"/>
  <c r="O391" i="59"/>
  <c r="I375" i="59"/>
  <c r="I366" i="59"/>
  <c r="I377" i="59"/>
  <c r="P391" i="59"/>
  <c r="Q391" i="59"/>
  <c r="R391" i="59"/>
  <c r="O198" i="22"/>
  <c r="G290" i="22"/>
  <c r="K290" i="22"/>
  <c r="O397" i="59"/>
  <c r="P397" i="59"/>
  <c r="Q397" i="59"/>
  <c r="R397" i="59"/>
  <c r="F290" i="22"/>
  <c r="L287" i="59"/>
  <c r="K86" i="59"/>
  <c r="Q86" i="59"/>
  <c r="N86" i="59"/>
  <c r="I86" i="59"/>
  <c r="J86" i="59"/>
  <c r="M86" i="59"/>
  <c r="O398" i="59"/>
  <c r="Q398" i="59"/>
  <c r="R398" i="59"/>
  <c r="I287" i="59"/>
  <c r="H287" i="59"/>
  <c r="K287" i="59"/>
  <c r="M287" i="59"/>
  <c r="CC21" i="60"/>
  <c r="CB21" i="60"/>
  <c r="CA21" i="60"/>
  <c r="N191" i="22"/>
  <c r="M191" i="22"/>
  <c r="J287" i="59"/>
  <c r="Q287" i="59"/>
  <c r="P287" i="59"/>
  <c r="N287" i="59"/>
  <c r="CD21" i="60"/>
  <c r="K191" i="22"/>
  <c r="L191" i="22"/>
  <c r="O191" i="22"/>
  <c r="O287" i="59"/>
  <c r="L236" i="59"/>
  <c r="L237" i="59"/>
  <c r="O366" i="59"/>
  <c r="Q366" i="59"/>
  <c r="R366" i="59"/>
  <c r="AK93" i="78"/>
  <c r="BJ93" i="78"/>
  <c r="BL93" i="78"/>
  <c r="L219" i="59"/>
  <c r="L224" i="59"/>
  <c r="L84" i="59"/>
  <c r="L85" i="59"/>
  <c r="M236" i="59"/>
  <c r="M237" i="59"/>
  <c r="CC38" i="60"/>
  <c r="CC39" i="60"/>
  <c r="I236" i="59"/>
  <c r="I237" i="59"/>
  <c r="CA38" i="60"/>
  <c r="CA39" i="60"/>
  <c r="H236" i="59"/>
  <c r="H237" i="59"/>
  <c r="CB38" i="60"/>
  <c r="CB39" i="60"/>
  <c r="K236" i="59"/>
  <c r="K237" i="59"/>
  <c r="AK91" i="78"/>
  <c r="BJ91" i="78"/>
  <c r="BL91" i="78"/>
  <c r="M219" i="59"/>
  <c r="M224" i="59"/>
  <c r="I219" i="59"/>
  <c r="I224" i="59"/>
  <c r="H219" i="59"/>
  <c r="H224" i="59"/>
  <c r="K219" i="59"/>
  <c r="K224" i="59"/>
  <c r="O84" i="59"/>
  <c r="O85" i="59"/>
  <c r="P84" i="59"/>
  <c r="P85" i="59"/>
  <c r="P236" i="59"/>
  <c r="P237" i="59"/>
  <c r="Q236" i="59"/>
  <c r="Q237" i="59"/>
  <c r="CD38" i="60"/>
  <c r="CD39" i="60"/>
  <c r="J236" i="59"/>
  <c r="J237" i="59"/>
  <c r="N236" i="59"/>
  <c r="N237" i="59"/>
  <c r="J219" i="59"/>
  <c r="J224" i="59"/>
  <c r="P219" i="59"/>
  <c r="P224" i="59"/>
  <c r="Q219" i="59"/>
  <c r="Q224" i="59"/>
  <c r="I84" i="59"/>
  <c r="I85" i="59"/>
  <c r="N219" i="59"/>
  <c r="N224" i="59"/>
  <c r="L300" i="59"/>
  <c r="L313" i="59"/>
  <c r="L316" i="59"/>
  <c r="L319" i="59"/>
  <c r="K84" i="59"/>
  <c r="K85" i="59"/>
  <c r="M84" i="59"/>
  <c r="M85" i="59"/>
  <c r="H84" i="59"/>
  <c r="H85" i="59"/>
  <c r="J84" i="59"/>
  <c r="J85" i="59"/>
  <c r="N84" i="59"/>
  <c r="N85" i="59"/>
  <c r="Q84" i="59"/>
  <c r="Q85" i="59"/>
  <c r="H300" i="59"/>
  <c r="H313" i="59"/>
  <c r="H316" i="59"/>
  <c r="H319" i="59"/>
  <c r="M300" i="59"/>
  <c r="M313" i="59"/>
  <c r="M316" i="59"/>
  <c r="M319" i="59"/>
  <c r="I300" i="59"/>
  <c r="I313" i="59"/>
  <c r="I316" i="59"/>
  <c r="I319" i="59"/>
  <c r="K300" i="59"/>
  <c r="K313" i="59"/>
  <c r="K316" i="59"/>
  <c r="K319" i="59"/>
  <c r="CB40" i="60"/>
  <c r="CB42" i="60"/>
  <c r="CC41" i="60"/>
  <c r="CA41" i="60"/>
  <c r="CA42" i="60"/>
  <c r="O236" i="59"/>
  <c r="O237" i="59"/>
  <c r="CB41" i="60"/>
  <c r="CC42" i="60"/>
  <c r="CC40" i="60"/>
  <c r="CA40" i="60"/>
  <c r="P300" i="59"/>
  <c r="P313" i="59"/>
  <c r="P316" i="59"/>
  <c r="P319" i="59"/>
  <c r="Q300" i="59"/>
  <c r="Q313" i="59"/>
  <c r="Q316" i="59"/>
  <c r="Q319" i="59"/>
  <c r="N300" i="59"/>
  <c r="N313" i="59"/>
  <c r="N316" i="59"/>
  <c r="N319" i="59"/>
  <c r="J300" i="59"/>
  <c r="J313" i="59"/>
  <c r="J316" i="59"/>
  <c r="J319" i="59"/>
  <c r="O219" i="59"/>
  <c r="O224" i="59"/>
  <c r="CD40" i="60"/>
  <c r="CD41" i="60"/>
  <c r="CD42" i="60"/>
  <c r="O300" i="59"/>
  <c r="O316" i="59"/>
  <c r="O319" i="59"/>
  <c r="O313" i="59"/>
  <c r="Q51" i="78"/>
  <c r="AK51" i="78"/>
  <c r="BL51" i="78"/>
  <c r="J161" i="59"/>
  <c r="P161" i="59"/>
  <c r="I161" i="59"/>
  <c r="K161" i="59"/>
  <c r="Q161" i="59"/>
  <c r="O161" i="59"/>
  <c r="L161" i="59"/>
  <c r="M161" i="59"/>
  <c r="N161" i="59"/>
  <c r="H161" i="59"/>
  <c r="BO36" i="60"/>
  <c r="Q50" i="78"/>
  <c r="AK50" i="78"/>
  <c r="BL50" i="78"/>
  <c r="DH50" i="78"/>
  <c r="P364" i="59"/>
  <c r="Q364" i="59"/>
  <c r="R364" i="59"/>
  <c r="CY96" i="78"/>
  <c r="DH96" i="78"/>
  <c r="T78" i="105"/>
  <c r="U78" i="105"/>
  <c r="V78" i="105"/>
  <c r="W78" i="105"/>
  <c r="X78" i="105"/>
  <c r="Y78" i="105"/>
  <c r="Z78" i="105"/>
  <c r="AA78" i="105"/>
  <c r="S78" i="105"/>
  <c r="AC78" i="105"/>
  <c r="T31" i="105"/>
  <c r="U31" i="105"/>
  <c r="V31" i="105"/>
  <c r="W31" i="105"/>
  <c r="X31" i="105"/>
  <c r="Y31" i="105"/>
  <c r="Z31" i="105"/>
  <c r="AA31" i="105"/>
  <c r="S31" i="105"/>
  <c r="AC31" i="105"/>
  <c r="G31" i="105"/>
  <c r="H31" i="105"/>
  <c r="I31" i="105"/>
  <c r="J31" i="105"/>
  <c r="K31" i="105"/>
  <c r="L31" i="105"/>
  <c r="M31" i="105"/>
  <c r="N31" i="105"/>
  <c r="F31" i="105"/>
  <c r="P31" i="105"/>
  <c r="BO34" i="60"/>
  <c r="BO44" i="60"/>
  <c r="BO45" i="60"/>
  <c r="G78" i="105"/>
  <c r="H78" i="105"/>
  <c r="I78" i="105"/>
  <c r="J78" i="105"/>
  <c r="K78" i="105"/>
  <c r="L78" i="105"/>
  <c r="M78" i="105"/>
  <c r="N78" i="105"/>
  <c r="F78" i="105"/>
  <c r="P78" i="105"/>
  <c r="AT78" i="105"/>
  <c r="AU78" i="105"/>
  <c r="AV78" i="105"/>
  <c r="AW78" i="105"/>
  <c r="AX78" i="105"/>
  <c r="AY78" i="105"/>
  <c r="AZ78" i="105"/>
  <c r="BA78" i="105"/>
  <c r="AS78" i="105"/>
  <c r="BC78" i="105"/>
  <c r="AT31" i="105"/>
  <c r="AU31" i="105"/>
  <c r="AV31" i="105"/>
  <c r="AW31" i="105"/>
  <c r="AX31" i="105"/>
  <c r="AY31" i="105"/>
  <c r="AZ31" i="105"/>
  <c r="BA31" i="105"/>
  <c r="AS31" i="105"/>
  <c r="BC31" i="105"/>
  <c r="C25" i="108"/>
  <c r="BK31" i="105"/>
  <c r="BJ31" i="105"/>
  <c r="BW31" i="105"/>
  <c r="CJ31" i="105"/>
  <c r="BL31" i="105"/>
  <c r="BX31" i="105"/>
  <c r="CK31" i="105"/>
  <c r="BM31" i="105"/>
  <c r="BY31" i="105"/>
  <c r="CL31" i="105"/>
  <c r="BN31" i="105"/>
  <c r="BZ31" i="105"/>
  <c r="CM31" i="105"/>
  <c r="BO31" i="105"/>
  <c r="CA31" i="105"/>
  <c r="CN31" i="105"/>
  <c r="BP31" i="105"/>
  <c r="CB31" i="105"/>
  <c r="CO31" i="105"/>
  <c r="BQ31" i="105"/>
  <c r="CC31" i="105"/>
  <c r="CP31" i="105"/>
  <c r="BR31" i="105"/>
  <c r="CD31" i="105"/>
  <c r="CQ31" i="105"/>
  <c r="BV31" i="105"/>
  <c r="CI31" i="105"/>
  <c r="CS31" i="105"/>
  <c r="CF31" i="105"/>
  <c r="BK78" i="105"/>
  <c r="BJ78" i="105"/>
  <c r="BW78" i="105"/>
  <c r="CJ78" i="105"/>
  <c r="BL78" i="105"/>
  <c r="BX78" i="105"/>
  <c r="CK78" i="105"/>
  <c r="BM78" i="105"/>
  <c r="BY78" i="105"/>
  <c r="CL78" i="105"/>
  <c r="BN78" i="105"/>
  <c r="BZ78" i="105"/>
  <c r="CM78" i="105"/>
  <c r="BO78" i="105"/>
  <c r="CA78" i="105"/>
  <c r="CN78" i="105"/>
  <c r="BP78" i="105"/>
  <c r="CB78" i="105"/>
  <c r="CO78" i="105"/>
  <c r="BQ78" i="105"/>
  <c r="CC78" i="105"/>
  <c r="CP78" i="105"/>
  <c r="BR78" i="105"/>
  <c r="CD78" i="105"/>
  <c r="CQ78" i="105"/>
  <c r="BV78" i="105"/>
  <c r="CI78" i="105"/>
  <c r="CS78" i="105"/>
  <c r="CF78" i="105"/>
  <c r="E25" i="108"/>
  <c r="D25" i="108"/>
  <c r="X102" i="105"/>
  <c r="H55" i="108"/>
  <c r="AA55" i="105"/>
  <c r="K54" i="108"/>
  <c r="T102" i="105"/>
  <c r="D55" i="108"/>
  <c r="X55" i="105"/>
  <c r="H54" i="108"/>
  <c r="AA102" i="105"/>
  <c r="K55" i="108"/>
  <c r="T55" i="105"/>
  <c r="D54" i="108"/>
  <c r="U102" i="105"/>
  <c r="E55" i="108"/>
  <c r="CY99" i="78"/>
  <c r="DH99" i="78"/>
  <c r="Q160" i="59"/>
  <c r="Q173" i="59"/>
  <c r="U55" i="105"/>
  <c r="E54" i="108"/>
  <c r="CY106" i="78"/>
  <c r="DH106" i="78"/>
  <c r="S102" i="105"/>
  <c r="C55" i="108"/>
  <c r="S55" i="105"/>
  <c r="C54" i="108"/>
  <c r="C44" i="108"/>
  <c r="H160" i="59"/>
  <c r="H173" i="59"/>
  <c r="I160" i="59"/>
  <c r="I173" i="59"/>
  <c r="I174" i="59"/>
  <c r="G102" i="105"/>
  <c r="D53" i="108"/>
  <c r="G55" i="105"/>
  <c r="D52" i="108"/>
  <c r="W102" i="105"/>
  <c r="G55" i="108"/>
  <c r="AT102" i="105"/>
  <c r="D59" i="108"/>
  <c r="W55" i="105"/>
  <c r="G54" i="108"/>
  <c r="J160" i="59"/>
  <c r="J173" i="59"/>
  <c r="J174" i="59"/>
  <c r="J175" i="59"/>
  <c r="CY109" i="78"/>
  <c r="DH109" i="78"/>
  <c r="E44" i="108"/>
  <c r="D44" i="108"/>
  <c r="K160" i="59"/>
  <c r="K173" i="59"/>
  <c r="K174" i="59"/>
  <c r="K175" i="59"/>
  <c r="Y102" i="105"/>
  <c r="I55" i="108"/>
  <c r="H55" i="105"/>
  <c r="E52" i="108"/>
  <c r="Y55" i="105"/>
  <c r="I54" i="108"/>
  <c r="H102" i="105"/>
  <c r="E53" i="108"/>
  <c r="F102" i="105"/>
  <c r="C53" i="108"/>
  <c r="F55" i="105"/>
  <c r="C52" i="108"/>
  <c r="BJ55" i="105"/>
  <c r="AT55" i="105"/>
  <c r="D58" i="108"/>
  <c r="BK55" i="105"/>
  <c r="BJ102" i="105"/>
  <c r="BK102" i="105"/>
  <c r="AU102" i="105"/>
  <c r="E59" i="108"/>
  <c r="AU55" i="105"/>
  <c r="E58" i="108"/>
  <c r="AX102" i="105"/>
  <c r="H59" i="108"/>
  <c r="K102" i="105"/>
  <c r="H53" i="108"/>
  <c r="Z102" i="105"/>
  <c r="J55" i="108"/>
  <c r="AX55" i="105"/>
  <c r="H58" i="108"/>
  <c r="K55" i="105"/>
  <c r="H52" i="108"/>
  <c r="Z55" i="105"/>
  <c r="J54" i="108"/>
  <c r="AS55" i="105"/>
  <c r="C58" i="108"/>
  <c r="BV102" i="105"/>
  <c r="BV55" i="105"/>
  <c r="AS102" i="105"/>
  <c r="C59" i="108"/>
  <c r="BL102" i="105"/>
  <c r="BL55" i="105"/>
  <c r="AY102" i="105"/>
  <c r="I59" i="108"/>
  <c r="L102" i="105"/>
  <c r="I53" i="108"/>
  <c r="AY55" i="105"/>
  <c r="I58" i="108"/>
  <c r="L55" i="105"/>
  <c r="I52" i="108"/>
  <c r="CI55" i="105"/>
  <c r="CI102" i="105"/>
  <c r="BO55" i="105"/>
  <c r="BO102" i="105"/>
  <c r="BX55" i="105"/>
  <c r="CK55" i="105"/>
  <c r="K188" i="59"/>
  <c r="K190" i="59"/>
  <c r="K192" i="59"/>
  <c r="H188" i="59"/>
  <c r="H190" i="59"/>
  <c r="H153" i="59"/>
  <c r="K151" i="59"/>
  <c r="BX102" i="105"/>
  <c r="CK102" i="105"/>
  <c r="V102" i="105"/>
  <c r="F55" i="108"/>
  <c r="AC102" i="105"/>
  <c r="L160" i="59"/>
  <c r="L173" i="59"/>
  <c r="L174" i="59"/>
  <c r="L175" i="59"/>
  <c r="V55" i="105"/>
  <c r="F54" i="108"/>
  <c r="AC55" i="105"/>
  <c r="H192" i="59"/>
  <c r="H151" i="59"/>
  <c r="E45" i="108"/>
  <c r="D45" i="108"/>
  <c r="AW102" i="105"/>
  <c r="G59" i="108"/>
  <c r="J102" i="105"/>
  <c r="G53" i="108"/>
  <c r="AZ102" i="105"/>
  <c r="J59" i="108"/>
  <c r="M102" i="105"/>
  <c r="J53" i="108"/>
  <c r="P188" i="59"/>
  <c r="P190" i="59"/>
  <c r="P192" i="59"/>
  <c r="P151" i="59"/>
  <c r="BA102" i="105"/>
  <c r="K59" i="108"/>
  <c r="N102" i="105"/>
  <c r="K53" i="108"/>
  <c r="AZ55" i="105"/>
  <c r="J58" i="108"/>
  <c r="M55" i="105"/>
  <c r="J52" i="108"/>
  <c r="BA55" i="105"/>
  <c r="K58" i="108"/>
  <c r="N55" i="105"/>
  <c r="K52" i="108"/>
  <c r="AW55" i="105"/>
  <c r="G58" i="108"/>
  <c r="J55" i="105"/>
  <c r="G52" i="108"/>
  <c r="BQ39" i="60"/>
  <c r="BQ36" i="60"/>
  <c r="H144" i="59"/>
  <c r="K140" i="59"/>
  <c r="M145" i="59"/>
  <c r="BQ35" i="60"/>
  <c r="BQ38" i="60"/>
  <c r="O145" i="59"/>
  <c r="M146" i="59"/>
  <c r="L141" i="59"/>
  <c r="Q142" i="59"/>
  <c r="N140" i="59"/>
  <c r="H142" i="59"/>
  <c r="I140" i="59"/>
  <c r="O141" i="59"/>
  <c r="N143" i="59"/>
  <c r="I142" i="59"/>
  <c r="K143" i="59"/>
  <c r="L145" i="59"/>
  <c r="N142" i="59"/>
  <c r="J144" i="59"/>
  <c r="P148" i="59"/>
  <c r="M148" i="59"/>
  <c r="BQ41" i="60"/>
  <c r="K148" i="59"/>
  <c r="M143" i="59"/>
  <c r="N141" i="59"/>
  <c r="N145" i="59"/>
  <c r="L143" i="59"/>
  <c r="H141" i="59"/>
  <c r="J146" i="59"/>
  <c r="O143" i="59"/>
  <c r="H145" i="59"/>
  <c r="Q140" i="59"/>
  <c r="I144" i="59"/>
  <c r="M140" i="59"/>
  <c r="J145" i="59"/>
  <c r="K145" i="59"/>
  <c r="N144" i="59"/>
  <c r="J142" i="59"/>
  <c r="P141" i="59"/>
  <c r="P146" i="59"/>
  <c r="H140" i="59"/>
  <c r="H148" i="59"/>
  <c r="N148" i="59"/>
  <c r="Q148" i="59"/>
  <c r="K141" i="59"/>
  <c r="K142" i="59"/>
  <c r="Q144" i="59"/>
  <c r="P143" i="59"/>
  <c r="M142" i="59"/>
  <c r="Q141" i="59"/>
  <c r="L142" i="59"/>
  <c r="Q145" i="59"/>
  <c r="O144" i="59"/>
  <c r="K144" i="59"/>
  <c r="P144" i="59"/>
  <c r="I143" i="59"/>
  <c r="M141" i="59"/>
  <c r="O146" i="59"/>
  <c r="I146" i="59"/>
  <c r="M144" i="59"/>
  <c r="P140" i="59"/>
  <c r="L140" i="59"/>
  <c r="J141" i="59"/>
  <c r="L148" i="59"/>
  <c r="H146" i="59"/>
  <c r="I145" i="59"/>
  <c r="P145" i="59"/>
  <c r="O142" i="59"/>
  <c r="L144" i="59"/>
  <c r="O140" i="59"/>
  <c r="N146" i="59"/>
  <c r="H143" i="59"/>
  <c r="L146" i="59"/>
  <c r="P142" i="59"/>
  <c r="Q143" i="59"/>
  <c r="K146" i="59"/>
  <c r="Q146" i="59"/>
  <c r="J143" i="59"/>
  <c r="I141" i="59"/>
  <c r="J140" i="59"/>
  <c r="O148" i="59"/>
  <c r="I148" i="59"/>
  <c r="J148" i="59"/>
  <c r="BQ37" i="60"/>
  <c r="BQ42" i="60"/>
  <c r="BQ33" i="60"/>
  <c r="I188" i="59"/>
  <c r="I147" i="59"/>
  <c r="N188" i="59"/>
  <c r="N147" i="59"/>
  <c r="Q188" i="59"/>
  <c r="Q147" i="59"/>
  <c r="H147" i="59"/>
  <c r="M188" i="59"/>
  <c r="M147" i="59"/>
  <c r="K147" i="59"/>
  <c r="BP34" i="60"/>
  <c r="BQ34" i="60"/>
  <c r="J188" i="59"/>
  <c r="J147" i="59"/>
  <c r="P147" i="59"/>
  <c r="O188" i="59"/>
  <c r="O147" i="59"/>
  <c r="L188" i="59"/>
  <c r="L147" i="59"/>
  <c r="BQ43" i="60"/>
  <c r="BP44" i="60"/>
  <c r="BQ44" i="60"/>
  <c r="J139" i="59"/>
  <c r="J149" i="59"/>
  <c r="N139" i="59"/>
  <c r="N149" i="59"/>
  <c r="I190" i="59"/>
  <c r="I192" i="59"/>
  <c r="I151" i="59"/>
  <c r="N190" i="59"/>
  <c r="N192" i="59"/>
  <c r="N151" i="59"/>
  <c r="J190" i="59"/>
  <c r="J192" i="59"/>
  <c r="J151" i="59"/>
  <c r="Q190" i="59"/>
  <c r="Q192" i="59"/>
  <c r="Q151" i="59"/>
  <c r="O190" i="59"/>
  <c r="O192" i="59"/>
  <c r="O151" i="59"/>
  <c r="BP55" i="105"/>
  <c r="L190" i="59"/>
  <c r="L192" i="59"/>
  <c r="L151" i="59"/>
  <c r="M160" i="59"/>
  <c r="M173" i="59"/>
  <c r="M174" i="59"/>
  <c r="M175" i="59"/>
  <c r="N160" i="59"/>
  <c r="N173" i="59"/>
  <c r="N174" i="59"/>
  <c r="N175" i="59"/>
  <c r="O160" i="59"/>
  <c r="O173" i="59"/>
  <c r="O174" i="59"/>
  <c r="O175" i="59"/>
  <c r="P160" i="59"/>
  <c r="P173" i="59"/>
  <c r="P174" i="59"/>
  <c r="P175" i="59"/>
  <c r="Q174" i="59"/>
  <c r="Q175" i="59"/>
  <c r="M190" i="59"/>
  <c r="M192" i="59"/>
  <c r="M151" i="59"/>
  <c r="BP102" i="105"/>
  <c r="L139" i="59"/>
  <c r="L149" i="59"/>
  <c r="O139" i="59"/>
  <c r="O149" i="59"/>
  <c r="K139" i="59"/>
  <c r="K149" i="59"/>
  <c r="H139" i="59"/>
  <c r="H149" i="59"/>
  <c r="O203" i="59"/>
  <c r="CB102" i="105"/>
  <c r="CO102" i="105"/>
  <c r="CB55" i="105"/>
  <c r="CO55" i="105"/>
  <c r="K202" i="59"/>
  <c r="L202" i="59"/>
  <c r="BR55" i="105"/>
  <c r="BQ55" i="105"/>
  <c r="BR102" i="105"/>
  <c r="I102" i="105"/>
  <c r="F53" i="108"/>
  <c r="P102" i="105"/>
  <c r="BQ102" i="105"/>
  <c r="BM55" i="105"/>
  <c r="I139" i="59"/>
  <c r="I149" i="59"/>
  <c r="BN55" i="105"/>
  <c r="BM102" i="105"/>
  <c r="I55" i="105"/>
  <c r="F52" i="108"/>
  <c r="P55" i="105"/>
  <c r="C26" i="108"/>
  <c r="BN102" i="105"/>
  <c r="P139" i="59"/>
  <c r="P149" i="59"/>
  <c r="M139" i="59"/>
  <c r="M149" i="59"/>
  <c r="P203" i="59"/>
  <c r="BZ102" i="105"/>
  <c r="CM102" i="105"/>
  <c r="CA102" i="105"/>
  <c r="CN102" i="105"/>
  <c r="BY102" i="105"/>
  <c r="BZ55" i="105"/>
  <c r="CM55" i="105"/>
  <c r="AV102" i="105"/>
  <c r="F59" i="108"/>
  <c r="CD102" i="105"/>
  <c r="CQ102" i="105"/>
  <c r="CC55" i="105"/>
  <c r="CP55" i="105"/>
  <c r="AV55" i="105"/>
  <c r="F58" i="108"/>
  <c r="C5" i="108"/>
  <c r="Q139" i="59"/>
  <c r="Q149" i="59"/>
  <c r="Q153" i="59"/>
  <c r="Q203" i="59"/>
  <c r="CA55" i="105"/>
  <c r="CN55" i="105"/>
  <c r="BY55" i="105"/>
  <c r="CC102" i="105"/>
  <c r="CP102" i="105"/>
  <c r="CD55" i="105"/>
  <c r="CQ55" i="105"/>
  <c r="E26" i="108"/>
  <c r="D26" i="108"/>
  <c r="BC55" i="105"/>
  <c r="F3" i="105"/>
  <c r="H3" i="105"/>
  <c r="K3" i="105"/>
  <c r="BC102" i="105"/>
  <c r="F4" i="105"/>
  <c r="K4" i="105"/>
  <c r="H4" i="105"/>
  <c r="BW102" i="105"/>
  <c r="CF102" i="105"/>
  <c r="CL55" i="105"/>
  <c r="CL102" i="105"/>
  <c r="E5" i="108"/>
  <c r="D5" i="108"/>
  <c r="BW55" i="105"/>
  <c r="CF55" i="105"/>
  <c r="CJ102" i="105"/>
  <c r="CS102" i="105"/>
  <c r="F8" i="105"/>
  <c r="K8" i="105"/>
  <c r="H8" i="105"/>
  <c r="CJ55" i="105"/>
  <c r="CS55" i="105"/>
  <c r="F7" i="105"/>
  <c r="K7" i="105"/>
  <c r="H7" i="105"/>
</calcChain>
</file>

<file path=xl/comments1.xml><?xml version="1.0" encoding="utf-8"?>
<comments xmlns="http://schemas.openxmlformats.org/spreadsheetml/2006/main">
  <authors>
    <author>kpharris</author>
  </authors>
  <commentList>
    <comment ref="F11" authorId="0">
      <text>
        <r>
          <rPr>
            <b/>
            <sz val="8"/>
            <color indexed="81"/>
            <rFont val="Tahoma"/>
            <family val="2"/>
          </rPr>
          <t>kpharris:</t>
        </r>
        <r>
          <rPr>
            <sz val="8"/>
            <color indexed="81"/>
            <rFont val="Tahoma"/>
            <family val="2"/>
          </rPr>
          <t xml:space="preserve">
corrected Sep 09</t>
        </r>
      </text>
    </comment>
    <comment ref="K11" authorId="0">
      <text>
        <r>
          <rPr>
            <b/>
            <sz val="8"/>
            <color indexed="81"/>
            <rFont val="Tahoma"/>
            <family val="2"/>
          </rPr>
          <t>kpharris:</t>
        </r>
        <r>
          <rPr>
            <sz val="8"/>
            <color indexed="81"/>
            <rFont val="Tahoma"/>
            <family val="2"/>
          </rPr>
          <t xml:space="preserve">
corrected Sep 09</t>
        </r>
      </text>
    </comment>
    <comment ref="F12" authorId="0">
      <text>
        <r>
          <rPr>
            <b/>
            <sz val="8"/>
            <color indexed="81"/>
            <rFont val="Tahoma"/>
            <family val="2"/>
          </rPr>
          <t>kpharris:</t>
        </r>
        <r>
          <rPr>
            <sz val="8"/>
            <color indexed="81"/>
            <rFont val="Tahoma"/>
            <family val="2"/>
          </rPr>
          <t xml:space="preserve">
corrected Sep 09</t>
        </r>
      </text>
    </comment>
    <comment ref="K12" authorId="0">
      <text>
        <r>
          <rPr>
            <b/>
            <sz val="8"/>
            <color indexed="81"/>
            <rFont val="Tahoma"/>
            <family val="2"/>
          </rPr>
          <t>kpharris:</t>
        </r>
        <r>
          <rPr>
            <sz val="8"/>
            <color indexed="81"/>
            <rFont val="Tahoma"/>
            <family val="2"/>
          </rPr>
          <t xml:space="preserve">
corrected Sep 09</t>
        </r>
      </text>
    </comment>
    <comment ref="F15" authorId="0">
      <text>
        <r>
          <rPr>
            <b/>
            <sz val="8"/>
            <color indexed="81"/>
            <rFont val="Tahoma"/>
            <family val="2"/>
          </rPr>
          <t>kpharris:</t>
        </r>
        <r>
          <rPr>
            <sz val="8"/>
            <color indexed="81"/>
            <rFont val="Tahoma"/>
            <family val="2"/>
          </rPr>
          <t xml:space="preserve">
corrected Sep 09</t>
        </r>
      </text>
    </comment>
    <comment ref="J15" authorId="0">
      <text>
        <r>
          <rPr>
            <b/>
            <sz val="8"/>
            <color indexed="81"/>
            <rFont val="Tahoma"/>
            <family val="2"/>
          </rPr>
          <t>kpharris:</t>
        </r>
        <r>
          <rPr>
            <sz val="8"/>
            <color indexed="81"/>
            <rFont val="Tahoma"/>
            <family val="2"/>
          </rPr>
          <t xml:space="preserve">
corrected Sep 09</t>
        </r>
      </text>
    </comment>
    <comment ref="K15" authorId="0">
      <text>
        <r>
          <rPr>
            <b/>
            <sz val="8"/>
            <color indexed="81"/>
            <rFont val="Tahoma"/>
            <family val="2"/>
          </rPr>
          <t>kpharris:</t>
        </r>
        <r>
          <rPr>
            <sz val="8"/>
            <color indexed="81"/>
            <rFont val="Tahoma"/>
            <family val="2"/>
          </rPr>
          <t xml:space="preserve">
corrected Sep 09</t>
        </r>
      </text>
    </comment>
    <comment ref="F19" authorId="0">
      <text>
        <r>
          <rPr>
            <b/>
            <sz val="8"/>
            <color indexed="81"/>
            <rFont val="Tahoma"/>
            <family val="2"/>
          </rPr>
          <t>kpharris:</t>
        </r>
        <r>
          <rPr>
            <sz val="8"/>
            <color indexed="81"/>
            <rFont val="Tahoma"/>
            <family val="2"/>
          </rPr>
          <t xml:space="preserve">
corrected Sep 09</t>
        </r>
      </text>
    </comment>
    <comment ref="J19" authorId="0">
      <text>
        <r>
          <rPr>
            <b/>
            <sz val="8"/>
            <color indexed="81"/>
            <rFont val="Tahoma"/>
            <family val="2"/>
          </rPr>
          <t>kpharris:</t>
        </r>
        <r>
          <rPr>
            <sz val="8"/>
            <color indexed="81"/>
            <rFont val="Tahoma"/>
            <family val="2"/>
          </rPr>
          <t xml:space="preserve">
corrected Sep 09</t>
        </r>
      </text>
    </comment>
    <comment ref="K19" authorId="0">
      <text>
        <r>
          <rPr>
            <b/>
            <sz val="8"/>
            <color indexed="81"/>
            <rFont val="Tahoma"/>
            <family val="2"/>
          </rPr>
          <t>kpharris:</t>
        </r>
        <r>
          <rPr>
            <sz val="8"/>
            <color indexed="81"/>
            <rFont val="Tahoma"/>
            <family val="2"/>
          </rPr>
          <t xml:space="preserve">
corrected Sep 09</t>
        </r>
      </text>
    </comment>
    <comment ref="J25" authorId="0">
      <text>
        <r>
          <rPr>
            <b/>
            <sz val="8"/>
            <color indexed="81"/>
            <rFont val="Tahoma"/>
            <family val="2"/>
          </rPr>
          <t>kpharris:</t>
        </r>
        <r>
          <rPr>
            <sz val="8"/>
            <color indexed="81"/>
            <rFont val="Tahoma"/>
            <family val="2"/>
          </rPr>
          <t xml:space="preserve">
corrected Sep 09</t>
        </r>
      </text>
    </comment>
    <comment ref="K25" authorId="0">
      <text>
        <r>
          <rPr>
            <b/>
            <sz val="8"/>
            <color indexed="81"/>
            <rFont val="Tahoma"/>
            <family val="2"/>
          </rPr>
          <t>kpharris:</t>
        </r>
        <r>
          <rPr>
            <sz val="8"/>
            <color indexed="81"/>
            <rFont val="Tahoma"/>
            <family val="2"/>
          </rPr>
          <t xml:space="preserve">
corrected Sep 09</t>
        </r>
      </text>
    </comment>
    <comment ref="J28" authorId="0">
      <text>
        <r>
          <rPr>
            <b/>
            <sz val="8"/>
            <color indexed="81"/>
            <rFont val="Tahoma"/>
            <family val="2"/>
          </rPr>
          <t>kpharris:</t>
        </r>
        <r>
          <rPr>
            <sz val="8"/>
            <color indexed="81"/>
            <rFont val="Tahoma"/>
            <family val="2"/>
          </rPr>
          <t xml:space="preserve">
corrected Sep 09</t>
        </r>
      </text>
    </comment>
    <comment ref="K28" authorId="0">
      <text>
        <r>
          <rPr>
            <b/>
            <sz val="8"/>
            <color indexed="81"/>
            <rFont val="Tahoma"/>
            <family val="2"/>
          </rPr>
          <t>kpharris:</t>
        </r>
        <r>
          <rPr>
            <sz val="8"/>
            <color indexed="81"/>
            <rFont val="Tahoma"/>
            <family val="2"/>
          </rPr>
          <t xml:space="preserve">
corrected Sep 09</t>
        </r>
      </text>
    </comment>
    <comment ref="J36" authorId="0">
      <text>
        <r>
          <rPr>
            <b/>
            <sz val="8"/>
            <color indexed="81"/>
            <rFont val="Tahoma"/>
            <family val="2"/>
          </rPr>
          <t>kpharris:</t>
        </r>
        <r>
          <rPr>
            <sz val="8"/>
            <color indexed="81"/>
            <rFont val="Tahoma"/>
            <family val="2"/>
          </rPr>
          <t xml:space="preserve">
corrected Sep 09</t>
        </r>
      </text>
    </comment>
    <comment ref="K36" authorId="0">
      <text>
        <r>
          <rPr>
            <b/>
            <sz val="8"/>
            <color indexed="81"/>
            <rFont val="Tahoma"/>
            <family val="2"/>
          </rPr>
          <t>kpharris:</t>
        </r>
        <r>
          <rPr>
            <sz val="8"/>
            <color indexed="81"/>
            <rFont val="Tahoma"/>
            <family val="2"/>
          </rPr>
          <t xml:space="preserve">
corrected Sep 09</t>
        </r>
      </text>
    </comment>
    <comment ref="J37" authorId="0">
      <text>
        <r>
          <rPr>
            <b/>
            <sz val="8"/>
            <color indexed="81"/>
            <rFont val="Tahoma"/>
            <family val="2"/>
          </rPr>
          <t>kpharris:</t>
        </r>
        <r>
          <rPr>
            <sz val="8"/>
            <color indexed="81"/>
            <rFont val="Tahoma"/>
            <family val="2"/>
          </rPr>
          <t xml:space="preserve">
corrected Sep 09</t>
        </r>
      </text>
    </comment>
    <comment ref="K37" authorId="0">
      <text>
        <r>
          <rPr>
            <b/>
            <sz val="8"/>
            <color indexed="81"/>
            <rFont val="Tahoma"/>
            <family val="2"/>
          </rPr>
          <t>kpharris:</t>
        </r>
        <r>
          <rPr>
            <sz val="8"/>
            <color indexed="81"/>
            <rFont val="Tahoma"/>
            <family val="2"/>
          </rPr>
          <t xml:space="preserve">
corrected Sep 09</t>
        </r>
      </text>
    </comment>
    <comment ref="J42" authorId="0">
      <text>
        <r>
          <rPr>
            <b/>
            <sz val="8"/>
            <color indexed="81"/>
            <rFont val="Tahoma"/>
            <family val="2"/>
          </rPr>
          <t>kpharris:</t>
        </r>
        <r>
          <rPr>
            <sz val="8"/>
            <color indexed="81"/>
            <rFont val="Tahoma"/>
            <family val="2"/>
          </rPr>
          <t xml:space="preserve">
corrected Sep 09</t>
        </r>
      </text>
    </comment>
    <comment ref="K42" authorId="0">
      <text>
        <r>
          <rPr>
            <b/>
            <sz val="8"/>
            <color indexed="81"/>
            <rFont val="Tahoma"/>
            <family val="2"/>
          </rPr>
          <t>kpharris:</t>
        </r>
        <r>
          <rPr>
            <sz val="8"/>
            <color indexed="81"/>
            <rFont val="Tahoma"/>
            <family val="2"/>
          </rPr>
          <t xml:space="preserve">
corrected Sep 09</t>
        </r>
      </text>
    </comment>
    <comment ref="J43" authorId="0">
      <text>
        <r>
          <rPr>
            <b/>
            <sz val="8"/>
            <color indexed="81"/>
            <rFont val="Tahoma"/>
            <family val="2"/>
          </rPr>
          <t>kpharris:</t>
        </r>
        <r>
          <rPr>
            <sz val="8"/>
            <color indexed="81"/>
            <rFont val="Tahoma"/>
            <family val="2"/>
          </rPr>
          <t xml:space="preserve">
corrected Sep 09</t>
        </r>
      </text>
    </comment>
    <comment ref="K43" authorId="0">
      <text>
        <r>
          <rPr>
            <b/>
            <sz val="8"/>
            <color indexed="81"/>
            <rFont val="Tahoma"/>
            <family val="2"/>
          </rPr>
          <t>kpharris:</t>
        </r>
        <r>
          <rPr>
            <sz val="8"/>
            <color indexed="81"/>
            <rFont val="Tahoma"/>
            <family val="2"/>
          </rPr>
          <t xml:space="preserve">
corrected Sep 09</t>
        </r>
      </text>
    </comment>
    <comment ref="J46" authorId="0">
      <text>
        <r>
          <rPr>
            <b/>
            <sz val="8"/>
            <color indexed="81"/>
            <rFont val="Tahoma"/>
            <family val="2"/>
          </rPr>
          <t>kpharris:</t>
        </r>
        <r>
          <rPr>
            <sz val="8"/>
            <color indexed="81"/>
            <rFont val="Tahoma"/>
            <family val="2"/>
          </rPr>
          <t xml:space="preserve">
corrected Sep 09</t>
        </r>
      </text>
    </comment>
    <comment ref="K46" authorId="0">
      <text>
        <r>
          <rPr>
            <b/>
            <sz val="8"/>
            <color indexed="81"/>
            <rFont val="Tahoma"/>
            <family val="2"/>
          </rPr>
          <t>kpharris:</t>
        </r>
        <r>
          <rPr>
            <sz val="8"/>
            <color indexed="81"/>
            <rFont val="Tahoma"/>
            <family val="2"/>
          </rPr>
          <t xml:space="preserve">
corrected Sep 09</t>
        </r>
      </text>
    </comment>
    <comment ref="J57" authorId="0">
      <text>
        <r>
          <rPr>
            <b/>
            <sz val="8"/>
            <color indexed="81"/>
            <rFont val="Tahoma"/>
            <family val="2"/>
          </rPr>
          <t>kpharris:</t>
        </r>
        <r>
          <rPr>
            <sz val="8"/>
            <color indexed="81"/>
            <rFont val="Tahoma"/>
            <family val="2"/>
          </rPr>
          <t xml:space="preserve">
corrected Sep 09</t>
        </r>
      </text>
    </comment>
  </commentList>
</comments>
</file>

<file path=xl/sharedStrings.xml><?xml version="1.0" encoding="utf-8"?>
<sst xmlns="http://schemas.openxmlformats.org/spreadsheetml/2006/main" count="5975" uniqueCount="2202">
  <si>
    <t>Nuclear</t>
  </si>
  <si>
    <t>Wind</t>
  </si>
  <si>
    <t>Wave</t>
  </si>
  <si>
    <t>Geothermal</t>
  </si>
  <si>
    <t>Imports</t>
  </si>
  <si>
    <t>Electricity</t>
  </si>
  <si>
    <t>H.01</t>
  </si>
  <si>
    <t>N.01</t>
  </si>
  <si>
    <t>R.02</t>
  </si>
  <si>
    <t>R.03</t>
  </si>
  <si>
    <t>R.04</t>
  </si>
  <si>
    <t>R.05</t>
  </si>
  <si>
    <t>R.06</t>
  </si>
  <si>
    <t>I.01</t>
  </si>
  <si>
    <t>Gas</t>
  </si>
  <si>
    <t>Solar</t>
  </si>
  <si>
    <t>Heat</t>
  </si>
  <si>
    <t>Energy vectors</t>
  </si>
  <si>
    <r>
      <t>H</t>
    </r>
    <r>
      <rPr>
        <vertAlign val="subscript"/>
        <sz val="10"/>
        <color theme="1"/>
        <rFont val="Cambria"/>
        <family val="1"/>
        <scheme val="minor"/>
      </rPr>
      <t>2</t>
    </r>
  </si>
  <si>
    <t>Hydro</t>
  </si>
  <si>
    <t>Conversion losses</t>
  </si>
  <si>
    <t>Distribution losses and own use</t>
  </si>
  <si>
    <t xml:space="preserve">Transport </t>
  </si>
  <si>
    <t>Road</t>
  </si>
  <si>
    <t>Rail</t>
  </si>
  <si>
    <t>Balancing</t>
  </si>
  <si>
    <t>Heating</t>
  </si>
  <si>
    <t>Lighting &amp; appliances</t>
  </si>
  <si>
    <t>Unallocated</t>
  </si>
  <si>
    <t>Food</t>
  </si>
  <si>
    <t>R.01</t>
  </si>
  <si>
    <t>X.01</t>
  </si>
  <si>
    <t>X.02</t>
  </si>
  <si>
    <t>T.01</t>
  </si>
  <si>
    <t>T.02</t>
  </si>
  <si>
    <t>T.03</t>
  </si>
  <si>
    <t>T.04</t>
  </si>
  <si>
    <t>F.01</t>
  </si>
  <si>
    <t>Domestic</t>
  </si>
  <si>
    <t>Industry</t>
  </si>
  <si>
    <t>V.01</t>
  </si>
  <si>
    <t>V.02</t>
  </si>
  <si>
    <t>V.03</t>
  </si>
  <si>
    <t>Net imports</t>
  </si>
  <si>
    <t>V.04</t>
  </si>
  <si>
    <t>V.05</t>
  </si>
  <si>
    <t>Renewables</t>
  </si>
  <si>
    <t>Commercial</t>
  </si>
  <si>
    <t>Waste</t>
  </si>
  <si>
    <t>W.01</t>
  </si>
  <si>
    <t>Electricity imports</t>
  </si>
  <si>
    <t>L.01</t>
  </si>
  <si>
    <t>Losses</t>
  </si>
  <si>
    <t>Y.01</t>
  </si>
  <si>
    <t>Y.02</t>
  </si>
  <si>
    <t>Z.01</t>
  </si>
  <si>
    <t>Solid hydrocarbons</t>
  </si>
  <si>
    <t>Liquid hydrocarbons</t>
  </si>
  <si>
    <t>C.01</t>
  </si>
  <si>
    <t>C.02</t>
  </si>
  <si>
    <t>C.03</t>
  </si>
  <si>
    <t>Electricity (delivered to end user)</t>
  </si>
  <si>
    <t>Solar PV</t>
  </si>
  <si>
    <t>Hydroelectric</t>
  </si>
  <si>
    <t>Tidal</t>
  </si>
  <si>
    <t>Lighting and appliances</t>
  </si>
  <si>
    <t>Supply</t>
  </si>
  <si>
    <t>Demand</t>
  </si>
  <si>
    <t>I</t>
  </si>
  <si>
    <t>II</t>
  </si>
  <si>
    <t>III</t>
  </si>
  <si>
    <t>IV</t>
  </si>
  <si>
    <t>Vector</t>
  </si>
  <si>
    <t>Description</t>
  </si>
  <si>
    <t>Comment</t>
  </si>
  <si>
    <t>Category</t>
  </si>
  <si>
    <t>Subcategory</t>
  </si>
  <si>
    <t>Code</t>
  </si>
  <si>
    <t>Joules</t>
  </si>
  <si>
    <t>Unit</t>
  </si>
  <si>
    <t>PJ</t>
  </si>
  <si>
    <t>TWh</t>
  </si>
  <si>
    <t>kWh</t>
  </si>
  <si>
    <t>Mtoe</t>
  </si>
  <si>
    <t>toe</t>
  </si>
  <si>
    <t>therm</t>
  </si>
  <si>
    <t>Btu</t>
  </si>
  <si>
    <t>calorie</t>
  </si>
  <si>
    <t>GW y</t>
  </si>
  <si>
    <t>Unit.PJ</t>
  </si>
  <si>
    <t>Unit.kWh</t>
  </si>
  <si>
    <t>Unit.TWh</t>
  </si>
  <si>
    <t>Unit.toe</t>
  </si>
  <si>
    <t>Unit.Mtoe</t>
  </si>
  <si>
    <t>Unit.therm</t>
  </si>
  <si>
    <t>Unit.Btu</t>
  </si>
  <si>
    <t>Unit.calorie</t>
  </si>
  <si>
    <t>Unit.GWyear</t>
  </si>
  <si>
    <t>R.07</t>
  </si>
  <si>
    <t>Biomatter</t>
  </si>
  <si>
    <t>Hydrogen</t>
  </si>
  <si>
    <t>V.06</t>
  </si>
  <si>
    <t>[1]</t>
  </si>
  <si>
    <t>TJ</t>
  </si>
  <si>
    <t>Unit.TJ</t>
  </si>
  <si>
    <t>Conversion Calculator</t>
  </si>
  <si>
    <t>is equivalent to</t>
  </si>
  <si>
    <t>Space heating</t>
  </si>
  <si>
    <t>[2]</t>
  </si>
  <si>
    <t>[3]</t>
  </si>
  <si>
    <t>Computing</t>
  </si>
  <si>
    <t>Cooling and ventilation</t>
  </si>
  <si>
    <t>Lighting</t>
  </si>
  <si>
    <t>Other</t>
  </si>
  <si>
    <t>Autogenerators</t>
  </si>
  <si>
    <t>Blast furnaces</t>
  </si>
  <si>
    <t>High temperature process</t>
  </si>
  <si>
    <t>Low temperature process</t>
  </si>
  <si>
    <t>Drying/separation</t>
  </si>
  <si>
    <t>Motors</t>
  </si>
  <si>
    <t>Compressed air</t>
  </si>
  <si>
    <t>Refrigeration</t>
  </si>
  <si>
    <t>Gaseous waste</t>
  </si>
  <si>
    <t>1.2 Aggregate energy balance 2007</t>
  </si>
  <si>
    <t>Thousand tonnes of oil equivalent</t>
  </si>
  <si>
    <t>Coal</t>
  </si>
  <si>
    <r>
      <t>Manufactured fuel</t>
    </r>
    <r>
      <rPr>
        <i/>
        <sz val="8.5"/>
        <rFont val="Arial"/>
        <family val="2"/>
      </rPr>
      <t>(1)</t>
    </r>
  </si>
  <si>
    <t>Primary oils</t>
  </si>
  <si>
    <t>Petroleum products</t>
  </si>
  <si>
    <r>
      <t>Natural gas</t>
    </r>
    <r>
      <rPr>
        <i/>
        <sz val="8.5"/>
        <rFont val="Arial"/>
        <family val="2"/>
      </rPr>
      <t>(2)</t>
    </r>
  </si>
  <si>
    <r>
      <t>Renewable &amp; waste</t>
    </r>
    <r>
      <rPr>
        <i/>
        <sz val="8.5"/>
        <rFont val="Arial"/>
        <family val="2"/>
      </rPr>
      <t>(3)</t>
    </r>
  </si>
  <si>
    <t>Primary electricity</t>
  </si>
  <si>
    <t>Total</t>
  </si>
  <si>
    <t xml:space="preserve">Supply </t>
  </si>
  <si>
    <t>Indigenous production</t>
  </si>
  <si>
    <t>Exports</t>
  </si>
  <si>
    <t>Marine bunkers</t>
  </si>
  <si>
    <r>
      <t>Stock change</t>
    </r>
    <r>
      <rPr>
        <i/>
        <sz val="8"/>
        <rFont val="Arial"/>
        <family val="2"/>
      </rPr>
      <t>(4)</t>
    </r>
  </si>
  <si>
    <t>Primary supply</t>
  </si>
  <si>
    <r>
      <t>Statistical difference</t>
    </r>
    <r>
      <rPr>
        <i/>
        <sz val="8.5"/>
        <rFont val="Arial"/>
        <family val="2"/>
      </rPr>
      <t>(5)</t>
    </r>
  </si>
  <si>
    <t>Primary demand</t>
  </si>
  <si>
    <t>Transfers</t>
  </si>
  <si>
    <t>Transformation</t>
  </si>
  <si>
    <t>Electricity generation</t>
  </si>
  <si>
    <t>Major power producers</t>
  </si>
  <si>
    <t>Heat generation</t>
  </si>
  <si>
    <t>Petroleum refineries</t>
  </si>
  <si>
    <t>Coke manufacture</t>
  </si>
  <si>
    <t>Patent fuel manufacture</t>
  </si>
  <si>
    <t>Energy industry use</t>
  </si>
  <si>
    <t>Oil and gas extraction</t>
  </si>
  <si>
    <t>Coal extraction</t>
  </si>
  <si>
    <t>Pumped storage</t>
  </si>
  <si>
    <t>Final consumption</t>
  </si>
  <si>
    <t>Unclassified</t>
  </si>
  <si>
    <t>Iron and steel</t>
  </si>
  <si>
    <t>Non-ferrous metals</t>
  </si>
  <si>
    <t>Mineral products</t>
  </si>
  <si>
    <t>Chemicals</t>
  </si>
  <si>
    <t>Mechanical engineering etc</t>
  </si>
  <si>
    <t>Electrical engineering etc</t>
  </si>
  <si>
    <t>Vehicles</t>
  </si>
  <si>
    <t>Food, beverages etc</t>
  </si>
  <si>
    <t>Textiles, leather etc</t>
  </si>
  <si>
    <t>Paper, printing etc</t>
  </si>
  <si>
    <t>Other industries</t>
  </si>
  <si>
    <t>Construction</t>
  </si>
  <si>
    <r>
      <t xml:space="preserve">Transport </t>
    </r>
    <r>
      <rPr>
        <i/>
        <sz val="8.5"/>
        <rFont val="Arial"/>
        <family val="2"/>
      </rPr>
      <t>(6)</t>
    </r>
  </si>
  <si>
    <t>Air</t>
  </si>
  <si>
    <t>National navigation</t>
  </si>
  <si>
    <t>Pipelines</t>
  </si>
  <si>
    <t>Public administration</t>
  </si>
  <si>
    <t>Agriculture</t>
  </si>
  <si>
    <t>Miscellaneous</t>
  </si>
  <si>
    <t>Non energy use</t>
  </si>
  <si>
    <t>(1)  Includes all manufactured solid fuels, benzole, tars, coke oven gas and blast furnace gas.</t>
  </si>
  <si>
    <t>(2)  Includes colliery methane.</t>
  </si>
  <si>
    <t>(3)  Includes geothermal and solar heat.</t>
  </si>
  <si>
    <t>(4)  Stock fall (+), stock rise (-).</t>
  </si>
  <si>
    <t>(5)  Primary supply minus primary demand.</t>
  </si>
  <si>
    <t>(6)  See paragraphs 5.11 regarding electricity use in transport and 7.25 regarding renewables use in transport.</t>
  </si>
  <si>
    <t>ktoe</t>
  </si>
  <si>
    <t>Unit.ktoe</t>
  </si>
  <si>
    <t>Table 1.14: Overall energy consumption for heat and other end use by fuel 2007</t>
  </si>
  <si>
    <t>Sector</t>
  </si>
  <si>
    <t>End use</t>
  </si>
  <si>
    <t>Oil</t>
  </si>
  <si>
    <t>Solid fuel</t>
  </si>
  <si>
    <t>Water heating</t>
  </si>
  <si>
    <t>Cooking/catering</t>
  </si>
  <si>
    <t>Heat total</t>
  </si>
  <si>
    <t>-</t>
  </si>
  <si>
    <r>
      <t xml:space="preserve">Overall total </t>
    </r>
    <r>
      <rPr>
        <vertAlign val="superscript"/>
        <sz val="10"/>
        <rFont val="Arial"/>
        <family val="2"/>
      </rPr>
      <t>1</t>
    </r>
  </si>
  <si>
    <t>Service</t>
  </si>
  <si>
    <r>
      <t>Industry</t>
    </r>
    <r>
      <rPr>
        <vertAlign val="superscript"/>
        <sz val="10"/>
        <rFont val="Arial"/>
        <family val="2"/>
      </rPr>
      <t>2</t>
    </r>
  </si>
  <si>
    <r>
      <t>Overall total</t>
    </r>
    <r>
      <rPr>
        <sz val="10"/>
        <rFont val="Arial"/>
        <family val="2"/>
      </rPr>
      <t>²</t>
    </r>
  </si>
  <si>
    <t>Process use</t>
  </si>
  <si>
    <t>Dryling/separation</t>
  </si>
  <si>
    <t>Non-heat total</t>
  </si>
  <si>
    <t>Overall total</t>
  </si>
  <si>
    <t>1. Total does not include heat sold and renewables.</t>
  </si>
  <si>
    <t>2. Does not include heat sold, blast furnace gas, coke oven gas or renewables and waste.</t>
  </si>
  <si>
    <t xml:space="preserve">Source: Department of Energy and Climate Change - secondary analysis of data from the Digest of UK Energy </t>
  </si>
  <si>
    <t xml:space="preserve">            Statistics, Office of National Statistics (Purchases Inquiry) and the Building Research Establishment</t>
  </si>
  <si>
    <t>7.2  Commodity balances 2007</t>
  </si>
  <si>
    <t>7.2  Commodity balances 2007 (continued)</t>
  </si>
  <si>
    <t xml:space="preserve">             Renewables and waste</t>
  </si>
  <si>
    <t>Wood</t>
  </si>
  <si>
    <t xml:space="preserve">Poultry litter, meat </t>
  </si>
  <si>
    <t xml:space="preserve">Straw, SRC, and </t>
  </si>
  <si>
    <t>Sewage</t>
  </si>
  <si>
    <t>Landfill gas</t>
  </si>
  <si>
    <r>
      <t>Waste</t>
    </r>
    <r>
      <rPr>
        <i/>
        <sz val="8.5"/>
        <rFont val="Arial"/>
        <family val="2"/>
      </rPr>
      <t>(4)</t>
    </r>
  </si>
  <si>
    <t xml:space="preserve">Geothermal </t>
  </si>
  <si>
    <t>Liquid</t>
  </si>
  <si>
    <t>waste</t>
  </si>
  <si>
    <t xml:space="preserve"> and bone,  and</t>
  </si>
  <si>
    <t>other plant-based</t>
  </si>
  <si>
    <t>gas</t>
  </si>
  <si>
    <t xml:space="preserve"> and </t>
  </si>
  <si>
    <t xml:space="preserve">and active </t>
  </si>
  <si>
    <t>and wave</t>
  </si>
  <si>
    <t>biofuels</t>
  </si>
  <si>
    <t>renewables</t>
  </si>
  <si>
    <t xml:space="preserve">farm waste </t>
  </si>
  <si>
    <r>
      <t xml:space="preserve">biomass </t>
    </r>
    <r>
      <rPr>
        <sz val="8.5"/>
        <color indexed="8"/>
        <rFont val="Arial"/>
        <family val="2"/>
      </rPr>
      <t>(3)</t>
    </r>
  </si>
  <si>
    <t>tyres</t>
  </si>
  <si>
    <t>solar heat</t>
  </si>
  <si>
    <t>(5)</t>
  </si>
  <si>
    <t>Production</t>
  </si>
  <si>
    <t>Other sources</t>
  </si>
  <si>
    <r>
      <t xml:space="preserve">Stock change </t>
    </r>
    <r>
      <rPr>
        <i/>
        <sz val="8"/>
        <rFont val="Arial"/>
        <family val="2"/>
      </rPr>
      <t>(1)</t>
    </r>
  </si>
  <si>
    <r>
      <t xml:space="preserve">Stock change </t>
    </r>
    <r>
      <rPr>
        <i/>
        <sz val="8"/>
        <color indexed="8"/>
        <rFont val="Arial"/>
        <family val="2"/>
      </rPr>
      <t>(1)</t>
    </r>
  </si>
  <si>
    <t>Total supply</t>
  </si>
  <si>
    <r>
      <t>Statistical difference</t>
    </r>
    <r>
      <rPr>
        <i/>
        <sz val="8.5"/>
        <rFont val="Arial"/>
        <family val="2"/>
      </rPr>
      <t xml:space="preserve"> (2)</t>
    </r>
  </si>
  <si>
    <r>
      <t>Statistical difference</t>
    </r>
    <r>
      <rPr>
        <i/>
        <sz val="8.5"/>
        <color indexed="8"/>
        <rFont val="Arial"/>
        <family val="2"/>
      </rPr>
      <t xml:space="preserve"> (2)</t>
    </r>
  </si>
  <si>
    <t>Total demand</t>
  </si>
  <si>
    <t xml:space="preserve">   Major power producers</t>
  </si>
  <si>
    <t xml:space="preserve">   Autogenerators</t>
  </si>
  <si>
    <t>Mechanical engineering, etc</t>
  </si>
  <si>
    <t>Electrical engineering, etc</t>
  </si>
  <si>
    <t>Food, beverages, etc</t>
  </si>
  <si>
    <t>Textiles, leather, etc</t>
  </si>
  <si>
    <t>Paper, printing, etc</t>
  </si>
  <si>
    <t>Transport</t>
  </si>
  <si>
    <t>(1)  Stock fall (+), stock rise (-).</t>
  </si>
  <si>
    <t>(4) Municipal solid waste, general industrial waste and hospital waste.</t>
  </si>
  <si>
    <t>(2) Total supply minus total demand.</t>
  </si>
  <si>
    <t>(5) The amount of shoreline wave included is less than 0.05 ktoe.</t>
  </si>
  <si>
    <t>(3) SRC is short rotation coppice.</t>
  </si>
  <si>
    <t>Includes syngas (coke oven gas)</t>
  </si>
  <si>
    <t>Carbon-based fuels</t>
  </si>
  <si>
    <t>Blast furnace gas</t>
  </si>
  <si>
    <t>Table: 4.1:  Industrial energy consumption by fuel 1970 to 2008</t>
  </si>
  <si>
    <t>Coke and breeze</t>
  </si>
  <si>
    <t>Other solid fuels</t>
  </si>
  <si>
    <t>Blast Furnace Gas</t>
  </si>
  <si>
    <t>Coke oven gas</t>
  </si>
  <si>
    <t>Town gas</t>
  </si>
  <si>
    <t>Natural gas</t>
  </si>
  <si>
    <t>Heat sold</t>
  </si>
  <si>
    <t>Petroleum</t>
  </si>
  <si>
    <t xml:space="preserve">      Total</t>
  </si>
  <si>
    <t>..</t>
  </si>
  <si>
    <r>
      <t>1995</t>
    </r>
    <r>
      <rPr>
        <vertAlign val="superscript"/>
        <sz val="10"/>
        <rFont val="Arial"/>
        <family val="2"/>
      </rPr>
      <t xml:space="preserve"> 1</t>
    </r>
  </si>
  <si>
    <r>
      <t xml:space="preserve">1996 </t>
    </r>
    <r>
      <rPr>
        <vertAlign val="superscript"/>
        <sz val="10"/>
        <rFont val="Arial"/>
        <family val="2"/>
      </rPr>
      <t>1</t>
    </r>
  </si>
  <si>
    <t>1. Energy used in transformation activities is excluded from the total from 1996 onwards.</t>
  </si>
  <si>
    <t xml:space="preserve">Source: Department of Energy and Climate Change - Digest of UK Energy Statistics Annex, Table 1.1.5 </t>
  </si>
  <si>
    <t>kWh/p/d (UK)</t>
  </si>
  <si>
    <t>Unit.kWh.p.d</t>
  </si>
  <si>
    <t>A.1  Estimated average calorific values of fuels 2008</t>
  </si>
  <si>
    <t xml:space="preserve"> </t>
  </si>
  <si>
    <t>GJ per tonne</t>
  </si>
  <si>
    <t>net</t>
  </si>
  <si>
    <t>gross</t>
  </si>
  <si>
    <t>Coal:</t>
  </si>
  <si>
    <t>Renewable sources:</t>
  </si>
  <si>
    <r>
      <t xml:space="preserve">All consumers (weighted average) </t>
    </r>
    <r>
      <rPr>
        <i/>
        <sz val="8.5"/>
        <rFont val="Arial"/>
        <family val="2"/>
      </rPr>
      <t>(1)</t>
    </r>
  </si>
  <si>
    <r>
      <t xml:space="preserve">    Domestic wood</t>
    </r>
    <r>
      <rPr>
        <i/>
        <sz val="8.5"/>
        <rFont val="Arial"/>
        <family val="2"/>
      </rPr>
      <t xml:space="preserve"> (2)</t>
    </r>
  </si>
  <si>
    <r>
      <t xml:space="preserve">  Power stations</t>
    </r>
    <r>
      <rPr>
        <i/>
        <sz val="8.5"/>
        <rFont val="Arial"/>
        <family val="2"/>
      </rPr>
      <t xml:space="preserve"> (1)</t>
    </r>
  </si>
  <si>
    <r>
      <t xml:space="preserve">    Industrial wood</t>
    </r>
    <r>
      <rPr>
        <i/>
        <sz val="8.5"/>
        <rFont val="Arial"/>
        <family val="2"/>
      </rPr>
      <t xml:space="preserve"> (3)</t>
    </r>
  </si>
  <si>
    <r>
      <t xml:space="preserve">  Coke ovens</t>
    </r>
    <r>
      <rPr>
        <i/>
        <sz val="8.5"/>
        <rFont val="Arial"/>
        <family val="2"/>
      </rPr>
      <t xml:space="preserve"> (1)</t>
    </r>
  </si>
  <si>
    <t xml:space="preserve">    Straw</t>
  </si>
  <si>
    <t xml:space="preserve">  Low temperature carbonisation plants </t>
  </si>
  <si>
    <t xml:space="preserve">    Poultry litter</t>
  </si>
  <si>
    <t xml:space="preserve">    and manufactured fuel plants</t>
  </si>
  <si>
    <t xml:space="preserve">    Meat and bone</t>
  </si>
  <si>
    <t xml:space="preserve">  Collieries</t>
  </si>
  <si>
    <t xml:space="preserve">    General industrial waste</t>
  </si>
  <si>
    <t xml:space="preserve">  Agriculture</t>
  </si>
  <si>
    <t xml:space="preserve">    Hospital waste</t>
  </si>
  <si>
    <t xml:space="preserve">  Iron and steel</t>
  </si>
  <si>
    <r>
      <t xml:space="preserve">    Municipal solid waste</t>
    </r>
    <r>
      <rPr>
        <i/>
        <sz val="8.5"/>
        <rFont val="Arial"/>
        <family val="2"/>
      </rPr>
      <t xml:space="preserve"> (4)</t>
    </r>
  </si>
  <si>
    <t xml:space="preserve">  Other industries (weighted average)</t>
  </si>
  <si>
    <r>
      <t xml:space="preserve">    Refuse derived waste</t>
    </r>
    <r>
      <rPr>
        <i/>
        <sz val="8.5"/>
        <rFont val="Arial"/>
        <family val="2"/>
      </rPr>
      <t xml:space="preserve"> (4)</t>
    </r>
  </si>
  <si>
    <t xml:space="preserve">     Non-ferrous metals</t>
  </si>
  <si>
    <r>
      <t xml:space="preserve">    Short rotation coppice</t>
    </r>
    <r>
      <rPr>
        <i/>
        <sz val="8.5"/>
        <rFont val="Arial"/>
        <family val="2"/>
      </rPr>
      <t xml:space="preserve"> (5)</t>
    </r>
  </si>
  <si>
    <t xml:space="preserve">     Food, beverages and tobacco</t>
  </si>
  <si>
    <t xml:space="preserve">    Tyres</t>
  </si>
  <si>
    <t xml:space="preserve">     Chemicals</t>
  </si>
  <si>
    <t xml:space="preserve">     Textiles, clothing, leather etc. </t>
  </si>
  <si>
    <t>Petroleum:</t>
  </si>
  <si>
    <t xml:space="preserve">     Pulp, paper, printing etc.</t>
  </si>
  <si>
    <t xml:space="preserve">    Crude oil (weighted average)</t>
  </si>
  <si>
    <t xml:space="preserve">     Mineral products</t>
  </si>
  <si>
    <t xml:space="preserve">    Petroleum products (weighted average)</t>
  </si>
  <si>
    <t xml:space="preserve">     Engineering (mechanical and </t>
  </si>
  <si>
    <t xml:space="preserve">    Ethane</t>
  </si>
  <si>
    <t xml:space="preserve">       electrical engineering and</t>
  </si>
  <si>
    <t xml:space="preserve">       vehicles)</t>
  </si>
  <si>
    <t xml:space="preserve">    Butane and propane (LPG)</t>
  </si>
  <si>
    <t xml:space="preserve">     Other industries</t>
  </si>
  <si>
    <t xml:space="preserve">    Light distillate feedstock for gasworks</t>
  </si>
  <si>
    <t xml:space="preserve">    Aviation spirit and wide cut gasoline</t>
  </si>
  <si>
    <t xml:space="preserve">    Aviation turbine fuel</t>
  </si>
  <si>
    <t xml:space="preserve">    Motor spirit</t>
  </si>
  <si>
    <t xml:space="preserve">     House coal</t>
  </si>
  <si>
    <t xml:space="preserve">    Burning oil</t>
  </si>
  <si>
    <t xml:space="preserve">     Anthracite and dry steam coal</t>
  </si>
  <si>
    <t xml:space="preserve">    Gas/diesel oil (DERV)</t>
  </si>
  <si>
    <t>Other consumers</t>
  </si>
  <si>
    <t xml:space="preserve">    Fuel oil</t>
  </si>
  <si>
    <t>Imported coal (weighted average)</t>
  </si>
  <si>
    <t xml:space="preserve">    Power station oil</t>
  </si>
  <si>
    <t>Exports (weighted average)</t>
  </si>
  <si>
    <t xml:space="preserve">    Non-fuel products (notional value)</t>
  </si>
  <si>
    <t>MJ per cubic metre</t>
  </si>
  <si>
    <t>Coke (including low temperature</t>
  </si>
  <si>
    <r>
      <t>Natural gas</t>
    </r>
    <r>
      <rPr>
        <i/>
        <sz val="8.5"/>
        <rFont val="Arial"/>
        <family val="2"/>
      </rPr>
      <t xml:space="preserve"> </t>
    </r>
    <r>
      <rPr>
        <sz val="8.5"/>
        <rFont val="Arial"/>
        <family val="2"/>
      </rPr>
      <t>produced</t>
    </r>
    <r>
      <rPr>
        <i/>
        <sz val="8.5"/>
        <rFont val="Arial"/>
        <family val="2"/>
      </rPr>
      <t xml:space="preserve"> (6)</t>
    </r>
  </si>
  <si>
    <t xml:space="preserve">      carbonisation cokes)</t>
  </si>
  <si>
    <r>
      <t>Natural gas</t>
    </r>
    <r>
      <rPr>
        <i/>
        <sz val="8.5"/>
        <rFont val="Arial"/>
        <family val="2"/>
      </rPr>
      <t xml:space="preserve"> </t>
    </r>
    <r>
      <rPr>
        <sz val="8.5"/>
        <rFont val="Arial"/>
        <family val="2"/>
      </rPr>
      <t>consumed</t>
    </r>
    <r>
      <rPr>
        <i/>
        <sz val="8.5"/>
        <rFont val="Arial"/>
        <family val="2"/>
      </rPr>
      <t xml:space="preserve"> (7)</t>
    </r>
  </si>
  <si>
    <t>Coke breeze</t>
  </si>
  <si>
    <t>Other manufactured solid fuel</t>
  </si>
  <si>
    <r>
      <t xml:space="preserve">Landfill gas </t>
    </r>
    <r>
      <rPr>
        <i/>
        <sz val="8.5"/>
        <rFont val="Arial"/>
        <family val="2"/>
      </rPr>
      <t>(8)</t>
    </r>
  </si>
  <si>
    <t>19-23</t>
  </si>
  <si>
    <t>21-25</t>
  </si>
  <si>
    <r>
      <t xml:space="preserve">Sewage gas </t>
    </r>
    <r>
      <rPr>
        <i/>
        <sz val="8.5"/>
        <rFont val="Arial"/>
        <family val="2"/>
      </rPr>
      <t>(8)</t>
    </r>
  </si>
  <si>
    <t>(1)  Applicable to UK consumption - based on calorific value for home produced coal plus imports and, for “All consumers” net of</t>
  </si>
  <si>
    <t xml:space="preserve">       exports.</t>
  </si>
  <si>
    <t>(2)  On an “as received” basis; seasoned logs at 25% moisture content. On a “dry” basis 18.6 GJ per tonne.</t>
  </si>
  <si>
    <t xml:space="preserve">(3)  Average figure covering a range of possible feedstock; at 25% moisture content. On a “dry” basis 18.6 GJ per tonne. </t>
  </si>
  <si>
    <t>(4)  Average figure based on survey returns.</t>
  </si>
  <si>
    <t>(5)  On an “as received” basis; at 40% moisture content. On a “dry” basis 18.6 GJ per tonne.</t>
  </si>
  <si>
    <t xml:space="preserve">(6)  The gross calorific value of natural gas can also be expressed as 11.018 kWh per cubic metre.  This value represents the </t>
  </si>
  <si>
    <t xml:space="preserve">       average calorific value seen for gas when extracted.  At this point it contains not just methane, but also some other</t>
  </si>
  <si>
    <t xml:space="preserve">       hydrocarbon gases (ethane, butane, propane).  These gases are removed before the gas enters the National Transmission </t>
  </si>
  <si>
    <t xml:space="preserve">      System for sale to final consumers.  </t>
  </si>
  <si>
    <t xml:space="preserve">(7) Home produced and imported gas. This weighted average of calorific values will approximate the average for the year that </t>
  </si>
  <si>
    <t xml:space="preserve">      readers will see quoted on their gas bills. It can also be expressed as 10.953 kWh per cubic metre.</t>
  </si>
  <si>
    <t>(8) Calorific value varies depending on the methane content of the gas.</t>
  </si>
  <si>
    <t>Note:  The above estimated average calorific values apply only to the year 2008.  For calorific values of fuels in earlier years see</t>
  </si>
  <si>
    <t xml:space="preserve">Tables A.2 and A.3 and previous issues of this Digest.  See the notes in Chapter 1, paragraph 1.52 regarding net calorific values. </t>
  </si>
  <si>
    <t xml:space="preserve">The calorific values for coal other than imported coal are based on estimates provided by the main coal producers, but with some  </t>
  </si>
  <si>
    <t xml:space="preserve">exceptions as noted on Table A.2. The calorific values for petroleum products have been calculated using the method described in </t>
  </si>
  <si>
    <t>Chapter 1, paragraph 1.29.  The calorific values for coke oven gas, blast furnace gas, coke and coke breeze are currently being</t>
  </si>
  <si>
    <t xml:space="preserve"> reviewed jointly by DECC and the Iron and Steel Statistics Bureau (ISSB).</t>
  </si>
  <si>
    <t xml:space="preserve">Data reported in this Digest in 'thousand tonnes of oil equivalent' have been prepared on the basis of 1 tonne of oil equivalent </t>
  </si>
  <si>
    <t>having an energy content of 41.868 gigajoules (GJ), (1 GJ = 9.478 therms) - see notes in Chapter 1, paragraphs 1.26 to 1.27.</t>
  </si>
  <si>
    <t>Coal (weighted average of all consumers)</t>
  </si>
  <si>
    <t>GJ</t>
  </si>
  <si>
    <t>Unit.GJ</t>
  </si>
  <si>
    <t>Coke</t>
  </si>
  <si>
    <t>Solid fuels</t>
  </si>
  <si>
    <t>Gasses</t>
  </si>
  <si>
    <t>Natural gas consumed</t>
  </si>
  <si>
    <t>Sewage gas</t>
  </si>
  <si>
    <t>Gross calorific values of selected fuels</t>
  </si>
  <si>
    <t>MJ</t>
  </si>
  <si>
    <t>Unit.MJ</t>
  </si>
  <si>
    <t>2.5   Commodity balances 2007</t>
  </si>
  <si>
    <t xml:space="preserve">              Manufactured fuels</t>
  </si>
  <si>
    <t>Thousand tonnes</t>
  </si>
  <si>
    <t>GWh</t>
  </si>
  <si>
    <t xml:space="preserve">Other </t>
  </si>
  <si>
    <t xml:space="preserve">Total </t>
  </si>
  <si>
    <t>Benzole</t>
  </si>
  <si>
    <t>Blast</t>
  </si>
  <si>
    <t>oven</t>
  </si>
  <si>
    <t>breeze</t>
  </si>
  <si>
    <t>manuf.</t>
  </si>
  <si>
    <t xml:space="preserve">manuf. </t>
  </si>
  <si>
    <t>and</t>
  </si>
  <si>
    <t>furnace</t>
  </si>
  <si>
    <t>coke</t>
  </si>
  <si>
    <t>solid fuel</t>
  </si>
  <si>
    <r>
      <t>tars</t>
    </r>
    <r>
      <rPr>
        <b/>
        <i/>
        <sz val="8.5"/>
        <rFont val="Arial"/>
        <family val="2"/>
      </rPr>
      <t xml:space="preserve"> </t>
    </r>
    <r>
      <rPr>
        <i/>
        <sz val="8.5"/>
        <rFont val="Arial"/>
        <family val="2"/>
      </rPr>
      <t>(5)</t>
    </r>
  </si>
  <si>
    <r>
      <t xml:space="preserve">Production </t>
    </r>
    <r>
      <rPr>
        <i/>
        <sz val="8.5"/>
        <rFont val="Arial"/>
        <family val="2"/>
      </rPr>
      <t>(1)</t>
    </r>
  </si>
  <si>
    <r>
      <t xml:space="preserve">Stock change </t>
    </r>
    <r>
      <rPr>
        <i/>
        <sz val="8.5"/>
        <rFont val="Arial"/>
        <family val="2"/>
      </rPr>
      <t>(2)</t>
    </r>
  </si>
  <si>
    <r>
      <t xml:space="preserve">Transfers </t>
    </r>
    <r>
      <rPr>
        <i/>
        <sz val="8.5"/>
        <rFont val="Arial"/>
        <family val="2"/>
      </rPr>
      <t>(3)</t>
    </r>
  </si>
  <si>
    <r>
      <t xml:space="preserve">Statistical difference </t>
    </r>
    <r>
      <rPr>
        <b/>
        <i/>
        <sz val="8.5"/>
        <rFont val="Arial"/>
        <family val="2"/>
      </rPr>
      <t>(4)</t>
    </r>
  </si>
  <si>
    <t>Low temperature carbonisation</t>
  </si>
  <si>
    <t>(1)  See paragraph 2.26</t>
  </si>
  <si>
    <t>(4)  Total supply minus total demand.</t>
  </si>
  <si>
    <t>(2)  Stock fall (+), stock rise (-).</t>
  </si>
  <si>
    <t xml:space="preserve">(5)  Because of the small number of benzole suppliers, figures for </t>
  </si>
  <si>
    <t>(3)  Coke oven gas and blast furnace gas transfers are</t>
  </si>
  <si>
    <t xml:space="preserve">       benzole and tars cannot be given separately.</t>
  </si>
  <si>
    <t xml:space="preserve">       for synthetic coke oven gas, see paragraph 2.48. </t>
  </si>
  <si>
    <t>Unit.GWh</t>
  </si>
  <si>
    <t>Name</t>
  </si>
  <si>
    <t>Name in formulae</t>
  </si>
  <si>
    <t>Petajoules</t>
  </si>
  <si>
    <t>Terajoules</t>
  </si>
  <si>
    <t>Gigajoules</t>
  </si>
  <si>
    <t>Megajoules</t>
  </si>
  <si>
    <t>Kilowatt-hours</t>
  </si>
  <si>
    <t>Kilowatt-hours per person per day</t>
  </si>
  <si>
    <t>Terawatt-hours</t>
  </si>
  <si>
    <t>Gigawatt-hours</t>
  </si>
  <si>
    <t>Tonnes of oil equivalent</t>
  </si>
  <si>
    <t>Kilotonnes of oil equivalent</t>
  </si>
  <si>
    <t>Megatonnes of oil equivalent</t>
  </si>
  <si>
    <t>Therms</t>
  </si>
  <si>
    <t>British Thermal Unit</t>
  </si>
  <si>
    <t>Calorie (NOT food calorie)</t>
  </si>
  <si>
    <t>Gigawatt-years</t>
  </si>
  <si>
    <t>Electricity (supplied to grid)</t>
  </si>
  <si>
    <t>Includes solid manufactured fuels (eg, coke)</t>
  </si>
  <si>
    <t>Includes refined liquid biofuels</t>
  </si>
  <si>
    <t>Heat as an energy source for heat pumps</t>
  </si>
  <si>
    <t>[4]</t>
  </si>
  <si>
    <t>Notes</t>
  </si>
  <si>
    <t>The energy content of the steam generated in the reactor</t>
  </si>
  <si>
    <t>Geosequestration</t>
  </si>
  <si>
    <t>[5]</t>
  </si>
  <si>
    <t>Industrial processes</t>
  </si>
  <si>
    <t>Hydrocarbon fuel power generation</t>
  </si>
  <si>
    <t>Nuclear power generation</t>
  </si>
  <si>
    <t>National renewable power generation</t>
  </si>
  <si>
    <t xml:space="preserve">Commodity balances </t>
  </si>
  <si>
    <t>Total electricity</t>
  </si>
  <si>
    <r>
      <t>Other sources</t>
    </r>
    <r>
      <rPr>
        <i/>
        <sz val="8"/>
        <rFont val="Arial"/>
        <family val="2"/>
      </rPr>
      <t xml:space="preserve"> (1)</t>
    </r>
  </si>
  <si>
    <t xml:space="preserve"> - </t>
  </si>
  <si>
    <r>
      <t>Stock change</t>
    </r>
    <r>
      <rPr>
        <i/>
        <sz val="8"/>
        <rFont val="Arial"/>
        <family val="2"/>
      </rPr>
      <t xml:space="preserve"> </t>
    </r>
  </si>
  <si>
    <r>
      <t xml:space="preserve">Statistical difference </t>
    </r>
    <r>
      <rPr>
        <i/>
        <sz val="8.5"/>
        <rFont val="Arial"/>
        <family val="2"/>
      </rPr>
      <t>(2)</t>
    </r>
  </si>
  <si>
    <t xml:space="preserve">   Other generators</t>
  </si>
  <si>
    <t>Coal extraction and coke manufacture</t>
  </si>
  <si>
    <r>
      <t>Rail</t>
    </r>
    <r>
      <rPr>
        <i/>
        <sz val="8"/>
        <rFont val="Arial"/>
        <family val="2"/>
      </rPr>
      <t xml:space="preserve"> (3)</t>
    </r>
  </si>
  <si>
    <t>Commodity balances (continued)</t>
  </si>
  <si>
    <t>Electricity production</t>
  </si>
  <si>
    <r>
      <t>Total production</t>
    </r>
    <r>
      <rPr>
        <i/>
        <sz val="8.5"/>
        <rFont val="Arial"/>
        <family val="2"/>
      </rPr>
      <t xml:space="preserve"> (4)</t>
    </r>
  </si>
  <si>
    <t xml:space="preserve">  Major power producers</t>
  </si>
  <si>
    <t xml:space="preserve">   Nuclear</t>
  </si>
  <si>
    <r>
      <t xml:space="preserve">   Large scale hydro</t>
    </r>
    <r>
      <rPr>
        <i/>
        <sz val="8"/>
        <rFont val="Arial"/>
        <family val="2"/>
      </rPr>
      <t xml:space="preserve"> (4)</t>
    </r>
  </si>
  <si>
    <r>
      <t xml:space="preserve">   Small scale hydro</t>
    </r>
    <r>
      <rPr>
        <i/>
        <sz val="8"/>
        <rFont val="Arial"/>
        <family val="2"/>
      </rPr>
      <t xml:space="preserve"> </t>
    </r>
  </si>
  <si>
    <r>
      <t>..</t>
    </r>
    <r>
      <rPr>
        <i/>
        <sz val="8"/>
        <color indexed="8"/>
        <rFont val="Arial"/>
        <family val="2"/>
      </rPr>
      <t>(7)</t>
    </r>
  </si>
  <si>
    <r>
      <t xml:space="preserve">    Wind  </t>
    </r>
    <r>
      <rPr>
        <i/>
        <sz val="8"/>
        <rFont val="Arial"/>
        <family val="2"/>
      </rPr>
      <t>(5)</t>
    </r>
  </si>
  <si>
    <t xml:space="preserve">  Other generators</t>
  </si>
  <si>
    <t xml:space="preserve">   Large scale hydro</t>
  </si>
  <si>
    <r>
      <t>204</t>
    </r>
    <r>
      <rPr>
        <i/>
        <sz val="8"/>
        <color indexed="8"/>
        <rFont val="Arial"/>
        <family val="2"/>
      </rPr>
      <t>(7)</t>
    </r>
  </si>
  <si>
    <r>
      <t xml:space="preserve">   Wind</t>
    </r>
    <r>
      <rPr>
        <i/>
        <sz val="8"/>
        <rFont val="Arial"/>
        <family val="2"/>
      </rPr>
      <t xml:space="preserve"> (5)</t>
    </r>
  </si>
  <si>
    <t>Secondary electricity</t>
  </si>
  <si>
    <t xml:space="preserve">   Coal</t>
  </si>
  <si>
    <t xml:space="preserve">   Oil</t>
  </si>
  <si>
    <t xml:space="preserve">   Gas</t>
  </si>
  <si>
    <t xml:space="preserve">   Renewables</t>
  </si>
  <si>
    <t xml:space="preserve">   Other</t>
  </si>
  <si>
    <r>
      <t>Primary and secondary production</t>
    </r>
    <r>
      <rPr>
        <i/>
        <sz val="8.5"/>
        <rFont val="Arial"/>
        <family val="2"/>
      </rPr>
      <t xml:space="preserve"> (6)</t>
    </r>
  </si>
  <si>
    <t xml:space="preserve">Wind </t>
  </si>
  <si>
    <t>Other renewables</t>
  </si>
  <si>
    <t>Total production</t>
  </si>
  <si>
    <t>(1)  Pumped storage production.</t>
  </si>
  <si>
    <t>(2)  Total supply minus total demand.</t>
  </si>
  <si>
    <t>(3)  See paragraph 5.11.</t>
  </si>
  <si>
    <t>(4)  Excludes pumped storage production.</t>
  </si>
  <si>
    <t>(5)  From 2007, major wind farm companies are included under Major Power Producers, see paragraph 5.3</t>
  </si>
  <si>
    <t xml:space="preserve">(6)  These figures are the same as the electricity generated figures in Table 5.6 except that they exclude </t>
  </si>
  <si>
    <t xml:space="preserve">       pumped storage production.  Table 5.6 shows that electricity used on works is deducted to obtain </t>
  </si>
  <si>
    <t xml:space="preserve">      electricity supplied.  It is electricity supplied that is used to produce Chart 5.3 showing each fuel's share </t>
  </si>
  <si>
    <t xml:space="preserve">      of electricity output (see paragraph 5.28).</t>
  </si>
  <si>
    <t xml:space="preserve">(7)  A re-assessment in 2004 showed that some small scale hydro output previously classified to Other </t>
  </si>
  <si>
    <t xml:space="preserve">      Generators should be classified to Major Power Producers.  This re-classification cannot be</t>
  </si>
  <si>
    <t xml:space="preserve">      extended back to earlier years.</t>
  </si>
  <si>
    <r>
      <t>5.6</t>
    </r>
    <r>
      <rPr>
        <b/>
        <sz val="18"/>
        <color indexed="12"/>
        <rFont val="Arial"/>
        <family val="2"/>
      </rPr>
      <t xml:space="preserve">  Electricity fuel use, generation and supply</t>
    </r>
  </si>
  <si>
    <t>Thermal sources</t>
  </si>
  <si>
    <t>Non-thermal sources</t>
  </si>
  <si>
    <t>Renew-</t>
  </si>
  <si>
    <t>Hydro-</t>
  </si>
  <si>
    <t>ables</t>
  </si>
  <si>
    <t>(3)</t>
  </si>
  <si>
    <t>natural</t>
  </si>
  <si>
    <t>pumped</t>
  </si>
  <si>
    <t>(4)</t>
  </si>
  <si>
    <t>All</t>
  </si>
  <si>
    <t>(1)</t>
  </si>
  <si>
    <t>flow</t>
  </si>
  <si>
    <t>storage</t>
  </si>
  <si>
    <t>sources</t>
  </si>
  <si>
    <r>
      <t>Major power producers</t>
    </r>
    <r>
      <rPr>
        <i/>
        <sz val="8.5"/>
        <rFont val="Arial"/>
        <family val="2"/>
      </rPr>
      <t xml:space="preserve"> (2)</t>
    </r>
  </si>
  <si>
    <t xml:space="preserve">Fuel used </t>
  </si>
  <si>
    <t>Generation</t>
  </si>
  <si>
    <t>Used on works</t>
  </si>
  <si>
    <t>Supplied (gross)</t>
  </si>
  <si>
    <t>Used in pumping</t>
  </si>
  <si>
    <t>Supplied (net)</t>
  </si>
  <si>
    <r>
      <t>Other generators</t>
    </r>
    <r>
      <rPr>
        <i/>
        <sz val="8.5"/>
        <rFont val="Arial"/>
        <family val="2"/>
      </rPr>
      <t xml:space="preserve"> (2)</t>
    </r>
  </si>
  <si>
    <t xml:space="preserve">Generation </t>
  </si>
  <si>
    <t xml:space="preserve">Supplied </t>
  </si>
  <si>
    <t>All generating companies</t>
  </si>
  <si>
    <t>Fuel used</t>
  </si>
  <si>
    <r>
      <t xml:space="preserve">Major power producers </t>
    </r>
    <r>
      <rPr>
        <i/>
        <sz val="8.5"/>
        <rFont val="Arial"/>
        <family val="2"/>
      </rPr>
      <t>(2)</t>
    </r>
  </si>
  <si>
    <r>
      <t>Other generators</t>
    </r>
    <r>
      <rPr>
        <sz val="8.5"/>
        <rFont val="Arial"/>
        <family val="2"/>
      </rPr>
      <t xml:space="preserve"> </t>
    </r>
    <r>
      <rPr>
        <i/>
        <sz val="8.5"/>
        <rFont val="Arial"/>
        <family val="2"/>
      </rPr>
      <t>(2)</t>
    </r>
  </si>
  <si>
    <t xml:space="preserve"> -   </t>
  </si>
  <si>
    <r>
      <t xml:space="preserve">Other generators </t>
    </r>
    <r>
      <rPr>
        <i/>
        <sz val="8.5"/>
        <rFont val="Arial"/>
        <family val="2"/>
      </rPr>
      <t>(2)</t>
    </r>
  </si>
  <si>
    <r>
      <t>Major power producers</t>
    </r>
    <r>
      <rPr>
        <sz val="8.5"/>
        <rFont val="Arial"/>
        <family val="2"/>
      </rPr>
      <t xml:space="preserve"> </t>
    </r>
    <r>
      <rPr>
        <i/>
        <sz val="8.5"/>
        <rFont val="Arial"/>
        <family val="2"/>
      </rPr>
      <t>(2)</t>
    </r>
  </si>
  <si>
    <r>
      <t>5.6</t>
    </r>
    <r>
      <rPr>
        <b/>
        <sz val="18"/>
        <color indexed="12"/>
        <rFont val="Arial"/>
        <family val="2"/>
      </rPr>
      <t xml:space="preserve">  Electricity fuel use, generation and supply (continued)</t>
    </r>
  </si>
  <si>
    <r>
      <t>Major power producers</t>
    </r>
    <r>
      <rPr>
        <sz val="8.5"/>
        <rFont val="Arial"/>
        <family val="2"/>
      </rPr>
      <t xml:space="preserve"> </t>
    </r>
    <r>
      <rPr>
        <i/>
        <sz val="8.5"/>
        <rFont val="Arial"/>
        <family val="2"/>
      </rPr>
      <t>(2) (5)</t>
    </r>
  </si>
  <si>
    <r>
      <t>Other generators</t>
    </r>
    <r>
      <rPr>
        <i/>
        <sz val="8.5"/>
        <rFont val="Arial"/>
        <family val="2"/>
      </rPr>
      <t xml:space="preserve"> (2) (5)</t>
    </r>
  </si>
  <si>
    <t>Conv-</t>
  </si>
  <si>
    <t>CCGT</t>
  </si>
  <si>
    <t>entional</t>
  </si>
  <si>
    <t>thermal</t>
  </si>
  <si>
    <t>(6)</t>
  </si>
  <si>
    <r>
      <t>Major power producers</t>
    </r>
    <r>
      <rPr>
        <b/>
        <i/>
        <sz val="8.5"/>
        <rFont val="Arial"/>
        <family val="2"/>
      </rPr>
      <t xml:space="preserve"> </t>
    </r>
    <r>
      <rPr>
        <i/>
        <sz val="8.5"/>
        <rFont val="Arial"/>
        <family val="2"/>
      </rPr>
      <t>(2)</t>
    </r>
  </si>
  <si>
    <t>Generated</t>
  </si>
  <si>
    <t>Other generators</t>
  </si>
  <si>
    <t>(1)  Thermal renewable sources are those included under biofuels and non-biodegradable wastes in Chapter 7.</t>
  </si>
  <si>
    <t>(2)  See paragraphs 5.57 to 5.59 on companies covered.</t>
  </si>
  <si>
    <t>(3)  Other thermal sources include coke oven gas, blast furnace gas and waste products from chemical processes.</t>
  </si>
  <si>
    <t>(4)  Other non-thermal sources include wind, wave and solar photovoltaics.</t>
  </si>
  <si>
    <t xml:space="preserve">(6)  Includes gas turbines, oil engines and plants producing electricity from thermal renewable sources; also stations with some CCGT </t>
  </si>
  <si>
    <t xml:space="preserve">      capacity but mainly operate in conventional thermal mode.</t>
  </si>
  <si>
    <t>Nuclear power stations</t>
  </si>
  <si>
    <t>Consumption</t>
  </si>
  <si>
    <t>Net balance</t>
  </si>
  <si>
    <t>Total consumption</t>
  </si>
  <si>
    <t>Combustion emissions factors</t>
  </si>
  <si>
    <t>Industrial coal</t>
  </si>
  <si>
    <t>Diesel</t>
  </si>
  <si>
    <t>Commodity selected</t>
  </si>
  <si>
    <t>Heat energy as an energy transport vector (Includes Heat Sold in DUKES terminology)</t>
  </si>
  <si>
    <t>Includes both food and biofuels. The sign convention is that imports are negative (think of it as the change in stock held abroad)</t>
  </si>
  <si>
    <t>Gaseous hydrocarbons</t>
  </si>
  <si>
    <t>Global warming potentials</t>
  </si>
  <si>
    <t>GWP</t>
  </si>
  <si>
    <t>Carbon dioxide</t>
  </si>
  <si>
    <t>Methane</t>
  </si>
  <si>
    <t>Nitrous oxide</t>
  </si>
  <si>
    <t>HFCs</t>
  </si>
  <si>
    <t>PFCs</t>
  </si>
  <si>
    <r>
      <t>SF</t>
    </r>
    <r>
      <rPr>
        <vertAlign val="subscript"/>
        <sz val="10"/>
        <color theme="1"/>
        <rFont val="Cambria"/>
        <family val="1"/>
        <scheme val="minor"/>
      </rPr>
      <t>6</t>
    </r>
  </si>
  <si>
    <t>140 to 11,700</t>
  </si>
  <si>
    <t>6,500 to 9,200</t>
  </si>
  <si>
    <t>Review of Carbon Emissions Factors 2002 (Blast furnace gas)</t>
  </si>
  <si>
    <t>DUKES 2009 Annex A</t>
  </si>
  <si>
    <t xml:space="preserve">Sources: </t>
  </si>
  <si>
    <t>Source:</t>
  </si>
  <si>
    <t>UK GHG Inventory 2009, Table 1.1</t>
  </si>
  <si>
    <t>Note:</t>
  </si>
  <si>
    <t>GHG Inventory 2009, Table 1.A(a)</t>
  </si>
  <si>
    <t>CH4 and N2O emissions have been estimated using the ratios of emissions of each</t>
  </si>
  <si>
    <t>to the emissions of CO2 implied by Table 1.A(a) in the GHG inventory. This has</t>
  </si>
  <si>
    <t>been done separately for each form of fuel listed above</t>
  </si>
  <si>
    <r>
      <t>CO</t>
    </r>
    <r>
      <rPr>
        <b/>
        <vertAlign val="subscript"/>
        <sz val="10"/>
        <color theme="1"/>
        <rFont val="Cambria"/>
        <family val="1"/>
        <scheme val="minor"/>
      </rPr>
      <t>2</t>
    </r>
    <r>
      <rPr>
        <b/>
        <sz val="10"/>
        <color theme="1"/>
        <rFont val="Cambria"/>
        <family val="1"/>
        <scheme val="minor"/>
      </rPr>
      <t xml:space="preserve"> (Mt)</t>
    </r>
  </si>
  <si>
    <r>
      <t>CH</t>
    </r>
    <r>
      <rPr>
        <b/>
        <vertAlign val="subscript"/>
        <sz val="10"/>
        <color theme="1"/>
        <rFont val="Cambria"/>
        <family val="1"/>
        <scheme val="minor"/>
      </rPr>
      <t>4</t>
    </r>
    <r>
      <rPr>
        <b/>
        <sz val="10"/>
        <color theme="1"/>
        <rFont val="Cambria"/>
        <family val="1"/>
        <scheme val="minor"/>
      </rPr>
      <t xml:space="preserve"> (Mt CO</t>
    </r>
    <r>
      <rPr>
        <b/>
        <vertAlign val="subscript"/>
        <sz val="10"/>
        <color theme="1"/>
        <rFont val="Cambria"/>
        <family val="1"/>
        <scheme val="minor"/>
      </rPr>
      <t>2</t>
    </r>
    <r>
      <rPr>
        <b/>
        <sz val="10"/>
        <color theme="1"/>
        <rFont val="Cambria"/>
        <family val="1"/>
        <scheme val="minor"/>
      </rPr>
      <t>e)</t>
    </r>
  </si>
  <si>
    <r>
      <t>N</t>
    </r>
    <r>
      <rPr>
        <b/>
        <vertAlign val="subscript"/>
        <sz val="10"/>
        <color theme="1"/>
        <rFont val="Cambria"/>
        <family val="1"/>
        <scheme val="minor"/>
      </rPr>
      <t>2</t>
    </r>
    <r>
      <rPr>
        <b/>
        <sz val="10"/>
        <color theme="1"/>
        <rFont val="Cambria"/>
        <family val="1"/>
        <scheme val="minor"/>
      </rPr>
      <t>O (Mt CO</t>
    </r>
    <r>
      <rPr>
        <b/>
        <vertAlign val="subscript"/>
        <sz val="10"/>
        <color theme="1"/>
        <rFont val="Cambria"/>
        <family val="1"/>
        <scheme val="minor"/>
      </rPr>
      <t>2</t>
    </r>
    <r>
      <rPr>
        <b/>
        <sz val="10"/>
        <color theme="1"/>
        <rFont val="Cambria"/>
        <family val="1"/>
        <scheme val="minor"/>
      </rPr>
      <t>e)</t>
    </r>
  </si>
  <si>
    <t>na</t>
  </si>
  <si>
    <t>Workstreams</t>
  </si>
  <si>
    <t>Workstream</t>
  </si>
  <si>
    <t>Comments</t>
  </si>
  <si>
    <t>V</t>
  </si>
  <si>
    <t>VI</t>
  </si>
  <si>
    <t>VII</t>
  </si>
  <si>
    <t>VIII</t>
  </si>
  <si>
    <t>XIV</t>
  </si>
  <si>
    <t>IX</t>
  </si>
  <si>
    <t>X</t>
  </si>
  <si>
    <t>XI</t>
  </si>
  <si>
    <t>XII</t>
  </si>
  <si>
    <t>XIII</t>
  </si>
  <si>
    <t>H2 Production</t>
  </si>
  <si>
    <t>Inputs</t>
  </si>
  <si>
    <t>Outputs</t>
  </si>
  <si>
    <t>Total secondary sources</t>
  </si>
  <si>
    <t>Total primary sources</t>
  </si>
  <si>
    <t>Secondary sources</t>
  </si>
  <si>
    <t>2007</t>
  </si>
  <si>
    <t>2010</t>
  </si>
  <si>
    <t>Energy is measured in:</t>
  </si>
  <si>
    <t>Power is measured in:</t>
  </si>
  <si>
    <t>Energy conversions</t>
  </si>
  <si>
    <t>Power conversions</t>
  </si>
  <si>
    <t>Watts</t>
  </si>
  <si>
    <t>GW</t>
  </si>
  <si>
    <t>kW</t>
  </si>
  <si>
    <t>Gigawatts</t>
  </si>
  <si>
    <t>Kilowatts</t>
  </si>
  <si>
    <t>Unit.GW</t>
  </si>
  <si>
    <t>Unit.kW</t>
  </si>
  <si>
    <t>MW</t>
  </si>
  <si>
    <t>Megawatts</t>
  </si>
  <si>
    <t>Unit.MW</t>
  </si>
  <si>
    <t>Mtoe/y</t>
  </si>
  <si>
    <t>Mtoe per year</t>
  </si>
  <si>
    <t>Unit.Mtoe.y</t>
  </si>
  <si>
    <t>Time conversions</t>
  </si>
  <si>
    <t>Seconds</t>
  </si>
  <si>
    <t>y</t>
  </si>
  <si>
    <t>Year</t>
  </si>
  <si>
    <t>Unit.year</t>
  </si>
  <si>
    <t>Fuel</t>
  </si>
  <si>
    <t>Notes:</t>
  </si>
  <si>
    <t>Oil-fired</t>
  </si>
  <si>
    <t>CCGT and turbines</t>
  </si>
  <si>
    <t>2015</t>
  </si>
  <si>
    <t>2020</t>
  </si>
  <si>
    <t>2025</t>
  </si>
  <si>
    <t>2030</t>
  </si>
  <si>
    <t>2035</t>
  </si>
  <si>
    <t>2040</t>
  </si>
  <si>
    <t>2045</t>
  </si>
  <si>
    <t>2050</t>
  </si>
  <si>
    <t>Thermal efficiency (based on gross calorific values)</t>
  </si>
  <si>
    <t>Energy produced and required</t>
  </si>
  <si>
    <t>Plant type</t>
  </si>
  <si>
    <t>Methodology</t>
  </si>
  <si>
    <t>Equivalent to</t>
  </si>
  <si>
    <t>J</t>
  </si>
  <si>
    <t>Unit.J</t>
  </si>
  <si>
    <t>W</t>
  </si>
  <si>
    <t>Unit.W</t>
  </si>
  <si>
    <t>Gas-fired</t>
  </si>
  <si>
    <t>Modules</t>
  </si>
  <si>
    <t>I.a</t>
  </si>
  <si>
    <t>Gas-fired electricity supplied</t>
  </si>
  <si>
    <t>Includes CCGT, gas turbines, and oil engines</t>
  </si>
  <si>
    <t>Module</t>
  </si>
  <si>
    <t>WS Code</t>
  </si>
  <si>
    <t>Electricity  required</t>
  </si>
  <si>
    <t>Primary source</t>
  </si>
  <si>
    <t>Fossil fuels</t>
  </si>
  <si>
    <t>Uses</t>
  </si>
  <si>
    <t>V.07</t>
  </si>
  <si>
    <t>V.08</t>
  </si>
  <si>
    <t>V.09</t>
  </si>
  <si>
    <t>II.a</t>
  </si>
  <si>
    <t>Source for 2007 data: DUKES 2009, Tables 5.7 and 5.10</t>
  </si>
  <si>
    <t>Capacity</t>
  </si>
  <si>
    <t>Load factor</t>
  </si>
  <si>
    <t>VII.a</t>
  </si>
  <si>
    <t>Electricity grid distribution</t>
  </si>
  <si>
    <t>Grid input</t>
  </si>
  <si>
    <t>VII.b</t>
  </si>
  <si>
    <t>Fixed assumptions</t>
  </si>
  <si>
    <t>Actual supplied (min. of requested and available)</t>
  </si>
  <si>
    <t>Available generation</t>
  </si>
  <si>
    <t>VII.c</t>
  </si>
  <si>
    <t>*</t>
  </si>
  <si>
    <t>Y.03</t>
  </si>
  <si>
    <t>Eg, pumped storage</t>
  </si>
  <si>
    <t>III.b</t>
  </si>
  <si>
    <t>Natural flow hydro (ie, excludes pumped storage)</t>
  </si>
  <si>
    <t>III.c</t>
  </si>
  <si>
    <t>III.d</t>
  </si>
  <si>
    <t>III.e</t>
  </si>
  <si>
    <t>Oil capacity</t>
  </si>
  <si>
    <t>Estimated based on actual generation figures</t>
  </si>
  <si>
    <t>Derived assumptions</t>
  </si>
  <si>
    <t>Population</t>
  </si>
  <si>
    <t>Households</t>
  </si>
  <si>
    <t>Global assumptions for all sectors</t>
  </si>
  <si>
    <t>GDP:</t>
  </si>
  <si>
    <t>ONS ABMI for 2007. Projections assume constant 2.5% growth (figures are 2005 constant prices)</t>
  </si>
  <si>
    <t>GDP (2005 £m)</t>
  </si>
  <si>
    <t>Households:</t>
  </si>
  <si>
    <t>Populations:</t>
  </si>
  <si>
    <t>ONS 2008-based Population Projections. Populations beyond 2033 are interpolated based on given average annual changes</t>
  </si>
  <si>
    <t>Sources</t>
  </si>
  <si>
    <t>IX.a</t>
  </si>
  <si>
    <t>Component</t>
  </si>
  <si>
    <t xml:space="preserve">CLG Household estimates and projections 1961-2033 (2006-based). </t>
  </si>
  <si>
    <t>Years prior to 2031 linearly interpolated from figures given; Post 2031, growth is assumed to be 1.00% pa, consistent with average trend 2006-2031</t>
  </si>
  <si>
    <t>×</t>
  </si>
  <si>
    <t>=</t>
  </si>
  <si>
    <t>%</t>
  </si>
  <si>
    <t>District heating</t>
  </si>
  <si>
    <t>Heat transport</t>
  </si>
  <si>
    <t>−</t>
  </si>
  <si>
    <t>Supply oil generation at assumed load factor (oil is assumed to vanish after 2010, so this will only affect the near future)</t>
  </si>
  <si>
    <t>I.b</t>
  </si>
  <si>
    <t xml:space="preserve">Coal / Gas supplied energy ratio </t>
  </si>
  <si>
    <t>Coal : Gas</t>
  </si>
  <si>
    <t>Major Power Producers only</t>
  </si>
  <si>
    <t>Actual supplied</t>
  </si>
  <si>
    <t>Onshore wind</t>
  </si>
  <si>
    <t>Offshore wind</t>
  </si>
  <si>
    <t>Total generation</t>
  </si>
  <si>
    <t>IX.b</t>
  </si>
  <si>
    <t>See module writeup for assumptions and derivation</t>
  </si>
  <si>
    <t>XI.a</t>
  </si>
  <si>
    <t>Emissions</t>
  </si>
  <si>
    <t>XII.a</t>
  </si>
  <si>
    <t>Liquids</t>
  </si>
  <si>
    <t>Petroleum products (weighted average)</t>
  </si>
  <si>
    <t>DUKES 2009 (figures are for fuels in 2008)</t>
  </si>
  <si>
    <t>kg / litre</t>
  </si>
  <si>
    <t>Motor spirit</t>
  </si>
  <si>
    <t>Diesel (DERV)</t>
  </si>
  <si>
    <t>Densities of selected fuels</t>
  </si>
  <si>
    <t>Liquid fuels</t>
  </si>
  <si>
    <t>DUKES 2009, Annex A</t>
  </si>
  <si>
    <t>Motor spirit (all grades)</t>
  </si>
  <si>
    <t>DERV</t>
  </si>
  <si>
    <t>XII.b</t>
  </si>
  <si>
    <t>XII.c</t>
  </si>
  <si>
    <t>Aviation turbine fuel (ATF)</t>
  </si>
  <si>
    <t>VI.a</t>
  </si>
  <si>
    <t>Includes plant and animal biomass</t>
  </si>
  <si>
    <t>H2</t>
  </si>
  <si>
    <t>Includes manure, sewage sludge, domestic food waste</t>
  </si>
  <si>
    <t>All built environment non-heating electricity demand plus cooking</t>
  </si>
  <si>
    <t>V.10</t>
  </si>
  <si>
    <t>XIII.a</t>
  </si>
  <si>
    <t>None in 2007</t>
  </si>
  <si>
    <t>Total adjust.</t>
  </si>
  <si>
    <t>Adjustments</t>
  </si>
  <si>
    <t>IX.c</t>
  </si>
  <si>
    <t>IX.d</t>
  </si>
  <si>
    <t>Total Domestic</t>
  </si>
  <si>
    <t>Total Commercial</t>
  </si>
  <si>
    <t>Total uses</t>
  </si>
  <si>
    <t>X.a</t>
  </si>
  <si>
    <t>X.b</t>
  </si>
  <si>
    <t>Domestic lighting, appliances, and cooking</t>
  </si>
  <si>
    <t>Commercial lighting, appliances, and catering</t>
  </si>
  <si>
    <t>XII.d</t>
  </si>
  <si>
    <t>International aviation</t>
  </si>
  <si>
    <t>Domestic aviation</t>
  </si>
  <si>
    <t>XII.e</t>
  </si>
  <si>
    <t>International shipping (maritime bunkers)</t>
  </si>
  <si>
    <t>XII.f</t>
  </si>
  <si>
    <t>Total Aviation</t>
  </si>
  <si>
    <t>Total Shipping</t>
  </si>
  <si>
    <t>XIV.a</t>
  </si>
  <si>
    <t>V.a</t>
  </si>
  <si>
    <t>Agriculture and waste</t>
  </si>
  <si>
    <t>VI.b</t>
  </si>
  <si>
    <t>T.05</t>
  </si>
  <si>
    <t>T.06</t>
  </si>
  <si>
    <t>International shipping</t>
  </si>
  <si>
    <t>XV</t>
  </si>
  <si>
    <t>Fossil fuel production</t>
  </si>
  <si>
    <t>XV.a</t>
  </si>
  <si>
    <t>IV.a</t>
  </si>
  <si>
    <t>VIII.a</t>
  </si>
  <si>
    <t>Electricity distribution, storage, and balancing</t>
  </si>
  <si>
    <t>Distribution, storage, and balancing</t>
  </si>
  <si>
    <t>XV.b</t>
  </si>
  <si>
    <t>Indigenous fossil-fuel production</t>
  </si>
  <si>
    <t>Y.04</t>
  </si>
  <si>
    <t>Y.05</t>
  </si>
  <si>
    <t>Y.06</t>
  </si>
  <si>
    <t>Oil and gas extraction requirements (% of production)</t>
  </si>
  <si>
    <t>Based on ratio of 2007 energy requirements to oil production from DUKES 2009</t>
  </si>
  <si>
    <t>Coal extraction requirements (% of production)</t>
  </si>
  <si>
    <t>Based on ratio of 2007 energy requirements to coal production from DUKES 2009</t>
  </si>
  <si>
    <t>Reserves</t>
  </si>
  <si>
    <t>Q.01</t>
  </si>
  <si>
    <t>Q.02</t>
  </si>
  <si>
    <t>Q.03</t>
  </si>
  <si>
    <t>Coal reserves</t>
  </si>
  <si>
    <t>Oil reserves</t>
  </si>
  <si>
    <t>Compute coal production</t>
  </si>
  <si>
    <t>Compute oil and gas production</t>
  </si>
  <si>
    <t>Coal production</t>
  </si>
  <si>
    <t>Electricity use</t>
  </si>
  <si>
    <t>Gasesous hydrocarbon use</t>
  </si>
  <si>
    <t>Oil production</t>
  </si>
  <si>
    <t>Gas production</t>
  </si>
  <si>
    <t>Solid hydrocarbon use</t>
  </si>
  <si>
    <t>XVI</t>
  </si>
  <si>
    <t>XVI.a</t>
  </si>
  <si>
    <t>XVI.b</t>
  </si>
  <si>
    <t>Fossil fuel transfers</t>
  </si>
  <si>
    <t>Total Dist'n, storage, and balancing</t>
  </si>
  <si>
    <t>Computed within this worksheet</t>
  </si>
  <si>
    <t>Road transport</t>
  </si>
  <si>
    <t>Rail transport</t>
  </si>
  <si>
    <t>Total Use</t>
  </si>
  <si>
    <t>Total Primary Supply</t>
  </si>
  <si>
    <t>Conversion losses, distribution, and own use</t>
  </si>
  <si>
    <t>Supply net of losses</t>
  </si>
  <si>
    <t>Gas reserves</t>
  </si>
  <si>
    <t>Supply, Demand, and Unaccounted supply</t>
  </si>
  <si>
    <t>A.01</t>
  </si>
  <si>
    <t>Food and biomatter production</t>
  </si>
  <si>
    <t>Agriculture, waste, and biomatter imports</t>
  </si>
  <si>
    <t>Net balance (should be zero!)</t>
  </si>
  <si>
    <t>Version</t>
  </si>
  <si>
    <t>Release date</t>
  </si>
  <si>
    <t>Responsible</t>
  </si>
  <si>
    <t>James Geddes</t>
  </si>
  <si>
    <t>http://www.communities.gov.uk/housing/housingresearch/housingstatistics/housingstatisticsby/householdestimates/livetables-households/</t>
  </si>
  <si>
    <t>Crude oil (weighted average)</t>
  </si>
  <si>
    <t>Natural gas produced</t>
  </si>
  <si>
    <t>Oil and gas production up to 2015 taken from DECC projections as af October 2009. See: https://www.og.decc.gov.uk/information/bb_updates/chapters/production_projections.pdf</t>
  </si>
  <si>
    <t>Thereafter decline assumed to be 4.5% pa (which is DECC projections out to 2025)</t>
  </si>
  <si>
    <t>Coal production assumed to be constant at 2007 levels. (Approximately the trend show in the Analytical Annex to the Low Carbon Transition Plan)</t>
  </si>
  <si>
    <t>IPCC Sector</t>
  </si>
  <si>
    <t>Fuel Combustion</t>
  </si>
  <si>
    <t>Industrial Processes</t>
  </si>
  <si>
    <t>Solvent and Other Product Use</t>
  </si>
  <si>
    <t>Land Use, Land-Use Change and Forestry</t>
  </si>
  <si>
    <t>Sector_code</t>
  </si>
  <si>
    <t>Sector_description</t>
  </si>
  <si>
    <t>IPCC Emissions Sectors</t>
  </si>
  <si>
    <t>X1</t>
  </si>
  <si>
    <t>X2</t>
  </si>
  <si>
    <t>Greenhouse gasses</t>
  </si>
  <si>
    <t>GHG_code</t>
  </si>
  <si>
    <t>GHG_description</t>
  </si>
  <si>
    <t>CO2</t>
  </si>
  <si>
    <t>CH4</t>
  </si>
  <si>
    <t>N2O</t>
  </si>
  <si>
    <t>F</t>
  </si>
  <si>
    <t>CO_2</t>
  </si>
  <si>
    <t>CH_4</t>
  </si>
  <si>
    <t>N_2O</t>
  </si>
  <si>
    <t>HFCs, PFCs, and SF_6</t>
  </si>
  <si>
    <t>Primary Sources</t>
  </si>
  <si>
    <t>1B</t>
  </si>
  <si>
    <t>1A</t>
  </si>
  <si>
    <t>Fugitive Emissions from Fuels</t>
  </si>
  <si>
    <r>
      <t>Emissions (Mt CO</t>
    </r>
    <r>
      <rPr>
        <b/>
        <vertAlign val="subscript"/>
        <sz val="18"/>
        <color theme="1"/>
        <rFont val="Calibri"/>
        <family val="2"/>
        <scheme val="major"/>
      </rPr>
      <t>2</t>
    </r>
    <r>
      <rPr>
        <b/>
        <sz val="18"/>
        <color theme="1"/>
        <rFont val="Calibri"/>
        <family val="2"/>
        <scheme val="major"/>
      </rPr>
      <t>e)</t>
    </r>
  </si>
  <si>
    <t>Assumed combustion emissions factors</t>
  </si>
  <si>
    <t>Industrial coal EF</t>
  </si>
  <si>
    <t>Diesel EF</t>
  </si>
  <si>
    <t>Natural gas EF</t>
  </si>
  <si>
    <t>GHG</t>
  </si>
  <si>
    <t>Emissions produced</t>
  </si>
  <si>
    <t>Emissions reduction due to CCS</t>
  </si>
  <si>
    <t>Mt CO2e</t>
  </si>
  <si>
    <r>
      <t>Mt CO</t>
    </r>
    <r>
      <rPr>
        <vertAlign val="subscript"/>
        <sz val="10"/>
        <color theme="1"/>
        <rFont val="Cambria"/>
        <family val="1"/>
        <scheme val="minor"/>
      </rPr>
      <t>2</t>
    </r>
    <r>
      <rPr>
        <sz val="10"/>
        <color theme="1"/>
        <rFont val="Cambria"/>
        <family val="1"/>
        <scheme val="minor"/>
      </rPr>
      <t>e</t>
    </r>
  </si>
  <si>
    <t>X3</t>
  </si>
  <si>
    <t xml:space="preserve">1.9  Fuels consumed for electricity generation </t>
  </si>
  <si>
    <r>
      <t xml:space="preserve">      (autogeneration) by main industrial groups</t>
    </r>
    <r>
      <rPr>
        <i/>
        <vertAlign val="superscript"/>
        <sz val="18"/>
        <color indexed="12"/>
        <rFont val="Arial"/>
        <family val="2"/>
      </rPr>
      <t>(1)</t>
    </r>
  </si>
  <si>
    <t xml:space="preserve">Thousand tonnes of oil equivalent </t>
  </si>
  <si>
    <t>(except where shown otherwise)</t>
  </si>
  <si>
    <t>Iron and steel and non-ferrous metals</t>
  </si>
  <si>
    <t xml:space="preserve">   Blast furnace gas </t>
  </si>
  <si>
    <t xml:space="preserve">   Coke oven gas</t>
  </si>
  <si>
    <t xml:space="preserve">   Natural gas</t>
  </si>
  <si>
    <t xml:space="preserve">   Petroleum</t>
  </si>
  <si>
    <r>
      <t xml:space="preserve">   Other (including renewables)</t>
    </r>
    <r>
      <rPr>
        <i/>
        <sz val="8"/>
        <rFont val="Arial"/>
        <family val="2"/>
      </rPr>
      <t xml:space="preserve"> (2)</t>
    </r>
  </si>
  <si>
    <r>
      <t>Total fuel input</t>
    </r>
    <r>
      <rPr>
        <i/>
        <sz val="8.5"/>
        <rFont val="Arial"/>
        <family val="2"/>
      </rPr>
      <t xml:space="preserve"> (3)</t>
    </r>
  </si>
  <si>
    <t>Electricity generated by iron &amp; steel and non-ferrous</t>
  </si>
  <si>
    <r>
      <t xml:space="preserve">metals </t>
    </r>
    <r>
      <rPr>
        <i/>
        <sz val="8.5"/>
        <rFont val="Arial"/>
        <family val="2"/>
      </rPr>
      <t>(4)                                                                     (in GWh)</t>
    </r>
  </si>
  <si>
    <t>Electricity consumed by iron and steel and non-ferrous</t>
  </si>
  <si>
    <r>
      <t>metals from own generation</t>
    </r>
    <r>
      <rPr>
        <i/>
        <sz val="8.5"/>
        <rFont val="Arial"/>
        <family val="2"/>
      </rPr>
      <t xml:space="preserve"> (5)                             (in GWh)</t>
    </r>
  </si>
  <si>
    <r>
      <t>Electricity generated by chemicals</t>
    </r>
    <r>
      <rPr>
        <i/>
        <sz val="8.5"/>
        <rFont val="Arial"/>
        <family val="2"/>
      </rPr>
      <t xml:space="preserve"> (4)</t>
    </r>
  </si>
  <si>
    <r>
      <t xml:space="preserve">                                                                                      </t>
    </r>
    <r>
      <rPr>
        <i/>
        <sz val="8"/>
        <rFont val="Arial"/>
        <family val="2"/>
      </rPr>
      <t xml:space="preserve"> (in GWh)</t>
    </r>
  </si>
  <si>
    <r>
      <t>Electricity consumed by chemicals from own generation</t>
    </r>
    <r>
      <rPr>
        <i/>
        <sz val="8.5"/>
        <rFont val="Arial"/>
        <family val="2"/>
      </rPr>
      <t xml:space="preserve"> (5)</t>
    </r>
  </si>
  <si>
    <t xml:space="preserve">                                                                                       (in GWh)</t>
  </si>
  <si>
    <t>Metal products, machinery and equipment</t>
  </si>
  <si>
    <r>
      <t xml:space="preserve">   Other (including renewables) </t>
    </r>
    <r>
      <rPr>
        <i/>
        <sz val="8"/>
        <rFont val="Arial"/>
        <family val="2"/>
      </rPr>
      <t>(2)</t>
    </r>
  </si>
  <si>
    <r>
      <t xml:space="preserve">Total fuel input </t>
    </r>
    <r>
      <rPr>
        <i/>
        <sz val="8.5"/>
        <rFont val="Arial"/>
        <family val="2"/>
      </rPr>
      <t>(3)</t>
    </r>
  </si>
  <si>
    <t>Electricity generated by metal products, machinery</t>
  </si>
  <si>
    <r>
      <t xml:space="preserve">and equipment </t>
    </r>
    <r>
      <rPr>
        <i/>
        <sz val="8.5"/>
        <rFont val="Arial"/>
        <family val="2"/>
      </rPr>
      <t>(4)                                                      (in GWh)</t>
    </r>
  </si>
  <si>
    <t xml:space="preserve">Electricity consumed by metal products, machinery </t>
  </si>
  <si>
    <r>
      <t xml:space="preserve">and equipment from own generation </t>
    </r>
    <r>
      <rPr>
        <i/>
        <sz val="8.5"/>
        <rFont val="Arial"/>
        <family val="2"/>
      </rPr>
      <t>(5)              (in GWh)</t>
    </r>
  </si>
  <si>
    <t>Food, beverages and tobacco</t>
  </si>
  <si>
    <r>
      <t>Electricity generated by food, beverages and tobacco</t>
    </r>
    <r>
      <rPr>
        <i/>
        <sz val="8.5"/>
        <rFont val="Arial"/>
        <family val="2"/>
      </rPr>
      <t xml:space="preserve"> (4)</t>
    </r>
  </si>
  <si>
    <t>Electricity consumed by food, beverages and tobacco</t>
  </si>
  <si>
    <r>
      <t xml:space="preserve">from own generation </t>
    </r>
    <r>
      <rPr>
        <i/>
        <sz val="8.5"/>
        <rFont val="Arial"/>
        <family val="2"/>
      </rPr>
      <t>(5) (6)                                         (in GWh)</t>
    </r>
  </si>
  <si>
    <t>(1)  Industrial categories used are described in Table 1G.</t>
  </si>
  <si>
    <t>(2)  Includes hydro electricity, solid and gaseous renewables and waste.</t>
  </si>
  <si>
    <t>(3)  Total fuels used for generation of electricity.  Consistent with figures for fuels used by other generators in Table 5.4.</t>
  </si>
  <si>
    <r>
      <t xml:space="preserve">       (autogeneration) by main industrial groups</t>
    </r>
    <r>
      <rPr>
        <i/>
        <vertAlign val="superscript"/>
        <sz val="18"/>
        <color indexed="12"/>
        <rFont val="Arial"/>
        <family val="2"/>
      </rPr>
      <t>(1)</t>
    </r>
    <r>
      <rPr>
        <b/>
        <sz val="18"/>
        <color indexed="12"/>
        <rFont val="Arial"/>
        <family val="2"/>
      </rPr>
      <t xml:space="preserve"> </t>
    </r>
  </si>
  <si>
    <t xml:space="preserve">       (continued)</t>
  </si>
  <si>
    <t>Paper, printing and publishing</t>
  </si>
  <si>
    <r>
      <t xml:space="preserve">Electricity generated by paper, printing and publishing </t>
    </r>
    <r>
      <rPr>
        <i/>
        <sz val="8.5"/>
        <rFont val="Arial"/>
        <family val="2"/>
      </rPr>
      <t>(4)</t>
    </r>
  </si>
  <si>
    <r>
      <t xml:space="preserve">                                                                                       </t>
    </r>
    <r>
      <rPr>
        <i/>
        <sz val="8"/>
        <rFont val="Arial"/>
        <family val="2"/>
      </rPr>
      <t xml:space="preserve"> (in GWh)</t>
    </r>
  </si>
  <si>
    <t xml:space="preserve">Electricity consumed by paper, printing and publishing </t>
  </si>
  <si>
    <r>
      <t xml:space="preserve">from own generation </t>
    </r>
    <r>
      <rPr>
        <i/>
        <sz val="8.5"/>
        <rFont val="Arial"/>
        <family val="2"/>
      </rPr>
      <t>(5)                                           (in GWh)</t>
    </r>
  </si>
  <si>
    <r>
      <t xml:space="preserve">Electricity generated by other industries </t>
    </r>
    <r>
      <rPr>
        <i/>
        <sz val="8.5"/>
        <rFont val="Arial"/>
        <family val="2"/>
      </rPr>
      <t>(4)</t>
    </r>
  </si>
  <si>
    <r>
      <t xml:space="preserve">                                                                                        </t>
    </r>
    <r>
      <rPr>
        <i/>
        <sz val="8"/>
        <rFont val="Arial"/>
        <family val="2"/>
      </rPr>
      <t xml:space="preserve"> (in GWh)</t>
    </r>
  </si>
  <si>
    <t xml:space="preserve">Electricity consumed by other industries from own </t>
  </si>
  <si>
    <r>
      <t>generation</t>
    </r>
    <r>
      <rPr>
        <i/>
        <sz val="8.5"/>
        <rFont val="Arial"/>
        <family val="2"/>
      </rPr>
      <t xml:space="preserve"> (5)                                                             (in GWh)</t>
    </r>
  </si>
  <si>
    <t xml:space="preserve">   Natural gas </t>
  </si>
  <si>
    <r>
      <t>Electricity generated</t>
    </r>
    <r>
      <rPr>
        <i/>
        <sz val="8.5"/>
        <rFont val="Arial"/>
        <family val="2"/>
      </rPr>
      <t xml:space="preserve"> (4)</t>
    </r>
  </si>
  <si>
    <r>
      <t xml:space="preserve">                                                                                       </t>
    </r>
    <r>
      <rPr>
        <i/>
        <sz val="8"/>
        <rFont val="Arial"/>
        <family val="2"/>
      </rPr>
      <t>(in GWh)</t>
    </r>
  </si>
  <si>
    <r>
      <t xml:space="preserve">Electricity consumed from own generation </t>
    </r>
    <r>
      <rPr>
        <i/>
        <sz val="8.5"/>
        <rFont val="Arial"/>
        <family val="2"/>
      </rPr>
      <t>(5)</t>
    </r>
  </si>
  <si>
    <t>(4) Combined heat and power (CHP) generation (ie electrical output from Table 6.8) plus non-chp generation, so that</t>
  </si>
  <si>
    <t xml:space="preserve">     the total electricity generated is consistent with the "other generators" figures in Table 5.6. </t>
  </si>
  <si>
    <t>(5) This is the electricity consumed by the industrial sector from its own generation and is consistent with the other</t>
  </si>
  <si>
    <t xml:space="preserve">     generators final users figures used within the electricity balances (Tables 5.1 and 5.2).  These figures are less than </t>
  </si>
  <si>
    <t xml:space="preserve">      the total generated because some of the electricity is sold to the public distribution system and other users.</t>
  </si>
  <si>
    <t xml:space="preserve">(6) 2007 figure is likley to change. Inconsistencies which occurred during the reclassification of CHP schemes </t>
  </si>
  <si>
    <t xml:space="preserve">      are currently being investigated. </t>
  </si>
  <si>
    <t>(7) The figures presented here are consistent with other figures presented elsewhere in this publication as detailed at</t>
  </si>
  <si>
    <t xml:space="preserve">     (3), (4), and (5) above but are further dissaggregated.  Overall totals  covering all autogenerators can be derived by </t>
  </si>
  <si>
    <t xml:space="preserve">     adding in figures for transport, services and the fuel industries.  These can be summarised as follows:</t>
  </si>
  <si>
    <t>Fuel input</t>
  </si>
  <si>
    <t xml:space="preserve">   All industry</t>
  </si>
  <si>
    <t xml:space="preserve">   Fuel industries</t>
  </si>
  <si>
    <t xml:space="preserve">   Transport, Commerce and Administration</t>
  </si>
  <si>
    <t xml:space="preserve">   Services</t>
  </si>
  <si>
    <t>Total fuel input</t>
  </si>
  <si>
    <t>Electricity generated</t>
  </si>
  <si>
    <t>Electricity consumed</t>
  </si>
  <si>
    <t>Not applicable to the UK</t>
  </si>
  <si>
    <t>COAL PRODUCTION</t>
  </si>
  <si>
    <t>OIL AND GAS PRODUCTION</t>
  </si>
  <si>
    <t>Compute emissions</t>
  </si>
  <si>
    <t>EMISSIONS</t>
  </si>
  <si>
    <t>Emissions notes</t>
  </si>
  <si>
    <t>Fugitive emissions from fuels</t>
  </si>
  <si>
    <t>1B2a</t>
  </si>
  <si>
    <t>1B2b</t>
  </si>
  <si>
    <t>Natural Gas</t>
  </si>
  <si>
    <t>1B1a</t>
  </si>
  <si>
    <t>Coal Mining and Handling</t>
  </si>
  <si>
    <t>1B1b</t>
  </si>
  <si>
    <t>Solid Fuel Transformation</t>
  </si>
  <si>
    <t>1B1c</t>
  </si>
  <si>
    <t>1B2c</t>
  </si>
  <si>
    <t>1B2d</t>
  </si>
  <si>
    <t>Venting and Flaring</t>
  </si>
  <si>
    <t>Majority are methane emissions from coal mining</t>
  </si>
  <si>
    <t>Small compared to 1B1a</t>
  </si>
  <si>
    <t>Small compared to 1B2b and 1B2c</t>
  </si>
  <si>
    <t>Majority are CO2 emissions from flaring</t>
  </si>
  <si>
    <t>Modelled driver is coal production</t>
  </si>
  <si>
    <t>Modelled driver is oil production</t>
  </si>
  <si>
    <t>Majority are methane emissions from distributed gas</t>
  </si>
  <si>
    <t>Modelled driver is gas consumption</t>
  </si>
  <si>
    <t>Compute fugitive emissions from production</t>
  </si>
  <si>
    <t>Fugitive emissions from production</t>
  </si>
  <si>
    <t>Methane from coal mining</t>
  </si>
  <si>
    <t>M tonnes</t>
  </si>
  <si>
    <t>Source: GHG Inventory 2009, Table 1.</t>
  </si>
  <si>
    <t>1B2</t>
  </si>
  <si>
    <t>Oil and Natural Gas</t>
  </si>
  <si>
    <t>Methane emissions from 1B1a (Coal Mining) and CO2 emissions from 1B2 (Oil and Gas) respectively</t>
  </si>
  <si>
    <t>Includes distribution losses for gas</t>
  </si>
  <si>
    <t>Hydrocarbon requirements</t>
  </si>
  <si>
    <t>Gas distribution losses</t>
  </si>
  <si>
    <t>Requested hydrocarbons</t>
  </si>
  <si>
    <t>Fugitive emissions from gas</t>
  </si>
  <si>
    <t>Source: Greenhouse Gas Inventory 2009, Table 1</t>
  </si>
  <si>
    <t>Based on ratio of actual 2007 distribution losses to calculated 2007 primary demand (from DUKES 2009)</t>
  </si>
  <si>
    <t>Coal required</t>
  </si>
  <si>
    <t>Gasesous hydrocarbon required</t>
  </si>
  <si>
    <t>+</t>
  </si>
  <si>
    <t>distribution losses</t>
  </si>
  <si>
    <t>Natural gas required</t>
  </si>
  <si>
    <t>Losses in gas distribution are made up of metering differences, leakage, own use, and theft (see DUKES 2009 paragraph 4.50)</t>
  </si>
  <si>
    <t>We assume leakage is what is computed by the IPCC emissions sector 1B2b (fugitive emissions). These are assumed to be proportional to consumption</t>
  </si>
  <si>
    <t>% of total consumption</t>
  </si>
  <si>
    <t>Dummy for charting uses</t>
  </si>
  <si>
    <t>Dummy for charting supply</t>
  </si>
  <si>
    <t>Fugitive methane from coal mining</t>
  </si>
  <si>
    <t>Fugitive CO2 from Oil and Gas production</t>
  </si>
  <si>
    <t>Combustion emissions from own use</t>
  </si>
  <si>
    <t>Supply / demand not accounted for</t>
  </si>
  <si>
    <t>Total unnaccounted supply / demand</t>
  </si>
  <si>
    <t>Total electricity grid</t>
  </si>
  <si>
    <t>Electricity Generation</t>
  </si>
  <si>
    <t>Max</t>
  </si>
  <si>
    <t>Nuclear fission</t>
  </si>
  <si>
    <t>UK incident solar energy, annual average</t>
  </si>
  <si>
    <t>Assumption</t>
  </si>
  <si>
    <t>Units</t>
  </si>
  <si>
    <t>Value</t>
  </si>
  <si>
    <r>
      <t>W / m</t>
    </r>
    <r>
      <rPr>
        <vertAlign val="superscript"/>
        <sz val="10"/>
        <color theme="1"/>
        <rFont val="Cambria"/>
        <family val="1"/>
        <scheme val="minor"/>
      </rPr>
      <t>2</t>
    </r>
  </si>
  <si>
    <t>Solar energy:</t>
  </si>
  <si>
    <r>
      <t xml:space="preserve">MacKay, </t>
    </r>
    <r>
      <rPr>
        <i/>
        <sz val="10"/>
        <color theme="1"/>
        <rFont val="Cambria"/>
        <family val="1"/>
        <scheme val="minor"/>
      </rPr>
      <t>Sustainable Energy -- without the hot air</t>
    </r>
    <r>
      <rPr>
        <sz val="10"/>
        <color theme="1"/>
        <rFont val="Cambria"/>
        <family val="1"/>
        <scheme val="minor"/>
      </rPr>
      <t xml:space="preserve">; originally from NASA, </t>
    </r>
    <r>
      <rPr>
        <i/>
        <sz val="10"/>
        <color theme="1"/>
        <rFont val="Cambria"/>
        <family val="1"/>
        <scheme val="minor"/>
      </rPr>
      <t>Surface meteorology and Solar Energy</t>
    </r>
  </si>
  <si>
    <t>UK incident solar energy, south-facing roof</t>
  </si>
  <si>
    <t>Available supply</t>
  </si>
  <si>
    <t>(ii) Housing thermal efficiency</t>
  </si>
  <si>
    <t>Domestic space heating and hot water</t>
  </si>
  <si>
    <t>Chosen</t>
  </si>
  <si>
    <t>Commercial heating and cooling</t>
  </si>
  <si>
    <t>IV.b</t>
  </si>
  <si>
    <t>Domestic solar thermal</t>
  </si>
  <si>
    <t>V.11</t>
  </si>
  <si>
    <t>Solar thermal heat, used for hot water</t>
  </si>
  <si>
    <t>Total electricity supply (demand) to this point</t>
  </si>
  <si>
    <t>Total electricity supply (demand) prior to generation</t>
  </si>
  <si>
    <t>XVII</t>
  </si>
  <si>
    <t>District heating effective demand</t>
  </si>
  <si>
    <t>XVII.a</t>
  </si>
  <si>
    <t>Converts heat demand to equivalent electric demand</t>
  </si>
  <si>
    <t>Total heatsupply (demand) to this point</t>
  </si>
  <si>
    <t>District heating demand</t>
  </si>
  <si>
    <t>z Factor</t>
  </si>
  <si>
    <t>z Factor converts district heating demand into an effective increase in demand for electricity</t>
  </si>
  <si>
    <t>Transfer heat demand from heat transport to increase in electricity demanded from thermal plant. Balancing term goes in "conversion losses"</t>
  </si>
  <si>
    <t>Heat transport required</t>
  </si>
  <si>
    <r>
      <rPr>
        <sz val="10"/>
        <color theme="1"/>
        <rFont val="Cambria"/>
        <family val="1"/>
      </rPr>
      <t>÷</t>
    </r>
    <r>
      <rPr>
        <sz val="10"/>
        <color theme="1"/>
        <rFont val="Cambria"/>
        <family val="1"/>
        <scheme val="minor"/>
      </rPr>
      <t/>
    </r>
  </si>
  <si>
    <t>Effective electricity required</t>
  </si>
  <si>
    <t>"Conversion losses"</t>
  </si>
  <si>
    <t>Trajectory</t>
  </si>
  <si>
    <t>Trajectory assumptions</t>
  </si>
  <si>
    <t>Trajectory selection</t>
  </si>
  <si>
    <t>Choice of Trajectory</t>
  </si>
  <si>
    <t>Domestic passenger transport</t>
  </si>
  <si>
    <t>Domestic freight</t>
  </si>
  <si>
    <r>
      <t xml:space="preserve">In our model, </t>
    </r>
    <r>
      <rPr>
        <i/>
        <sz val="10"/>
        <color theme="1"/>
        <rFont val="Cambria"/>
        <family val="1"/>
        <scheme val="minor"/>
      </rPr>
      <t>includes</t>
    </r>
    <r>
      <rPr>
        <sz val="10"/>
        <color theme="1"/>
        <rFont val="Cambria"/>
        <family val="1"/>
        <scheme val="minor"/>
      </rPr>
      <t xml:space="preserve"> biofuel combustion emissions. See sector X2</t>
    </r>
  </si>
  <si>
    <t>Sequestration due to bioenergy crops should be included under X2</t>
  </si>
  <si>
    <t>X1 is not an IPCC sectoral code. Includes domestic aviation</t>
  </si>
  <si>
    <t>km</t>
  </si>
  <si>
    <t>International bunkers (CO2 only)</t>
  </si>
  <si>
    <t>Excluding international bunkers</t>
  </si>
  <si>
    <t>Oil and petroleum products</t>
  </si>
  <si>
    <t>A</t>
  </si>
  <si>
    <t>B</t>
  </si>
  <si>
    <t>C</t>
  </si>
  <si>
    <t>D</t>
  </si>
  <si>
    <t>Waste arising</t>
  </si>
  <si>
    <t>Type</t>
  </si>
  <si>
    <t>Solid</t>
  </si>
  <si>
    <t>Scenario</t>
  </si>
  <si>
    <t>Source</t>
  </si>
  <si>
    <t>Primary supply, format for web-based interface</t>
  </si>
  <si>
    <t>All forms of waste</t>
  </si>
  <si>
    <t>V.12</t>
  </si>
  <si>
    <t>Kyoto agreed sectors</t>
  </si>
  <si>
    <t>Actuals, GHG Inv.</t>
  </si>
  <si>
    <t>% of production</t>
  </si>
  <si>
    <t>X2 is not an IPCC sectoral code. CO2 "credit" from bioenergy</t>
  </si>
  <si>
    <t>IV.c</t>
  </si>
  <si>
    <t>Distributed renewable power generation</t>
  </si>
  <si>
    <t>Distributed solar PV</t>
  </si>
  <si>
    <t>Distributed solar thermal</t>
  </si>
  <si>
    <t>Micro wind</t>
  </si>
  <si>
    <t>Nuclear power</t>
  </si>
  <si>
    <t>Heating and cooling</t>
  </si>
  <si>
    <t>Heat energy demand (eg, for space heating, water heating) and cooling</t>
  </si>
  <si>
    <t>(ii) Technology pathway</t>
  </si>
  <si>
    <t>(i) Demand / Efficiency</t>
  </si>
  <si>
    <t>Total supply / (demand) to this point</t>
  </si>
  <si>
    <t>Non-thermal renewable generation</t>
  </si>
  <si>
    <t>Combustion + CCS</t>
  </si>
  <si>
    <t>Used as a holding vector for converting demand net production into imports</t>
  </si>
  <si>
    <t>Includes refined petroleums</t>
  </si>
  <si>
    <t>COAL AND GAS TRANSFERS</t>
  </si>
  <si>
    <t>Transfer coal, petroleum, and gas to V.03, V.04 and V.05 from C.01, C.02 and C.03 respectively</t>
  </si>
  <si>
    <t>Petroleum products required</t>
  </si>
  <si>
    <t>Target, for chart</t>
  </si>
  <si>
    <t>Energy source / use charts</t>
  </si>
  <si>
    <t>Use</t>
  </si>
  <si>
    <t>Electricity grid (net of distribution losses)</t>
  </si>
  <si>
    <t>V.b</t>
  </si>
  <si>
    <t>Bioenergy imports</t>
  </si>
  <si>
    <t>Targets</t>
  </si>
  <si>
    <t>Base year (1990)</t>
  </si>
  <si>
    <t>(20% of base)</t>
  </si>
  <si>
    <t>(66% of base)</t>
  </si>
  <si>
    <t>% of 2007</t>
  </si>
  <si>
    <t>Actuals, as % of 2007, modelled</t>
  </si>
  <si>
    <t>2050 target</t>
  </si>
  <si>
    <t xml:space="preserve">2020 target </t>
  </si>
  <si>
    <t>2020 target</t>
  </si>
  <si>
    <t>Modelled emissions</t>
  </si>
  <si>
    <t>Emissions as % of base year, adjusted so that 2007 matches actuals</t>
  </si>
  <si>
    <t>% of actual</t>
  </si>
  <si>
    <t>Adjustment factor:</t>
  </si>
  <si>
    <t>2007 Actuals, GHG Inv.</t>
  </si>
  <si>
    <t>Subtotal.XVII.a</t>
  </si>
  <si>
    <t>Subtotal.II.a</t>
  </si>
  <si>
    <t>Subtotal.I.b</t>
  </si>
  <si>
    <t>Subtotal.I.a</t>
  </si>
  <si>
    <t>Subtotal.VII.b</t>
  </si>
  <si>
    <t>Subtotal.V.a</t>
  </si>
  <si>
    <t>Subtotal.V.b</t>
  </si>
  <si>
    <t>Subtotal.XVI.a</t>
  </si>
  <si>
    <t>z</t>
  </si>
  <si>
    <t>Heat take-off  z factor</t>
  </si>
  <si>
    <t>We assume no emissions from metering differences. Own use and theft is a small proportion of the total losses (~15%) and has been ignored</t>
  </si>
  <si>
    <t>III.a.1</t>
  </si>
  <si>
    <t>III.a.2</t>
  </si>
  <si>
    <t>7.4  Capacity of, and electricity generated from,</t>
  </si>
  <si>
    <t xml:space="preserve">       renewable sources</t>
  </si>
  <si>
    <r>
      <t xml:space="preserve">Installed Capacity (MWe) </t>
    </r>
    <r>
      <rPr>
        <b/>
        <i/>
        <sz val="9"/>
        <rFont val="Arial"/>
        <family val="2"/>
      </rPr>
      <t>(1)</t>
    </r>
  </si>
  <si>
    <t xml:space="preserve">   Wind:</t>
  </si>
  <si>
    <t xml:space="preserve">       Onshore</t>
  </si>
  <si>
    <r>
      <t xml:space="preserve">       Offshore </t>
    </r>
    <r>
      <rPr>
        <i/>
        <sz val="8"/>
        <rFont val="Arial"/>
        <family val="2"/>
      </rPr>
      <t>(2)</t>
    </r>
  </si>
  <si>
    <t xml:space="preserve">   Shoreline wave</t>
  </si>
  <si>
    <t xml:space="preserve">   Solar photovoltaics</t>
  </si>
  <si>
    <t xml:space="preserve">   Hydro:</t>
  </si>
  <si>
    <t xml:space="preserve">       Small scale </t>
  </si>
  <si>
    <r>
      <t xml:space="preserve">       Large scale </t>
    </r>
    <r>
      <rPr>
        <i/>
        <sz val="8"/>
        <rFont val="Arial"/>
        <family val="2"/>
      </rPr>
      <t>(3)</t>
    </r>
  </si>
  <si>
    <t>Biomass:</t>
  </si>
  <si>
    <t xml:space="preserve">      Landfill gas </t>
  </si>
  <si>
    <t xml:space="preserve">      Sewage sludge digestion</t>
  </si>
  <si>
    <t xml:space="preserve">      Municipal solid waste combustion</t>
  </si>
  <si>
    <r>
      <t xml:space="preserve">      Animal Biomass </t>
    </r>
    <r>
      <rPr>
        <i/>
        <sz val="8"/>
        <rFont val="Arial"/>
        <family val="2"/>
      </rPr>
      <t>(4)</t>
    </r>
  </si>
  <si>
    <r>
      <t xml:space="preserve">      Plant Biomass </t>
    </r>
    <r>
      <rPr>
        <i/>
        <sz val="8"/>
        <rFont val="Arial"/>
        <family val="2"/>
      </rPr>
      <t>(5)</t>
    </r>
  </si>
  <si>
    <t xml:space="preserve">   Total biomass and wastes</t>
  </si>
  <si>
    <r>
      <t xml:space="preserve">Co-firing </t>
    </r>
    <r>
      <rPr>
        <i/>
        <sz val="8.5"/>
        <rFont val="Arial"/>
        <family val="2"/>
      </rPr>
      <t>(6)</t>
    </r>
  </si>
  <si>
    <t>Generation (GWh)</t>
  </si>
  <si>
    <r>
      <t xml:space="preserve">       Onshore </t>
    </r>
    <r>
      <rPr>
        <i/>
        <sz val="8"/>
        <rFont val="Arial"/>
        <family val="2"/>
      </rPr>
      <t>(7)</t>
    </r>
  </si>
  <si>
    <r>
      <t xml:space="preserve">       Offshore </t>
    </r>
    <r>
      <rPr>
        <i/>
        <sz val="8"/>
        <rFont val="Arial"/>
        <family val="2"/>
      </rPr>
      <t>(8)</t>
    </r>
  </si>
  <si>
    <r>
      <t xml:space="preserve">       Large scale</t>
    </r>
    <r>
      <rPr>
        <i/>
        <sz val="8"/>
        <rFont val="Arial"/>
        <family val="2"/>
      </rPr>
      <t xml:space="preserve"> (3)</t>
    </r>
  </si>
  <si>
    <t xml:space="preserve">       Landfill gas </t>
  </si>
  <si>
    <t xml:space="preserve">       Sewage sludge digestion</t>
  </si>
  <si>
    <r>
      <t xml:space="preserve">       Municipal solid waste combustion </t>
    </r>
    <r>
      <rPr>
        <i/>
        <sz val="8"/>
        <rFont val="Arial"/>
        <family val="2"/>
      </rPr>
      <t>(9)</t>
    </r>
  </si>
  <si>
    <t xml:space="preserve">       Co-firing with fossil fuels</t>
  </si>
  <si>
    <r>
      <t xml:space="preserve">       Animal Biomass</t>
    </r>
    <r>
      <rPr>
        <i/>
        <sz val="8"/>
        <rFont val="Arial"/>
        <family val="2"/>
      </rPr>
      <t xml:space="preserve"> (10)</t>
    </r>
  </si>
  <si>
    <r>
      <t xml:space="preserve">       Plant Biomass </t>
    </r>
    <r>
      <rPr>
        <i/>
        <sz val="8"/>
        <rFont val="Arial"/>
        <family val="2"/>
      </rPr>
      <t>(11)</t>
    </r>
  </si>
  <si>
    <t xml:space="preserve">   Total biomass</t>
  </si>
  <si>
    <t xml:space="preserve">Total generation </t>
  </si>
  <si>
    <r>
      <t xml:space="preserve">Non-biodegradable wastes </t>
    </r>
    <r>
      <rPr>
        <i/>
        <sz val="8.5"/>
        <rFont val="Arial"/>
        <family val="2"/>
      </rPr>
      <t>(12)</t>
    </r>
  </si>
  <si>
    <r>
      <t xml:space="preserve">Load factors (per cent) </t>
    </r>
    <r>
      <rPr>
        <b/>
        <i/>
        <sz val="8.5"/>
        <rFont val="Arial"/>
        <family val="2"/>
      </rPr>
      <t>(13)</t>
    </r>
  </si>
  <si>
    <t xml:space="preserve">   Onshore wind</t>
  </si>
  <si>
    <t xml:space="preserve">   Offshore wind</t>
  </si>
  <si>
    <t xml:space="preserve">..   </t>
  </si>
  <si>
    <t xml:space="preserve">   Hydro</t>
  </si>
  <si>
    <t xml:space="preserve">   Biomass (excluding co-firing)</t>
  </si>
  <si>
    <t>Total (including wastes)</t>
  </si>
  <si>
    <r>
      <t xml:space="preserve">Load factors on an unchanged configuration basis (per cent) </t>
    </r>
    <r>
      <rPr>
        <b/>
        <i/>
        <sz val="8"/>
        <rFont val="Arial"/>
        <family val="2"/>
      </rPr>
      <t>(14)</t>
    </r>
  </si>
  <si>
    <t xml:space="preserve">   Offshore wind (from 2006 only)</t>
  </si>
  <si>
    <t>(1)    Capacity on a DNC basis is shown in Long Term Trends Table 7.1.1 available on the DECC web site - see paragraph 7.74.</t>
  </si>
  <si>
    <t>(2)    In 2007 and 2008 excludes Beatrice (10 MW) which was only supplying an offshore oil platform.</t>
  </si>
  <si>
    <t xml:space="preserve">(3)    Excluding pumped storage stations.  Capacities are as at the end of December. </t>
  </si>
  <si>
    <t xml:space="preserve">(4)    Includes the use of farm waste digestion, poultry litter and meat and bone. </t>
  </si>
  <si>
    <t xml:space="preserve">(5)    Includes the use of waste tyres, straw combustion, short rotation coppice and hospital waste. </t>
  </si>
  <si>
    <t>(6)   This is the amount of fossil fuelled capacity used for co-firing of renewables based on the proportion of generation accounted</t>
  </si>
  <si>
    <t xml:space="preserve">        for by the renewable source.</t>
  </si>
  <si>
    <t>(7)    Actual generation figures are given where available, but otherwise are estimated using a typical load factor or the design</t>
  </si>
  <si>
    <t xml:space="preserve">        load factor, where known.</t>
  </si>
  <si>
    <t xml:space="preserve">(8)    Latest years include electricity from shoreline wave but this amounts to less than 0.05 GWh.  Generation by Beatrice excluded </t>
  </si>
  <si>
    <t xml:space="preserve">        (see note 2).</t>
  </si>
  <si>
    <t>(9)    Biodegradable part only.</t>
  </si>
  <si>
    <t xml:space="preserve">(10)  Includes the use of farm waste digestion, poultry litter combustion and meat and bone combustion. </t>
  </si>
  <si>
    <t xml:space="preserve">(11)  Includes the use of straw and energy crops. </t>
  </si>
  <si>
    <t>(12)  Non-biodegradable part of municipal solid waste plus waste tyres, hosptal waste and general industrial waste.</t>
  </si>
  <si>
    <t>(13)  Load factors are calculated based on installed capacity at the beginning and the end of the year - see paragraph 7.75.</t>
  </si>
  <si>
    <t>(14)  For a definition see paragraphs 7.76 and 7.77.</t>
  </si>
  <si>
    <t>Demand (for charting)</t>
  </si>
  <si>
    <t>Dummy for charting</t>
  </si>
  <si>
    <t>Own-use requirements</t>
  </si>
  <si>
    <r>
      <rPr>
        <sz val="8"/>
        <color theme="1"/>
        <rFont val="Cambria"/>
        <family val="1"/>
        <scheme val="minor"/>
      </rPr>
      <t>T</t>
    </r>
    <r>
      <rPr>
        <sz val="10"/>
        <color theme="1"/>
        <rFont val="Cambria"/>
        <family val="1"/>
        <scheme val="minor"/>
      </rPr>
      <t>hermal efficiency</t>
    </r>
  </si>
  <si>
    <t>Soild fuel input required</t>
  </si>
  <si>
    <r>
      <t>×</t>
    </r>
    <r>
      <rPr>
        <sz val="8"/>
        <color theme="1"/>
        <rFont val="Cambria"/>
        <family val="1"/>
        <scheme val="minor"/>
      </rPr>
      <t/>
    </r>
  </si>
  <si>
    <t>V.13</t>
  </si>
  <si>
    <t>Includes wood, straw, and other plant-based biomass, wood chips, garden waste, and MSW. Does not include energy crops, including SRC</t>
  </si>
  <si>
    <t>Primary electricity, solar, marine, and net imports</t>
  </si>
  <si>
    <t>Own-use requirements (as percentage of supplied electricity)</t>
  </si>
  <si>
    <t>Consumption of solid hydrocarbons</t>
  </si>
  <si>
    <t>Consumption of liquid hydrocarbons</t>
  </si>
  <si>
    <t>Bioenergy contextual data</t>
  </si>
  <si>
    <t>International Aviation and Shipping</t>
  </si>
  <si>
    <t>Subtotal.Consumption</t>
  </si>
  <si>
    <t>Subtotal.Supply</t>
  </si>
  <si>
    <t>Subtotal.Balancing</t>
  </si>
  <si>
    <t>Used in transport</t>
  </si>
  <si>
    <t>Used in CCS power plants</t>
  </si>
  <si>
    <t>Supplied from liquid biofuels</t>
  </si>
  <si>
    <t>Supplied from solid bioenergy</t>
  </si>
  <si>
    <t>Used in industry</t>
  </si>
  <si>
    <t>Source / Use</t>
  </si>
  <si>
    <t>Energy supply and demand</t>
  </si>
  <si>
    <t>Supplemental data</t>
  </si>
  <si>
    <t>Low</t>
  </si>
  <si>
    <t>High</t>
  </si>
  <si>
    <t>(i) Heating / cooling comfort level</t>
  </si>
  <si>
    <t>(i) Heat / cooling demand</t>
  </si>
  <si>
    <t>(iv) Non-electric fuel direction</t>
  </si>
  <si>
    <t>(iii) Electrification level</t>
  </si>
  <si>
    <t>(ii) Electrification level</t>
  </si>
  <si>
    <t>(iii) Non-electric fuel direction</t>
  </si>
  <si>
    <t>Combustion emissions, captured</t>
  </si>
  <si>
    <t>X3 is not an IPPC sectoral code. All CCS, including industry</t>
  </si>
  <si>
    <t>Dummy, for chart</t>
  </si>
  <si>
    <t>Carbon capture</t>
  </si>
  <si>
    <t>Bioenergy credit</t>
  </si>
  <si>
    <t>Consumption of gaseous hydrocarbons</t>
  </si>
  <si>
    <t>Used in commercial heating</t>
  </si>
  <si>
    <t>Used in domestic heating</t>
  </si>
  <si>
    <r>
      <t>Modelled emissions, net of capture, by sector (Mt CO</t>
    </r>
    <r>
      <rPr>
        <b/>
        <vertAlign val="subscript"/>
        <sz val="18"/>
        <color theme="1"/>
        <rFont val="Calibri"/>
        <family val="2"/>
        <scheme val="major"/>
      </rPr>
      <t>2</t>
    </r>
    <r>
      <rPr>
        <b/>
        <sz val="18"/>
        <color theme="1"/>
        <rFont val="Calibri"/>
        <family val="2"/>
        <scheme val="major"/>
      </rPr>
      <t>e)</t>
    </r>
  </si>
  <si>
    <t>Area conversions</t>
  </si>
  <si>
    <t>ha</t>
  </si>
  <si>
    <t>Hectares</t>
  </si>
  <si>
    <t>Unit.ha</t>
  </si>
  <si>
    <t>Acres</t>
  </si>
  <si>
    <t>acres</t>
  </si>
  <si>
    <t>Unit.acre</t>
  </si>
  <si>
    <t>km^2</t>
  </si>
  <si>
    <t>m^2</t>
  </si>
  <si>
    <t>Square kilometres</t>
  </si>
  <si>
    <t>Square metres</t>
  </si>
  <si>
    <t>Unit.km2</t>
  </si>
  <si>
    <t>Unit.m2</t>
  </si>
  <si>
    <t>Wales</t>
  </si>
  <si>
    <t>Unit.Wales</t>
  </si>
  <si>
    <t>Area is measured in:</t>
  </si>
  <si>
    <t>(i) Behaviour</t>
  </si>
  <si>
    <t>(ii) Electrification</t>
  </si>
  <si>
    <t>Subtotal.VIII.a</t>
  </si>
  <si>
    <t>Total supply (demand) to this point</t>
  </si>
  <si>
    <t>Storage, demand shifting, backup</t>
  </si>
  <si>
    <t>&lt;- This row is directly referenced by VII.c</t>
  </si>
  <si>
    <t>Days</t>
  </si>
  <si>
    <t>Unit.day</t>
  </si>
  <si>
    <t>d</t>
  </si>
  <si>
    <t>h</t>
  </si>
  <si>
    <t>Hours</t>
  </si>
  <si>
    <t>Unit.hour</t>
  </si>
  <si>
    <t>m</t>
  </si>
  <si>
    <t>Minutes</t>
  </si>
  <si>
    <t>Unit.minute</t>
  </si>
  <si>
    <t>Power to energy conversion</t>
  </si>
  <si>
    <t>Average power for given energy</t>
  </si>
  <si>
    <t>Conversion.to.average.power</t>
  </si>
  <si>
    <t>From unit</t>
  </si>
  <si>
    <t>To unit</t>
  </si>
  <si>
    <t>Factor</t>
  </si>
  <si>
    <t>Annual energy for given power</t>
  </si>
  <si>
    <t>Conversion.to.annual.energy</t>
  </si>
  <si>
    <t>Energy per second for given power</t>
  </si>
  <si>
    <t>Conversion.to.energy.per.second</t>
  </si>
  <si>
    <r>
      <t xml:space="preserve">Note that Coal+CCS capacity is stated in term of </t>
    </r>
    <r>
      <rPr>
        <i/>
        <sz val="10"/>
        <color theme="1"/>
        <rFont val="Cambria"/>
        <family val="1"/>
        <scheme val="minor"/>
      </rPr>
      <t>gross</t>
    </r>
    <r>
      <rPr>
        <sz val="10"/>
        <color theme="1"/>
        <rFont val="Cambria"/>
        <family val="1"/>
        <scheme val="minor"/>
      </rPr>
      <t xml:space="preserve"> capacity, ie, before parasitic load, which is not the convention used in other sectors</t>
    </r>
  </si>
  <si>
    <t>Available capacity</t>
  </si>
  <si>
    <t>Available net generation</t>
  </si>
  <si>
    <t>Gross generation</t>
  </si>
  <si>
    <t>÷</t>
  </si>
  <si>
    <t>M ha</t>
  </si>
  <si>
    <t>Million hectares</t>
  </si>
  <si>
    <t>Unit.Mha</t>
  </si>
  <si>
    <t>Includes use of energy in agriculture</t>
  </si>
  <si>
    <t>Balancing imports</t>
  </si>
  <si>
    <t>(Not used)</t>
  </si>
  <si>
    <t>Coal and fossil waste</t>
  </si>
  <si>
    <t>Marine algae</t>
  </si>
  <si>
    <t>VI.c</t>
  </si>
  <si>
    <t>Environmental heat</t>
  </si>
  <si>
    <t>Energy crops (second generation)</t>
  </si>
  <si>
    <t>V.14</t>
  </si>
  <si>
    <t>Second-generation crops grown for energy use</t>
  </si>
  <si>
    <t>First-generation crops grown for energy use</t>
  </si>
  <si>
    <t>V.15</t>
  </si>
  <si>
    <t>Methane from waste</t>
  </si>
  <si>
    <t>Energy crops (first generation)</t>
  </si>
  <si>
    <t>Used in heating</t>
  </si>
  <si>
    <t>Used in refineries</t>
  </si>
  <si>
    <t>Supplied from biogas</t>
  </si>
  <si>
    <t>In the event of a 5 day peak in heating and drop in wind</t>
  </si>
  <si>
    <t>Release candidate</t>
  </si>
  <si>
    <t>Used in unabated power plants</t>
  </si>
  <si>
    <t>Oil input required</t>
  </si>
  <si>
    <t>Coal input required</t>
  </si>
  <si>
    <r>
      <rPr>
        <sz val="8"/>
        <color theme="1"/>
        <rFont val="Cambria"/>
        <family val="1"/>
      </rPr>
      <t>T</t>
    </r>
    <r>
      <rPr>
        <sz val="10"/>
        <color theme="1"/>
        <rFont val="Cambria"/>
        <family val="1"/>
        <scheme val="minor"/>
      </rPr>
      <t>hermal efficiency (weighted av. of gas and dual-fired)</t>
    </r>
  </si>
  <si>
    <t>Gas input required</t>
  </si>
  <si>
    <r>
      <t xml:space="preserve">Source: DECC, </t>
    </r>
    <r>
      <rPr>
        <i/>
        <sz val="8"/>
        <rFont val="Cambria"/>
        <family val="1"/>
        <scheme val="minor"/>
      </rPr>
      <t xml:space="preserve">Delivering secure low carbon electricity, A call for evidence, </t>
    </r>
    <r>
      <rPr>
        <sz val="8"/>
        <rFont val="Cambria"/>
        <family val="1"/>
        <scheme val="minor"/>
      </rPr>
      <t>Table 3.1, which is taken to imply that all oil-fuelled generation will be closed by end 2015.</t>
    </r>
  </si>
  <si>
    <t>1.0.0</t>
  </si>
  <si>
    <t>1.0.1</t>
  </si>
  <si>
    <t>Changes since last version</t>
  </si>
  <si>
    <t>Added intermediate levels 2 and 3 to VII.a Electricity Imports</t>
  </si>
  <si>
    <t>Wave and Tidal</t>
  </si>
  <si>
    <t>Corrected minor typos</t>
  </si>
  <si>
    <t>Level</t>
  </si>
  <si>
    <t>% of base yr</t>
  </si>
  <si>
    <t>Many different units are commonly used for energy, power, and area.</t>
  </si>
  <si>
    <t>To change the default units, make a selection in the Preferences worksheet.</t>
  </si>
  <si>
    <t>The emissions chart shows emissions as a percentage of base year levels.</t>
  </si>
  <si>
    <t xml:space="preserve">from each category. </t>
  </si>
  <si>
    <t>There are two "negative emissions" categories:</t>
  </si>
  <si>
    <t>chart</t>
  </si>
  <si>
    <t>Emssions</t>
  </si>
  <si>
    <t>table</t>
  </si>
  <si>
    <t>The modelled figures are computed from the energy consumption, and are unadjusted.</t>
  </si>
  <si>
    <t>The "% of actual" figure shows the 2007 modelled emissions as a percentage of 2007</t>
  </si>
  <si>
    <t>actual emissions. To produce the "% of base year" figures here and in the chart, the modelled</t>
  </si>
  <si>
    <t>emissions have been adjusted by the "% of actual" figure so that the 2007 modelled emissions</t>
  </si>
  <si>
    <t>match the 2007 actual emissions.</t>
  </si>
  <si>
    <t>Sources and</t>
  </si>
  <si>
    <t>uses</t>
  </si>
  <si>
    <t>Exports and imports</t>
  </si>
  <si>
    <t>For reference, these tables show how much of each physical form of energy comes from bioenergy</t>
  </si>
  <si>
    <t>of a number of sectors.</t>
  </si>
  <si>
    <t>Contents</t>
  </si>
  <si>
    <t>Instructions</t>
  </si>
  <si>
    <t>Preferences</t>
  </si>
  <si>
    <t>Control</t>
  </si>
  <si>
    <t>Global assumptions</t>
  </si>
  <si>
    <t>Constants</t>
  </si>
  <si>
    <t>Combustion Emissions Factors</t>
  </si>
  <si>
    <t>{Workstreams}</t>
  </si>
  <si>
    <t>{Modules}</t>
  </si>
  <si>
    <t>{Energy vectors}</t>
  </si>
  <si>
    <t>{Emissions}</t>
  </si>
  <si>
    <t>DUKES …</t>
  </si>
  <si>
    <t>I.a – XVII.a</t>
  </si>
  <si>
    <t>2007 – 2050</t>
  </si>
  <si>
    <t>This worksheet</t>
  </si>
  <si>
    <t>Settings for the units used to display energy, power, and area</t>
  </si>
  <si>
    <t>Instructions for use</t>
  </si>
  <si>
    <t>Main user interfance</t>
  </si>
  <si>
    <t>Conversions</t>
  </si>
  <si>
    <t>Common units</t>
  </si>
  <si>
    <t>Assumptions used across sectors (GDP, population, households; UK incident solar energy)</t>
  </si>
  <si>
    <t>Properties of selected fuels (calorific values, emissions factors, density) and global warming potentials of greenhouse gases</t>
  </si>
  <si>
    <t>Summary of emissions factor used for each energy vector</t>
  </si>
  <si>
    <t>Master list of all Greenhouse Gases and IPCC sectors</t>
  </si>
  <si>
    <t>Master list of all workstreams  (I, II, III, …)</t>
  </si>
  <si>
    <t>Master list of all workstream modules  (I.a, I.b, II.a, …)</t>
  </si>
  <si>
    <t xml:space="preserve">Master list of all energy vectors (aka, fuel types) </t>
  </si>
  <si>
    <t>One worksheet for each Module. Computes energy flows and emissions for that Module</t>
  </si>
  <si>
    <t>Figures used to produce the charts in "Control," summarised from the annual sheets</t>
  </si>
  <si>
    <t>One worksheet for each year modelled. Brings together all energy flows and emissions for that year</t>
  </si>
  <si>
    <t>For reference, actual 2007 energy consumption, derived from DUKES and other sources, using the energy vectors and modules defined herein</t>
  </si>
  <si>
    <t>Added cover sheet, rearranged order of some worksheets, deleted some worksheets</t>
  </si>
  <si>
    <t>Small changes to Wave and Tidal</t>
  </si>
  <si>
    <t>Updated the wording of the levels in the Control sheet</t>
  </si>
  <si>
    <t>Demonstration plants only; no roll-out of CCS</t>
  </si>
  <si>
    <t>No development of macro-algae cultivation</t>
  </si>
  <si>
    <t>The dominant non-electric heating fuel is coal (biomass if available)</t>
  </si>
  <si>
    <t>The dominant non-electric heat source is heat from power stations</t>
  </si>
  <si>
    <t>Space heating demand increases by 50%, hot water demand by 60%, cooling demand by 250%</t>
  </si>
  <si>
    <t>Space heating demand increases by 30%, hot water demand by 50%, cooling demand by 60%</t>
  </si>
  <si>
    <t>100% electric</t>
  </si>
  <si>
    <t>Energy demand for lights &amp; appliances increases by 33%. Energy for cooking is stable</t>
  </si>
  <si>
    <t>60% electricity and 40% gas (no change from 2007)</t>
  </si>
  <si>
    <t>Carbon dioxide sequestration rate of 1 million tonnes per annum by 2050</t>
  </si>
  <si>
    <t>Update the Pathways (Baseline now called B; others are X, Y, Z, and A</t>
  </si>
  <si>
    <t>In heating (IX.a and IX.c), swapped pathways 9 and 11</t>
  </si>
  <si>
    <t>Changed the legend of the electricty chart from "conventional thermal plant" to "unabated thermal generation"</t>
  </si>
  <si>
    <t>Moved heat-led production of electricity (domestic and commercial CHP) to "unabated thermal generation"</t>
  </si>
  <si>
    <t>Unabated thermal generation</t>
  </si>
  <si>
    <t>1.0.4</t>
  </si>
  <si>
    <t>1.0.3</t>
  </si>
  <si>
    <t>1.0.2</t>
  </si>
  <si>
    <t>Used in electricity</t>
  </si>
  <si>
    <t>Matching electricity</t>
  </si>
  <si>
    <t>emissions factor</t>
  </si>
  <si>
    <t>Changes to aviation figures to match CCC efficiency assumptions</t>
  </si>
  <si>
    <t>1.0.5</t>
  </si>
  <si>
    <t>Changed the ordering of trajectories B and C (2 and 3) in VI. a (Agriculture)</t>
  </si>
  <si>
    <t>Bioenergy</t>
  </si>
  <si>
    <t>Agriculture and land use</t>
  </si>
  <si>
    <t>Changed "Bioenergy production" to "Bioenergy"</t>
  </si>
  <si>
    <t>Changed "Bioenergy production from agriculture and waste" to "Biomass to fuel conversion"</t>
  </si>
  <si>
    <t>Updated hydro trajectories very slightly</t>
  </si>
  <si>
    <t>Added "key facts" table to "Output (figures)" and corresponding calculations -- for online version</t>
  </si>
  <si>
    <t>Updated Electicity Imports (from solar power in deserts)</t>
  </si>
  <si>
    <t>Updated Wave and Tidal Stream assumptions</t>
  </si>
  <si>
    <t>Imported energy</t>
  </si>
  <si>
    <t>Updated Pathways A-F</t>
  </si>
  <si>
    <t>1.0.6</t>
  </si>
  <si>
    <t>Cosmetic changes to Control sheet</t>
  </si>
  <si>
    <t>Example pathways</t>
  </si>
  <si>
    <t>We intend to add further terms based on feedback from users.</t>
  </si>
  <si>
    <t>No new nuclear power installed; estimated closure of final plant in 2035</t>
  </si>
  <si>
    <t>Little wave and tidal stream in 2030 and none in 2050; no tidal range</t>
  </si>
  <si>
    <t>No deployment of geothermal electricity generation</t>
  </si>
  <si>
    <t>No significant solar PV capacity is installed</t>
  </si>
  <si>
    <t>Quantity of waste increases by 30%; almost 10-fold reduction in quantity to landfill</t>
  </si>
  <si>
    <t>No electricity imports, other than for balancing</t>
  </si>
  <si>
    <t>Today’s 3.5 GW storage &amp; 4 GW interconnection with Europe for balancing</t>
  </si>
  <si>
    <t>4 GW storage &amp; 10 GW interconnection with Europe for balancing</t>
  </si>
  <si>
    <t>7 GW storage with 2 more pumped storage, 15 GW interconnection &amp; some demand shifting</t>
  </si>
  <si>
    <t>20 GW storage with large lagoons, 30 GW interconnection &amp; substantial demand shifting</t>
  </si>
  <si>
    <t>Average room temperature increases to 20°C (a 2.5°C increase on 2007)</t>
  </si>
  <si>
    <t>Average room temperature increases to 18°C (a 0.5°C increase on 2007)</t>
  </si>
  <si>
    <t>Average room temperature decreases to 17°C (a 0.5°C decrease on 2007)</t>
  </si>
  <si>
    <t>The dominant non-electric heat source is gas (biogas if available)</t>
  </si>
  <si>
    <t>The dominant non-electric heat source is coal (biomass if available)</t>
  </si>
  <si>
    <t>The dominant non-electric heat source is waste heat from power stations</t>
  </si>
  <si>
    <t>Space heating demand stable, hot water demand increases by 25%, cooling demand stable</t>
  </si>
  <si>
    <t>Space heating demand drops by 25%, hot water demand by 10%, cooling demand by 60%</t>
  </si>
  <si>
    <t>The proportion of non-domestic heat supplied using electricity is 0-10%, as today</t>
  </si>
  <si>
    <t>The proportion of non-domestic heat supplied using electricity is 20%</t>
  </si>
  <si>
    <t>The proportion of non-domestic heat supplied using electricity is 30-60%</t>
  </si>
  <si>
    <t>The proportion of non-domestic heat supplied using electricity is 80-100%</t>
  </si>
  <si>
    <t>A mixture of gas/biogas, coal/biomass, and heat from power stations</t>
  </si>
  <si>
    <t>Energy demand for domestic lights and appliances increases by 20% (relative to 2007)</t>
  </si>
  <si>
    <t>Energy demand for domestic lights and appliances is stable</t>
  </si>
  <si>
    <t>Energy demand for domestic lights and appliances decreases by 40%</t>
  </si>
  <si>
    <t>Energy demand for lights &amp; appliances decreases by 5%; decreases by 20% for cooking</t>
  </si>
  <si>
    <t>Energy demand for lights &amp; appliances decreases by 30%; decreases by 25% for cooking</t>
  </si>
  <si>
    <t>Road haulage makes up 73% of distance, using conventional engines. Rail all diesel</t>
  </si>
  <si>
    <t>Same as level 2</t>
  </si>
  <si>
    <t>No geosequestration</t>
  </si>
  <si>
    <t>Spilled energy</t>
  </si>
  <si>
    <t>Prior / following period</t>
  </si>
  <si>
    <t>Glossary</t>
  </si>
  <si>
    <t>Brief description of a few terms</t>
  </si>
  <si>
    <t>CHANGELOG</t>
  </si>
  <si>
    <t>Change history since version 1.0.0</t>
  </si>
  <si>
    <t>Reference data</t>
  </si>
  <si>
    <t>Module worksheets</t>
  </si>
  <si>
    <t>Annual energy and emissions balance sheets</t>
  </si>
  <si>
    <t>Calculator control and output</t>
  </si>
  <si>
    <t xml:space="preserve">Intermediate working </t>
  </si>
  <si>
    <t>List of principle entities used in the model</t>
  </si>
  <si>
    <t>Energy demand for lights &amp; appliances increases by 15%; decreases by 5% for cooking</t>
  </si>
  <si>
    <t>Intermediate output</t>
  </si>
  <si>
    <t>SECTION</t>
  </si>
  <si>
    <t>WORKSHEET</t>
  </si>
  <si>
    <t>DESCRIPTION</t>
  </si>
  <si>
    <t>(Derived from data in "Constants")</t>
  </si>
  <si>
    <t>Transmission Entry Capacity (TEC)</t>
  </si>
  <si>
    <t>Added the beginnings of a glossary</t>
  </si>
  <si>
    <t>The term presently used by National Grid to describe the capacity of a generating plant. It is the maximum power deliverable by the power station at the Grid Entry Point. net of the station's own use.</t>
  </si>
  <si>
    <t>Used in the Calculator to describe energy that is produced (eg, by wind generation) but is not used.</t>
  </si>
  <si>
    <t>Certain input assumptions describe the annual growth in a particular quantity over a five-year period. (The Calculator works in five-year chunks, apart from the initial period from 2007 to 2010.)</t>
  </si>
  <si>
    <t>When the annual growth rate is intended to apply for the five years following the year shown, the table should be labelled something like "Annual growth, following period." When the growth rate applies to the five years preceding the year shown, the table will be labelled "Annual growth, prior period."</t>
  </si>
  <si>
    <t>Note that the growth is assumed to take place from or to 31 December of the year shown.</t>
  </si>
  <si>
    <t>2007 (Actual, frozen)</t>
  </si>
  <si>
    <t>2007 (Consistent)</t>
  </si>
  <si>
    <t>Downloads of selected statistical tables from the DECC website</t>
  </si>
  <si>
    <t>NB: Emissions (in blue) are modelled from energy consumption and may not agree precisely</t>
  </si>
  <si>
    <t>constant factor so that 2007 modelled emissions match 2007 actual emissions.</t>
  </si>
  <si>
    <t>NB: Modelled emissions adjusted to match 2007 actuals. See note below emission table.</t>
  </si>
  <si>
    <t>with 2007 actuals.  However, % of base year figures (in black) have been adjusted  by a</t>
  </si>
  <si>
    <t>Food consumption [UNUSED]</t>
  </si>
  <si>
    <t>Domestic aviation [UNUSED - see XII.a]</t>
  </si>
  <si>
    <t>National navigation [UNUSED - see XII.a]</t>
  </si>
  <si>
    <t>Tidal [UNUSED - See III.c]</t>
  </si>
  <si>
    <t>Domestic hot water [UNUSED - See IX.a]</t>
  </si>
  <si>
    <t>Commercial hot water [UNUSED - See IX.c]</t>
  </si>
  <si>
    <t xml:space="preserve">Deleted XIII.a (Food consumption). </t>
  </si>
  <si>
    <t>Total food consumption. Not presently used</t>
  </si>
  <si>
    <t xml:space="preserve">By 2050, conventional fuelled cars and vans cover 80% of mileage </t>
  </si>
  <si>
    <t>By 2050, plug-in, electric &amp; fuel cell cars &amp; vans cover 65% of passenger distance</t>
  </si>
  <si>
    <t>By 2050, plug-in, electric &amp; fuel cell cars &amp; vans cover 80% of passenger mileage</t>
  </si>
  <si>
    <t>Some shift from road to rail and water, and more efficient engines</t>
  </si>
  <si>
    <t>Revised the Instruction sheet</t>
  </si>
  <si>
    <t>General cosmetic changes and tidying up</t>
  </si>
  <si>
    <t>This worksheet contains definitions of some terms used in the Calculator. It is by no means exhaustive.</t>
  </si>
  <si>
    <t>GENERAL INSTRUCTIONS</t>
  </si>
  <si>
    <t>OVERVIEW OF THE 2050 CALCULATOR</t>
  </si>
  <si>
    <t>Overview of the Control worksheet</t>
  </si>
  <si>
    <t>Look here to see the total greenhouse gas emissions between now and 2050</t>
  </si>
  <si>
    <t>Look here for additional information on bioenergy and the uses of some different forms of energy</t>
  </si>
  <si>
    <t>Look here to see the electricity generated and demanded</t>
  </si>
  <si>
    <t>Look here to see the total energy consumption by fuel and the total demanded by broad sector</t>
  </si>
  <si>
    <r>
      <rPr>
        <b/>
        <sz val="10"/>
        <color theme="1"/>
        <rFont val="Cambria"/>
        <family val="1"/>
        <scheme val="minor"/>
      </rPr>
      <t>Levels</t>
    </r>
    <r>
      <rPr>
        <sz val="10"/>
        <color theme="1"/>
        <rFont val="Cambria"/>
        <family val="1"/>
        <scheme val="minor"/>
      </rPr>
      <t xml:space="preserve"> </t>
    </r>
    <r>
      <rPr>
        <b/>
        <sz val="10"/>
        <color theme="1"/>
        <rFont val="Cambria"/>
        <family val="1"/>
        <scheme val="minor"/>
      </rPr>
      <t xml:space="preserve">1 to 4 </t>
    </r>
    <r>
      <rPr>
        <sz val="10"/>
        <color theme="1"/>
        <rFont val="Cambria"/>
        <family val="1"/>
        <scheme val="minor"/>
      </rPr>
      <t>describe the level of effort needed to change this sector</t>
    </r>
  </si>
  <si>
    <r>
      <rPr>
        <b/>
        <sz val="10"/>
        <color theme="1"/>
        <rFont val="Cambria"/>
        <family val="1"/>
        <scheme val="minor"/>
      </rPr>
      <t>Trajectories</t>
    </r>
    <r>
      <rPr>
        <sz val="10"/>
        <color theme="1"/>
        <rFont val="Cambria"/>
        <family val="1"/>
        <scheme val="minor"/>
      </rPr>
      <t xml:space="preserve"> </t>
    </r>
    <r>
      <rPr>
        <b/>
        <sz val="10"/>
        <color theme="1"/>
        <rFont val="Cambria"/>
        <family val="1"/>
        <scheme val="minor"/>
      </rPr>
      <t xml:space="preserve">A to D </t>
    </r>
    <r>
      <rPr>
        <sz val="10"/>
        <color theme="1"/>
        <rFont val="Cambria"/>
        <family val="1"/>
        <scheme val="minor"/>
      </rPr>
      <t>descibe possible outcomes, but are not necessarily harder or easier</t>
    </r>
  </si>
  <si>
    <t>Step 1</t>
  </si>
  <si>
    <t xml:space="preserve"> Step 2</t>
  </si>
  <si>
    <t>Step 3</t>
  </si>
  <si>
    <t>Step 4</t>
  </si>
  <si>
    <t>Click here for example pathways</t>
  </si>
  <si>
    <t>Click here for descriptions of each level or trajectory</t>
  </si>
  <si>
    <t>1 (or A)</t>
  </si>
  <si>
    <t>2 (or B)</t>
  </si>
  <si>
    <t>3 (or C)</t>
  </si>
  <si>
    <t>Press F9 to relcalculate the model. (You can do this at any time.)</t>
  </si>
  <si>
    <t>Descriptions of each trajectory can be found by clicking the other disclosure box</t>
  </si>
  <si>
    <t>in the top margin.</t>
  </si>
  <si>
    <t>can be found by clicking the "disclosure box" in the top margin where shown.</t>
  </si>
  <si>
    <r>
      <t xml:space="preserve">The </t>
    </r>
    <r>
      <rPr>
        <b/>
        <sz val="12"/>
        <color theme="1"/>
        <rFont val="Cambria"/>
        <family val="1"/>
        <scheme val="minor"/>
      </rPr>
      <t>solid line</t>
    </r>
    <r>
      <rPr>
        <sz val="12"/>
        <color theme="1"/>
        <rFont val="Cambria"/>
        <family val="2"/>
        <scheme val="minor"/>
      </rPr>
      <t xml:space="preserve"> shows total net emissions. The </t>
    </r>
    <r>
      <rPr>
        <b/>
        <sz val="12"/>
        <color theme="1"/>
        <rFont val="Cambria"/>
        <family val="1"/>
        <scheme val="minor"/>
      </rPr>
      <t>coloured areas</t>
    </r>
    <r>
      <rPr>
        <sz val="12"/>
        <color theme="1"/>
        <rFont val="Cambria"/>
        <family val="2"/>
        <scheme val="minor"/>
      </rPr>
      <t xml:space="preserve"> show direct emissions</t>
    </r>
  </si>
  <si>
    <r>
      <t>This refers to the CO</t>
    </r>
    <r>
      <rPr>
        <vertAlign val="subscript"/>
        <sz val="12"/>
        <color theme="1"/>
        <rFont val="Cambria"/>
        <family val="1"/>
        <scheme val="minor"/>
      </rPr>
      <t>2</t>
    </r>
    <r>
      <rPr>
        <sz val="12"/>
        <color theme="1"/>
        <rFont val="Cambria"/>
        <family val="2"/>
        <scheme val="minor"/>
      </rPr>
      <t xml:space="preserve"> sequestered by CCS plant or geosequestration technology.</t>
    </r>
  </si>
  <si>
    <r>
      <t>Refers to the CO</t>
    </r>
    <r>
      <rPr>
        <vertAlign val="subscript"/>
        <sz val="12"/>
        <color theme="1"/>
        <rFont val="Cambria"/>
        <family val="1"/>
        <scheme val="minor"/>
      </rPr>
      <t>2</t>
    </r>
    <r>
      <rPr>
        <sz val="12"/>
        <color theme="1"/>
        <rFont val="Cambria"/>
        <family val="2"/>
        <scheme val="minor"/>
      </rPr>
      <t xml:space="preserve"> sequestered, by plants, during the production of bioenergy.</t>
    </r>
  </si>
  <si>
    <t>ADDITIONAL NOTES AND EXPLANATIONS</t>
  </si>
  <si>
    <t>Go to the "Control" worksheet. (See the schematic to the right for an overview).</t>
  </si>
  <si>
    <t>On the left hand side, chose the required level or trajectory for each sector.</t>
  </si>
  <si>
    <t>More help</t>
  </si>
  <si>
    <t>These tables do not show how much bioenergy is used in each sector</t>
  </si>
  <si>
    <t>given assumptions about the trajectory of each sector between now and then.</t>
  </si>
  <si>
    <t>energy flows and the resulting emssions.</t>
  </si>
  <si>
    <t>You select what trajectory you think is appropriate for each sector; the model calculates the</t>
  </si>
  <si>
    <t>The aim is to chose trajectories that meet our 2050 emissions target (of 20% of 1990 levels)</t>
  </si>
  <si>
    <t>MAKE SELECTIONS BELOW:</t>
  </si>
  <si>
    <t>(See the additional notes below for a description of how to read this chart. Briefly,</t>
  </si>
  <si>
    <t>See if you managed to hit the target. Look at the emissions chart for the total</t>
  </si>
  <si>
    <t>ENERGY
OUTPUT CHARTS</t>
  </si>
  <si>
    <t>CHOOSE
TRAJECTORIES
HERE</t>
  </si>
  <si>
    <t>EMISSIONS
OUTPUT CHARTS</t>
  </si>
  <si>
    <t>SOURCES AND USES OUTPUT TABLES</t>
  </si>
  <si>
    <t>EMISSIONS
OUTPUT TABLE</t>
  </si>
  <si>
    <t>greenhouse gas emissions.</t>
  </si>
  <si>
    <t>Some examples of pathways (that is, combinations of trajectories) that do meet the target</t>
  </si>
  <si>
    <t>This model computes energy use and greenhouse gas emissions for the UK between now and 2050</t>
  </si>
  <si>
    <t>~240 TWh/yr from 25-40 CCS power stations; comparable to current gas &amp; coal generation</t>
  </si>
  <si>
    <t>~340 TWh/yr from 35-60 CCS power stations; comparable to total current demand</t>
  </si>
  <si>
    <t>~13 3GW power stations delivering ~280 TWh/yr</t>
  </si>
  <si>
    <t>~30 3GW power stations delivering ~630 TWh/yr</t>
  </si>
  <si>
    <t xml:space="preserve">~8,000 turbines in 2050, delivering ~50 TWh/yr. </t>
  </si>
  <si>
    <t>~13,000 turbines in 2050, delivering ~80 TWh/yr</t>
  </si>
  <si>
    <t>~10,000 turbines in 2050, delivering ~180 TWh/yr</t>
  </si>
  <si>
    <t>~17,000 turbines in 2050, delivering ~310 TWh/yr</t>
  </si>
  <si>
    <t>Supply of electricity is maintained at current levels of 5 TWh/yr</t>
  </si>
  <si>
    <t>Supply grows slowly, reaching 7 TWh/yr by 2050</t>
  </si>
  <si>
    <t>Supply grows more quickly, reaching 8 TWh/yr by 2030 and is sustained</t>
  </si>
  <si>
    <t>~300km of wave farms; 1,000 tidal stream turbines; 3 small tidal range schemes</t>
  </si>
  <si>
    <t>~600km of wave farms; 4,700 tidal stream turbines; 4 tidal range schemes</t>
  </si>
  <si>
    <t>Supply of geothermal electricity grows slowly to 7 TWh/yr in 2035 and is sustained</t>
  </si>
  <si>
    <t>Supply grows quickly reaching 21 TWh/yr by 2030 and is sustained</t>
  </si>
  <si>
    <t>4m2 of photovoltaic panels per person in 2050, supplying ~60 TWh/yr of electricity</t>
  </si>
  <si>
    <t xml:space="preserve"> 5.4m2 of photovoltaic panels per person in 2050, supplying ~80 TWh/yr</t>
  </si>
  <si>
    <t>As today, a negligible proportion of buildings have solar thermal in 2050</t>
  </si>
  <si>
    <t>~30% of suitable buildings get ~30% of their hot water from solar thermal</t>
  </si>
  <si>
    <t>All suitable buildings get ~30% of their hot water from solar thermal</t>
  </si>
  <si>
    <t>As today, no discernable supply of electricity from micro-wind turbines</t>
  </si>
  <si>
    <t>Supply increases to 1.3 TWh/yr by 2020 and is sustained</t>
  </si>
  <si>
    <t>Installed in all ~450,000 suitable domestic properties; supplies 3.5 TWh/year from 2020</t>
  </si>
  <si>
    <t>Overall quantity of waste grows by 60%; quantity of waste to landfill remains the same</t>
  </si>
  <si>
    <t>30 TWh/yr of electricity imported from Southern Europe</t>
  </si>
  <si>
    <t xml:space="preserve">70 TWh/yr imported from UK 10% share of international desert solar project </t>
  </si>
  <si>
    <t>The proportion of domestic heat supplied using electricity is 0-10%, as today</t>
  </si>
  <si>
    <t>Greater modal shift to rail and water; more efficient HGVs; more efficient logistics</t>
  </si>
  <si>
    <t>Carbon dioxide sequestration rate of ~30 million tonnes per annum by 2050</t>
  </si>
  <si>
    <t>Carbon dioxide sequestration rate of ~110 million tonnes per annum by 2050</t>
  </si>
  <si>
    <t>1.0.7</t>
  </si>
  <si>
    <t>Fixed Pathway B, which was a duplicate of Pathway A. Updates to Pathway E.</t>
  </si>
  <si>
    <t>the solid line must dip below the 20% line in 2050.)</t>
  </si>
  <si>
    <t>The Calculator makes no assumptions about the sector in which bioenergy is used. Instead, bioenergy</t>
  </si>
  <si>
    <t>is added to the available energy in each of the three physical forms (solid, liquid, or gas).</t>
  </si>
  <si>
    <t>sources. In addition, they show how much solid, liquid, and gaseous hydrocarbons are used in each</t>
  </si>
  <si>
    <t>The estimated exports or imports are based on particular assumptions of UK domestic production.</t>
  </si>
  <si>
    <t>The base year is 1990. The 2050 target is currently to reach 20% of base year levels.</t>
  </si>
  <si>
    <t>(ii) Energy Intensity of Output</t>
  </si>
  <si>
    <t>(i) Growth of industry output</t>
  </si>
  <si>
    <t>Biomass</t>
  </si>
  <si>
    <t>Coal and Biomass</t>
  </si>
  <si>
    <t>Average implied load factor for solid hydrocarbons</t>
  </si>
  <si>
    <t>Build rates</t>
  </si>
  <si>
    <t>Gas - Coal fuel mix</t>
  </si>
  <si>
    <t>Solid Hydrocarbon</t>
  </si>
  <si>
    <t>Gaseous Hydrocarbon</t>
  </si>
  <si>
    <t>Fuel Split</t>
  </si>
  <si>
    <t>Post</t>
  </si>
  <si>
    <t>Pre</t>
  </si>
  <si>
    <t>Solid Hydrocarbon Pre and Post combustion Ratios</t>
  </si>
  <si>
    <t>V.O5</t>
  </si>
  <si>
    <t>New Build split between type of CCS plant</t>
  </si>
  <si>
    <t>Coal, biomass, gas, and oil-fired; non-CCS</t>
  </si>
  <si>
    <t>CCS Equipment</t>
  </si>
  <si>
    <t>Solid Hydrocarbon Combustion emissions, unabated</t>
  </si>
  <si>
    <t>Gaseous Hydrocarbon Combustion emissions, unabated</t>
  </si>
  <si>
    <t>Conventional thermal plant</t>
  </si>
  <si>
    <t>III.c.Wave</t>
  </si>
  <si>
    <t>III.c.TidalStream</t>
  </si>
  <si>
    <t>III.c.TidalRange</t>
  </si>
  <si>
    <t>Gaseous hydrocarbon fuel input required</t>
  </si>
  <si>
    <t>Supply all remaining demand with solid hydrocarbon then gaseous hydrocarbon thermal generation</t>
  </si>
  <si>
    <t>Coal/biomass capacity</t>
  </si>
  <si>
    <t>CCS Equipment &amp; Base plant (parasitic load)</t>
  </si>
  <si>
    <t>(i) Land Management</t>
  </si>
  <si>
    <t>(ii) Livestock Management</t>
  </si>
  <si>
    <t>Carbon Capture Storage (CCS)</t>
  </si>
  <si>
    <t>CCS, new build excluding demos[1]</t>
  </si>
  <si>
    <t>Demo baseline assumptions, installed gross capacity (GW) [1]</t>
  </si>
  <si>
    <t>Unabated thermal efficiency (based on gross calorific values) [2]</t>
  </si>
  <si>
    <t>CCS Installed capacity by type, Gross (GW)</t>
  </si>
  <si>
    <t>2. Pre Combustion SH (Coal/Solid Biomass) CCS</t>
  </si>
  <si>
    <t>1. Post Combustion SH (Coal/Solid Biomass) CCS</t>
  </si>
  <si>
    <t>3. Gaseous Hydrocarbon (Natural gas/Biogas) CCS</t>
  </si>
  <si>
    <t>4. Emissions</t>
  </si>
  <si>
    <t>1. Post Combustion Solid Hydrocarbon + CCS</t>
  </si>
  <si>
    <t>2. Pre Combution Solid Hydrocarbon + CCS</t>
  </si>
  <si>
    <t>3. Gaseous Hydrocarbons + CCS</t>
  </si>
  <si>
    <t>Biomass installed capacity, cumulative (GW) [1]</t>
  </si>
  <si>
    <t>The biomass installed capacity does not make any assumption on the split between conversions of existing plants and new build.</t>
  </si>
  <si>
    <t xml:space="preserve">However, it is assumed if there are more ambitious levels of biomass electricity generation this may affect the central scenario for unabated coal in thermal generation to 2025. </t>
  </si>
  <si>
    <t>Existing coal plants converted to biomass - cumulative (GW) [2]</t>
  </si>
  <si>
    <t>This is modelled by reducing the use of unabated coal from 2015 to 2025, which would be due to existing plants using dual fuel or converting to dedicated biomass plants</t>
  </si>
  <si>
    <t>Coal/Biomass-fired</t>
  </si>
  <si>
    <t>Load Factors (constant)</t>
  </si>
  <si>
    <t>Assumed solid Hydrocarbon split: Coal/Biomass, based on biomass new capacity trajectory</t>
  </si>
  <si>
    <t>Transmission entry capacity (GW)</t>
  </si>
  <si>
    <t xml:space="preserve">Closure rates for coal 2010-2025 are taken from summer 2010 UEP projections from DECC applied to 2010 figures (assumed to be DUKES figure for 2009). </t>
  </si>
  <si>
    <t>Installed Capacity (GW)</t>
  </si>
  <si>
    <t>Remaining Electricity demand (Demand - Supply from non-hydrocarbons)</t>
  </si>
  <si>
    <t>Coal/Biomass</t>
  </si>
  <si>
    <t>Total CCS Installed Capacity</t>
  </si>
  <si>
    <t>The annual closure rate between 2025 to 2030 is taken as the average UEP closure rate between 2010-2025</t>
  </si>
  <si>
    <t>Information</t>
  </si>
  <si>
    <t>Information type</t>
  </si>
  <si>
    <t>B.01</t>
  </si>
  <si>
    <t>Installed Capacity</t>
  </si>
  <si>
    <t>Number of units</t>
  </si>
  <si>
    <t>Information summary</t>
  </si>
  <si>
    <t xml:space="preserve">Installed Capacity </t>
  </si>
  <si>
    <t>B.02</t>
  </si>
  <si>
    <t>B.03</t>
  </si>
  <si>
    <t>Land Use</t>
  </si>
  <si>
    <t>Number of Units</t>
  </si>
  <si>
    <r>
      <t xml:space="preserve">3 </t>
    </r>
    <r>
      <rPr>
        <sz val="10"/>
        <color theme="1"/>
        <rFont val="Cambria"/>
        <family val="1"/>
        <scheme val="minor"/>
      </rPr>
      <t>Installed Capacity</t>
    </r>
  </si>
  <si>
    <t>H2 Production for Transport</t>
  </si>
  <si>
    <t>See demo baseline below</t>
  </si>
  <si>
    <t>B.04</t>
  </si>
  <si>
    <t>mcm/d</t>
  </si>
  <si>
    <t>mcm/d natural gas</t>
  </si>
  <si>
    <t>Unit.mcm.d</t>
  </si>
  <si>
    <t>Bioenergy Supply</t>
  </si>
  <si>
    <t>Balancing &amp; Storage</t>
  </si>
  <si>
    <t>Used in Industry</t>
  </si>
  <si>
    <t>Used in unabated power generation</t>
  </si>
  <si>
    <t>Used in CCS power generation</t>
  </si>
  <si>
    <t>Oversupply and Imports needed</t>
  </si>
  <si>
    <t>Edible biomass</t>
  </si>
  <si>
    <t>Dry biomass and waste</t>
  </si>
  <si>
    <t>Wet biomass and waste</t>
  </si>
  <si>
    <t>Gas oversupply (imports)</t>
  </si>
  <si>
    <t>Biomass oversupply (imports)</t>
  </si>
  <si>
    <t>Electricity oversupply (imports)</t>
  </si>
  <si>
    <t>Petroleum products oversupply</t>
  </si>
  <si>
    <t>Coal oversupply (imports)</t>
  </si>
  <si>
    <t>Oil and petroleum products oversupply (imports)</t>
  </si>
  <si>
    <t>4 (or D)</t>
  </si>
  <si>
    <t>~510 TWh/yr  from 50-90 CCS power stations; build rate of gas plants in the 1990s</t>
  </si>
  <si>
    <t>~50 3GW power stations delivering ~1030 TWh/yr</t>
  </si>
  <si>
    <t>~900km of wave farms; 10,600 tidal stream turbines; 8 tidal range schemes</t>
  </si>
  <si>
    <t>9.5m2 of photovoltaic panels per person – all suitable roof and facade space used</t>
  </si>
  <si>
    <t>140 TWh/yr imported from UK 20% share of international desert solar project</t>
  </si>
  <si>
    <t>~20,000 turbines in 2050, delivering ~130 TWh/yr</t>
  </si>
  <si>
    <t>Supply grows rapidly reaching 35 TWh/yr by 2030 and is sustained</t>
  </si>
  <si>
    <t>Supply grows rapidly reaching 13 TWh/yr by 2035 and is sustained</t>
  </si>
  <si>
    <t>Installed in all suitable domestic and non-domestic sties; 8.9 TWh/year from 2020</t>
  </si>
  <si>
    <t>Biomass mainly converted to biogas fuel</t>
  </si>
  <si>
    <t>Biomass converted to a mixture of solid, liquid and gas biofuels</t>
  </si>
  <si>
    <t>Biomass mainly converted to solid biofuel</t>
  </si>
  <si>
    <t>Biomass mainly converted to liquid biofuel</t>
  </si>
  <si>
    <t>Livestock numbers decrease by 10%</t>
  </si>
  <si>
    <t>Livestock numbers decrease by 20%</t>
  </si>
  <si>
    <t>Livestock numbers increase by 10%</t>
  </si>
  <si>
    <t>By 2050, all car &amp; van travel is electrified; 20% use fuel-cell range extenders</t>
  </si>
  <si>
    <t xml:space="preserve">Road modal share falls to half; greater hybridisation. Rail freight is all electric </t>
  </si>
  <si>
    <t>Average room temperature decreases to 16°C (a 1.5°C decrease on 2007)</t>
  </si>
  <si>
    <t>A mixture of gas/biogas; coal/biomass; and heat from power stations</t>
  </si>
  <si>
    <t>All suitable buildings get ~60% of their hot water from solar thermal</t>
  </si>
  <si>
    <t>Energy demand for domestic lights and appliances decreases by 60%</t>
  </si>
  <si>
    <t>CHOICE</t>
  </si>
  <si>
    <t>IX.a.CHP</t>
  </si>
  <si>
    <t>IX.c.CHP</t>
  </si>
  <si>
    <t>Implications</t>
  </si>
  <si>
    <t>For information:</t>
  </si>
  <si>
    <t>#</t>
  </si>
  <si>
    <t>#/yr</t>
  </si>
  <si>
    <t>Biomass power stations</t>
  </si>
  <si>
    <t>Geothermal electricity</t>
  </si>
  <si>
    <t>Volume of waste and recycling</t>
  </si>
  <si>
    <t>Domestic transport behaviour</t>
  </si>
  <si>
    <t>Domestic transport electrification</t>
  </si>
  <si>
    <t>Average temperature of homes</t>
  </si>
  <si>
    <t>Home insulation</t>
  </si>
  <si>
    <t>Home heating electrification</t>
  </si>
  <si>
    <t>Home heating that isn't electric</t>
  </si>
  <si>
    <t>Solar panels for hot water</t>
  </si>
  <si>
    <t>Solar panels for electricity</t>
  </si>
  <si>
    <t>Electrification of home cooking</t>
  </si>
  <si>
    <t>Commercial demand for heating and cooling</t>
  </si>
  <si>
    <t>Commercial heating electrification</t>
  </si>
  <si>
    <t>Commercial heating that isn't electric</t>
  </si>
  <si>
    <t>Electrification of commercial cooking</t>
  </si>
  <si>
    <t>Storage, demand shifting &amp; interconnection</t>
  </si>
  <si>
    <t>Webtool description</t>
  </si>
  <si>
    <t>Data for web-based interface map view</t>
  </si>
  <si>
    <t>Tidal Stream</t>
  </si>
  <si>
    <t>Tidal Range</t>
  </si>
  <si>
    <t>Area</t>
  </si>
  <si>
    <t>UK Land area</t>
  </si>
  <si>
    <t>UK Sea area</t>
  </si>
  <si>
    <t>B.05</t>
  </si>
  <si>
    <t>Land area overseas</t>
  </si>
  <si>
    <t>B.06</t>
  </si>
  <si>
    <t>Length</t>
  </si>
  <si>
    <t>Length of wave front</t>
  </si>
  <si>
    <t>Illustrative station size</t>
  </si>
  <si>
    <t>Electricity, format for web-based interface</t>
  </si>
  <si>
    <t>CHP used for domestic space heating and hot water</t>
  </si>
  <si>
    <t>CHP used for commercial heating and cooling</t>
  </si>
  <si>
    <t>Coal imports</t>
  </si>
  <si>
    <t>Oil imports</t>
  </si>
  <si>
    <t>Ngas</t>
  </si>
  <si>
    <t>Gas imports</t>
  </si>
  <si>
    <t>UK land based bioenergy</t>
  </si>
  <si>
    <t>Bio-conversion</t>
  </si>
  <si>
    <t>Agricultural 'waste'</t>
  </si>
  <si>
    <t>Other waste</t>
  </si>
  <si>
    <t>Biomass imports</t>
  </si>
  <si>
    <t>Electricity grid</t>
  </si>
  <si>
    <t>Solar Thermal</t>
  </si>
  <si>
    <t>Thermal generation</t>
  </si>
  <si>
    <t>H2 conversion</t>
  </si>
  <si>
    <t>Over generation / exports</t>
  </si>
  <si>
    <t>Heating and cooling - homes</t>
  </si>
  <si>
    <t>Heating and cooling - commercial</t>
  </si>
  <si>
    <t>Lighting &amp; appliances - homes</t>
  </si>
  <si>
    <t>Lighting &amp; appliances - commercial</t>
  </si>
  <si>
    <t>Pumped heat</t>
  </si>
  <si>
    <t>Biofuel imports</t>
  </si>
  <si>
    <t>CHP</t>
  </si>
  <si>
    <t>This is the data used for the sankey diagram in the web tool</t>
  </si>
  <si>
    <t>% reduction 1990-2050</t>
  </si>
  <si>
    <t>% imported</t>
  </si>
  <si>
    <t>~1,400 turbines in 2025, reducing to zero as decommissioned sites are not replanted</t>
  </si>
  <si>
    <t>~40,000 turbines in 2050, delivering ~430 TWh/yr</t>
  </si>
  <si>
    <t>Only plants built and under construction (0.6GW)</t>
  </si>
  <si>
    <t>8GW power stations by 2050 delivering 62TWh/yr</t>
  </si>
  <si>
    <t>12GW power stations by 2050 delivering 100TWh/yr</t>
  </si>
  <si>
    <t>Over 20GW installed capacity by 2050 delivering 180TWh/yr</t>
  </si>
  <si>
    <t>~4,400 turbines in 2025, reducing to zero as decommissioned sites are not replanted</t>
  </si>
  <si>
    <t>Energy crops and food production similar to today</t>
  </si>
  <si>
    <t>5% of land used for energy crops</t>
  </si>
  <si>
    <t>10% of land used for energy crops</t>
  </si>
  <si>
    <t>Livestock numbers same as today</t>
  </si>
  <si>
    <t>Quantity of waste stable; 'zero' landfill, most waste recycled</t>
  </si>
  <si>
    <t>Area same as half of natural reserve used, delivering ~4 TWh/yr</t>
  </si>
  <si>
    <t>Area same as all of natural reserve used, delivering ~9 TWh/yr</t>
  </si>
  <si>
    <t>Imported biofuel declines from ~ 4 TWh/yr currently to zero</t>
  </si>
  <si>
    <t>In 2050, individuals travel 9% further than today. No noticeable modal shift.</t>
  </si>
  <si>
    <t>In 2050, individuals travel the same distance as today. Signficant shift to public transport.</t>
  </si>
  <si>
    <t>Annual improvement in plane fuel efficiency of 0.8%. CCC “likely” scenario</t>
  </si>
  <si>
    <t>Annual improvement in plane fuel efficiency of 1%. CCC “optimistic” scenario</t>
  </si>
  <si>
    <t>Annual improvement in plane fuel efficiency of 1.5%. CCC “speculative” scenario</t>
  </si>
  <si>
    <t>Over 7m homes insulated, average thermal leakiness falls by 25%</t>
  </si>
  <si>
    <t>Over 8m homes insulated, average thermal leakiness falls by 33%</t>
  </si>
  <si>
    <t>Over 18m homes insulated, average thermal leakiness falls by 42%</t>
  </si>
  <si>
    <t xml:space="preserve">Over 24m homes insulated, average thermal leakiness decreases by 50% </t>
  </si>
  <si>
    <t>UK industry output more than doubles by 2050</t>
  </si>
  <si>
    <t>UK industry grows in line with current trends</t>
  </si>
  <si>
    <t>UK industry output falls 30-40% by 2050</t>
  </si>
  <si>
    <t>No electrification of processes, little improvement in energy intensity</t>
  </si>
  <si>
    <t>Some processes electrified; moderate improvements in process emissions and energy demand</t>
  </si>
  <si>
    <t>High electrification; CCS captures 48% of emissions; process emissions reduced</t>
  </si>
  <si>
    <t>From</t>
  </si>
  <si>
    <t>To</t>
  </si>
  <si>
    <t>Box</t>
  </si>
  <si>
    <t>In</t>
  </si>
  <si>
    <t>Out</t>
  </si>
  <si>
    <t>Delta</t>
  </si>
  <si>
    <t>Problem</t>
  </si>
  <si>
    <t>Emissions by sector</t>
  </si>
  <si>
    <t>Share of Biogas to total gaseous hydrocarbon consumption</t>
  </si>
  <si>
    <t>Share of Bioliquids to total liquid hydrocarbon consumption</t>
  </si>
  <si>
    <t>Share of solid biomass to total solid hydrocarbon consumption</t>
  </si>
  <si>
    <t>Electricity Generation Emissions</t>
  </si>
  <si>
    <t>Power Generation</t>
  </si>
  <si>
    <t>CCS in Power</t>
  </si>
  <si>
    <t>Bioenergy in Gas Power</t>
  </si>
  <si>
    <t>Bioenergy in Solid BM Power</t>
  </si>
  <si>
    <t>Bioenergy in Solid HC CCS Power</t>
  </si>
  <si>
    <t>Bioenergy in Gas CCS Power</t>
  </si>
  <si>
    <t>Total Emissions from Power</t>
  </si>
  <si>
    <t>CO2e</t>
  </si>
  <si>
    <t>UK Bioenergy</t>
  </si>
  <si>
    <t>Imported Bioenergy</t>
  </si>
  <si>
    <t>UK Transport</t>
  </si>
  <si>
    <t>International Transport</t>
  </si>
  <si>
    <t>Residential Heating</t>
  </si>
  <si>
    <t>Residential Lighting &amp; Appliances</t>
  </si>
  <si>
    <t>Business</t>
  </si>
  <si>
    <t>Commercial Heating</t>
  </si>
  <si>
    <t>Commercial Lighting &amp; Appliances</t>
  </si>
  <si>
    <t>UK Electricity Generation</t>
  </si>
  <si>
    <t>Imported Electricity</t>
  </si>
  <si>
    <t>Electricity Balancing &amp; Other</t>
  </si>
  <si>
    <t>Energy Security Contextual Data</t>
  </si>
  <si>
    <t>Reference</t>
  </si>
  <si>
    <t>Same as B</t>
  </si>
  <si>
    <t>Same as 3</t>
  </si>
  <si>
    <t>Same as C</t>
  </si>
  <si>
    <t>Area same as four times natural reserve used, delivering ~46 TWh/yr</t>
  </si>
  <si>
    <t>Choice type (1: level; A: trajectory)</t>
  </si>
  <si>
    <t>Trajectory Descriptions (short for popups)</t>
  </si>
  <si>
    <t>Trajectory Descriptions (slightly longer for story tab)</t>
  </si>
  <si>
    <t>No new nuclear power installed. Final nuclear power stattion estimated to close in 2035</t>
  </si>
  <si>
    <t>~13 3GW nuclear power stations delivering ~280 TWh/yr</t>
  </si>
  <si>
    <t>~30 3GW nuclear power stations delivering ~630 TWh/yr</t>
  </si>
  <si>
    <t>~50 3GW nuclear power stations delivering ~1030 TWh/yr</t>
  </si>
  <si>
    <t>CCS demonstration plants only</t>
  </si>
  <si>
    <t>~240 TWh/yr from 25-40 CCS power stations - comparable to current gas &amp; coal generation</t>
  </si>
  <si>
    <t>~340 TWh/yr from 35-60 CCS power stations - comparable to total current demand</t>
  </si>
  <si>
    <t>~510 TWh/yr  from 50-90 CCS power stations - this requires a similar build rate to that of gas plants in the 1990s</t>
  </si>
  <si>
    <t>After demonstration plants, all CCS electricity is from solid fuel (coal or biomass)</t>
  </si>
  <si>
    <t>After demonstration plants, two thirds of CCS electricity is from solid fuel (coal or biomass), one third from gas (natural gas or biogas)</t>
  </si>
  <si>
    <t>After demonstration plants, one third of CCS electricity is from solid fuel (coal or biomass), two thirds from gas (natural gas or biogas)</t>
  </si>
  <si>
    <t>After demonstration plants, all CCS electricity is from gas (natural gas or biogas)</t>
  </si>
  <si>
    <t>~17,000 offshore wind turbines in 2050, delivering ~310 TWh/yr</t>
  </si>
  <si>
    <t>~10,000 offshore wind turbines in 2050, delivering ~180 TWh/yr</t>
  </si>
  <si>
    <t>~1,400 offshore wind turbines in 2025, reducing to zero as decommissioned sites are not replanted</t>
  </si>
  <si>
    <t>~40,000 offshore wind turbines in 2050, delivering ~430 TWh/yr</t>
  </si>
  <si>
    <t>~4,400 onshore wind turbines in 2025, reducing to zero as decommissioned sites are not replanted</t>
  </si>
  <si>
    <t xml:space="preserve">~8,000 onshore wind turbines in 2050, delivering ~50 TWh/yr. </t>
  </si>
  <si>
    <t>~13,000 onshore wind turbines in 2050, delivering ~80 TWh/yr</t>
  </si>
  <si>
    <t>~20,000 onshore wind turbines in 2050, delivering ~130 TWh/yr</t>
  </si>
  <si>
    <t>Only existing biomass plants and those already under construction (0.6GW)</t>
  </si>
  <si>
    <t>8GW of biomass power stations by 2050 delivering 62TWh/yr</t>
  </si>
  <si>
    <t>12GW of biomass power stations by 2050 delivering 100TWh/yr</t>
  </si>
  <si>
    <t>Over 20GW of biomass power stations by 2050 delivering 180TWh/yr</t>
  </si>
  <si>
    <t>Supply of geothermal electricity grows quickly reaching 21 TWh/yr by 2030 and is sustained</t>
  </si>
  <si>
    <t>Supply of geothermal electricity grows rapidly reaching 35 TWh/yr by 2030 and is sustained</t>
  </si>
  <si>
    <t>Supply of hydroelectricity is maintained at current levels of 5 TWh/yr</t>
  </si>
  <si>
    <t>Supply of hydroelectricity grows slowly, reaching 7 TWh/yr by 2050</t>
  </si>
  <si>
    <t>Supply of hydroelectricity grows more quickly, reaching 8 TWh/yr by 2030 and is sustained</t>
  </si>
  <si>
    <t>Supply of hydroelectricity grows rapidly reaching 13 TWh/yr by 2035 and is sustained</t>
  </si>
  <si>
    <t>Supply of electricity from micro wind turbines increases to 1.3 TWh/yr by 2020 and is sustained</t>
  </si>
  <si>
    <t>Micro wind turbines installed in all suitable domestic and non-domestic sties, supplying 8.9 TWh/year from 2020</t>
  </si>
  <si>
    <t>Micro wind turbines installed in all ~450,000 suitable domestic properties, supplying 3.5 TWh/year from 2020</t>
  </si>
  <si>
    <t xml:space="preserve">70 TWh/yr of electricity imported from a 10% share of an internationally coordinated desert solar project </t>
  </si>
  <si>
    <t>140 TWh/yr of electricity imported from a 20% share of an internationally coordinated desert solar project</t>
  </si>
  <si>
    <t>5% of UK land used for energy crops</t>
  </si>
  <si>
    <t>10% of UK land used for energy crops</t>
  </si>
  <si>
    <t>Macro algae covering the same area as half of natural reserve used, delivering ~4 TWh/yr</t>
  </si>
  <si>
    <t>Macro algae covering the same area as all of natural reserve used, delivering ~9 TWh/yr</t>
  </si>
  <si>
    <t>Macro algae covering the same area as four times natural reserve used, delivering ~46 TWh/yr</t>
  </si>
  <si>
    <t>Annual improvement in plane fuel efficiency of 0.8%, similar to the Climate Change Committee's “likely” scenario</t>
  </si>
  <si>
    <t>Annual improvement in plane fuel efficiency of 1%, similar to the Climate Change Committee's “optimistic” scenario</t>
  </si>
  <si>
    <t>Annual improvement in plane fuel efficiency of 1.5%, similar to the Climate Change Committee's “speculative” scenario</t>
  </si>
  <si>
    <t>No electrification of industrial processes and little improvement in industrial energy intensity</t>
  </si>
  <si>
    <t>Some industrial processes electrified and moderate improvements in process emissions and energy demand</t>
  </si>
  <si>
    <t>Many industrial processes electrified, CCS captures 48% of emissions and  substantial improvements in process emissions and energy demand</t>
  </si>
  <si>
    <t>Commercial space heating demand increases by 50%, hot water demand by 60%, cooling demand by 250%</t>
  </si>
  <si>
    <t>Commercial space heating demand increases by 30%, hot water demand by 50%, cooling demand by 60%</t>
  </si>
  <si>
    <t>Commercial space heating demand stable, hot water demand increases by 25%, cooling demand stable</t>
  </si>
  <si>
    <t>Commercial space heating demand drops by 25%, hot water demand by 10%, cooling demand by 60%</t>
  </si>
  <si>
    <t>Energy demand for commercial lights &amp; appliances increases by 33%. Energy for cooking is stable</t>
  </si>
  <si>
    <t>Energy demand for commercial lights &amp; appliances increases by 15%; decreases by 5% for cooking</t>
  </si>
  <si>
    <t>Energy demand for commercial lights &amp; appliances decreases by 5%; decreases by 20% for cooking</t>
  </si>
  <si>
    <t>Energy demand for commercial lights &amp; appliances decreases by 30%; decreases by 25% for cooking</t>
  </si>
  <si>
    <t>Energy used for domestic cooking remains at 63% electricity and 37% gas</t>
  </si>
  <si>
    <t>Energy used for domestic cooking is entirely electric</t>
  </si>
  <si>
    <t>Energy used for commercial cooking is 60% electricity and 40% gas (no change from 2007)</t>
  </si>
  <si>
    <t>Energy used for commercial cooking is 100% electric</t>
  </si>
  <si>
    <t>Carbon dioxide sequestred at a rate of 1 million tonnes per annum by 2050</t>
  </si>
  <si>
    <t>Carbon dioxide  sequestred at a rate of ~30 million tonnes per annum by 2050</t>
  </si>
  <si>
    <t>Carbon dioxide sequestred at a rate of ~110 million tonnes per annum by 2050</t>
  </si>
  <si>
    <t>20 GW of pumped storage with large lagoons, 30 GW of interconnection with Europe and substantial demand shifting available for balancing electricity supply and demand</t>
  </si>
  <si>
    <t>7 GW of pumped storage (includign 2 more sites), 15 GW of interconnection with Europe and some demand shifting available for balancing electricity supply and demand</t>
  </si>
  <si>
    <t>4 GW of pumped storage and 10 GW interconnection with Europe available for balancing electricity supply and demand</t>
  </si>
  <si>
    <t>Today’s 3.5 GW of pumped storage and 4 GW interconnection with Europe available for balancing electricity supply and demand</t>
  </si>
  <si>
    <t>Maximium demand, no supply</t>
  </si>
  <si>
    <t>Maximum supply, no demand</t>
  </si>
  <si>
    <t>Emissions from Electricity Generation, exlcuding CHP</t>
  </si>
  <si>
    <t>Emissions reclassified</t>
  </si>
  <si>
    <t>Emissions intensity</t>
  </si>
  <si>
    <t>Note: Emissions from CHP are excluded, while emissions from district heating are included.</t>
  </si>
  <si>
    <t>VI.a.Biocrop</t>
  </si>
  <si>
    <t>VI.a.Forestry</t>
  </si>
  <si>
    <t>CCS power stations</t>
  </si>
  <si>
    <t>100% coal/biomass, 0% gas/biogas CCS after demonstration plants</t>
  </si>
  <si>
    <t>66% coal/biomass, 33% gas/biogas CCS after demonstration plants</t>
  </si>
  <si>
    <t>33% coal/biomass, 66% gas/biogas CCS after demonstration plants</t>
  </si>
  <si>
    <t>0% coal/biomas, 100% gas/biogas CCS after demonstration plants</t>
  </si>
  <si>
    <t>Land dedicated to bioenergy</t>
  </si>
  <si>
    <t>Type of fuels from biomass</t>
  </si>
  <si>
    <t>Tidal and wave</t>
  </si>
  <si>
    <t>Commercial lighting &amp; appliances</t>
  </si>
  <si>
    <t>Home lighting &amp; appliances</t>
  </si>
  <si>
    <t>Livestock and their management</t>
  </si>
  <si>
    <t>CCS power station fuel mix</t>
  </si>
  <si>
    <t>Hydroelectric power stations</t>
  </si>
  <si>
    <t>Individuals travel 7% further than today, cars and vans are 80% of 2050 passenger mileage</t>
  </si>
  <si>
    <t>Individuals travel 7% further than today; cars and vans 74% of 2050 passenger mileage</t>
  </si>
  <si>
    <t>Gaseous Hydrocarbon consumption</t>
  </si>
  <si>
    <t>Liquid Hydrocarbon consumption</t>
  </si>
  <si>
    <t>Solid Hydrocarbon consumption</t>
  </si>
  <si>
    <t>bcm</t>
  </si>
  <si>
    <t>unit.bcm</t>
  </si>
  <si>
    <t>Up to 70 TWh/yr of imported bioenergy in 2050</t>
  </si>
  <si>
    <t>Up to 140 TWh/yr of imported bioenergy in 2050</t>
  </si>
  <si>
    <t>Up to 280 TWh/yr of imported bioenergy in 2050</t>
  </si>
  <si>
    <t>Cumulative emissions estimate</t>
  </si>
  <si>
    <t>(i) Power Stations</t>
  </si>
  <si>
    <t>(ii) Power Station fuel mix</t>
  </si>
  <si>
    <t>Tidal and Wave</t>
  </si>
  <si>
    <t>Biomass/Coal power stations</t>
  </si>
  <si>
    <t>Solar thermal</t>
  </si>
  <si>
    <t>Small-scale wind</t>
  </si>
  <si>
    <t>Volume of Waste &amp; Recycling</t>
  </si>
  <si>
    <t>Types of fuel from Biomass</t>
  </si>
  <si>
    <t>Storage, demand shifting, interconnection</t>
  </si>
  <si>
    <t>Growth in industry</t>
  </si>
  <si>
    <t>Energy intensity of industry</t>
  </si>
  <si>
    <t>17% of land used for energy crops</t>
  </si>
  <si>
    <t>17% of UK land used for energy crops</t>
  </si>
  <si>
    <t>Fuel use is 105 TWh from 42 TWh in 2007</t>
  </si>
  <si>
    <t>Moves in line with IMO global shipping forecast, emissions 3 times todays levels</t>
  </si>
  <si>
    <t>Fuel use is 101 TWh from 42 TWh in 2007</t>
  </si>
  <si>
    <t>Fuel use is 91 TWh from 42 TWh in 2007</t>
  </si>
  <si>
    <t>The proportion of new domestic heating systems using electricity is 20%</t>
  </si>
  <si>
    <t>The proportion of new domestic heating systems supplied using electricity is 30-60%</t>
  </si>
  <si>
    <t>The proportion of new domestic heating systems supplied using electricity is 80-100%</t>
  </si>
  <si>
    <t>Energy balancing and bio-energy</t>
  </si>
  <si>
    <t>ONCE YOU'VE MADE YOUR CHOICES PRESS F9</t>
  </si>
  <si>
    <t xml:space="preserve">Please use the Storage, demand shifting and interconnection lever to choose balancing and </t>
  </si>
  <si>
    <t>storage options</t>
  </si>
  <si>
    <t xml:space="preserve">Summary of Changed worksheets in March 2011 publication </t>
  </si>
  <si>
    <t>All vectors</t>
  </si>
  <si>
    <t>Summary of all outputs from worksheets for the webtool</t>
  </si>
  <si>
    <t>Worksheet</t>
  </si>
  <si>
    <t>Added information on 'all vectors'</t>
  </si>
  <si>
    <t>Additional levers, extra solid biomass bio-energy data, re-arranged format</t>
  </si>
  <si>
    <t>Summary of GHG and energy vectors by worksheet for use in the web tool</t>
  </si>
  <si>
    <t xml:space="preserve">Please note: emissions by sector need to account for bio-energy, which is accounted for seperately (in V). </t>
  </si>
  <si>
    <t>Cumulative emissions are estimates based on a linear trajectory between the 5 year time periods</t>
  </si>
  <si>
    <t>MtCO2e/TWh</t>
  </si>
  <si>
    <t>Installed Capacity (GW) in power generation information, emissions split by sector I-XVII, cumulative emissions estimated and supplemental bio-energy information</t>
  </si>
  <si>
    <t>Bio-energy - Production and Use</t>
  </si>
  <si>
    <t>Hydro-carbon use by sector and Bio-energy share</t>
  </si>
  <si>
    <t>Please note: Bio-energy is not assigned to sectors but is assumed to replace fossil fuels up to maximum demand</t>
  </si>
  <si>
    <t>gCO2e/KWh</t>
  </si>
  <si>
    <t>Billion Cubic Metres (Gas)</t>
  </si>
  <si>
    <t>Billion Cubic Metres (Gas) unit added</t>
  </si>
  <si>
    <t>CO2e column added</t>
  </si>
  <si>
    <t>(up to and including year above)</t>
  </si>
  <si>
    <t>See Demo baseline assumptions below. Note that CCS power plant capacity is stated in terms of gross capacity, i.e. including parasitic load;  of both the plant and the CCS equipment.</t>
  </si>
  <si>
    <t xml:space="preserve">this is not the convention in other sectors. Parasitic load comprises the own use requirements </t>
  </si>
  <si>
    <t xml:space="preserve">The unabated plant thermal efficiency is from Mott MacDonald (2010) ‘UK Electricity Generation Costs Update’ ‘First of a kind’ </t>
  </si>
  <si>
    <t xml:space="preserve">data until 2020 in line with internal DECC data relating to the demonstration plants; at 2020 ‘Nth of a kind’ data for unabated plants, </t>
  </si>
  <si>
    <t>followed by further 10% efficiency improvement by 2050 (DECC assumption).</t>
  </si>
  <si>
    <t>For info: Base Plant - Own-use requirements (% of gross output) [3]</t>
  </si>
  <si>
    <t>Base plant own use requirements are taken directly from Mott MacDonald (2010) ’ibid'; these remain constant across all technologies and over time.</t>
  </si>
  <si>
    <t>Total parasitic load: CCS Equipment and Base Plant - Own-use requirements (% of gross output) [4]</t>
  </si>
  <si>
    <t xml:space="preserve">Total parasitic load is comprised of the base plant own use (above) plus the CCS equipment own use requirements. </t>
  </si>
  <si>
    <t xml:space="preserve">Up to 2020 the CCS equipment own use requirements are taken from Redpoint (2009) ‘Carbon Capture and Storage demonstration: analysis of policies on coal/CCS </t>
  </si>
  <si>
    <t>and financial incentive schemes report’ for coal demonstrations and a DECC assumption for the gas demonstration.</t>
  </si>
  <si>
    <t xml:space="preserve">From 2020 onwards the CCS equipment own use requirements are taken from Mott MacDonald (2010) ‘ibid’, using ‘first of a kind’ data at 2020, </t>
  </si>
  <si>
    <t>‘Nth of a kind’ data at 2030, and a further 10% efficiency improvement by 2050 (DECC assumption).</t>
  </si>
  <si>
    <t>Load factor [5]</t>
  </si>
  <si>
    <t>The load factors are as per DECC assumptions and remain constant across all technologies and over time.</t>
  </si>
  <si>
    <t>Number of name changes for modules and sections added</t>
  </si>
  <si>
    <t>Coal retirement rate adjusted, biomass/coal installed capacity option</t>
  </si>
  <si>
    <t>Fuel mix lever added, fixed assumptions for load factor, base load etc adjusted based on latest evidence</t>
  </si>
  <si>
    <t>Capacity factor increased to 2050 and Level 4 now more ambitious, split between floating and fixed turbines added</t>
  </si>
  <si>
    <t>Split between West and East coast tidal stream sites added for level 4 with different load factors</t>
  </si>
  <si>
    <t>All Worksheets</t>
  </si>
  <si>
    <t>Information added for implied GW installed capacity and size of plants, land use implications also added where appropriate</t>
  </si>
  <si>
    <t>Please note: a full explanation of changes following the Call for Evidence are available in the March 2011 report</t>
  </si>
  <si>
    <t>Conversion efficiencies changed</t>
  </si>
  <si>
    <t>Emissions now calculated from Bio-energy used in the UK i.e. where there's demand</t>
  </si>
  <si>
    <t>Levers for livestock growth and agricultural land use seperated, wood yields and Bio-energy crops adjusted</t>
  </si>
  <si>
    <t>VII.c(1 day)</t>
  </si>
  <si>
    <t>New stress test</t>
  </si>
  <si>
    <t>Main changes: wind output and wave assumptions changed, heat pumps loss in efficiency and temperature shock</t>
  </si>
  <si>
    <t>Hydrogen production method assumed to change over time</t>
  </si>
  <si>
    <t>Heat loss co-efficients updated and assumptions on insulation added</t>
  </si>
  <si>
    <t>Industry is now split into two levers: output and emissions intensity</t>
  </si>
  <si>
    <t>Fuel cell vehicles for buses added</t>
  </si>
  <si>
    <t>International Shipping levels added</t>
  </si>
  <si>
    <t>Illustrative pathways March 2011</t>
  </si>
  <si>
    <t>1 Spread effort</t>
  </si>
  <si>
    <t>2 Low energy demand: all</t>
  </si>
  <si>
    <t>3 Low energy demand: individuals</t>
  </si>
  <si>
    <t>4 Low energy demand: businesses</t>
  </si>
  <si>
    <t>5 Electrify all possible sectors</t>
  </si>
  <si>
    <t>6 Electrify all except heat</t>
  </si>
  <si>
    <t>7 Electrify all except transport</t>
  </si>
  <si>
    <t>8 Solid biofuel focus</t>
  </si>
  <si>
    <t>9 Liquid biofuel focus</t>
  </si>
  <si>
    <t>10 Gas biofuel focus</t>
  </si>
  <si>
    <t>11 Renewable generation</t>
  </si>
  <si>
    <t>12 Offshore renewable generation</t>
  </si>
  <si>
    <t>13 Nuclear generation</t>
  </si>
  <si>
    <t>14 CCS generation</t>
  </si>
  <si>
    <t>15 Gas generation</t>
  </si>
  <si>
    <t>16 Microgeneration</t>
  </si>
  <si>
    <t>17 Hedging strategy</t>
  </si>
  <si>
    <t>C1.Low</t>
  </si>
  <si>
    <t>Low estimate of capital costs</t>
  </si>
  <si>
    <t>C2.Low</t>
  </si>
  <si>
    <t>Low estimate of operating costs</t>
  </si>
  <si>
    <t>C3.Low</t>
  </si>
  <si>
    <t>Low estimate of fuel costs</t>
  </si>
  <si>
    <t>Low estimate of total cost</t>
  </si>
  <si>
    <t>NPV</t>
  </si>
  <si>
    <t>Biomatter to fuel conversion</t>
  </si>
  <si>
    <t>C1.High</t>
  </si>
  <si>
    <t>High estimate of capital costs</t>
  </si>
  <si>
    <t>C2.High</t>
  </si>
  <si>
    <t>High estimate of operating costs</t>
  </si>
  <si>
    <t>C3.High</t>
  </si>
  <si>
    <t>High estimate of fuel costs</t>
  </si>
  <si>
    <t>High estimate of total cost</t>
  </si>
  <si>
    <t>Cost vectors</t>
  </si>
  <si>
    <t>Discounting</t>
  </si>
  <si>
    <t>Discount factor</t>
  </si>
  <si>
    <t>Cost conversions</t>
  </si>
  <si>
    <t>£</t>
  </si>
  <si>
    <t>£pp/yr</t>
  </si>
  <si>
    <t xml:space="preserve">2010 pounds per person per year to 2050 </t>
  </si>
  <si>
    <t>GBPppyr</t>
  </si>
  <si>
    <t>£trn</t>
  </si>
  <si>
    <t>2010 trillion british pounds</t>
  </si>
  <si>
    <t>TGBP</t>
  </si>
  <si>
    <t>£bn</t>
  </si>
  <si>
    <t>2010 billion british pounds</t>
  </si>
  <si>
    <t>GGBP</t>
  </si>
  <si>
    <t>£m</t>
  </si>
  <si>
    <t>2010 million british pounds</t>
  </si>
  <si>
    <t>MGBP</t>
  </si>
  <si>
    <t>£k</t>
  </si>
  <si>
    <t>2010 thousand british pounds</t>
  </si>
  <si>
    <t>kGBP</t>
  </si>
  <si>
    <t>2010 british pounds</t>
  </si>
  <si>
    <t>GBP</t>
  </si>
  <si>
    <t>`</t>
  </si>
  <si>
    <t>Cost assumptions</t>
  </si>
  <si>
    <t>Cost of a 1.2GW post-combustion coal power station + CCS</t>
  </si>
  <si>
    <t>Capital costs</t>
  </si>
  <si>
    <t>Operating costs</t>
  </si>
  <si>
    <t>Cost of a 1.2GW gas power station + CCS</t>
  </si>
  <si>
    <t>http://decc-wiki.greenonblack.com/pages/322</t>
  </si>
  <si>
    <t>Post Combustion Solid Hydrocarbon + CCS</t>
  </si>
  <si>
    <t>Pre Combustion Solid Hydrocarbon + CCS</t>
  </si>
  <si>
    <t>Gaseous Hydrocarbons + CCS</t>
  </si>
  <si>
    <t>Low estimate of costs</t>
  </si>
  <si>
    <t>Total costs</t>
  </si>
  <si>
    <t>High estimate of costs</t>
  </si>
  <si>
    <t>4. Cost information</t>
  </si>
  <si>
    <t>5. Emissions</t>
  </si>
  <si>
    <t>Money is measured in:</t>
  </si>
  <si>
    <t>Costs</t>
  </si>
  <si>
    <t>Costs of this physical change</t>
  </si>
  <si>
    <t>Mboe</t>
  </si>
  <si>
    <t>Million barrels of oil equivalent</t>
  </si>
  <si>
    <t>Unit.Mboe</t>
  </si>
  <si>
    <t>http://decc-wiki.greenonblack.com/pages/337</t>
  </si>
  <si>
    <t>Hydrocarbon imports</t>
  </si>
  <si>
    <t>Positive numbers are exports. Negative numbers are imports</t>
  </si>
  <si>
    <t>£/tCoal</t>
  </si>
  <si>
    <t>$/bbl</t>
  </si>
  <si>
    <t>p/therm</t>
  </si>
  <si>
    <t>Multiply those units by a range of market prices</t>
  </si>
  <si>
    <t>Cost of imported fossil fuels</t>
  </si>
  <si>
    <t>Sources:</t>
  </si>
  <si>
    <t>$</t>
  </si>
  <si>
    <t>2009 US dollars</t>
  </si>
  <si>
    <t>USD2009_</t>
  </si>
  <si>
    <t>Positives numbers are costs to the country to pay for imports. Negative numbers are revenue to the country from selling exports</t>
  </si>
  <si>
    <t>http://decc-wiki.greenonblack.com/pages/338</t>
  </si>
  <si>
    <t>Turn the imports into costs</t>
  </si>
  <si>
    <t>Calculate the cost of imports</t>
  </si>
  <si>
    <t>boe</t>
  </si>
  <si>
    <t>Barrel of oil equivalent</t>
  </si>
  <si>
    <t>Unit.boe</t>
  </si>
  <si>
    <t>Compute the cost of the fossil fuels</t>
  </si>
  <si>
    <t>Range</t>
  </si>
  <si>
    <t>%GDP</t>
  </si>
  <si>
    <t>percentGDP</t>
  </si>
  <si>
    <t>Percentage of 2007 to 2050 cumulative GDP</t>
  </si>
  <si>
    <t>One off costs - low</t>
  </si>
  <si>
    <t>One off costs - high</t>
  </si>
  <si>
    <t>Operating costs - low</t>
  </si>
  <si>
    <t>Operating costs - high</t>
  </si>
  <si>
    <t>Fuel costs - low</t>
  </si>
  <si>
    <t>Fuel costs - high</t>
  </si>
  <si>
    <t>Total costs - low</t>
  </si>
  <si>
    <t>Total costs - high</t>
  </si>
  <si>
    <t>Capital</t>
  </si>
  <si>
    <t>Infrastructure Costs (£m/PJ)</t>
  </si>
  <si>
    <t>Aquifer storage (gas)</t>
  </si>
  <si>
    <t>Aquifier Storage (coal)</t>
  </si>
  <si>
    <t>EOR Storage (coal)</t>
  </si>
  <si>
    <t>EOR Storage (gas)</t>
  </si>
  <si>
    <t>Oil/gas field storage (coal)</t>
  </si>
  <si>
    <t>Oil/gas field storage (gas)</t>
  </si>
  <si>
    <t>Ultsira field storage (coal)</t>
  </si>
  <si>
    <t>Ultsira field storage (gas)</t>
  </si>
  <si>
    <t>Undiscounted mean £/person/year</t>
  </si>
  <si>
    <t>Undiscounted £/person/year</t>
  </si>
  <si>
    <t>UK Population assumption</t>
  </si>
  <si>
    <t>Operating</t>
  </si>
  <si>
    <t>Approximate Regulated Asset Value</t>
  </si>
  <si>
    <t>Lifespan</t>
  </si>
  <si>
    <t>Capital cost per year in procceeding 5 years</t>
  </si>
  <si>
    <t>Operating cost</t>
  </si>
  <si>
    <t>Total cost</t>
  </si>
  <si>
    <t>Years</t>
  </si>
  <si>
    <t>COSTS</t>
  </si>
  <si>
    <t>IX.a.insulation</t>
  </si>
  <si>
    <t>Domestic insulation measures</t>
  </si>
  <si>
    <t>Nuclear Fission</t>
  </si>
  <si>
    <t>Gas New Build</t>
  </si>
  <si>
    <t>Coal New Build</t>
  </si>
  <si>
    <t>£/KW</t>
  </si>
  <si>
    <t>Cost of a 50MW biomass plant</t>
  </si>
  <si>
    <t>Biomass New Build</t>
  </si>
  <si>
    <t>Approximate total 50MW locations</t>
  </si>
  <si>
    <t>Approximate build rate of total 50MW locations</t>
  </si>
  <si>
    <t>Domestic heating</t>
  </si>
  <si>
    <t>Fixed O&amp;M Costs</t>
  </si>
  <si>
    <t>Euro2002</t>
  </si>
  <si>
    <t>2002 Euros</t>
  </si>
  <si>
    <t>Euro2002_</t>
  </si>
  <si>
    <t>Volume conversions</t>
  </si>
  <si>
    <t>UK Gallon</t>
  </si>
  <si>
    <t>Litres per UK gallon</t>
  </si>
  <si>
    <t>Conversion.UKgallons.to.litres</t>
  </si>
  <si>
    <t>Litres</t>
  </si>
  <si>
    <t>US Gallon</t>
  </si>
  <si>
    <t>Litres per US gallon</t>
  </si>
  <si>
    <t>Conversion.USgallons.to.litres</t>
  </si>
  <si>
    <t>http://decc-wiki.greenonblack.com/pages/369</t>
  </si>
  <si>
    <t>Annual energy flow through a 200MWp 15km pipe</t>
  </si>
  <si>
    <t xml:space="preserve">Proportion of pipes that need to be replaced </t>
  </si>
  <si>
    <t>per 5 year period</t>
  </si>
  <si>
    <t>Cost of a 200MWpeak 15km pipe</t>
  </si>
  <si>
    <t>Scale</t>
  </si>
  <si>
    <t>Illustrative number of 200MW 15km pipes</t>
  </si>
  <si>
    <t xml:space="preserve">Replacement pipes </t>
  </si>
  <si>
    <t>Extra pipes</t>
  </si>
  <si>
    <t>per year, previous period</t>
  </si>
  <si>
    <t>Total pipe construction</t>
  </si>
  <si>
    <t>MARKAL</t>
  </si>
  <si>
    <t>http://decc-wiki.greenonblack.com/pages/353</t>
  </si>
  <si>
    <t>http://decc-wiki.greenonblack.com/pages/331</t>
  </si>
  <si>
    <t>Cost of gas distribution</t>
  </si>
  <si>
    <t>yrs</t>
  </si>
  <si>
    <t>CAPACITIES</t>
  </si>
  <si>
    <t>Gas grid</t>
  </si>
  <si>
    <t>Stock</t>
  </si>
  <si>
    <t>Replacement</t>
  </si>
  <si>
    <t>per year</t>
  </si>
  <si>
    <t>Expansion</t>
  </si>
  <si>
    <t>Total new build</t>
  </si>
  <si>
    <t>Note that imported bioenergy costs have their own tab</t>
  </si>
  <si>
    <t>Solid fueled unabated generation</t>
  </si>
  <si>
    <t>Liquid fueled unabated generation</t>
  </si>
  <si>
    <t>Gaseous fueled unabated generation</t>
  </si>
  <si>
    <t>Total unabated generation</t>
  </si>
  <si>
    <t>I.a.Gas</t>
  </si>
  <si>
    <t>I.a.Liquid</t>
  </si>
  <si>
    <t>I.a.Solid</t>
  </si>
  <si>
    <t>B.07</t>
  </si>
  <si>
    <t>Average load factor</t>
  </si>
  <si>
    <t>average of post, pre &amp; gas</t>
  </si>
  <si>
    <t>B.08</t>
  </si>
  <si>
    <t>Shiftable electricity demand</t>
  </si>
  <si>
    <t>B.09</t>
  </si>
  <si>
    <t>Additional electricity at peak</t>
  </si>
  <si>
    <t>Power</t>
  </si>
  <si>
    <t>B.10</t>
  </si>
  <si>
    <t>Temperature related additional electricity demand</t>
  </si>
  <si>
    <t xml:space="preserve">Unabated thermal generation </t>
  </si>
  <si>
    <t>Unabated thermal electricity generation</t>
  </si>
  <si>
    <t>Domestic heating and cooling</t>
  </si>
  <si>
    <t>Fossil fuels (UK produced)</t>
  </si>
  <si>
    <t>Gas network</t>
  </si>
  <si>
    <t>Fossil fuels (produced overseas)</t>
  </si>
  <si>
    <t>Ethanol</t>
  </si>
  <si>
    <t>Jet Fuel</t>
  </si>
  <si>
    <t>Hydrogen Production</t>
  </si>
  <si>
    <t>B.11</t>
  </si>
  <si>
    <t>Interconnector capacity</t>
  </si>
  <si>
    <t>MWh</t>
  </si>
  <si>
    <t>Megawatt-hours</t>
  </si>
  <si>
    <t>Unit.MWh</t>
  </si>
  <si>
    <t>Electricity Exports</t>
  </si>
  <si>
    <t>VII.a.Imports</t>
  </si>
  <si>
    <t>VII.a.Exports</t>
  </si>
  <si>
    <t>Electricity exports</t>
  </si>
  <si>
    <t>This pathway</t>
  </si>
  <si>
    <t>All level 1</t>
  </si>
  <si>
    <t>Extra over level 1</t>
  </si>
  <si>
    <t>Best delta</t>
  </si>
  <si>
    <t>Worst delta</t>
  </si>
  <si>
    <t>Loan</t>
  </si>
  <si>
    <t>Rate</t>
  </si>
  <si>
    <t>Finance cost for capital spent in that period</t>
  </si>
  <si>
    <t>Finance cost for outstanding capital</t>
  </si>
  <si>
    <t>Total cost (ammortised capital)</t>
  </si>
  <si>
    <t>Total cost of pathway (cash flow basis)</t>
  </si>
  <si>
    <t>Total cost of pathway (amortized capital basis)</t>
  </si>
  <si>
    <t>YELLOW CELLS DO NOT AUTOMATICALLY UPDATE</t>
  </si>
  <si>
    <t>Investment cost</t>
  </si>
  <si>
    <t>£/KW/a</t>
  </si>
  <si>
    <t>Coal Plant</t>
  </si>
  <si>
    <t>Solid Biomass</t>
  </si>
  <si>
    <t>1990</t>
  </si>
  <si>
    <t>1991</t>
  </si>
  <si>
    <t>1992</t>
  </si>
  <si>
    <t>1993</t>
  </si>
  <si>
    <t>1994</t>
  </si>
  <si>
    <t>1995</t>
  </si>
  <si>
    <t>1996</t>
  </si>
  <si>
    <t>1997</t>
  </si>
  <si>
    <t>1998</t>
  </si>
  <si>
    <t>1999</t>
  </si>
  <si>
    <t>2000</t>
  </si>
  <si>
    <t>2001</t>
  </si>
  <si>
    <t>2002</t>
  </si>
  <si>
    <t>2003</t>
  </si>
  <si>
    <t>2004</t>
  </si>
  <si>
    <t>2005</t>
  </si>
  <si>
    <t>2006</t>
  </si>
  <si>
    <t>2008</t>
  </si>
  <si>
    <t>2009</t>
  </si>
  <si>
    <t>GDP Deflator</t>
  </si>
  <si>
    <t>Calendar year 2010 = 100</t>
  </si>
  <si>
    <t xml:space="preserve">Source: http://www.hm-treasury.gov.uk/data_gdp_fig.htm </t>
  </si>
  <si>
    <t>Financing costs for different sectors</t>
  </si>
  <si>
    <t>Discount rate (User Defined)</t>
  </si>
  <si>
    <t>Gas Plant</t>
  </si>
  <si>
    <t>Oil plant</t>
  </si>
  <si>
    <t>Coal CCS</t>
  </si>
  <si>
    <t>Gas CCS</t>
  </si>
  <si>
    <t>XVIII</t>
  </si>
  <si>
    <t>Carbon Capture</t>
  </si>
  <si>
    <t>Carbon captured</t>
  </si>
  <si>
    <t>TWh of fuel to CO2</t>
  </si>
  <si>
    <t>Min</t>
  </si>
  <si>
    <t>Cost of Carbon Carpture (£preference/TWh)</t>
  </si>
  <si>
    <t>http://decc-wiki.greenonblack.com/pages/393</t>
  </si>
  <si>
    <t>Retirement</t>
  </si>
  <si>
    <t>Retirement of Gas plants</t>
  </si>
  <si>
    <t>Required new build</t>
  </si>
  <si>
    <t>Retirement of Biomass build</t>
  </si>
  <si>
    <t>New build required</t>
  </si>
  <si>
    <t>Central Case</t>
  </si>
  <si>
    <t>Natural Gas Gross</t>
  </si>
  <si>
    <t>Natural Gas Net</t>
  </si>
  <si>
    <t>Low Production case</t>
  </si>
  <si>
    <t>Very low production case</t>
  </si>
  <si>
    <t>Terminal value</t>
  </si>
  <si>
    <t>TV</t>
  </si>
</sst>
</file>

<file path=xl/styles.xml><?xml version="1.0" encoding="utf-8"?>
<styleSheet xmlns="http://schemas.openxmlformats.org/spreadsheetml/2006/main" xmlns:mc="http://schemas.openxmlformats.org/markup-compatibility/2006" xmlns:x14ac="http://schemas.microsoft.com/office/spreadsheetml/2009/9/ac" mc:Ignorable="x14ac">
  <numFmts count="45">
    <numFmt numFmtId="43" formatCode="_-* #,##0.00_-;\-* #,##0.00_-;_-* &quot;-&quot;??_-;_-@_-"/>
    <numFmt numFmtId="164" formatCode="0.000E+00"/>
    <numFmt numFmtId="165" formatCode="#,##0\ ;\-#,##0\ ;&quot; &quot;"/>
    <numFmt numFmtId="166" formatCode="#,##0\ ;\-#,##0\ ;&quot;-  &quot;"/>
    <numFmt numFmtId="167" formatCode="#,##0\r;\-#,##0\r;&quot;-r &quot;"/>
    <numFmt numFmtId="168" formatCode="\+#,##0\r;\-#,##0\r;&quot;-r &quot;"/>
    <numFmt numFmtId="169" formatCode="\+#,##0\ ;\-#,##0\ ;&quot;-  &quot;"/>
    <numFmt numFmtId="170" formatCode="#,##0.0"/>
    <numFmt numFmtId="171" formatCode="0.000"/>
    <numFmt numFmtId="172" formatCode="#,##0\ ;\-#,##0\ ;&quot;- &quot;"/>
    <numFmt numFmtId="173" formatCode="#,##0\r;\-#,##0\r;&quot;-r&quot;"/>
    <numFmt numFmtId="174" formatCode="#,##0.0\ ;\-#,##0.0\ ;&quot;- &quot;"/>
    <numFmt numFmtId="175" formatCode="_-* #,##0_-;\-* #,##0_-;_-* &quot;-&quot;??_-;_-@_-"/>
    <numFmt numFmtId="176" formatCode="#,##0.0_);\(#,##0.0\);&quot;-&quot;;@"/>
    <numFmt numFmtId="177" formatCode="0.0"/>
    <numFmt numFmtId="178" formatCode="#,##0.0\ ;\-#,##0.0\ ;&quot;-&quot;\ ;"/>
    <numFmt numFmtId="179" formatCode="0.00000"/>
    <numFmt numFmtId="180" formatCode="#,##0\ ;\-#,##0\ ;&quot;-&quot;"/>
    <numFmt numFmtId="181" formatCode="#,##0\r;\-#,##0\r;&quot;-&quot;"/>
    <numFmt numFmtId="182" formatCode="\+#,##0\ ;\-#,##0\ ;&quot;-&quot;"/>
    <numFmt numFmtId="183" formatCode="\+#,##0\ ;\-#,##0\ ;&quot;- &quot;"/>
    <numFmt numFmtId="184" formatCode="\+#,##0\r;\-#,##0\r;&quot;-r&quot;"/>
    <numFmt numFmtId="185" formatCode="#,##0_);\(#,##0\);&quot;-&quot;;@"/>
    <numFmt numFmtId="186" formatCode="#,##0\ ;\-#,##0\ ;&quot;- &quot;\ "/>
    <numFmt numFmtId="187" formatCode="#,##0\r;\-#,##0\r;&quot;-r&quot;\ "/>
    <numFmt numFmtId="188" formatCode="#,##0.00_);\(#,##0.00\);&quot;-&quot;;@"/>
    <numFmt numFmtId="189" formatCode="#,##0.000_);\(#,##0.000\);&quot;-&quot;;@"/>
    <numFmt numFmtId="190" formatCode="0.0%"/>
    <numFmt numFmtId="191" formatCode="#,##0.0_);\(#,##0.0\);&quot;-&quot;_);@"/>
    <numFmt numFmtId="192" formatCode="#,##0_);\(#,##0\);&quot;-&quot;_);@"/>
    <numFmt numFmtId="194" formatCode="#,##0.00_);\(#,##0.00\);&quot;-&quot;_);@"/>
    <numFmt numFmtId="195" formatCode="#,##0.00&quot; : 1&quot;"/>
    <numFmt numFmtId="196" formatCode="#,##0.0000000000000"/>
    <numFmt numFmtId="197" formatCode="dd\-mmm\-yyyy"/>
    <numFmt numFmtId="198" formatCode="#,##0.000_);\(#,##0.000\);&quot;-&quot;_);@"/>
    <numFmt numFmtId="199" formatCode="#,###&quot;-&quot;\ ;\-#,###&quot;-&quot;;&quot;- &quot;"/>
    <numFmt numFmtId="200" formatCode="0%;\ \(0%\);\ \-"/>
    <numFmt numFmtId="201" formatCode="0.0%;\ \(0.0%\);\ \-"/>
    <numFmt numFmtId="202" formatCode="#,##0.0\ ;\-#,##0.0\ ;&quot;- &quot;\ "/>
    <numFmt numFmtId="203" formatCode="#,##0.0\r;\-#,##0.0\r;&quot;-r&quot;\ "/>
    <numFmt numFmtId="205" formatCode="#,##0.0000"/>
    <numFmt numFmtId="206" formatCode="#,##0.00000"/>
    <numFmt numFmtId="207" formatCode="#,##0.000"/>
    <numFmt numFmtId="208" formatCode="#,##0.000000000000"/>
    <numFmt numFmtId="210" formatCode="0.000000000000000"/>
  </numFmts>
  <fonts count="169" x14ac:knownFonts="1">
    <font>
      <sz val="10"/>
      <color theme="1"/>
      <name val="Cambria"/>
      <family val="1"/>
      <scheme val="minor"/>
    </font>
    <font>
      <sz val="12"/>
      <color theme="1"/>
      <name val="Cambria"/>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2"/>
      <color theme="1"/>
      <name val="Cambria"/>
      <family val="2"/>
      <scheme val="minor"/>
    </font>
    <font>
      <sz val="10"/>
      <color theme="1"/>
      <name val="Arial"/>
      <family val="2"/>
    </font>
    <font>
      <sz val="10"/>
      <color theme="1"/>
      <name val="Calibri"/>
      <family val="2"/>
      <scheme val="major"/>
    </font>
    <font>
      <sz val="10"/>
      <color theme="1"/>
      <name val="Calibri"/>
      <family val="2"/>
    </font>
    <font>
      <sz val="10"/>
      <color theme="1"/>
      <name val="Cambria"/>
      <family val="1"/>
      <scheme val="minor"/>
    </font>
    <font>
      <vertAlign val="subscript"/>
      <sz val="10"/>
      <color theme="1"/>
      <name val="Cambria"/>
      <family val="1"/>
      <scheme val="minor"/>
    </font>
    <font>
      <sz val="12"/>
      <color theme="1"/>
      <name val="Cambria"/>
      <family val="1"/>
      <scheme val="minor"/>
    </font>
    <font>
      <b/>
      <sz val="12"/>
      <color theme="1"/>
      <name val="Calibri"/>
      <family val="2"/>
      <scheme val="major"/>
    </font>
    <font>
      <sz val="12"/>
      <color theme="1"/>
      <name val="Calibri"/>
      <family val="2"/>
      <scheme val="major"/>
    </font>
    <font>
      <sz val="11"/>
      <color theme="1"/>
      <name val="Cambria"/>
      <family val="1"/>
      <scheme val="minor"/>
    </font>
    <font>
      <sz val="8"/>
      <color theme="1"/>
      <name val="Cambria"/>
      <family val="1"/>
      <scheme val="minor"/>
    </font>
    <font>
      <b/>
      <sz val="10"/>
      <color theme="1"/>
      <name val="Calibri"/>
      <family val="2"/>
      <scheme val="major"/>
    </font>
    <font>
      <sz val="8"/>
      <color theme="1"/>
      <name val="Calibri"/>
      <family val="2"/>
      <scheme val="major"/>
    </font>
    <font>
      <sz val="11"/>
      <color theme="1"/>
      <name val="Calibri"/>
      <family val="2"/>
      <scheme val="major"/>
    </font>
    <font>
      <b/>
      <sz val="10"/>
      <color theme="1"/>
      <name val="Cambria"/>
      <family val="1"/>
      <scheme val="minor"/>
    </font>
    <font>
      <b/>
      <vertAlign val="subscript"/>
      <sz val="10"/>
      <color theme="1"/>
      <name val="Cambria"/>
      <family val="1"/>
      <scheme val="minor"/>
    </font>
    <font>
      <sz val="10"/>
      <color theme="3" tint="0.79998168889431442"/>
      <name val="Cambria"/>
      <family val="1"/>
      <scheme val="minor"/>
    </font>
    <font>
      <sz val="10"/>
      <color theme="3" tint="0.79998168889431442"/>
      <name val="Calibri"/>
      <family val="2"/>
      <scheme val="major"/>
    </font>
    <font>
      <sz val="14"/>
      <color theme="1"/>
      <name val="Calibri"/>
      <family val="2"/>
      <scheme val="major"/>
    </font>
    <font>
      <i/>
      <sz val="10"/>
      <color theme="1"/>
      <name val="Cambria"/>
      <family val="1"/>
      <scheme val="minor"/>
    </font>
    <font>
      <sz val="12"/>
      <color theme="1"/>
      <name val="Arial"/>
      <family val="2"/>
    </font>
    <font>
      <sz val="8"/>
      <color theme="1"/>
      <name val="Consolas"/>
      <family val="3"/>
    </font>
    <font>
      <sz val="10"/>
      <name val="Cambria"/>
      <family val="1"/>
      <scheme val="minor"/>
    </font>
    <font>
      <sz val="10"/>
      <name val="Calibri"/>
      <family val="2"/>
      <scheme val="major"/>
    </font>
    <font>
      <sz val="10"/>
      <color rgb="FF3F3F76"/>
      <name val="Arial"/>
      <family val="2"/>
    </font>
    <font>
      <sz val="10"/>
      <name val="Arial"/>
      <family val="2"/>
    </font>
    <font>
      <b/>
      <sz val="18"/>
      <color indexed="12"/>
      <name val="Arial"/>
      <family val="2"/>
    </font>
    <font>
      <sz val="18"/>
      <color indexed="12"/>
      <name val="Arial"/>
      <family val="2"/>
    </font>
    <font>
      <sz val="20"/>
      <color indexed="12"/>
      <name val="Arial"/>
      <family val="2"/>
    </font>
    <font>
      <sz val="20"/>
      <name val="Arial"/>
      <family val="2"/>
    </font>
    <font>
      <sz val="8"/>
      <name val="Arial"/>
      <family val="2"/>
    </font>
    <font>
      <b/>
      <sz val="8"/>
      <name val="Arial"/>
      <family val="2"/>
    </font>
    <font>
      <b/>
      <sz val="9"/>
      <name val="Arial"/>
      <family val="2"/>
    </font>
    <font>
      <sz val="9"/>
      <name val="Arial"/>
      <family val="2"/>
    </font>
    <font>
      <b/>
      <sz val="8.5"/>
      <name val="Arial"/>
      <family val="2"/>
    </font>
    <font>
      <i/>
      <sz val="8.5"/>
      <name val="Arial"/>
      <family val="2"/>
    </font>
    <font>
      <sz val="7"/>
      <name val="Arial"/>
      <family val="2"/>
    </font>
    <font>
      <sz val="7.5"/>
      <name val="Arial"/>
      <family val="2"/>
    </font>
    <font>
      <i/>
      <sz val="8"/>
      <name val="Arial"/>
      <family val="2"/>
    </font>
    <font>
      <sz val="7.5"/>
      <color indexed="10"/>
      <name val="Arial"/>
      <family val="2"/>
    </font>
    <font>
      <i/>
      <sz val="10"/>
      <name val="Arial"/>
      <family val="2"/>
    </font>
    <font>
      <b/>
      <sz val="8"/>
      <color indexed="81"/>
      <name val="Tahoma"/>
      <family val="2"/>
    </font>
    <font>
      <sz val="8"/>
      <color indexed="81"/>
      <name val="Tahoma"/>
      <family val="2"/>
    </font>
    <font>
      <b/>
      <sz val="12"/>
      <name val="Arial"/>
      <family val="2"/>
    </font>
    <font>
      <b/>
      <sz val="10"/>
      <name val="Arial"/>
      <family val="2"/>
    </font>
    <font>
      <vertAlign val="superscript"/>
      <sz val="10"/>
      <name val="Arial"/>
      <family val="2"/>
    </font>
    <font>
      <sz val="21"/>
      <color indexed="12"/>
      <name val="Arial"/>
      <family val="2"/>
    </font>
    <font>
      <sz val="12"/>
      <name val="Arial"/>
      <family val="2"/>
    </font>
    <font>
      <sz val="13"/>
      <name val="Arial"/>
      <family val="2"/>
    </font>
    <font>
      <sz val="8.5"/>
      <name val="Arial"/>
      <family val="2"/>
    </font>
    <font>
      <b/>
      <sz val="8.5"/>
      <color indexed="8"/>
      <name val="Arial"/>
      <family val="2"/>
    </font>
    <font>
      <sz val="8.5"/>
      <color indexed="8"/>
      <name val="Arial"/>
      <family val="2"/>
    </font>
    <font>
      <sz val="10"/>
      <color indexed="8"/>
      <name val="Arial"/>
      <family val="2"/>
    </font>
    <font>
      <sz val="8"/>
      <color indexed="8"/>
      <name val="Arial"/>
      <family val="2"/>
    </font>
    <font>
      <sz val="8"/>
      <color indexed="12"/>
      <name val="Arial"/>
      <family val="2"/>
    </font>
    <font>
      <i/>
      <sz val="8"/>
      <color indexed="8"/>
      <name val="Arial"/>
      <family val="2"/>
    </font>
    <font>
      <b/>
      <sz val="8"/>
      <color indexed="8"/>
      <name val="Arial"/>
      <family val="2"/>
    </font>
    <font>
      <b/>
      <sz val="8"/>
      <color indexed="12"/>
      <name val="Arial"/>
      <family val="2"/>
    </font>
    <font>
      <i/>
      <sz val="8.5"/>
      <color indexed="8"/>
      <name val="Arial"/>
      <family val="2"/>
    </font>
    <font>
      <sz val="10"/>
      <color indexed="12"/>
      <name val="Arial"/>
      <family val="2"/>
    </font>
    <font>
      <sz val="8.5"/>
      <color indexed="12"/>
      <name val="Arial"/>
      <family val="2"/>
    </font>
    <font>
      <b/>
      <i/>
      <sz val="10"/>
      <name val="Arial"/>
      <family val="2"/>
    </font>
    <font>
      <sz val="8"/>
      <name val="Cambria"/>
      <family val="1"/>
      <scheme val="minor"/>
    </font>
    <font>
      <sz val="21.5"/>
      <color indexed="12"/>
      <name val="Arial"/>
      <family val="2"/>
    </font>
    <font>
      <sz val="21.5"/>
      <name val="Arial"/>
      <family val="2"/>
    </font>
    <font>
      <sz val="9"/>
      <color indexed="12"/>
      <name val="Arial"/>
      <family val="2"/>
    </font>
    <font>
      <sz val="9"/>
      <color indexed="8"/>
      <name val="Arial"/>
      <family val="2"/>
    </font>
    <font>
      <i/>
      <sz val="8"/>
      <color indexed="12"/>
      <name val="Arial"/>
      <family val="2"/>
    </font>
    <font>
      <sz val="22"/>
      <color indexed="12"/>
      <name val="Arial"/>
      <family val="2"/>
    </font>
    <font>
      <sz val="22"/>
      <name val="Arial"/>
      <family val="2"/>
    </font>
    <font>
      <b/>
      <i/>
      <sz val="8.5"/>
      <name val="Arial"/>
      <family val="2"/>
    </font>
    <font>
      <b/>
      <sz val="10"/>
      <name val="Cambria"/>
      <family val="1"/>
      <scheme val="minor"/>
    </font>
    <font>
      <sz val="18"/>
      <name val="Arial"/>
      <family val="2"/>
    </font>
    <font>
      <b/>
      <sz val="22"/>
      <name val="Arial"/>
      <family val="2"/>
    </font>
    <font>
      <b/>
      <sz val="22"/>
      <color indexed="8"/>
      <name val="Arial"/>
      <family val="2"/>
    </font>
    <font>
      <b/>
      <sz val="9"/>
      <color indexed="8"/>
      <name val="Arial"/>
      <family val="2"/>
    </font>
    <font>
      <sz val="8.5"/>
      <name val="Arial"/>
      <family val="2"/>
    </font>
    <font>
      <i/>
      <sz val="8.5"/>
      <color indexed="12"/>
      <name val="Arial"/>
      <family val="2"/>
    </font>
    <font>
      <b/>
      <sz val="7.5"/>
      <name val="Arial"/>
      <family val="2"/>
    </font>
    <font>
      <i/>
      <sz val="7.5"/>
      <name val="Arial"/>
      <family val="2"/>
    </font>
    <font>
      <sz val="12"/>
      <name val="Calibri"/>
      <family val="2"/>
      <scheme val="major"/>
    </font>
    <font>
      <b/>
      <sz val="8"/>
      <color theme="1"/>
      <name val="Calibri"/>
      <family val="2"/>
      <scheme val="major"/>
    </font>
    <font>
      <b/>
      <sz val="12"/>
      <name val="Calibri"/>
      <family val="2"/>
      <scheme val="major"/>
    </font>
    <font>
      <sz val="16"/>
      <color theme="1"/>
      <name val="Cambria"/>
      <family val="1"/>
      <scheme val="minor"/>
    </font>
    <font>
      <b/>
      <sz val="10"/>
      <color rgb="FF3F3F76"/>
      <name val="Cambria"/>
      <family val="1"/>
      <scheme val="minor"/>
    </font>
    <font>
      <sz val="10"/>
      <color theme="1"/>
      <name val="Calibri"/>
      <family val="2"/>
      <scheme val="major"/>
    </font>
    <font>
      <sz val="14"/>
      <color theme="1"/>
      <name val="Cambria"/>
      <family val="1"/>
      <scheme val="minor"/>
    </font>
    <font>
      <b/>
      <sz val="16"/>
      <color theme="1"/>
      <name val="Calibri"/>
      <family val="2"/>
      <scheme val="major"/>
    </font>
    <font>
      <b/>
      <sz val="16"/>
      <color indexed="8"/>
      <name val="Calibri"/>
      <family val="2"/>
      <scheme val="major"/>
    </font>
    <font>
      <i/>
      <sz val="8"/>
      <name val="Cambria"/>
      <family val="1"/>
      <scheme val="minor"/>
    </font>
    <font>
      <sz val="10"/>
      <color theme="1"/>
      <name val="Cambria"/>
      <family val="1"/>
    </font>
    <font>
      <sz val="8"/>
      <color theme="1"/>
      <name val="Cambria"/>
      <family val="1"/>
    </font>
    <font>
      <i/>
      <sz val="10"/>
      <name val="Cambria"/>
      <family val="1"/>
      <scheme val="minor"/>
    </font>
    <font>
      <b/>
      <i/>
      <sz val="10"/>
      <color theme="1"/>
      <name val="Cambria"/>
      <family val="1"/>
      <scheme val="minor"/>
    </font>
    <font>
      <strike/>
      <sz val="10"/>
      <color theme="1"/>
      <name val="Cambria"/>
      <family val="1"/>
      <scheme val="minor"/>
    </font>
    <font>
      <sz val="8"/>
      <color rgb="FFFF0000"/>
      <name val="Cambria"/>
      <family val="1"/>
      <scheme val="minor"/>
    </font>
    <font>
      <b/>
      <sz val="18"/>
      <color theme="1"/>
      <name val="Calibri"/>
      <family val="2"/>
      <scheme val="major"/>
    </font>
    <font>
      <b/>
      <sz val="18"/>
      <name val="Calibri"/>
      <family val="2"/>
      <scheme val="major"/>
    </font>
    <font>
      <sz val="8"/>
      <color theme="4" tint="-0.249977111117893"/>
      <name val="Cambria"/>
      <family val="1"/>
      <scheme val="minor"/>
    </font>
    <font>
      <i/>
      <sz val="12"/>
      <name val="Cambria"/>
      <family val="1"/>
      <scheme val="minor"/>
    </font>
    <font>
      <sz val="10"/>
      <color theme="1"/>
      <name val="Cambria"/>
      <family val="1"/>
      <scheme val="minor"/>
    </font>
    <font>
      <sz val="10"/>
      <color rgb="FFFF0000"/>
      <name val="Cambria"/>
      <family val="1"/>
      <scheme val="minor"/>
    </font>
    <font>
      <b/>
      <sz val="8"/>
      <color theme="4" tint="-0.249977111117893"/>
      <name val="Calibri"/>
      <family val="2"/>
      <scheme val="major"/>
    </font>
    <font>
      <i/>
      <sz val="12"/>
      <color theme="1"/>
      <name val="Cambria"/>
      <family val="1"/>
      <scheme val="minor"/>
    </font>
    <font>
      <b/>
      <vertAlign val="subscript"/>
      <sz val="18"/>
      <color theme="1"/>
      <name val="Calibri"/>
      <family val="2"/>
      <scheme val="major"/>
    </font>
    <font>
      <sz val="18"/>
      <color theme="1"/>
      <name val="Cambria"/>
      <family val="1"/>
      <scheme val="minor"/>
    </font>
    <font>
      <sz val="10"/>
      <color indexed="10"/>
      <name val="Arial"/>
      <family val="2"/>
    </font>
    <font>
      <i/>
      <vertAlign val="superscript"/>
      <sz val="18"/>
      <color indexed="12"/>
      <name val="Arial"/>
      <family val="2"/>
    </font>
    <font>
      <b/>
      <i/>
      <sz val="9"/>
      <name val="Arial"/>
      <family val="2"/>
    </font>
    <font>
      <i/>
      <sz val="8"/>
      <color theme="1"/>
      <name val="Cambria"/>
      <family val="1"/>
      <scheme val="minor"/>
    </font>
    <font>
      <b/>
      <sz val="14"/>
      <color theme="1"/>
      <name val="Cambria"/>
      <family val="1"/>
      <scheme val="minor"/>
    </font>
    <font>
      <vertAlign val="superscript"/>
      <sz val="10"/>
      <color theme="1"/>
      <name val="Cambria"/>
      <family val="1"/>
      <scheme val="minor"/>
    </font>
    <font>
      <sz val="12"/>
      <name val="Cambria"/>
      <family val="1"/>
      <scheme val="minor"/>
    </font>
    <font>
      <b/>
      <sz val="12"/>
      <color theme="1"/>
      <name val="Cambria"/>
      <family val="1"/>
      <scheme val="minor"/>
    </font>
    <font>
      <sz val="10"/>
      <color theme="0" tint="-0.499984740745262"/>
      <name val="Cambria"/>
      <family val="1"/>
      <scheme val="minor"/>
    </font>
    <font>
      <b/>
      <sz val="8"/>
      <color theme="1"/>
      <name val="Cambria"/>
      <family val="1"/>
      <scheme val="minor"/>
    </font>
    <font>
      <sz val="12"/>
      <color indexed="12"/>
      <name val="Arial"/>
      <family val="2"/>
    </font>
    <font>
      <b/>
      <i/>
      <sz val="8"/>
      <name val="Arial"/>
      <family val="2"/>
    </font>
    <font>
      <sz val="10"/>
      <color theme="0" tint="-0.34998626667073579"/>
      <name val="Cambria"/>
      <family val="1"/>
      <scheme val="minor"/>
    </font>
    <font>
      <i/>
      <sz val="10"/>
      <color indexed="8"/>
      <name val="Cambria"/>
      <family val="1"/>
      <scheme val="minor"/>
    </font>
    <font>
      <sz val="18"/>
      <color theme="0"/>
      <name val="Calibri"/>
      <family val="2"/>
      <scheme val="major"/>
    </font>
    <font>
      <b/>
      <sz val="18"/>
      <color theme="0"/>
      <name val="Calibri"/>
      <family val="2"/>
      <scheme val="major"/>
    </font>
    <font>
      <b/>
      <sz val="12"/>
      <color theme="4" tint="-0.249977111117893"/>
      <name val="Cambria"/>
      <family val="1"/>
      <scheme val="minor"/>
    </font>
    <font>
      <sz val="12"/>
      <color theme="4" tint="-0.249977111117893"/>
      <name val="Cambria"/>
      <family val="1"/>
      <scheme val="minor"/>
    </font>
    <font>
      <b/>
      <sz val="10"/>
      <color theme="1"/>
      <name val="Arial"/>
      <family val="2"/>
    </font>
    <font>
      <sz val="10"/>
      <color theme="1"/>
      <name val="Cambria"/>
      <family val="1"/>
      <scheme val="minor"/>
    </font>
    <font>
      <b/>
      <sz val="10"/>
      <color rgb="FFFF0000"/>
      <name val="Cambria"/>
      <family val="1"/>
      <scheme val="minor"/>
    </font>
    <font>
      <sz val="10"/>
      <color theme="0"/>
      <name val="Calibri"/>
      <family val="2"/>
      <scheme val="major"/>
    </font>
    <font>
      <b/>
      <sz val="10"/>
      <color theme="0"/>
      <name val="Calibri"/>
      <family val="2"/>
      <scheme val="major"/>
    </font>
    <font>
      <sz val="10"/>
      <color theme="4" tint="0.59999389629810485"/>
      <name val="Calibri"/>
      <family val="2"/>
      <scheme val="major"/>
    </font>
    <font>
      <b/>
      <sz val="10"/>
      <color theme="4" tint="0.59999389629810485"/>
      <name val="Calibri"/>
      <family val="2"/>
      <scheme val="major"/>
    </font>
    <font>
      <sz val="10"/>
      <color theme="4" tint="0.59999389629810485"/>
      <name val="Cambria"/>
      <family val="1"/>
      <scheme val="minor"/>
    </font>
    <font>
      <b/>
      <sz val="12"/>
      <name val="Cambria"/>
      <family val="1"/>
      <scheme val="minor"/>
    </font>
    <font>
      <b/>
      <sz val="18"/>
      <color theme="1"/>
      <name val="Cambria"/>
      <family val="1"/>
      <scheme val="minor"/>
    </font>
    <font>
      <b/>
      <sz val="11"/>
      <color theme="1"/>
      <name val="Calibri"/>
      <family val="2"/>
      <scheme val="major"/>
    </font>
    <font>
      <b/>
      <sz val="11"/>
      <color theme="0"/>
      <name val="Calibri"/>
      <family val="2"/>
      <scheme val="major"/>
    </font>
    <font>
      <sz val="16"/>
      <color theme="1"/>
      <name val="Calibri"/>
      <family val="2"/>
      <scheme val="major"/>
    </font>
    <font>
      <b/>
      <i/>
      <sz val="12"/>
      <color theme="1"/>
      <name val="Calibri"/>
      <family val="2"/>
      <scheme val="major"/>
    </font>
    <font>
      <sz val="10"/>
      <color theme="0"/>
      <name val="Cambria"/>
      <family val="1"/>
      <scheme val="minor"/>
    </font>
    <font>
      <sz val="8"/>
      <color theme="4" tint="0.39997558519241921"/>
      <name val="Cambria"/>
      <family val="1"/>
      <scheme val="minor"/>
    </font>
    <font>
      <i/>
      <sz val="8"/>
      <color theme="4" tint="0.39997558519241921"/>
      <name val="Cambria"/>
      <family val="1"/>
      <scheme val="minor"/>
    </font>
    <font>
      <sz val="18"/>
      <color theme="1"/>
      <name val="Calibri"/>
      <family val="2"/>
      <scheme val="major"/>
    </font>
    <font>
      <sz val="12"/>
      <color theme="0"/>
      <name val="Cambria"/>
      <family val="1"/>
      <scheme val="minor"/>
    </font>
    <font>
      <u/>
      <sz val="12"/>
      <color theme="1"/>
      <name val="Cambria"/>
      <family val="1"/>
      <scheme val="minor"/>
    </font>
    <font>
      <vertAlign val="subscript"/>
      <sz val="12"/>
      <color theme="1"/>
      <name val="Cambria"/>
      <family val="1"/>
      <scheme val="minor"/>
    </font>
    <font>
      <b/>
      <sz val="18"/>
      <color theme="9" tint="-0.249977111117893"/>
      <name val="Cambria"/>
      <family val="1"/>
      <scheme val="minor"/>
    </font>
    <font>
      <sz val="14"/>
      <color theme="9" tint="-0.249977111117893"/>
      <name val="Cambria"/>
      <family val="1"/>
      <scheme val="minor"/>
    </font>
    <font>
      <sz val="10"/>
      <color theme="1"/>
      <name val="Cambria"/>
      <family val="1"/>
      <scheme val="minor"/>
    </font>
    <font>
      <u/>
      <sz val="10"/>
      <color theme="10"/>
      <name val="Cambria"/>
      <family val="1"/>
      <scheme val="minor"/>
    </font>
    <font>
      <u/>
      <sz val="10"/>
      <color theme="11"/>
      <name val="Cambria"/>
      <family val="1"/>
      <scheme val="minor"/>
    </font>
    <font>
      <sz val="10"/>
      <color theme="1"/>
      <name val="Cambria"/>
      <family val="1"/>
      <scheme val="minor"/>
    </font>
    <font>
      <sz val="10"/>
      <color indexed="8"/>
      <name val="Calibri"/>
      <family val="1"/>
    </font>
    <font>
      <u/>
      <sz val="8.5"/>
      <color theme="10"/>
      <name val="Cambria"/>
      <family val="1"/>
    </font>
    <font>
      <u/>
      <sz val="10"/>
      <color theme="10"/>
      <name val="Cambria"/>
      <family val="1"/>
    </font>
    <font>
      <b/>
      <sz val="11"/>
      <color theme="1"/>
      <name val="Arial"/>
      <family val="2"/>
    </font>
    <font>
      <sz val="10"/>
      <color theme="1"/>
      <name val="Cambria"/>
      <family val="1"/>
      <scheme val="minor"/>
    </font>
    <font>
      <b/>
      <sz val="9"/>
      <color rgb="FF333333"/>
      <name val="Verdana"/>
      <family val="2"/>
    </font>
  </fonts>
  <fills count="36">
    <fill>
      <patternFill patternType="none"/>
    </fill>
    <fill>
      <patternFill patternType="gray125"/>
    </fill>
    <fill>
      <patternFill patternType="solid">
        <fgColor theme="4" tint="0.79998168889431442"/>
        <bgColor indexed="64"/>
      </patternFill>
    </fill>
    <fill>
      <patternFill patternType="solid">
        <fgColor rgb="FFFFCC99"/>
      </patternFill>
    </fill>
    <fill>
      <patternFill patternType="solid">
        <fgColor indexed="9"/>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3" tint="-0.249977111117893"/>
        <bgColor indexed="64"/>
      </patternFill>
    </fill>
    <fill>
      <patternFill patternType="solid">
        <fgColor rgb="FFE9EFF7"/>
        <bgColor indexed="64"/>
      </patternFill>
    </fill>
    <fill>
      <patternFill patternType="solid">
        <fgColor rgb="FFFFFF00"/>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theme="3" tint="-0.499984740745262"/>
        <bgColor indexed="64"/>
      </patternFill>
    </fill>
    <fill>
      <patternFill patternType="solid">
        <fgColor theme="5" tint="0.39997558519241921"/>
        <bgColor indexed="64"/>
      </patternFill>
    </fill>
    <fill>
      <patternFill patternType="solid">
        <fgColor theme="9" tint="0.79998168889431442"/>
        <bgColor indexed="65"/>
      </patternFill>
    </fill>
    <fill>
      <patternFill patternType="solid">
        <fgColor theme="3" tint="0.39997558519241921"/>
        <bgColor indexed="64"/>
      </patternFill>
    </fill>
    <fill>
      <patternFill patternType="solid">
        <fgColor theme="3" tint="0.79998168889431442"/>
        <bgColor indexed="64"/>
      </patternFill>
    </fill>
    <fill>
      <patternFill patternType="solid">
        <fgColor theme="0"/>
        <bgColor indexed="26"/>
      </patternFill>
    </fill>
    <fill>
      <patternFill patternType="solid">
        <fgColor theme="4" tint="0.79998168889431442"/>
        <bgColor indexed="65"/>
      </patternFill>
    </fill>
    <fill>
      <patternFill patternType="solid">
        <fgColor theme="3" tint="0.39997558519241921"/>
        <bgColor theme="5"/>
      </patternFill>
    </fill>
    <fill>
      <patternFill patternType="solid">
        <fgColor theme="3" tint="0.79998168889431442"/>
        <bgColor theme="5" tint="0.59999389629810485"/>
      </patternFill>
    </fill>
    <fill>
      <patternFill patternType="solid">
        <fgColor rgb="FFFFFFFF"/>
        <bgColor indexed="64"/>
      </patternFill>
    </fill>
    <fill>
      <patternFill patternType="solid">
        <fgColor rgb="FF00B0F0"/>
        <bgColor indexed="64"/>
      </patternFill>
    </fill>
  </fills>
  <borders count="81">
    <border>
      <left/>
      <right/>
      <top/>
      <bottom/>
      <diagonal/>
    </border>
    <border>
      <left/>
      <right/>
      <top/>
      <bottom style="thin">
        <color auto="1"/>
      </bottom>
      <diagonal/>
    </border>
    <border>
      <left/>
      <right/>
      <top style="thin">
        <color auto="1"/>
      </top>
      <bottom style="thin">
        <color theme="0" tint="-0.24994659260841701"/>
      </bottom>
      <diagonal/>
    </border>
    <border>
      <left style="thin">
        <color rgb="FF7F7F7F"/>
      </left>
      <right style="thin">
        <color rgb="FF7F7F7F"/>
      </right>
      <top style="thin">
        <color rgb="FF7F7F7F"/>
      </top>
      <bottom style="thin">
        <color rgb="FF7F7F7F"/>
      </bottom>
      <diagonal/>
    </border>
    <border>
      <left/>
      <right/>
      <top style="double">
        <color auto="1"/>
      </top>
      <bottom style="thin">
        <color auto="1"/>
      </bottom>
      <diagonal/>
    </border>
    <border>
      <left/>
      <right/>
      <top style="thin">
        <color auto="1"/>
      </top>
      <bottom style="thin">
        <color auto="1"/>
      </bottom>
      <diagonal/>
    </border>
    <border>
      <left/>
      <right/>
      <top style="thin">
        <color auto="1"/>
      </top>
      <bottom style="double">
        <color auto="1"/>
      </bottom>
      <diagonal/>
    </border>
    <border>
      <left/>
      <right/>
      <top/>
      <bottom style="double">
        <color auto="1"/>
      </bottom>
      <diagonal/>
    </border>
    <border>
      <left/>
      <right/>
      <top style="thin">
        <color auto="1"/>
      </top>
      <bottom/>
      <diagonal/>
    </border>
    <border>
      <left/>
      <right/>
      <top style="double">
        <color auto="1"/>
      </top>
      <bottom/>
      <diagonal/>
    </border>
    <border>
      <left/>
      <right/>
      <top style="double">
        <color auto="1"/>
      </top>
      <bottom style="double">
        <color auto="1"/>
      </bottom>
      <diagonal/>
    </border>
    <border>
      <left/>
      <right/>
      <top style="medium">
        <color theme="1"/>
      </top>
      <bottom style="medium">
        <color theme="1"/>
      </bottom>
      <diagonal/>
    </border>
    <border>
      <left/>
      <right/>
      <top/>
      <bottom style="thin">
        <color theme="1"/>
      </bottom>
      <diagonal/>
    </border>
    <border>
      <left/>
      <right/>
      <top style="thin">
        <color theme="1"/>
      </top>
      <bottom style="thin">
        <color theme="1"/>
      </bottom>
      <diagonal/>
    </border>
    <border>
      <left/>
      <right/>
      <top style="thin">
        <color theme="0" tint="-0.34998626667073579"/>
      </top>
      <bottom/>
      <diagonal/>
    </border>
    <border>
      <left/>
      <right/>
      <top/>
      <bottom style="thin">
        <color theme="0" tint="-0.34998626667073579"/>
      </bottom>
      <diagonal/>
    </border>
    <border>
      <left/>
      <right/>
      <top style="thin">
        <color theme="1" tint="4.9989318521683403E-2"/>
      </top>
      <bottom style="thin">
        <color theme="0" tint="-0.34998626667073579"/>
      </bottom>
      <diagonal/>
    </border>
    <border>
      <left/>
      <right/>
      <top/>
      <bottom style="thin">
        <color theme="1" tint="4.9989318521683403E-2"/>
      </bottom>
      <diagonal/>
    </border>
    <border>
      <left style="thin">
        <color theme="0" tint="-0.34998626667073579"/>
      </left>
      <right/>
      <top style="thin">
        <color theme="1" tint="4.9989318521683403E-2"/>
      </top>
      <bottom style="thin">
        <color theme="0" tint="-0.34998626667073579"/>
      </bottom>
      <diagonal/>
    </border>
    <border>
      <left style="thin">
        <color theme="0" tint="-0.34998626667073579"/>
      </left>
      <right/>
      <top/>
      <bottom/>
      <diagonal/>
    </border>
    <border>
      <left style="thin">
        <color theme="0" tint="-0.34998626667073579"/>
      </left>
      <right/>
      <top/>
      <bottom style="thin">
        <color theme="1" tint="4.9989318521683403E-2"/>
      </bottom>
      <diagonal/>
    </border>
    <border>
      <left/>
      <right/>
      <top style="thin">
        <color theme="0" tint="-0.34998626667073579"/>
      </top>
      <bottom style="thin">
        <color auto="1"/>
      </bottom>
      <diagonal/>
    </border>
    <border>
      <left style="thin">
        <color theme="0" tint="-0.34998626667073579"/>
      </left>
      <right/>
      <top style="thin">
        <color theme="0" tint="-0.34998626667073579"/>
      </top>
      <bottom style="thin">
        <color auto="1"/>
      </bottom>
      <diagonal/>
    </border>
    <border>
      <left/>
      <right/>
      <top style="thin">
        <color theme="1" tint="4.9989318521683403E-2"/>
      </top>
      <bottom/>
      <diagonal/>
    </border>
    <border>
      <left/>
      <right style="thin">
        <color theme="0" tint="-0.34998626667073579"/>
      </right>
      <top style="thin">
        <color theme="0" tint="-0.34998626667073579"/>
      </top>
      <bottom style="thin">
        <color auto="1"/>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right style="thin">
        <color theme="0" tint="-0.34998626667073579"/>
      </right>
      <top/>
      <bottom style="thin">
        <color auto="1"/>
      </bottom>
      <diagonal/>
    </border>
    <border>
      <left style="thin">
        <color theme="0" tint="-0.34998626667073579"/>
      </left>
      <right/>
      <top/>
      <bottom style="thin">
        <color auto="1"/>
      </bottom>
      <diagonal/>
    </border>
    <border>
      <left style="thin">
        <color theme="0" tint="-0.34998626667073579"/>
      </left>
      <right/>
      <top style="thin">
        <color theme="0" tint="-0.34998626667073579"/>
      </top>
      <bottom/>
      <diagonal/>
    </border>
    <border>
      <left style="thin">
        <color theme="0"/>
      </left>
      <right style="thin">
        <color theme="0"/>
      </right>
      <top/>
      <bottom/>
      <diagonal/>
    </border>
    <border>
      <left/>
      <right/>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tint="-0.34998626667073579"/>
      </bottom>
      <diagonal/>
    </border>
    <border>
      <left style="thin">
        <color theme="0"/>
      </left>
      <right style="thin">
        <color theme="0"/>
      </right>
      <top style="thin">
        <color theme="1"/>
      </top>
      <bottom style="thin">
        <color theme="1"/>
      </bottom>
      <diagonal/>
    </border>
    <border>
      <left style="thin">
        <color theme="0"/>
      </left>
      <right style="thin">
        <color theme="0"/>
      </right>
      <top style="thin">
        <color theme="0"/>
      </top>
      <bottom style="thin">
        <color theme="0" tint="-0.34998626667073579"/>
      </bottom>
      <diagonal/>
    </border>
    <border>
      <left/>
      <right/>
      <top style="thin">
        <color theme="0"/>
      </top>
      <bottom/>
      <diagonal/>
    </border>
    <border>
      <left style="thin">
        <color theme="0"/>
      </left>
      <right style="thin">
        <color theme="0"/>
      </right>
      <top style="thin">
        <color theme="0"/>
      </top>
      <bottom/>
      <diagonal/>
    </border>
    <border>
      <left style="thin">
        <color theme="0"/>
      </left>
      <right style="thin">
        <color theme="0"/>
      </right>
      <top style="medium">
        <color theme="1"/>
      </top>
      <bottom style="medium">
        <color theme="1"/>
      </bottom>
      <diagonal/>
    </border>
    <border>
      <left/>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style="thin">
        <color theme="0"/>
      </left>
      <right/>
      <top/>
      <bottom/>
      <diagonal/>
    </border>
    <border>
      <left/>
      <right style="thin">
        <color theme="0"/>
      </right>
      <top/>
      <bottom/>
      <diagonal/>
    </border>
    <border>
      <left style="thin">
        <color theme="0"/>
      </left>
      <right style="thin">
        <color theme="0"/>
      </right>
      <top style="thin">
        <color auto="1"/>
      </top>
      <bottom style="thin">
        <color auto="1"/>
      </bottom>
      <diagonal/>
    </border>
    <border>
      <left style="thin">
        <color theme="0"/>
      </left>
      <right style="thin">
        <color theme="0"/>
      </right>
      <top style="medium">
        <color auto="1"/>
      </top>
      <bottom style="medium">
        <color auto="1"/>
      </bottom>
      <diagonal/>
    </border>
    <border>
      <left/>
      <right/>
      <top style="thin">
        <color auto="1"/>
      </top>
      <bottom style="thin">
        <color theme="0" tint="-0.34998626667073579"/>
      </bottom>
      <diagonal/>
    </border>
    <border>
      <left/>
      <right style="thin">
        <color theme="0" tint="-0.34998626667073579"/>
      </right>
      <top style="thin">
        <color theme="1" tint="4.9989318521683403E-2"/>
      </top>
      <bottom style="thin">
        <color theme="0" tint="-0.34998626667073579"/>
      </bottom>
      <diagonal/>
    </border>
    <border>
      <left/>
      <right style="thin">
        <color theme="0" tint="-0.34998626667073579"/>
      </right>
      <top/>
      <bottom style="thin">
        <color theme="1" tint="4.9989318521683403E-2"/>
      </bottom>
      <diagonal/>
    </border>
    <border>
      <left/>
      <right/>
      <top style="thin">
        <color theme="0"/>
      </top>
      <bottom style="thin">
        <color auto="1"/>
      </bottom>
      <diagonal/>
    </border>
    <border>
      <left/>
      <right/>
      <top style="medium">
        <color theme="0"/>
      </top>
      <bottom/>
      <diagonal/>
    </border>
    <border>
      <left/>
      <right/>
      <top style="medium">
        <color theme="0"/>
      </top>
      <bottom style="thin">
        <color theme="0"/>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theme="4" tint="0.39994506668294322"/>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theme="9" tint="-0.499984740745262"/>
      </left>
      <right/>
      <top style="thin">
        <color theme="9" tint="-0.499984740745262"/>
      </top>
      <bottom/>
      <diagonal/>
    </border>
    <border>
      <left/>
      <right/>
      <top style="thin">
        <color theme="9" tint="-0.499984740745262"/>
      </top>
      <bottom/>
      <diagonal/>
    </border>
    <border>
      <left/>
      <right style="thin">
        <color theme="9" tint="-0.499984740745262"/>
      </right>
      <top style="thin">
        <color theme="9" tint="-0.499984740745262"/>
      </top>
      <bottom/>
      <diagonal/>
    </border>
    <border>
      <left style="thin">
        <color theme="9" tint="-0.499984740745262"/>
      </left>
      <right/>
      <top/>
      <bottom/>
      <diagonal/>
    </border>
    <border>
      <left/>
      <right style="thin">
        <color theme="9" tint="-0.499984740745262"/>
      </right>
      <top/>
      <bottom/>
      <diagonal/>
    </border>
    <border>
      <left style="thin">
        <color theme="9" tint="-0.499984740745262"/>
      </left>
      <right/>
      <top/>
      <bottom style="thin">
        <color theme="9" tint="-0.499984740745262"/>
      </bottom>
      <diagonal/>
    </border>
    <border>
      <left/>
      <right/>
      <top/>
      <bottom style="thin">
        <color theme="9" tint="-0.499984740745262"/>
      </bottom>
      <diagonal/>
    </border>
    <border>
      <left/>
      <right style="thin">
        <color theme="9" tint="-0.499984740745262"/>
      </right>
      <top/>
      <bottom style="thin">
        <color theme="9" tint="-0.499984740745262"/>
      </bottom>
      <diagonal/>
    </border>
    <border>
      <left/>
      <right/>
      <top style="thin">
        <color theme="1"/>
      </top>
      <bottom/>
      <diagonal/>
    </border>
    <border>
      <left/>
      <right/>
      <top style="thin">
        <color auto="1"/>
      </top>
      <bottom style="thin">
        <color theme="2" tint="-9.9948118533890809E-2"/>
      </bottom>
      <diagonal/>
    </border>
    <border>
      <left/>
      <right style="thin">
        <color theme="0"/>
      </right>
      <top/>
      <bottom style="thick">
        <color theme="0"/>
      </bottom>
      <diagonal/>
    </border>
    <border>
      <left/>
      <right/>
      <top/>
      <bottom style="thick">
        <color theme="0"/>
      </bottom>
      <diagonal/>
    </border>
    <border>
      <left/>
      <right/>
      <top style="thin">
        <color auto="1"/>
      </top>
      <bottom style="thin">
        <color theme="0" tint="-0.14996795556505021"/>
      </bottom>
      <diagonal/>
    </border>
    <border>
      <left/>
      <right/>
      <top style="thin">
        <color theme="1" tint="4.9989318521683403E-2"/>
      </top>
      <bottom style="thin">
        <color auto="1"/>
      </bottom>
      <diagonal/>
    </border>
  </borders>
  <cellStyleXfs count="793">
    <xf numFmtId="0" fontId="0" fillId="0" borderId="0"/>
    <xf numFmtId="200" fontId="32" fillId="0" borderId="0" applyFont="0" applyFill="0" applyBorder="0" applyAlignment="0" applyProtection="0"/>
    <xf numFmtId="191" fontId="16" fillId="0" borderId="0" applyFont="0" applyFill="0" applyBorder="0" applyAlignment="0" applyProtection="0"/>
    <xf numFmtId="0" fontId="36" fillId="3" borderId="3" applyNumberFormat="0" applyAlignment="0" applyProtection="0"/>
    <xf numFmtId="176" fontId="74" fillId="0" borderId="0" applyNumberFormat="0" applyFill="0" applyBorder="0" applyAlignment="0" applyProtection="0"/>
    <xf numFmtId="0" fontId="26" fillId="0" borderId="2" applyNumberFormat="0">
      <alignment horizontal="left" vertical="center"/>
    </xf>
    <xf numFmtId="0" fontId="37" fillId="0" borderId="0"/>
    <xf numFmtId="200" fontId="32" fillId="0" borderId="0" applyFont="0" applyFill="0" applyBorder="0" applyAlignment="0" applyProtection="0"/>
    <xf numFmtId="0" fontId="13" fillId="27" borderId="0" applyNumberFormat="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3" fillId="0" borderId="0"/>
    <xf numFmtId="0" fontId="11" fillId="31" borderId="0" applyNumberFormat="0" applyBorder="0" applyAlignment="0" applyProtection="0"/>
    <xf numFmtId="0" fontId="164" fillId="0" borderId="0" applyNumberFormat="0" applyFill="0" applyBorder="0" applyAlignment="0" applyProtection="0">
      <alignment vertical="top"/>
      <protection locked="0"/>
    </xf>
    <xf numFmtId="0" fontId="160" fillId="0" borderId="0" applyNumberFormat="0" applyFill="0" applyBorder="0" applyAlignment="0" applyProtection="0"/>
    <xf numFmtId="0" fontId="161" fillId="0" borderId="0" applyNumberFormat="0" applyFill="0" applyBorder="0" applyAlignment="0" applyProtection="0"/>
    <xf numFmtId="0" fontId="8" fillId="27" borderId="0" applyNumberFormat="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8" fillId="31" borderId="0" applyNumberFormat="0" applyBorder="0" applyAlignment="0" applyProtection="0"/>
    <xf numFmtId="0" fontId="160" fillId="0" borderId="0" applyNumberFormat="0" applyFill="0" applyBorder="0" applyAlignment="0" applyProtection="0"/>
    <xf numFmtId="0" fontId="8" fillId="0" borderId="0"/>
    <xf numFmtId="43" fontId="8" fillId="0" borderId="0" applyFont="0" applyFill="0" applyBorder="0" applyAlignment="0" applyProtection="0"/>
    <xf numFmtId="0" fontId="8" fillId="0" borderId="0"/>
    <xf numFmtId="0" fontId="160"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0"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161" fillId="0" borderId="0" applyNumberFormat="0" applyFill="0" applyBorder="0" applyAlignment="0" applyProtection="0"/>
    <xf numFmtId="0" fontId="160" fillId="0" borderId="0" applyNumberFormat="0" applyFill="0" applyBorder="0" applyAlignment="0" applyProtection="0"/>
    <xf numFmtId="0" fontId="7" fillId="27" borderId="0" applyNumberFormat="0" applyBorder="0" applyAlignment="0" applyProtection="0"/>
    <xf numFmtId="0" fontId="7" fillId="0" borderId="0"/>
    <xf numFmtId="0" fontId="7" fillId="0" borderId="0"/>
    <xf numFmtId="0" fontId="6" fillId="27" borderId="0" applyNumberFormat="0" applyBorder="0" applyAlignment="0" applyProtection="0"/>
  </cellStyleXfs>
  <cellXfs count="1987">
    <xf numFmtId="0" fontId="0" fillId="0" borderId="0" xfId="0"/>
    <xf numFmtId="0" fontId="0" fillId="0" borderId="0" xfId="0"/>
    <xf numFmtId="0" fontId="16" fillId="0" borderId="0" xfId="0" applyFont="1"/>
    <xf numFmtId="0" fontId="18" fillId="0" borderId="0" xfId="0" applyFont="1"/>
    <xf numFmtId="0" fontId="16" fillId="0" borderId="0" xfId="0" applyFont="1" applyAlignment="1">
      <alignment horizontal="center" vertical="center" wrapText="1"/>
    </xf>
    <xf numFmtId="0" fontId="14" fillId="0" borderId="0" xfId="0" applyFont="1" applyAlignment="1">
      <alignment horizontal="center" vertical="center" wrapText="1"/>
    </xf>
    <xf numFmtId="0" fontId="18" fillId="0" borderId="0" xfId="0" applyFont="1" applyAlignment="1">
      <alignment horizontal="center" vertical="center" wrapText="1"/>
    </xf>
    <xf numFmtId="0" fontId="15" fillId="0" borderId="0" xfId="0" applyFont="1" applyAlignment="1">
      <alignment horizontal="center" vertical="center" wrapText="1"/>
    </xf>
    <xf numFmtId="0" fontId="19" fillId="0" borderId="0" xfId="0" applyFont="1" applyAlignment="1">
      <alignment vertical="center"/>
    </xf>
    <xf numFmtId="0" fontId="16" fillId="0" borderId="0" xfId="0" applyFont="1" applyAlignment="1">
      <alignment vertical="center"/>
    </xf>
    <xf numFmtId="0" fontId="20" fillId="0" borderId="0" xfId="0" applyFont="1" applyAlignment="1">
      <alignment vertical="center"/>
    </xf>
    <xf numFmtId="0" fontId="21" fillId="0" borderId="0" xfId="0" applyFont="1"/>
    <xf numFmtId="0" fontId="22" fillId="0" borderId="0" xfId="0" applyFont="1"/>
    <xf numFmtId="0" fontId="22" fillId="0" borderId="0" xfId="0" applyFont="1" applyAlignment="1">
      <alignment vertical="center"/>
    </xf>
    <xf numFmtId="0" fontId="25" fillId="0" borderId="0" xfId="0" applyFont="1" applyAlignment="1">
      <alignment vertical="center"/>
    </xf>
    <xf numFmtId="0" fontId="21" fillId="0" borderId="0" xfId="0" applyFont="1" applyAlignment="1">
      <alignment vertical="center"/>
    </xf>
    <xf numFmtId="0" fontId="16" fillId="0" borderId="0" xfId="0" applyFont="1" applyAlignment="1">
      <alignment horizontal="left" vertical="center" wrapText="1"/>
    </xf>
    <xf numFmtId="0" fontId="18" fillId="0" borderId="0" xfId="0" applyFont="1" applyAlignment="1">
      <alignment horizontal="left" vertical="center" wrapText="1"/>
    </xf>
    <xf numFmtId="0" fontId="0" fillId="0" borderId="0" xfId="0" applyAlignment="1">
      <alignment vertical="center"/>
    </xf>
    <xf numFmtId="200" fontId="0" fillId="0" borderId="0" xfId="1" applyFont="1"/>
    <xf numFmtId="0" fontId="0" fillId="0" borderId="0" xfId="0" applyAlignment="1">
      <alignment horizontal="right"/>
    </xf>
    <xf numFmtId="0" fontId="0" fillId="0" borderId="0" xfId="0" applyAlignment="1">
      <alignment horizontal="left"/>
    </xf>
    <xf numFmtId="0" fontId="0" fillId="0" borderId="0" xfId="0" applyFont="1" applyAlignment="1">
      <alignment vertical="center"/>
    </xf>
    <xf numFmtId="0" fontId="0" fillId="0" borderId="0" xfId="0" applyFont="1" applyAlignment="1">
      <alignment horizontal="left" vertical="center" wrapText="1"/>
    </xf>
    <xf numFmtId="0" fontId="0" fillId="0" borderId="0" xfId="0" applyFont="1"/>
    <xf numFmtId="0" fontId="25" fillId="0" borderId="0" xfId="0" applyFont="1" applyAlignment="1">
      <alignment horizontal="left" vertical="center" wrapText="1"/>
    </xf>
    <xf numFmtId="0" fontId="0" fillId="0" borderId="0" xfId="0" applyAlignment="1">
      <alignment horizontal="left" vertical="center" wrapText="1"/>
    </xf>
    <xf numFmtId="191" fontId="0" fillId="0" borderId="0" xfId="2" applyFont="1"/>
    <xf numFmtId="11" fontId="0" fillId="0" borderId="0" xfId="0" applyNumberFormat="1"/>
    <xf numFmtId="0" fontId="30" fillId="0" borderId="0" xfId="0" applyFont="1"/>
    <xf numFmtId="0" fontId="0" fillId="0" borderId="0" xfId="0" applyBorder="1" applyAlignment="1">
      <alignment vertical="center"/>
    </xf>
    <xf numFmtId="164" fontId="0" fillId="0" borderId="0" xfId="0" applyNumberFormat="1" applyBorder="1" applyAlignment="1">
      <alignment vertical="center"/>
    </xf>
    <xf numFmtId="0" fontId="0" fillId="0" borderId="1" xfId="0" applyBorder="1" applyAlignment="1">
      <alignment vertical="center"/>
    </xf>
    <xf numFmtId="164" fontId="0" fillId="0" borderId="1" xfId="0" applyNumberFormat="1" applyBorder="1" applyAlignment="1">
      <alignment vertical="center"/>
    </xf>
    <xf numFmtId="0" fontId="26" fillId="0" borderId="2" xfId="0" applyFont="1" applyBorder="1" applyAlignment="1">
      <alignment horizontal="left" vertical="center"/>
    </xf>
    <xf numFmtId="0" fontId="26" fillId="0" borderId="2" xfId="0" applyFont="1" applyBorder="1" applyAlignment="1">
      <alignment horizontal="center" vertical="center"/>
    </xf>
    <xf numFmtId="0" fontId="33" fillId="0" borderId="0" xfId="0" applyFont="1" applyBorder="1" applyAlignment="1">
      <alignment horizontal="left" vertical="center"/>
    </xf>
    <xf numFmtId="0" fontId="33" fillId="0" borderId="1" xfId="0" applyFont="1" applyBorder="1" applyAlignment="1">
      <alignment horizontal="left" vertical="center"/>
    </xf>
    <xf numFmtId="0" fontId="0" fillId="0" borderId="0" xfId="0" applyFill="1" applyBorder="1" applyAlignment="1">
      <alignment vertical="center"/>
    </xf>
    <xf numFmtId="0" fontId="36" fillId="3" borderId="3" xfId="3" applyAlignment="1">
      <alignment horizontal="center" vertical="center"/>
    </xf>
    <xf numFmtId="0" fontId="0" fillId="0" borderId="0" xfId="0" applyBorder="1"/>
    <xf numFmtId="0" fontId="0" fillId="0" borderId="0" xfId="0" applyFill="1" applyBorder="1"/>
    <xf numFmtId="0" fontId="38" fillId="4" borderId="0" xfId="0" applyFont="1" applyFill="1" applyAlignment="1">
      <alignment horizontal="left"/>
    </xf>
    <xf numFmtId="0" fontId="38" fillId="4" borderId="0" xfId="0" applyFont="1" applyFill="1"/>
    <xf numFmtId="0" fontId="39" fillId="4" borderId="0" xfId="0" applyFont="1" applyFill="1"/>
    <xf numFmtId="0" fontId="40" fillId="4" borderId="0" xfId="0" applyFont="1" applyFill="1"/>
    <xf numFmtId="0" fontId="41" fillId="4" borderId="0" xfId="0" applyFont="1" applyFill="1"/>
    <xf numFmtId="0" fontId="42" fillId="4" borderId="0" xfId="0" applyFont="1" applyFill="1"/>
    <xf numFmtId="0" fontId="43" fillId="4" borderId="0" xfId="0" applyFont="1" applyFill="1"/>
    <xf numFmtId="0" fontId="44" fillId="4" borderId="0" xfId="0" applyFont="1" applyFill="1"/>
    <xf numFmtId="0" fontId="45" fillId="4" borderId="0" xfId="0" applyFont="1" applyFill="1"/>
    <xf numFmtId="0" fontId="44" fillId="4" borderId="0" xfId="0" applyFont="1" applyFill="1" applyAlignment="1">
      <alignment horizontal="right"/>
    </xf>
    <xf numFmtId="0" fontId="37" fillId="4" borderId="0" xfId="0" applyFont="1" applyFill="1"/>
    <xf numFmtId="0" fontId="42" fillId="4" borderId="4" xfId="0" applyFont="1" applyFill="1" applyBorder="1" applyAlignment="1">
      <alignment horizontal="right" vertical="top" wrapText="1"/>
    </xf>
    <xf numFmtId="165" fontId="46" fillId="4" borderId="4" xfId="0" applyNumberFormat="1" applyFont="1" applyFill="1" applyBorder="1" applyAlignment="1">
      <alignment horizontal="right" vertical="top" wrapText="1"/>
    </xf>
    <xf numFmtId="0" fontId="46" fillId="4" borderId="4" xfId="0" applyFont="1" applyFill="1" applyBorder="1" applyAlignment="1">
      <alignment horizontal="right" vertical="top" wrapText="1"/>
    </xf>
    <xf numFmtId="0" fontId="48" fillId="4" borderId="0" xfId="0" applyFont="1" applyFill="1" applyAlignment="1">
      <alignment horizontal="right" vertical="top" wrapText="1"/>
    </xf>
    <xf numFmtId="0" fontId="46" fillId="4" borderId="0" xfId="0" applyFont="1" applyFill="1"/>
    <xf numFmtId="166" fontId="42" fillId="4" borderId="0" xfId="0" applyNumberFormat="1" applyFont="1" applyFill="1" applyAlignment="1">
      <alignment horizontal="right"/>
    </xf>
    <xf numFmtId="3" fontId="42" fillId="4" borderId="0" xfId="0" applyNumberFormat="1" applyFont="1" applyFill="1"/>
    <xf numFmtId="0" fontId="49" fillId="4" borderId="0" xfId="0" applyFont="1" applyFill="1"/>
    <xf numFmtId="1" fontId="42" fillId="4" borderId="0" xfId="0" applyNumberFormat="1" applyFont="1" applyFill="1"/>
    <xf numFmtId="167" fontId="42" fillId="4" borderId="0" xfId="0" applyNumberFormat="1" applyFont="1" applyFill="1" applyAlignment="1">
      <alignment horizontal="right"/>
    </xf>
    <xf numFmtId="0" fontId="42" fillId="4" borderId="0" xfId="0" applyFont="1" applyFill="1" applyBorder="1"/>
    <xf numFmtId="0" fontId="46" fillId="4" borderId="5" xfId="0" applyFont="1" applyFill="1" applyBorder="1" applyAlignment="1">
      <alignment vertical="center"/>
    </xf>
    <xf numFmtId="167" fontId="43" fillId="4" borderId="5" xfId="0" applyNumberFormat="1" applyFont="1" applyFill="1" applyBorder="1" applyAlignment="1">
      <alignment horizontal="right"/>
    </xf>
    <xf numFmtId="166" fontId="43" fillId="4" borderId="5" xfId="0" applyNumberFormat="1" applyFont="1" applyFill="1" applyBorder="1" applyAlignment="1">
      <alignment horizontal="right"/>
    </xf>
    <xf numFmtId="0" fontId="49" fillId="4" borderId="0" xfId="0" applyFont="1" applyFill="1" applyAlignment="1">
      <alignment vertical="center"/>
    </xf>
    <xf numFmtId="168" fontId="42" fillId="4" borderId="0" xfId="0" applyNumberFormat="1" applyFont="1" applyFill="1" applyBorder="1" applyAlignment="1">
      <alignment horizontal="right"/>
    </xf>
    <xf numFmtId="169" fontId="42" fillId="4" borderId="0" xfId="0" applyNumberFormat="1" applyFont="1" applyFill="1" applyBorder="1" applyAlignment="1">
      <alignment horizontal="right"/>
    </xf>
    <xf numFmtId="166" fontId="43" fillId="4" borderId="0" xfId="0" applyNumberFormat="1" applyFont="1" applyFill="1" applyBorder="1" applyAlignment="1">
      <alignment horizontal="right"/>
    </xf>
    <xf numFmtId="167" fontId="43" fillId="4" borderId="0" xfId="0" applyNumberFormat="1" applyFont="1" applyFill="1" applyAlignment="1">
      <alignment horizontal="right"/>
    </xf>
    <xf numFmtId="166" fontId="43" fillId="4" borderId="0" xfId="0" applyNumberFormat="1" applyFont="1" applyFill="1" applyAlignment="1">
      <alignment horizontal="right"/>
    </xf>
    <xf numFmtId="0" fontId="51" fillId="4" borderId="0" xfId="0" applyFont="1" applyFill="1"/>
    <xf numFmtId="0" fontId="42" fillId="4" borderId="1" xfId="0" applyFont="1" applyFill="1" applyBorder="1"/>
    <xf numFmtId="166" fontId="42" fillId="4" borderId="1" xfId="0" applyNumberFormat="1" applyFont="1" applyFill="1" applyBorder="1" applyAlignment="1">
      <alignment horizontal="right"/>
    </xf>
    <xf numFmtId="0" fontId="46" fillId="4" borderId="0" xfId="0" applyFont="1" applyFill="1" applyBorder="1"/>
    <xf numFmtId="0" fontId="46" fillId="4" borderId="1" xfId="0" applyFont="1" applyFill="1" applyBorder="1"/>
    <xf numFmtId="0" fontId="46" fillId="4" borderId="5" xfId="0" applyFont="1" applyFill="1" applyBorder="1"/>
    <xf numFmtId="167" fontId="43" fillId="4" borderId="5" xfId="0" applyNumberFormat="1" applyFont="1" applyFill="1" applyBorder="1" applyAlignment="1">
      <alignment horizontal="right" vertical="center"/>
    </xf>
    <xf numFmtId="166" fontId="43" fillId="4" borderId="5" xfId="0" applyNumberFormat="1" applyFont="1" applyFill="1" applyBorder="1" applyAlignment="1">
      <alignment horizontal="right" vertical="center"/>
    </xf>
    <xf numFmtId="0" fontId="46" fillId="4" borderId="6" xfId="0" applyFont="1" applyFill="1" applyBorder="1" applyAlignment="1">
      <alignment vertical="center"/>
    </xf>
    <xf numFmtId="166" fontId="43" fillId="4" borderId="6" xfId="0" applyNumberFormat="1" applyFont="1" applyFill="1" applyBorder="1" applyAlignment="1">
      <alignment horizontal="right"/>
    </xf>
    <xf numFmtId="167" fontId="43" fillId="4" borderId="6" xfId="0" applyNumberFormat="1" applyFont="1" applyFill="1" applyBorder="1" applyAlignment="1">
      <alignment horizontal="right"/>
    </xf>
    <xf numFmtId="0" fontId="50" fillId="4" borderId="0" xfId="0" applyFont="1" applyFill="1"/>
    <xf numFmtId="0" fontId="52" fillId="4" borderId="0" xfId="0" applyFont="1" applyFill="1"/>
    <xf numFmtId="166" fontId="37" fillId="4" borderId="0" xfId="0" applyNumberFormat="1" applyFont="1" applyFill="1"/>
    <xf numFmtId="0" fontId="55" fillId="0" borderId="0" xfId="0" applyFont="1"/>
    <xf numFmtId="0" fontId="37" fillId="0" borderId="0" xfId="0" applyFont="1"/>
    <xf numFmtId="0" fontId="37" fillId="0" borderId="7" xfId="0" applyFont="1" applyBorder="1"/>
    <xf numFmtId="3" fontId="37" fillId="0" borderId="0" xfId="0" applyNumberFormat="1" applyFont="1" applyFill="1" applyBorder="1"/>
    <xf numFmtId="3" fontId="37" fillId="0" borderId="0" xfId="0" applyNumberFormat="1" applyFont="1" applyFill="1" applyBorder="1" applyAlignment="1">
      <alignment horizontal="right"/>
    </xf>
    <xf numFmtId="0" fontId="37" fillId="0" borderId="0" xfId="0" applyFont="1" applyBorder="1"/>
    <xf numFmtId="0" fontId="37" fillId="0" borderId="4" xfId="0" applyFont="1" applyBorder="1"/>
    <xf numFmtId="3" fontId="37" fillId="0" borderId="4" xfId="0" applyNumberFormat="1" applyFont="1" applyFill="1" applyBorder="1"/>
    <xf numFmtId="3" fontId="37" fillId="0" borderId="4" xfId="0" applyNumberFormat="1" applyFont="1" applyFill="1" applyBorder="1" applyAlignment="1">
      <alignment horizontal="right"/>
    </xf>
    <xf numFmtId="3" fontId="37" fillId="0" borderId="0" xfId="0" applyNumberFormat="1" applyFont="1" applyFill="1" applyAlignment="1">
      <alignment horizontal="left"/>
    </xf>
    <xf numFmtId="3" fontId="37" fillId="0" borderId="0" xfId="0" applyNumberFormat="1" applyFont="1" applyFill="1"/>
    <xf numFmtId="3" fontId="56" fillId="0" borderId="0" xfId="0" applyNumberFormat="1" applyFont="1" applyFill="1" applyBorder="1"/>
    <xf numFmtId="3" fontId="56" fillId="0" borderId="0" xfId="0" applyNumberFormat="1" applyFont="1" applyFill="1" applyBorder="1" applyAlignment="1">
      <alignment horizontal="right"/>
    </xf>
    <xf numFmtId="3" fontId="37" fillId="0" borderId="5" xfId="0" applyNumberFormat="1" applyFont="1" applyFill="1" applyBorder="1"/>
    <xf numFmtId="3" fontId="37" fillId="0" borderId="0" xfId="0" applyNumberFormat="1" applyFont="1" applyFill="1" applyBorder="1" applyAlignment="1">
      <alignment horizontal="left"/>
    </xf>
    <xf numFmtId="170" fontId="37" fillId="0" borderId="5" xfId="0" applyNumberFormat="1" applyFont="1" applyFill="1" applyBorder="1" applyAlignment="1">
      <alignment horizontal="right"/>
    </xf>
    <xf numFmtId="3" fontId="37" fillId="0" borderId="5" xfId="0" applyNumberFormat="1" applyFont="1" applyFill="1" applyBorder="1" applyAlignment="1">
      <alignment horizontal="right"/>
    </xf>
    <xf numFmtId="3" fontId="37" fillId="0" borderId="6" xfId="0" applyNumberFormat="1" applyFont="1" applyFill="1" applyBorder="1"/>
    <xf numFmtId="3" fontId="37" fillId="0" borderId="0" xfId="0" applyNumberFormat="1" applyFont="1" applyFill="1" applyAlignment="1">
      <alignment horizontal="right"/>
    </xf>
    <xf numFmtId="0" fontId="37" fillId="0" borderId="0" xfId="0" applyFont="1" applyFill="1" applyBorder="1" applyAlignment="1">
      <alignment horizontal="right"/>
    </xf>
    <xf numFmtId="3" fontId="37" fillId="0" borderId="6" xfId="0" applyNumberFormat="1" applyFont="1" applyFill="1" applyBorder="1" applyAlignment="1">
      <alignment horizontal="right"/>
    </xf>
    <xf numFmtId="1" fontId="37" fillId="0" borderId="0" xfId="0" applyNumberFormat="1" applyFont="1"/>
    <xf numFmtId="1" fontId="37" fillId="0" borderId="0" xfId="0" applyNumberFormat="1" applyFont="1" applyFill="1" applyAlignment="1">
      <alignment horizontal="left"/>
    </xf>
    <xf numFmtId="3" fontId="37" fillId="0" borderId="0" xfId="0" applyNumberFormat="1" applyFont="1"/>
    <xf numFmtId="1" fontId="37" fillId="0" borderId="5" xfId="0" applyNumberFormat="1" applyFont="1" applyFill="1" applyBorder="1" applyAlignment="1">
      <alignment horizontal="left"/>
    </xf>
    <xf numFmtId="3" fontId="37" fillId="0" borderId="5" xfId="0" applyNumberFormat="1" applyFont="1" applyBorder="1"/>
    <xf numFmtId="171" fontId="37" fillId="0" borderId="0" xfId="0" applyNumberFormat="1" applyFont="1" applyFill="1" applyBorder="1"/>
    <xf numFmtId="3" fontId="37" fillId="0" borderId="0" xfId="0" applyNumberFormat="1" applyFont="1" applyAlignment="1">
      <alignment horizontal="right"/>
    </xf>
    <xf numFmtId="1" fontId="37" fillId="0" borderId="1" xfId="0" applyNumberFormat="1" applyFont="1" applyFill="1" applyBorder="1" applyAlignment="1">
      <alignment horizontal="left"/>
    </xf>
    <xf numFmtId="3" fontId="37" fillId="0" borderId="1" xfId="0" applyNumberFormat="1" applyFont="1" applyBorder="1"/>
    <xf numFmtId="1" fontId="37" fillId="0" borderId="7" xfId="0" applyNumberFormat="1" applyFont="1" applyBorder="1"/>
    <xf numFmtId="1" fontId="37" fillId="0" borderId="6" xfId="0" applyNumberFormat="1" applyFont="1" applyFill="1" applyBorder="1" applyAlignment="1">
      <alignment horizontal="left"/>
    </xf>
    <xf numFmtId="3" fontId="37" fillId="0" borderId="6" xfId="0" applyNumberFormat="1" applyFont="1" applyBorder="1"/>
    <xf numFmtId="1" fontId="37" fillId="0" borderId="0" xfId="0" applyNumberFormat="1" applyFont="1" applyBorder="1"/>
    <xf numFmtId="0" fontId="0" fillId="0" borderId="0" xfId="0"/>
    <xf numFmtId="0" fontId="52" fillId="0" borderId="0" xfId="0" applyFont="1"/>
    <xf numFmtId="0" fontId="58" fillId="4" borderId="0" xfId="0" applyFont="1" applyFill="1"/>
    <xf numFmtId="170" fontId="58" fillId="4" borderId="0" xfId="0" applyNumberFormat="1" applyFont="1" applyFill="1"/>
    <xf numFmtId="0" fontId="38" fillId="4" borderId="0" xfId="0" applyFont="1" applyFill="1" applyAlignment="1"/>
    <xf numFmtId="0" fontId="58" fillId="4" borderId="0" xfId="0" applyFont="1" applyFill="1" applyAlignment="1"/>
    <xf numFmtId="0" fontId="59" fillId="4" borderId="0" xfId="0" applyFont="1" applyFill="1"/>
    <xf numFmtId="0" fontId="60" fillId="4" borderId="0" xfId="0" applyFont="1" applyFill="1"/>
    <xf numFmtId="0" fontId="59" fillId="4" borderId="0" xfId="0" applyFont="1" applyFill="1" applyAlignment="1"/>
    <xf numFmtId="0" fontId="60" fillId="4" borderId="0" xfId="0" applyFont="1" applyFill="1" applyAlignment="1"/>
    <xf numFmtId="0" fontId="0" fillId="4" borderId="0" xfId="0" applyFill="1"/>
    <xf numFmtId="0" fontId="61" fillId="4" borderId="0" xfId="0" applyFont="1" applyFill="1" applyAlignment="1">
      <alignment vertical="center"/>
    </xf>
    <xf numFmtId="0" fontId="46" fillId="4" borderId="0" xfId="0" applyFont="1" applyFill="1" applyAlignment="1">
      <alignment horizontal="right" vertical="center"/>
    </xf>
    <xf numFmtId="0" fontId="62" fillId="4" borderId="0" xfId="0" applyFont="1" applyFill="1" applyAlignment="1">
      <alignment horizontal="right" vertical="center"/>
    </xf>
    <xf numFmtId="0" fontId="46" fillId="4" borderId="0" xfId="0" applyFont="1" applyFill="1" applyAlignment="1">
      <alignment vertical="center"/>
    </xf>
    <xf numFmtId="0" fontId="0" fillId="4" borderId="0" xfId="0" applyFill="1" applyAlignment="1">
      <alignment vertical="center"/>
    </xf>
    <xf numFmtId="0" fontId="61" fillId="4" borderId="1" xfId="0" applyFont="1" applyFill="1" applyBorder="1" applyAlignment="1">
      <alignment vertical="center"/>
    </xf>
    <xf numFmtId="0" fontId="46" fillId="4" borderId="1" xfId="0" applyFont="1" applyFill="1" applyBorder="1" applyAlignment="1">
      <alignment horizontal="right" vertical="center"/>
    </xf>
    <xf numFmtId="0" fontId="62" fillId="4" borderId="1" xfId="0" applyFont="1" applyFill="1" applyBorder="1" applyAlignment="1">
      <alignment horizontal="right" vertical="center"/>
    </xf>
    <xf numFmtId="0" fontId="46" fillId="4" borderId="7" xfId="0" applyFont="1" applyFill="1" applyBorder="1" applyAlignment="1">
      <alignment horizontal="right" vertical="center"/>
    </xf>
    <xf numFmtId="49" fontId="47" fillId="4" borderId="1" xfId="0" applyNumberFormat="1" applyFont="1" applyFill="1" applyBorder="1" applyAlignment="1">
      <alignment horizontal="right" vertical="center"/>
    </xf>
    <xf numFmtId="49" fontId="46" fillId="4" borderId="1" xfId="0" applyNumberFormat="1" applyFont="1" applyFill="1" applyBorder="1" applyAlignment="1">
      <alignment horizontal="right" vertical="center"/>
    </xf>
    <xf numFmtId="0" fontId="46" fillId="4" borderId="1" xfId="0" applyFont="1" applyFill="1" applyBorder="1" applyAlignment="1">
      <alignment vertical="center"/>
    </xf>
    <xf numFmtId="172" fontId="0" fillId="4" borderId="0" xfId="0" applyNumberFormat="1" applyFill="1" applyAlignment="1">
      <alignment vertical="center"/>
    </xf>
    <xf numFmtId="172" fontId="64" fillId="4" borderId="0" xfId="0" applyNumberFormat="1" applyFont="1" applyFill="1" applyAlignment="1">
      <alignment vertical="center"/>
    </xf>
    <xf numFmtId="173" fontId="65" fillId="4" borderId="0" xfId="0" applyNumberFormat="1" applyFont="1" applyFill="1" applyAlignment="1">
      <alignment horizontal="right"/>
    </xf>
    <xf numFmtId="172" fontId="65" fillId="0" borderId="0" xfId="0" applyNumberFormat="1" applyFont="1" applyFill="1" applyAlignment="1">
      <alignment horizontal="right"/>
    </xf>
    <xf numFmtId="172" fontId="65" fillId="4" borderId="0" xfId="0" applyNumberFormat="1" applyFont="1" applyFill="1" applyAlignment="1">
      <alignment horizontal="right"/>
    </xf>
    <xf numFmtId="172" fontId="66" fillId="4" borderId="0" xfId="0" applyNumberFormat="1" applyFont="1" applyFill="1" applyAlignment="1">
      <alignment horizontal="right"/>
    </xf>
    <xf numFmtId="173" fontId="65" fillId="0" borderId="0" xfId="0" applyNumberFormat="1" applyFont="1" applyFill="1" applyAlignment="1">
      <alignment horizontal="right"/>
    </xf>
    <xf numFmtId="3" fontId="66" fillId="4" borderId="0" xfId="0" applyNumberFormat="1" applyFont="1" applyFill="1" applyAlignment="1">
      <alignment horizontal="right"/>
    </xf>
    <xf numFmtId="0" fontId="65" fillId="4" borderId="0" xfId="0" applyFont="1" applyFill="1"/>
    <xf numFmtId="174" fontId="0" fillId="4" borderId="0" xfId="0" applyNumberFormat="1" applyFill="1"/>
    <xf numFmtId="173" fontId="0" fillId="4" borderId="0" xfId="0" applyNumberFormat="1" applyFill="1"/>
    <xf numFmtId="0" fontId="66" fillId="4" borderId="0" xfId="0" applyFont="1" applyFill="1" applyAlignment="1">
      <alignment horizontal="right"/>
    </xf>
    <xf numFmtId="172" fontId="65" fillId="4" borderId="1" xfId="0" applyNumberFormat="1" applyFont="1" applyFill="1" applyBorder="1" applyAlignment="1">
      <alignment horizontal="right"/>
    </xf>
    <xf numFmtId="173" fontId="68" fillId="4" borderId="5" xfId="0" applyNumberFormat="1" applyFont="1" applyFill="1" applyBorder="1" applyAlignment="1">
      <alignment horizontal="right" vertical="center"/>
    </xf>
    <xf numFmtId="172" fontId="68" fillId="4" borderId="5" xfId="0" applyNumberFormat="1" applyFont="1" applyFill="1" applyBorder="1" applyAlignment="1">
      <alignment horizontal="right" vertical="center"/>
    </xf>
    <xf numFmtId="172" fontId="69" fillId="4" borderId="5" xfId="0" applyNumberFormat="1" applyFont="1" applyFill="1" applyBorder="1" applyAlignment="1">
      <alignment horizontal="right" vertical="center"/>
    </xf>
    <xf numFmtId="172" fontId="69" fillId="4" borderId="0" xfId="0" applyNumberFormat="1" applyFont="1" applyFill="1" applyBorder="1" applyAlignment="1">
      <alignment horizontal="right" vertical="center"/>
    </xf>
    <xf numFmtId="173" fontId="68" fillId="0" borderId="5" xfId="0" applyNumberFormat="1" applyFont="1" applyFill="1" applyBorder="1" applyAlignment="1">
      <alignment horizontal="right"/>
    </xf>
    <xf numFmtId="3" fontId="69" fillId="4" borderId="5" xfId="0" applyNumberFormat="1" applyFont="1" applyFill="1" applyBorder="1" applyAlignment="1">
      <alignment horizontal="right" vertical="center"/>
    </xf>
    <xf numFmtId="0" fontId="62" fillId="4" borderId="5" xfId="0" applyFont="1" applyFill="1" applyBorder="1" applyAlignment="1">
      <alignment vertical="center"/>
    </xf>
    <xf numFmtId="172" fontId="65" fillId="4" borderId="5" xfId="0" applyNumberFormat="1" applyFont="1" applyFill="1" applyBorder="1" applyAlignment="1">
      <alignment horizontal="right" vertical="center"/>
    </xf>
    <xf numFmtId="172" fontId="66" fillId="4" borderId="5" xfId="0" applyNumberFormat="1" applyFont="1" applyFill="1" applyBorder="1" applyAlignment="1">
      <alignment horizontal="right" vertical="center"/>
    </xf>
    <xf numFmtId="172" fontId="66" fillId="4" borderId="0" xfId="0" applyNumberFormat="1" applyFont="1" applyFill="1" applyAlignment="1">
      <alignment horizontal="right" vertical="center"/>
    </xf>
    <xf numFmtId="172" fontId="65" fillId="4" borderId="0" xfId="0" applyNumberFormat="1" applyFont="1" applyFill="1" applyBorder="1" applyAlignment="1">
      <alignment horizontal="right" vertical="center"/>
    </xf>
    <xf numFmtId="0" fontId="69" fillId="4" borderId="0" xfId="0" applyFont="1" applyFill="1" applyBorder="1" applyAlignment="1">
      <alignment horizontal="right" vertical="center"/>
    </xf>
    <xf numFmtId="0" fontId="62" fillId="4" borderId="0" xfId="0" applyFont="1" applyFill="1" applyBorder="1" applyAlignment="1">
      <alignment vertical="center"/>
    </xf>
    <xf numFmtId="172" fontId="68" fillId="4" borderId="0" xfId="0" applyNumberFormat="1" applyFont="1" applyFill="1" applyAlignment="1">
      <alignment horizontal="right"/>
    </xf>
    <xf numFmtId="173" fontId="68" fillId="4" borderId="0" xfId="0" applyNumberFormat="1" applyFont="1" applyFill="1" applyAlignment="1">
      <alignment horizontal="right"/>
    </xf>
    <xf numFmtId="172" fontId="69" fillId="4" borderId="0" xfId="0" applyNumberFormat="1" applyFont="1" applyFill="1" applyAlignment="1">
      <alignment horizontal="right"/>
    </xf>
    <xf numFmtId="3" fontId="69" fillId="4" borderId="0" xfId="0" applyNumberFormat="1" applyFont="1" applyFill="1" applyAlignment="1">
      <alignment horizontal="right"/>
    </xf>
    <xf numFmtId="0" fontId="62" fillId="4" borderId="0" xfId="0" applyFont="1" applyFill="1"/>
    <xf numFmtId="0" fontId="66" fillId="4" borderId="1" xfId="0" applyFont="1" applyFill="1" applyBorder="1" applyAlignment="1">
      <alignment horizontal="right"/>
    </xf>
    <xf numFmtId="0" fontId="65" fillId="4" borderId="1" xfId="0" applyFont="1" applyFill="1" applyBorder="1"/>
    <xf numFmtId="0" fontId="46" fillId="4" borderId="8" xfId="0" applyFont="1" applyFill="1" applyBorder="1" applyAlignment="1">
      <alignment vertical="center"/>
    </xf>
    <xf numFmtId="172" fontId="68" fillId="4" borderId="8" xfId="0" applyNumberFormat="1" applyFont="1" applyFill="1" applyBorder="1" applyAlignment="1">
      <alignment horizontal="right" vertical="center"/>
    </xf>
    <xf numFmtId="172" fontId="69" fillId="4" borderId="8" xfId="0" applyNumberFormat="1" applyFont="1" applyFill="1" applyBorder="1" applyAlignment="1">
      <alignment horizontal="right" vertical="center"/>
    </xf>
    <xf numFmtId="172" fontId="65" fillId="4" borderId="0" xfId="0" applyNumberFormat="1" applyFont="1" applyFill="1" applyAlignment="1">
      <alignment horizontal="right" vertical="center"/>
    </xf>
    <xf numFmtId="0" fontId="65" fillId="4" borderId="0" xfId="0" applyFont="1" applyFill="1" applyAlignment="1">
      <alignment horizontal="right" vertical="center"/>
    </xf>
    <xf numFmtId="0" fontId="62" fillId="4" borderId="0" xfId="0" applyFont="1" applyFill="1" applyAlignment="1">
      <alignment vertical="center"/>
    </xf>
    <xf numFmtId="0" fontId="65" fillId="4" borderId="0" xfId="0" applyFont="1" applyFill="1" applyAlignment="1">
      <alignment horizontal="right"/>
    </xf>
    <xf numFmtId="173" fontId="68" fillId="4" borderId="5" xfId="0" applyNumberFormat="1" applyFont="1" applyFill="1" applyBorder="1" applyAlignment="1">
      <alignment horizontal="right"/>
    </xf>
    <xf numFmtId="0" fontId="69" fillId="4" borderId="0" xfId="0" applyFont="1" applyFill="1" applyAlignment="1">
      <alignment horizontal="right"/>
    </xf>
    <xf numFmtId="173" fontId="65" fillId="4" borderId="1" xfId="0" applyNumberFormat="1" applyFont="1" applyFill="1" applyBorder="1" applyAlignment="1">
      <alignment horizontal="right"/>
    </xf>
    <xf numFmtId="172" fontId="68" fillId="4" borderId="6" xfId="0" applyNumberFormat="1" applyFont="1" applyFill="1" applyBorder="1" applyAlignment="1">
      <alignment horizontal="right" vertical="center"/>
    </xf>
    <xf numFmtId="172" fontId="69" fillId="4" borderId="6" xfId="0" applyNumberFormat="1" applyFont="1" applyFill="1" applyBorder="1" applyAlignment="1">
      <alignment horizontal="right" vertical="center"/>
    </xf>
    <xf numFmtId="172" fontId="65" fillId="4" borderId="6" xfId="0" applyNumberFormat="1" applyFont="1" applyFill="1" applyBorder="1" applyAlignment="1">
      <alignment horizontal="right"/>
    </xf>
    <xf numFmtId="0" fontId="69" fillId="4" borderId="6" xfId="0" applyFont="1" applyFill="1" applyBorder="1" applyAlignment="1">
      <alignment horizontal="right" vertical="center"/>
    </xf>
    <xf numFmtId="0" fontId="68" fillId="4" borderId="6" xfId="0" applyFont="1" applyFill="1" applyBorder="1" applyAlignment="1">
      <alignment horizontal="left" vertical="center"/>
    </xf>
    <xf numFmtId="0" fontId="61" fillId="4" borderId="0" xfId="0" applyFont="1" applyFill="1"/>
    <xf numFmtId="0" fontId="71" fillId="4" borderId="0" xfId="0" applyFont="1" applyFill="1"/>
    <xf numFmtId="0" fontId="72" fillId="4" borderId="0" xfId="0" applyFont="1" applyFill="1"/>
    <xf numFmtId="172" fontId="0" fillId="4" borderId="0" xfId="0" applyNumberFormat="1" applyFill="1"/>
    <xf numFmtId="0" fontId="55" fillId="0" borderId="0" xfId="0" applyFont="1" applyBorder="1"/>
    <xf numFmtId="0" fontId="56" fillId="0" borderId="0" xfId="0" applyFont="1" applyBorder="1"/>
    <xf numFmtId="0" fontId="56" fillId="0" borderId="0" xfId="0" applyFont="1"/>
    <xf numFmtId="0" fontId="37" fillId="0" borderId="7" xfId="0" applyFont="1" applyBorder="1" applyAlignment="1">
      <alignment horizontal="right"/>
    </xf>
    <xf numFmtId="0" fontId="73" fillId="0" borderId="7" xfId="0" applyFont="1" applyBorder="1" applyAlignment="1">
      <alignment horizontal="right"/>
    </xf>
    <xf numFmtId="0" fontId="37" fillId="0" borderId="4" xfId="0" applyFont="1" applyBorder="1" applyAlignment="1">
      <alignment horizontal="right"/>
    </xf>
    <xf numFmtId="0" fontId="37" fillId="0" borderId="4" xfId="0" applyFont="1" applyBorder="1" applyAlignment="1">
      <alignment horizontal="center"/>
    </xf>
    <xf numFmtId="0" fontId="37" fillId="0" borderId="0" xfId="0" applyFont="1" applyFill="1" applyBorder="1" applyAlignment="1">
      <alignment horizontal="right"/>
    </xf>
    <xf numFmtId="0" fontId="37" fillId="0" borderId="0" xfId="0" applyFont="1" applyAlignment="1">
      <alignment horizontal="right"/>
    </xf>
    <xf numFmtId="0" fontId="37" fillId="0" borderId="0" xfId="0" applyFont="1" applyAlignment="1">
      <alignment horizontal="left"/>
    </xf>
    <xf numFmtId="175" fontId="37" fillId="0" borderId="0" xfId="0" applyNumberFormat="1" applyFont="1" applyBorder="1"/>
    <xf numFmtId="175" fontId="37" fillId="0" borderId="0" xfId="0" applyNumberFormat="1" applyFont="1" applyBorder="1" applyAlignment="1">
      <alignment horizontal="right"/>
    </xf>
    <xf numFmtId="0" fontId="37" fillId="0" borderId="1" xfId="0" applyFont="1" applyBorder="1" applyAlignment="1">
      <alignment horizontal="left"/>
    </xf>
    <xf numFmtId="175" fontId="37" fillId="0" borderId="1" xfId="0" applyNumberFormat="1" applyFont="1" applyBorder="1"/>
    <xf numFmtId="175" fontId="37" fillId="0" borderId="1" xfId="0" applyNumberFormat="1" applyFont="1" applyBorder="1" applyAlignment="1">
      <alignment horizontal="right"/>
    </xf>
    <xf numFmtId="175" fontId="37" fillId="0" borderId="0" xfId="0" applyNumberFormat="1" applyFont="1" applyFill="1" applyBorder="1"/>
    <xf numFmtId="0" fontId="37" fillId="0" borderId="0" xfId="0" applyFont="1" applyBorder="1" applyAlignment="1">
      <alignment horizontal="left"/>
    </xf>
    <xf numFmtId="0" fontId="37" fillId="0" borderId="7" xfId="0" applyFont="1" applyBorder="1" applyAlignment="1">
      <alignment horizontal="left"/>
    </xf>
    <xf numFmtId="175" fontId="37" fillId="0" borderId="7" xfId="0" applyNumberFormat="1" applyFont="1" applyBorder="1"/>
    <xf numFmtId="175" fontId="37" fillId="0" borderId="7" xfId="0" applyNumberFormat="1" applyFont="1" applyFill="1" applyBorder="1"/>
    <xf numFmtId="175" fontId="37" fillId="0" borderId="7" xfId="0" applyNumberFormat="1" applyFont="1" applyBorder="1" applyAlignment="1">
      <alignment horizontal="right"/>
    </xf>
    <xf numFmtId="0" fontId="38" fillId="4" borderId="0" xfId="0" applyFont="1" applyFill="1"/>
    <xf numFmtId="0" fontId="38" fillId="0" borderId="0" xfId="0" applyFont="1" applyFill="1"/>
    <xf numFmtId="0" fontId="75" fillId="4" borderId="0" xfId="0" applyFont="1" applyFill="1"/>
    <xf numFmtId="0" fontId="76" fillId="4" borderId="0" xfId="0" applyFont="1" applyFill="1"/>
    <xf numFmtId="0" fontId="61" fillId="4" borderId="0" xfId="0" applyFont="1" applyFill="1"/>
    <xf numFmtId="0" fontId="37" fillId="4" borderId="0" xfId="0" applyFont="1" applyFill="1"/>
    <xf numFmtId="0" fontId="0" fillId="4" borderId="0" xfId="0" applyFill="1"/>
    <xf numFmtId="0" fontId="37" fillId="4" borderId="0" xfId="0" applyFont="1" applyFill="1" applyAlignment="1">
      <alignment horizontal="right"/>
    </xf>
    <xf numFmtId="0" fontId="45" fillId="4" borderId="0" xfId="0" applyFont="1" applyFill="1"/>
    <xf numFmtId="177" fontId="61" fillId="4" borderId="0" xfId="0" applyNumberFormat="1" applyFont="1" applyFill="1"/>
    <xf numFmtId="178" fontId="61" fillId="4" borderId="0" xfId="0" applyNumberFormat="1" applyFont="1" applyFill="1"/>
    <xf numFmtId="177" fontId="72" fillId="4" borderId="0" xfId="0" applyNumberFormat="1" applyFont="1" applyFill="1"/>
    <xf numFmtId="178" fontId="42" fillId="4" borderId="0" xfId="0" applyNumberFormat="1" applyFont="1" applyFill="1"/>
    <xf numFmtId="177" fontId="61" fillId="4" borderId="0" xfId="0" applyNumberFormat="1" applyFont="1" applyFill="1" applyAlignment="1">
      <alignment horizontal="right"/>
    </xf>
    <xf numFmtId="0" fontId="72" fillId="4" borderId="0" xfId="0" applyFont="1" applyFill="1"/>
    <xf numFmtId="178" fontId="72" fillId="4" borderId="0" xfId="0" applyNumberFormat="1" applyFont="1" applyFill="1"/>
    <xf numFmtId="0" fontId="77" fillId="4" borderId="0" xfId="0" applyFont="1" applyFill="1"/>
    <xf numFmtId="177" fontId="63" fillId="4" borderId="0" xfId="0" applyNumberFormat="1" applyFont="1" applyFill="1"/>
    <xf numFmtId="178" fontId="63" fillId="4" borderId="0" xfId="0" applyNumberFormat="1" applyFont="1" applyFill="1"/>
    <xf numFmtId="179" fontId="0" fillId="4" borderId="0" xfId="0" applyNumberFormat="1" applyFill="1"/>
    <xf numFmtId="178" fontId="63" fillId="0" borderId="0" xfId="0" applyNumberFormat="1" applyFont="1" applyFill="1"/>
    <xf numFmtId="0" fontId="71" fillId="4" borderId="0" xfId="0" applyFont="1" applyFill="1"/>
    <xf numFmtId="178" fontId="71" fillId="4" borderId="0" xfId="0" applyNumberFormat="1" applyFont="1" applyFill="1"/>
    <xf numFmtId="0" fontId="64" fillId="4" borderId="0" xfId="0" applyFont="1" applyFill="1" applyAlignment="1">
      <alignment horizontal="right"/>
    </xf>
    <xf numFmtId="0" fontId="61" fillId="4" borderId="0" xfId="0" applyNumberFormat="1" applyFont="1" applyFill="1" applyAlignment="1">
      <alignment horizontal="right"/>
    </xf>
    <xf numFmtId="0" fontId="63" fillId="4" borderId="0" xfId="0" applyNumberFormat="1" applyFont="1" applyFill="1" applyAlignment="1">
      <alignment horizontal="right"/>
    </xf>
    <xf numFmtId="0" fontId="50" fillId="4" borderId="0" xfId="0" applyFont="1" applyFill="1"/>
    <xf numFmtId="0" fontId="79" fillId="4" borderId="0" xfId="0" applyFont="1" applyFill="1"/>
    <xf numFmtId="0" fontId="42" fillId="4" borderId="0" xfId="0" applyFont="1" applyFill="1"/>
    <xf numFmtId="0" fontId="31" fillId="0" borderId="0" xfId="0" applyFont="1"/>
    <xf numFmtId="11" fontId="0" fillId="0" borderId="0" xfId="0" applyNumberFormat="1" applyBorder="1" applyAlignment="1">
      <alignment vertical="center"/>
    </xf>
    <xf numFmtId="11" fontId="0" fillId="0" borderId="1" xfId="0" applyNumberFormat="1" applyBorder="1" applyAlignment="1">
      <alignment vertical="center"/>
    </xf>
    <xf numFmtId="0" fontId="80" fillId="4" borderId="0" xfId="0" applyFont="1" applyFill="1"/>
    <xf numFmtId="0" fontId="59" fillId="4" borderId="0" xfId="0" applyFont="1" applyFill="1"/>
    <xf numFmtId="0" fontId="81" fillId="4" borderId="0" xfId="0" applyFont="1" applyFill="1"/>
    <xf numFmtId="0" fontId="37" fillId="4" borderId="7" xfId="0" applyFont="1" applyFill="1" applyBorder="1"/>
    <xf numFmtId="0" fontId="44" fillId="4" borderId="0" xfId="0" applyFont="1" applyFill="1" applyBorder="1" applyAlignment="1">
      <alignment horizontal="right"/>
    </xf>
    <xf numFmtId="0" fontId="37" fillId="4" borderId="9" xfId="0" applyFont="1" applyFill="1" applyBorder="1" applyAlignment="1">
      <alignment vertical="center"/>
    </xf>
    <xf numFmtId="0" fontId="46" fillId="4" borderId="9" xfId="0" applyFont="1" applyFill="1" applyBorder="1" applyAlignment="1">
      <alignment horizontal="right" vertical="center"/>
    </xf>
    <xf numFmtId="0" fontId="37" fillId="4" borderId="0" xfId="0" applyFont="1" applyFill="1" applyAlignment="1">
      <alignment horizontal="right" vertical="center"/>
    </xf>
    <xf numFmtId="0" fontId="46" fillId="4" borderId="0" xfId="0" applyFont="1" applyFill="1" applyBorder="1" applyAlignment="1">
      <alignment horizontal="right" vertical="center"/>
    </xf>
    <xf numFmtId="0" fontId="37" fillId="4" borderId="0" xfId="0" applyFont="1" applyFill="1" applyAlignment="1">
      <alignment vertical="center"/>
    </xf>
    <xf numFmtId="0" fontId="37" fillId="4" borderId="0" xfId="0" applyFont="1" applyFill="1" applyBorder="1" applyAlignment="1">
      <alignment vertical="center"/>
    </xf>
    <xf numFmtId="0" fontId="46" fillId="4" borderId="0" xfId="0" applyFont="1" applyFill="1" applyAlignment="1">
      <alignment horizontal="right" vertical="center"/>
    </xf>
    <xf numFmtId="0" fontId="37" fillId="4" borderId="1" xfId="0" applyFont="1" applyFill="1" applyBorder="1" applyAlignment="1">
      <alignment vertical="center"/>
    </xf>
    <xf numFmtId="0" fontId="46" fillId="4" borderId="1" xfId="0" applyFont="1" applyFill="1" applyBorder="1" applyAlignment="1">
      <alignment horizontal="right" vertical="center"/>
    </xf>
    <xf numFmtId="0" fontId="43" fillId="4" borderId="1" xfId="0" applyFont="1" applyFill="1" applyBorder="1" applyAlignment="1">
      <alignment horizontal="right" vertical="center"/>
    </xf>
    <xf numFmtId="0" fontId="37" fillId="4" borderId="0" xfId="0" applyFont="1" applyFill="1" applyBorder="1" applyAlignment="1">
      <alignment horizontal="right" vertical="center"/>
    </xf>
    <xf numFmtId="0" fontId="46" fillId="4" borderId="0" xfId="0" applyFont="1" applyFill="1"/>
    <xf numFmtId="172" fontId="43" fillId="4" borderId="0" xfId="0" applyNumberFormat="1" applyFont="1" applyFill="1" applyAlignment="1">
      <alignment horizontal="right"/>
    </xf>
    <xf numFmtId="172" fontId="56" fillId="4" borderId="0" xfId="0" applyNumberFormat="1" applyFont="1" applyFill="1" applyAlignment="1">
      <alignment horizontal="right"/>
    </xf>
    <xf numFmtId="0" fontId="56" fillId="4" borderId="0" xfId="0" applyFont="1" applyFill="1"/>
    <xf numFmtId="180" fontId="42" fillId="4" borderId="0" xfId="0" applyNumberFormat="1" applyFont="1" applyFill="1" applyAlignment="1">
      <alignment horizontal="right"/>
    </xf>
    <xf numFmtId="180" fontId="37" fillId="4" borderId="0" xfId="0" applyNumberFormat="1" applyFont="1" applyFill="1" applyAlignment="1">
      <alignment horizontal="right"/>
    </xf>
    <xf numFmtId="181" fontId="42" fillId="4" borderId="0" xfId="0" applyNumberFormat="1" applyFont="1" applyFill="1" applyAlignment="1">
      <alignment horizontal="right"/>
    </xf>
    <xf numFmtId="172" fontId="42" fillId="4" borderId="0" xfId="0" applyNumberFormat="1" applyFont="1" applyFill="1" applyAlignment="1">
      <alignment horizontal="right"/>
    </xf>
    <xf numFmtId="182" fontId="42" fillId="4" borderId="0" xfId="0" applyNumberFormat="1" applyFont="1" applyFill="1" applyAlignment="1">
      <alignment horizontal="right"/>
    </xf>
    <xf numFmtId="173" fontId="42" fillId="4" borderId="0" xfId="0" applyNumberFormat="1" applyFont="1" applyFill="1" applyAlignment="1">
      <alignment horizontal="right"/>
    </xf>
    <xf numFmtId="0" fontId="46" fillId="4" borderId="5" xfId="0" applyFont="1" applyFill="1" applyBorder="1" applyAlignment="1">
      <alignment vertical="center"/>
    </xf>
    <xf numFmtId="180" fontId="43" fillId="4" borderId="5" xfId="0" applyNumberFormat="1" applyFont="1" applyFill="1" applyBorder="1" applyAlignment="1">
      <alignment horizontal="right" vertical="center"/>
    </xf>
    <xf numFmtId="181" fontId="43" fillId="4" borderId="5" xfId="0" applyNumberFormat="1" applyFont="1" applyFill="1" applyBorder="1" applyAlignment="1">
      <alignment horizontal="right" vertical="center"/>
    </xf>
    <xf numFmtId="180" fontId="43" fillId="4" borderId="0" xfId="0" applyNumberFormat="1" applyFont="1" applyFill="1" applyBorder="1" applyAlignment="1">
      <alignment horizontal="right" vertical="center"/>
    </xf>
    <xf numFmtId="0" fontId="56" fillId="4" borderId="0" xfId="0" applyFont="1" applyFill="1" applyAlignment="1">
      <alignment vertical="center"/>
    </xf>
    <xf numFmtId="182" fontId="42" fillId="4" borderId="0" xfId="0" applyNumberFormat="1" applyFont="1" applyFill="1" applyAlignment="1">
      <alignment horizontal="right" vertical="center"/>
    </xf>
    <xf numFmtId="181" fontId="42" fillId="4" borderId="5" xfId="0" applyNumberFormat="1" applyFont="1" applyFill="1" applyBorder="1" applyAlignment="1">
      <alignment horizontal="right" vertical="center"/>
    </xf>
    <xf numFmtId="180" fontId="42" fillId="4" borderId="0" xfId="0" applyNumberFormat="1" applyFont="1" applyFill="1" applyBorder="1" applyAlignment="1">
      <alignment horizontal="right" vertical="center"/>
    </xf>
    <xf numFmtId="172" fontId="42" fillId="4" borderId="0" xfId="0" applyNumberFormat="1" applyFont="1" applyFill="1" applyAlignment="1">
      <alignment horizontal="right" vertical="center"/>
    </xf>
    <xf numFmtId="180" fontId="42" fillId="4" borderId="5" xfId="0" applyNumberFormat="1" applyFont="1" applyFill="1" applyBorder="1" applyAlignment="1">
      <alignment horizontal="right" vertical="center"/>
    </xf>
    <xf numFmtId="172" fontId="43" fillId="4" borderId="5" xfId="0" applyNumberFormat="1" applyFont="1" applyFill="1" applyBorder="1" applyAlignment="1">
      <alignment horizontal="right" vertical="center"/>
    </xf>
    <xf numFmtId="173" fontId="43" fillId="4" borderId="5" xfId="0" applyNumberFormat="1" applyFont="1" applyFill="1" applyBorder="1" applyAlignment="1">
      <alignment horizontal="right" vertical="center"/>
    </xf>
    <xf numFmtId="172" fontId="43" fillId="4" borderId="0" xfId="0" applyNumberFormat="1" applyFont="1" applyFill="1" applyBorder="1" applyAlignment="1">
      <alignment horizontal="right" vertical="center"/>
    </xf>
    <xf numFmtId="0" fontId="46" fillId="4" borderId="8" xfId="0" applyFont="1" applyFill="1" applyBorder="1"/>
    <xf numFmtId="172" fontId="43" fillId="4" borderId="8" xfId="0" applyNumberFormat="1" applyFont="1" applyFill="1" applyBorder="1" applyAlignment="1">
      <alignment horizontal="right"/>
    </xf>
    <xf numFmtId="172" fontId="43" fillId="4" borderId="0" xfId="0" applyNumberFormat="1" applyFont="1" applyFill="1" applyBorder="1" applyAlignment="1">
      <alignment horizontal="right"/>
    </xf>
    <xf numFmtId="0" fontId="61" fillId="4" borderId="0" xfId="0" applyFont="1" applyFill="1" applyAlignment="1">
      <alignment wrapText="1"/>
    </xf>
    <xf numFmtId="172" fontId="42" fillId="4" borderId="1" xfId="0" applyNumberFormat="1" applyFont="1" applyFill="1" applyBorder="1" applyAlignment="1">
      <alignment horizontal="right"/>
    </xf>
    <xf numFmtId="0" fontId="46" fillId="4" borderId="8" xfId="0" applyFont="1" applyFill="1" applyBorder="1" applyAlignment="1">
      <alignment vertical="center"/>
    </xf>
    <xf numFmtId="172" fontId="43" fillId="4" borderId="8" xfId="0" applyNumberFormat="1" applyFont="1" applyFill="1" applyBorder="1" applyAlignment="1">
      <alignment horizontal="right" vertical="center"/>
    </xf>
    <xf numFmtId="0" fontId="46" fillId="4" borderId="0" xfId="0" applyFont="1" applyFill="1" applyAlignment="1">
      <alignment vertical="center"/>
    </xf>
    <xf numFmtId="172" fontId="43" fillId="4" borderId="0" xfId="0" applyNumberFormat="1" applyFont="1" applyFill="1" applyAlignment="1">
      <alignment horizontal="right" vertical="center"/>
    </xf>
    <xf numFmtId="0" fontId="56" fillId="4" borderId="0" xfId="0" applyFont="1" applyFill="1" applyBorder="1" applyAlignment="1">
      <alignment vertical="center"/>
    </xf>
    <xf numFmtId="0" fontId="56" fillId="4" borderId="5" xfId="0" applyFont="1" applyFill="1" applyBorder="1" applyAlignment="1">
      <alignment vertical="center"/>
    </xf>
    <xf numFmtId="173" fontId="43" fillId="4" borderId="0" xfId="0" applyNumberFormat="1" applyFont="1" applyFill="1" applyAlignment="1">
      <alignment horizontal="right" vertical="center"/>
    </xf>
    <xf numFmtId="173" fontId="42" fillId="0" borderId="0" xfId="0" applyNumberFormat="1" applyFont="1" applyFill="1" applyAlignment="1">
      <alignment horizontal="right"/>
    </xf>
    <xf numFmtId="0" fontId="37" fillId="4" borderId="0" xfId="0" applyFont="1" applyFill="1" applyBorder="1"/>
    <xf numFmtId="0" fontId="42" fillId="4" borderId="0" xfId="0" applyFont="1" applyFill="1" applyAlignment="1">
      <alignment vertical="center"/>
    </xf>
    <xf numFmtId="173" fontId="43" fillId="4" borderId="0" xfId="0" applyNumberFormat="1" applyFont="1" applyFill="1" applyAlignment="1">
      <alignment horizontal="right"/>
    </xf>
    <xf numFmtId="0" fontId="46" fillId="4" borderId="6" xfId="0" applyFont="1" applyFill="1" applyBorder="1" applyAlignment="1">
      <alignment vertical="center"/>
    </xf>
    <xf numFmtId="172" fontId="42" fillId="4" borderId="6" xfId="0" applyNumberFormat="1" applyFont="1" applyFill="1" applyBorder="1" applyAlignment="1">
      <alignment horizontal="right" vertical="center"/>
    </xf>
    <xf numFmtId="172" fontId="42" fillId="4" borderId="0" xfId="0" applyNumberFormat="1" applyFont="1" applyFill="1" applyBorder="1" applyAlignment="1">
      <alignment horizontal="right" vertical="center"/>
    </xf>
    <xf numFmtId="0" fontId="46" fillId="4" borderId="0" xfId="0" applyFont="1" applyFill="1" applyBorder="1" applyAlignment="1">
      <alignment vertical="center"/>
    </xf>
    <xf numFmtId="0" fontId="47" fillId="4" borderId="0" xfId="0" applyFont="1" applyFill="1"/>
    <xf numFmtId="165" fontId="37" fillId="4" borderId="0" xfId="0" applyNumberFormat="1" applyFont="1" applyFill="1"/>
    <xf numFmtId="0" fontId="38" fillId="4" borderId="0" xfId="0" applyFont="1" applyFill="1"/>
    <xf numFmtId="0" fontId="84" fillId="4" borderId="0" xfId="0" applyFont="1" applyFill="1" applyAlignment="1">
      <alignment horizontal="right"/>
    </xf>
    <xf numFmtId="0" fontId="37" fillId="4" borderId="0" xfId="0" applyFont="1" applyFill="1"/>
    <xf numFmtId="0" fontId="85" fillId="4" borderId="0" xfId="0" applyFont="1" applyFill="1" applyBorder="1"/>
    <xf numFmtId="0" fontId="64" fillId="4" borderId="0" xfId="0" applyFont="1" applyFill="1" applyBorder="1"/>
    <xf numFmtId="0" fontId="71" fillId="4" borderId="0" xfId="0" applyFont="1" applyFill="1" applyBorder="1"/>
    <xf numFmtId="0" fontId="71" fillId="4" borderId="0" xfId="0" applyFont="1" applyFill="1"/>
    <xf numFmtId="0" fontId="59" fillId="4" borderId="0" xfId="0" applyFont="1" applyFill="1"/>
    <xf numFmtId="0" fontId="0" fillId="4" borderId="0" xfId="0" applyFill="1" applyAlignment="1">
      <alignment horizontal="right"/>
    </xf>
    <xf numFmtId="0" fontId="0" fillId="4" borderId="0" xfId="0" applyFill="1"/>
    <xf numFmtId="0" fontId="64" fillId="4" borderId="0" xfId="0" applyFont="1" applyFill="1"/>
    <xf numFmtId="0" fontId="86" fillId="4" borderId="0" xfId="0" applyFont="1" applyFill="1" applyBorder="1"/>
    <xf numFmtId="0" fontId="0" fillId="4" borderId="0" xfId="0" applyFill="1" applyBorder="1"/>
    <xf numFmtId="0" fontId="44" fillId="4" borderId="7" xfId="0" applyFont="1" applyFill="1" applyBorder="1" applyAlignment="1">
      <alignment horizontal="right"/>
    </xf>
    <xf numFmtId="0" fontId="87" fillId="4" borderId="7" xfId="0" applyFont="1" applyFill="1" applyBorder="1" applyAlignment="1">
      <alignment horizontal="right"/>
    </xf>
    <xf numFmtId="0" fontId="61" fillId="4" borderId="4" xfId="0" applyFont="1" applyFill="1" applyBorder="1"/>
    <xf numFmtId="0" fontId="61" fillId="4" borderId="4" xfId="0" applyFont="1" applyFill="1" applyBorder="1" applyAlignment="1">
      <alignment horizontal="right"/>
    </xf>
    <xf numFmtId="0" fontId="63" fillId="4" borderId="4" xfId="0" applyFont="1" applyFill="1" applyBorder="1" applyAlignment="1">
      <alignment horizontal="right"/>
    </xf>
    <xf numFmtId="0" fontId="88" fillId="4" borderId="4" xfId="0" applyFont="1" applyFill="1" applyBorder="1" applyAlignment="1">
      <alignment horizontal="right"/>
    </xf>
    <xf numFmtId="0" fontId="46" fillId="4" borderId="0" xfId="0" applyFont="1" applyFill="1"/>
    <xf numFmtId="0" fontId="61" fillId="4" borderId="0" xfId="0" applyFont="1" applyFill="1" applyAlignment="1">
      <alignment horizontal="right"/>
    </xf>
    <xf numFmtId="0" fontId="63" fillId="4" borderId="0" xfId="0" applyFont="1" applyFill="1" applyAlignment="1">
      <alignment horizontal="right"/>
    </xf>
    <xf numFmtId="0" fontId="61" fillId="4" borderId="0" xfId="0" applyFont="1" applyFill="1" applyBorder="1"/>
    <xf numFmtId="172" fontId="61" fillId="4" borderId="0" xfId="0" applyNumberFormat="1" applyFont="1" applyFill="1" applyBorder="1"/>
    <xf numFmtId="0" fontId="42" fillId="4" borderId="0" xfId="0" applyFont="1" applyFill="1"/>
    <xf numFmtId="172" fontId="65" fillId="4" borderId="0" xfId="0" applyNumberFormat="1" applyFont="1" applyFill="1" applyAlignment="1">
      <alignment horizontal="right"/>
    </xf>
    <xf numFmtId="172" fontId="42" fillId="4" borderId="0" xfId="0" applyNumberFormat="1" applyFont="1" applyFill="1" applyAlignment="1">
      <alignment horizontal="right"/>
    </xf>
    <xf numFmtId="173" fontId="42" fillId="4" borderId="0" xfId="0" applyNumberFormat="1" applyFont="1" applyFill="1" applyAlignment="1">
      <alignment horizontal="right"/>
    </xf>
    <xf numFmtId="173" fontId="42" fillId="4" borderId="0" xfId="0" applyNumberFormat="1" applyFont="1" applyFill="1" applyBorder="1" applyAlignment="1">
      <alignment horizontal="right"/>
    </xf>
    <xf numFmtId="172" fontId="42" fillId="4" borderId="0" xfId="0" applyNumberFormat="1" applyFont="1" applyFill="1" applyBorder="1" applyAlignment="1">
      <alignment horizontal="right"/>
    </xf>
    <xf numFmtId="0" fontId="61" fillId="4" borderId="0" xfId="0" applyFont="1" applyFill="1"/>
    <xf numFmtId="172" fontId="42" fillId="4" borderId="1" xfId="0" applyNumberFormat="1" applyFont="1" applyFill="1" applyBorder="1" applyAlignment="1">
      <alignment horizontal="right"/>
    </xf>
    <xf numFmtId="0" fontId="46" fillId="4" borderId="5" xfId="0" applyFont="1" applyFill="1" applyBorder="1" applyAlignment="1">
      <alignment vertical="center"/>
    </xf>
    <xf numFmtId="172" fontId="68" fillId="4" borderId="5" xfId="0" applyNumberFormat="1" applyFont="1" applyFill="1" applyBorder="1" applyAlignment="1">
      <alignment horizontal="right" vertical="center"/>
    </xf>
    <xf numFmtId="172" fontId="43" fillId="4" borderId="5" xfId="0" applyNumberFormat="1" applyFont="1" applyFill="1" applyBorder="1" applyAlignment="1">
      <alignment horizontal="right" vertical="center"/>
    </xf>
    <xf numFmtId="173" fontId="43" fillId="4" borderId="5" xfId="0" applyNumberFormat="1" applyFont="1" applyFill="1" applyBorder="1" applyAlignment="1">
      <alignment horizontal="right" vertical="center"/>
    </xf>
    <xf numFmtId="0" fontId="0" fillId="4" borderId="0" xfId="0" applyFill="1" applyAlignment="1">
      <alignment vertical="center"/>
    </xf>
    <xf numFmtId="183" fontId="65" fillId="4" borderId="5" xfId="0" applyNumberFormat="1" applyFont="1" applyFill="1" applyBorder="1" applyAlignment="1">
      <alignment horizontal="right" vertical="center"/>
    </xf>
    <xf numFmtId="183" fontId="42" fillId="4" borderId="5" xfId="0" applyNumberFormat="1" applyFont="1" applyFill="1" applyBorder="1" applyAlignment="1">
      <alignment horizontal="right" vertical="center"/>
    </xf>
    <xf numFmtId="184" fontId="42" fillId="4" borderId="5" xfId="0" applyNumberFormat="1" applyFont="1" applyFill="1" applyBorder="1" applyAlignment="1">
      <alignment horizontal="right" vertical="center"/>
    </xf>
    <xf numFmtId="172" fontId="65" fillId="4" borderId="1" xfId="0" applyNumberFormat="1" applyFont="1" applyFill="1" applyBorder="1" applyAlignment="1">
      <alignment horizontal="right"/>
    </xf>
    <xf numFmtId="0" fontId="46" fillId="4" borderId="8" xfId="0" applyFont="1" applyFill="1" applyBorder="1"/>
    <xf numFmtId="172" fontId="68" fillId="4" borderId="0" xfId="0" applyNumberFormat="1" applyFont="1" applyFill="1" applyAlignment="1">
      <alignment horizontal="right"/>
    </xf>
    <xf numFmtId="172" fontId="68" fillId="4" borderId="8" xfId="0" applyNumberFormat="1" applyFont="1" applyFill="1" applyBorder="1" applyAlignment="1">
      <alignment horizontal="right"/>
    </xf>
    <xf numFmtId="172" fontId="43" fillId="4" borderId="8" xfId="0" applyNumberFormat="1" applyFont="1" applyFill="1" applyBorder="1" applyAlignment="1">
      <alignment horizontal="right"/>
    </xf>
    <xf numFmtId="173" fontId="43" fillId="4" borderId="8" xfId="0" applyNumberFormat="1" applyFont="1" applyFill="1" applyBorder="1" applyAlignment="1">
      <alignment horizontal="right"/>
    </xf>
    <xf numFmtId="173" fontId="43" fillId="4" borderId="0" xfId="0" applyNumberFormat="1" applyFont="1" applyFill="1" applyBorder="1" applyAlignment="1">
      <alignment horizontal="right"/>
    </xf>
    <xf numFmtId="172" fontId="43" fillId="4" borderId="0" xfId="0" applyNumberFormat="1" applyFont="1" applyFill="1" applyBorder="1" applyAlignment="1">
      <alignment horizontal="right"/>
    </xf>
    <xf numFmtId="172" fontId="65" fillId="4" borderId="0" xfId="0" applyNumberFormat="1" applyFont="1" applyFill="1" applyBorder="1" applyAlignment="1">
      <alignment horizontal="right"/>
    </xf>
    <xf numFmtId="172" fontId="43" fillId="4" borderId="0" xfId="0" applyNumberFormat="1" applyFont="1" applyFill="1" applyAlignment="1">
      <alignment horizontal="right"/>
    </xf>
    <xf numFmtId="172" fontId="68" fillId="4" borderId="1" xfId="0" applyNumberFormat="1" applyFont="1" applyFill="1" applyBorder="1" applyAlignment="1">
      <alignment horizontal="right"/>
    </xf>
    <xf numFmtId="0" fontId="56" fillId="4" borderId="0" xfId="0" applyFont="1" applyFill="1"/>
    <xf numFmtId="0" fontId="46" fillId="4" borderId="5" xfId="0" applyFont="1" applyFill="1" applyBorder="1"/>
    <xf numFmtId="172" fontId="68" fillId="4" borderId="5" xfId="0" applyNumberFormat="1" applyFont="1" applyFill="1" applyBorder="1" applyAlignment="1">
      <alignment horizontal="right"/>
    </xf>
    <xf numFmtId="172" fontId="43" fillId="4" borderId="5" xfId="0" applyNumberFormat="1" applyFont="1" applyFill="1" applyBorder="1" applyAlignment="1">
      <alignment horizontal="right"/>
    </xf>
    <xf numFmtId="173" fontId="43" fillId="4" borderId="5" xfId="0" applyNumberFormat="1" applyFont="1" applyFill="1" applyBorder="1" applyAlignment="1">
      <alignment horizontal="right"/>
    </xf>
    <xf numFmtId="173" fontId="43" fillId="4" borderId="0" xfId="0" applyNumberFormat="1" applyFont="1" applyFill="1" applyAlignment="1">
      <alignment horizontal="right"/>
    </xf>
    <xf numFmtId="172" fontId="68" fillId="4" borderId="0" xfId="0" applyNumberFormat="1" applyFont="1" applyFill="1" applyBorder="1" applyAlignment="1">
      <alignment horizontal="right"/>
    </xf>
    <xf numFmtId="0" fontId="46" fillId="4" borderId="6" xfId="0" applyFont="1" applyFill="1" applyBorder="1" applyAlignment="1">
      <alignment vertical="center"/>
    </xf>
    <xf numFmtId="172" fontId="68" fillId="4" borderId="6" xfId="0" applyNumberFormat="1" applyFont="1" applyFill="1" applyBorder="1" applyAlignment="1">
      <alignment horizontal="right"/>
    </xf>
    <xf numFmtId="172" fontId="43" fillId="4" borderId="6" xfId="0" applyNumberFormat="1" applyFont="1" applyFill="1" applyBorder="1" applyAlignment="1">
      <alignment horizontal="right"/>
    </xf>
    <xf numFmtId="0" fontId="46" fillId="4" borderId="0" xfId="0" applyFont="1" applyFill="1" applyBorder="1"/>
    <xf numFmtId="0" fontId="64" fillId="4" borderId="0" xfId="0" applyFont="1" applyFill="1" applyAlignment="1">
      <alignment horizontal="right"/>
    </xf>
    <xf numFmtId="0" fontId="78" fillId="4" borderId="0" xfId="0" applyFont="1" applyFill="1" applyAlignment="1">
      <alignment horizontal="right"/>
    </xf>
    <xf numFmtId="0" fontId="45" fillId="4" borderId="0" xfId="0" applyFont="1" applyFill="1" applyAlignment="1">
      <alignment horizontal="right"/>
    </xf>
    <xf numFmtId="0" fontId="87" fillId="4" borderId="0" xfId="0" applyFont="1" applyFill="1" applyAlignment="1">
      <alignment horizontal="right"/>
    </xf>
    <xf numFmtId="0" fontId="63" fillId="4" borderId="4" xfId="0" applyFont="1" applyFill="1" applyBorder="1"/>
    <xf numFmtId="172" fontId="63" fillId="4" borderId="0" xfId="0" applyNumberFormat="1" applyFont="1" applyFill="1"/>
    <xf numFmtId="0" fontId="46" fillId="4" borderId="1" xfId="0" applyFont="1" applyFill="1" applyBorder="1"/>
    <xf numFmtId="172" fontId="43" fillId="4" borderId="1" xfId="0" applyNumberFormat="1" applyFont="1" applyFill="1" applyBorder="1" applyAlignment="1">
      <alignment horizontal="right"/>
    </xf>
    <xf numFmtId="173" fontId="43" fillId="4" borderId="1" xfId="0" applyNumberFormat="1" applyFont="1" applyFill="1" applyBorder="1" applyAlignment="1">
      <alignment horizontal="right"/>
    </xf>
    <xf numFmtId="0" fontId="0" fillId="4" borderId="8" xfId="0" applyFill="1" applyBorder="1"/>
    <xf numFmtId="0" fontId="61" fillId="4" borderId="10" xfId="0" applyFont="1" applyFill="1" applyBorder="1"/>
    <xf numFmtId="172" fontId="65" fillId="4" borderId="10" xfId="0" applyNumberFormat="1" applyFont="1" applyFill="1" applyBorder="1" applyAlignment="1">
      <alignment horizontal="right"/>
    </xf>
    <xf numFmtId="172" fontId="42" fillId="4" borderId="10" xfId="0" applyNumberFormat="1" applyFont="1" applyFill="1" applyBorder="1" applyAlignment="1">
      <alignment horizontal="right"/>
    </xf>
    <xf numFmtId="0" fontId="0" fillId="4" borderId="10" xfId="0" applyFill="1" applyBorder="1"/>
    <xf numFmtId="0" fontId="46" fillId="4" borderId="0" xfId="0" applyFont="1" applyFill="1" applyAlignment="1">
      <alignment vertical="center"/>
    </xf>
    <xf numFmtId="172" fontId="65" fillId="4" borderId="0" xfId="0" applyNumberFormat="1" applyFont="1" applyFill="1" applyAlignment="1">
      <alignment horizontal="right" vertical="center"/>
    </xf>
    <xf numFmtId="172" fontId="42" fillId="4" borderId="0" xfId="0" applyNumberFormat="1" applyFont="1" applyFill="1" applyAlignment="1">
      <alignment horizontal="right" vertical="center"/>
    </xf>
    <xf numFmtId="0" fontId="43" fillId="4" borderId="6" xfId="0" applyFont="1" applyFill="1" applyBorder="1" applyAlignment="1">
      <alignment vertical="center"/>
    </xf>
    <xf numFmtId="172" fontId="68" fillId="4" borderId="6" xfId="0" applyNumberFormat="1" applyFont="1" applyFill="1" applyBorder="1" applyAlignment="1">
      <alignment horizontal="right" vertical="center"/>
    </xf>
    <xf numFmtId="172" fontId="43" fillId="4" borderId="6" xfId="0" applyNumberFormat="1" applyFont="1" applyFill="1" applyBorder="1" applyAlignment="1">
      <alignment horizontal="right" vertical="center"/>
    </xf>
    <xf numFmtId="173" fontId="43" fillId="4" borderId="6" xfId="0" applyNumberFormat="1" applyFont="1" applyFill="1" applyBorder="1" applyAlignment="1">
      <alignment horizontal="right" vertical="center"/>
    </xf>
    <xf numFmtId="0" fontId="63" fillId="4" borderId="0" xfId="0" applyFont="1" applyFill="1"/>
    <xf numFmtId="0" fontId="47" fillId="4" borderId="0" xfId="0" applyFont="1" applyFill="1"/>
    <xf numFmtId="172" fontId="42" fillId="4" borderId="0" xfId="0" applyNumberFormat="1" applyFont="1" applyFill="1"/>
    <xf numFmtId="0" fontId="66" fillId="4" borderId="0" xfId="0" applyFont="1" applyFill="1"/>
    <xf numFmtId="0" fontId="89" fillId="4" borderId="0" xfId="0" applyFont="1" applyFill="1"/>
    <xf numFmtId="164" fontId="36" fillId="3" borderId="3" xfId="3" applyNumberFormat="1" applyAlignment="1">
      <alignment horizontal="right" vertical="center"/>
    </xf>
    <xf numFmtId="185" fontId="0" fillId="0" borderId="0" xfId="0" applyNumberFormat="1" applyAlignment="1">
      <alignment vertical="center"/>
    </xf>
    <xf numFmtId="0" fontId="80" fillId="4" borderId="0" xfId="0" applyFont="1" applyFill="1"/>
    <xf numFmtId="0" fontId="80" fillId="4" borderId="0" xfId="0" applyFont="1" applyFill="1" applyBorder="1"/>
    <xf numFmtId="0" fontId="44" fillId="4" borderId="7" xfId="0" applyFont="1" applyFill="1" applyBorder="1" applyAlignment="1">
      <alignment horizontal="left"/>
    </xf>
    <xf numFmtId="0" fontId="81" fillId="4" borderId="0" xfId="0" applyFont="1" applyFill="1" applyBorder="1"/>
    <xf numFmtId="0" fontId="61" fillId="4" borderId="9" xfId="0" applyFont="1" applyFill="1" applyBorder="1"/>
    <xf numFmtId="0" fontId="46" fillId="4" borderId="9" xfId="0" applyFont="1" applyFill="1" applyBorder="1"/>
    <xf numFmtId="0" fontId="61" fillId="4" borderId="0" xfId="0" applyFont="1" applyFill="1" applyAlignment="1">
      <alignment vertical="center"/>
    </xf>
    <xf numFmtId="0" fontId="46" fillId="4" borderId="0" xfId="0" applyFont="1" applyFill="1" applyAlignment="1">
      <alignment horizontal="right" vertical="center"/>
    </xf>
    <xf numFmtId="0" fontId="46" fillId="4" borderId="0" xfId="0" applyFont="1" applyFill="1" applyAlignment="1">
      <alignment horizontal="right"/>
    </xf>
    <xf numFmtId="0" fontId="46" fillId="4" borderId="0" xfId="0" applyFont="1" applyFill="1" applyBorder="1" applyAlignment="1">
      <alignment horizontal="right"/>
    </xf>
    <xf numFmtId="0" fontId="61" fillId="4" borderId="0" xfId="0" applyFont="1" applyFill="1" applyBorder="1" applyAlignment="1">
      <alignment vertical="center"/>
    </xf>
    <xf numFmtId="0" fontId="0" fillId="4" borderId="0" xfId="0" applyFill="1" applyBorder="1" applyAlignment="1">
      <alignment vertical="center"/>
    </xf>
    <xf numFmtId="0" fontId="37" fillId="4" borderId="0" xfId="0" applyFont="1" applyFill="1" applyAlignment="1">
      <alignment horizontal="right" vertical="center"/>
    </xf>
    <xf numFmtId="0" fontId="61" fillId="4" borderId="0" xfId="0" applyFont="1" applyFill="1" applyAlignment="1">
      <alignment horizontal="right" vertical="center"/>
    </xf>
    <xf numFmtId="49" fontId="47" fillId="4" borderId="0" xfId="0" applyNumberFormat="1" applyFont="1" applyFill="1" applyAlignment="1">
      <alignment horizontal="right" vertical="center"/>
    </xf>
    <xf numFmtId="49" fontId="47" fillId="4" borderId="0" xfId="0" applyNumberFormat="1" applyFont="1" applyFill="1" applyAlignment="1">
      <alignment horizontal="right"/>
    </xf>
    <xf numFmtId="0" fontId="43" fillId="4" borderId="0" xfId="0" applyFont="1" applyFill="1" applyBorder="1" applyAlignment="1">
      <alignment horizontal="right" vertical="center"/>
    </xf>
    <xf numFmtId="0" fontId="61" fillId="4" borderId="1" xfId="0" applyFont="1" applyFill="1" applyBorder="1" applyAlignment="1">
      <alignment vertical="center"/>
    </xf>
    <xf numFmtId="0" fontId="37" fillId="4" borderId="1" xfId="0" applyFont="1" applyFill="1" applyBorder="1" applyAlignment="1">
      <alignment horizontal="right" vertical="center"/>
    </xf>
    <xf numFmtId="0" fontId="61" fillId="4" borderId="1" xfId="0" applyFont="1" applyFill="1" applyBorder="1" applyAlignment="1">
      <alignment horizontal="right" vertical="center"/>
    </xf>
    <xf numFmtId="49" fontId="47" fillId="4" borderId="1" xfId="0" applyNumberFormat="1" applyFont="1" applyFill="1" applyBorder="1" applyAlignment="1">
      <alignment horizontal="right" vertical="center"/>
    </xf>
    <xf numFmtId="0" fontId="46" fillId="4" borderId="1" xfId="0" applyFont="1" applyFill="1" applyBorder="1" applyAlignment="1">
      <alignment horizontal="right" vertical="center"/>
    </xf>
    <xf numFmtId="0" fontId="61" fillId="4" borderId="1" xfId="0" applyFont="1" applyFill="1" applyBorder="1" applyAlignment="1">
      <alignment horizontal="right"/>
    </xf>
    <xf numFmtId="0" fontId="46" fillId="4" borderId="1" xfId="0" applyFont="1" applyFill="1" applyBorder="1" applyAlignment="1">
      <alignment horizontal="right"/>
    </xf>
    <xf numFmtId="49" fontId="50" fillId="4" borderId="0" xfId="0" applyNumberFormat="1" applyFont="1" applyFill="1" applyBorder="1" applyAlignment="1">
      <alignment horizontal="right" vertical="center"/>
    </xf>
    <xf numFmtId="0" fontId="56" fillId="4" borderId="0" xfId="0" applyFont="1" applyFill="1" applyAlignment="1">
      <alignment horizontal="left"/>
    </xf>
    <xf numFmtId="0" fontId="43" fillId="4" borderId="0" xfId="0" applyFont="1" applyFill="1" applyBorder="1" applyAlignment="1">
      <alignment horizontal="right"/>
    </xf>
    <xf numFmtId="49" fontId="50" fillId="4" borderId="0" xfId="0" applyNumberFormat="1" applyFont="1" applyFill="1" applyBorder="1" applyAlignment="1">
      <alignment horizontal="right"/>
    </xf>
    <xf numFmtId="0" fontId="56" fillId="4" borderId="0" xfId="0" applyFont="1" applyFill="1" applyBorder="1" applyAlignment="1">
      <alignment horizontal="left"/>
    </xf>
    <xf numFmtId="0" fontId="49" fillId="4" borderId="0" xfId="0" applyFont="1" applyFill="1" applyBorder="1" applyAlignment="1">
      <alignment horizontal="right"/>
    </xf>
    <xf numFmtId="3" fontId="49" fillId="4" borderId="0" xfId="0" applyNumberFormat="1" applyFont="1" applyFill="1" applyBorder="1" applyAlignment="1">
      <alignment horizontal="right"/>
    </xf>
    <xf numFmtId="0" fontId="42" fillId="4" borderId="1" xfId="0" applyFont="1" applyFill="1" applyBorder="1"/>
    <xf numFmtId="0" fontId="42" fillId="4" borderId="0" xfId="0" applyFont="1" applyFill="1" applyAlignment="1">
      <alignment horizontal="right"/>
    </xf>
    <xf numFmtId="0" fontId="42" fillId="4" borderId="7" xfId="0" applyFont="1" applyFill="1" applyBorder="1"/>
    <xf numFmtId="172" fontId="42" fillId="4" borderId="7" xfId="0" applyNumberFormat="1" applyFont="1" applyFill="1" applyBorder="1" applyAlignment="1">
      <alignment horizontal="right"/>
    </xf>
    <xf numFmtId="0" fontId="49" fillId="4" borderId="0" xfId="0" applyFont="1" applyFill="1" applyBorder="1" applyAlignment="1">
      <alignment horizontal="right" vertical="center"/>
    </xf>
    <xf numFmtId="3" fontId="49" fillId="4" borderId="0" xfId="0" applyNumberFormat="1" applyFont="1" applyFill="1" applyBorder="1" applyAlignment="1">
      <alignment horizontal="right" vertical="center"/>
    </xf>
    <xf numFmtId="0" fontId="49" fillId="4" borderId="0" xfId="0" applyFont="1" applyFill="1" applyBorder="1"/>
    <xf numFmtId="0" fontId="90" fillId="4" borderId="0" xfId="0" applyFont="1" applyFill="1" applyBorder="1" applyAlignment="1">
      <alignment horizontal="left"/>
    </xf>
    <xf numFmtId="0" fontId="90" fillId="4" borderId="0" xfId="0" applyFont="1" applyFill="1" applyBorder="1" applyAlignment="1">
      <alignment horizontal="right"/>
    </xf>
    <xf numFmtId="49" fontId="91" fillId="4" borderId="0" xfId="0" applyNumberFormat="1" applyFont="1" applyFill="1" applyBorder="1" applyAlignment="1">
      <alignment horizontal="right"/>
    </xf>
    <xf numFmtId="3" fontId="49" fillId="4" borderId="0" xfId="0" applyNumberFormat="1" applyFont="1" applyFill="1" applyBorder="1" applyAlignment="1">
      <alignment vertical="center"/>
    </xf>
    <xf numFmtId="0" fontId="49" fillId="4" borderId="0" xfId="0" applyFont="1" applyFill="1" applyBorder="1" applyAlignment="1">
      <alignment vertical="center"/>
    </xf>
    <xf numFmtId="3" fontId="49" fillId="4" borderId="0" xfId="0" applyNumberFormat="1" applyFont="1" applyFill="1" applyBorder="1"/>
    <xf numFmtId="0" fontId="47" fillId="4" borderId="0" xfId="0" applyFont="1" applyFill="1" applyBorder="1"/>
    <xf numFmtId="0" fontId="61" fillId="4" borderId="1" xfId="0" applyFont="1" applyFill="1" applyBorder="1"/>
    <xf numFmtId="49" fontId="47" fillId="4" borderId="1" xfId="0" applyNumberFormat="1" applyFont="1" applyFill="1" applyBorder="1" applyAlignment="1">
      <alignment horizontal="right"/>
    </xf>
    <xf numFmtId="0" fontId="56" fillId="4" borderId="0" xfId="0" applyFont="1" applyFill="1" applyAlignment="1">
      <alignment horizontal="left" vertical="center"/>
    </xf>
    <xf numFmtId="0" fontId="42" fillId="4" borderId="0" xfId="0" applyFont="1" applyFill="1" applyAlignment="1">
      <alignment horizontal="right" vertical="center"/>
    </xf>
    <xf numFmtId="186" fontId="42" fillId="4" borderId="0" xfId="0" applyNumberFormat="1" applyFont="1" applyFill="1" applyAlignment="1">
      <alignment horizontal="right"/>
    </xf>
    <xf numFmtId="186" fontId="65" fillId="4" borderId="0" xfId="0" applyNumberFormat="1" applyFont="1" applyFill="1" applyAlignment="1">
      <alignment horizontal="right"/>
    </xf>
    <xf numFmtId="172" fontId="0" fillId="4" borderId="0" xfId="0" applyNumberFormat="1" applyFill="1"/>
    <xf numFmtId="186" fontId="65" fillId="4" borderId="0" xfId="0" applyNumberFormat="1" applyFont="1" applyFill="1" applyBorder="1" applyAlignment="1">
      <alignment horizontal="right"/>
    </xf>
    <xf numFmtId="186" fontId="65" fillId="4" borderId="1" xfId="0" applyNumberFormat="1" applyFont="1" applyFill="1" applyBorder="1" applyAlignment="1">
      <alignment horizontal="right"/>
    </xf>
    <xf numFmtId="186" fontId="65" fillId="4" borderId="7" xfId="0" applyNumberFormat="1" applyFont="1" applyFill="1" applyBorder="1" applyAlignment="1">
      <alignment horizontal="right"/>
    </xf>
    <xf numFmtId="186" fontId="65" fillId="4" borderId="0" xfId="0" applyNumberFormat="1" applyFont="1" applyFill="1" applyAlignment="1">
      <alignment horizontal="right" vertical="center"/>
    </xf>
    <xf numFmtId="186" fontId="0" fillId="4" borderId="0" xfId="0" applyNumberFormat="1" applyFill="1"/>
    <xf numFmtId="186" fontId="42" fillId="4" borderId="1" xfId="0" applyNumberFormat="1" applyFont="1" applyFill="1" applyBorder="1" applyAlignment="1">
      <alignment horizontal="right"/>
    </xf>
    <xf numFmtId="186" fontId="42" fillId="4" borderId="0" xfId="0" applyNumberFormat="1" applyFont="1" applyFill="1" applyBorder="1" applyAlignment="1">
      <alignment horizontal="right"/>
    </xf>
    <xf numFmtId="187" fontId="42" fillId="4" borderId="0" xfId="0" applyNumberFormat="1" applyFont="1" applyFill="1" applyAlignment="1">
      <alignment horizontal="right"/>
    </xf>
    <xf numFmtId="186" fontId="42" fillId="4" borderId="7" xfId="0" applyNumberFormat="1" applyFont="1" applyFill="1" applyBorder="1" applyAlignment="1">
      <alignment horizontal="right"/>
    </xf>
    <xf numFmtId="186" fontId="42" fillId="4" borderId="0" xfId="0" applyNumberFormat="1" applyFont="1" applyFill="1" applyAlignment="1">
      <alignment horizontal="right" vertical="center"/>
    </xf>
    <xf numFmtId="187" fontId="42" fillId="4" borderId="0" xfId="0" applyNumberFormat="1" applyFont="1" applyFill="1" applyBorder="1" applyAlignment="1">
      <alignment horizontal="right"/>
    </xf>
    <xf numFmtId="187" fontId="42" fillId="4" borderId="1" xfId="0" applyNumberFormat="1" applyFont="1" applyFill="1" applyBorder="1" applyAlignment="1">
      <alignment horizontal="right"/>
    </xf>
    <xf numFmtId="187" fontId="42" fillId="4" borderId="7" xfId="0" applyNumberFormat="1" applyFont="1" applyFill="1" applyBorder="1" applyAlignment="1">
      <alignment horizontal="right"/>
    </xf>
    <xf numFmtId="0" fontId="42" fillId="4" borderId="0" xfId="0" applyFont="1" applyFill="1" applyBorder="1"/>
    <xf numFmtId="0" fontId="37" fillId="4" borderId="0" xfId="0" applyFont="1" applyFill="1" applyBorder="1"/>
    <xf numFmtId="0" fontId="42" fillId="4" borderId="0" xfId="0" applyFont="1" applyFill="1" applyBorder="1" applyAlignment="1">
      <alignment horizontal="right"/>
    </xf>
    <xf numFmtId="0" fontId="61" fillId="4" borderId="0" xfId="0" applyFont="1" applyFill="1" applyBorder="1" applyAlignment="1"/>
    <xf numFmtId="0" fontId="42" fillId="4" borderId="0" xfId="0" applyFont="1" applyFill="1" applyBorder="1" applyAlignment="1">
      <alignment horizontal="center"/>
    </xf>
    <xf numFmtId="0" fontId="0" fillId="4" borderId="1" xfId="0" applyFill="1" applyBorder="1" applyAlignment="1">
      <alignment horizontal="center"/>
    </xf>
    <xf numFmtId="0" fontId="43" fillId="4" borderId="0" xfId="0" applyFont="1" applyFill="1" applyAlignment="1">
      <alignment horizontal="right"/>
    </xf>
    <xf numFmtId="0" fontId="0" fillId="4" borderId="1" xfId="0" applyFill="1" applyBorder="1"/>
    <xf numFmtId="49" fontId="91" fillId="4" borderId="1" xfId="0" applyNumberFormat="1" applyFont="1" applyFill="1" applyBorder="1" applyAlignment="1">
      <alignment horizontal="right"/>
    </xf>
    <xf numFmtId="0" fontId="0" fillId="4" borderId="1" xfId="0" applyFill="1" applyBorder="1" applyAlignment="1">
      <alignment vertical="center"/>
    </xf>
    <xf numFmtId="0" fontId="49" fillId="4" borderId="1" xfId="0" applyFont="1" applyFill="1" applyBorder="1"/>
    <xf numFmtId="0" fontId="49" fillId="4" borderId="0" xfId="0" applyFont="1" applyFill="1" applyAlignment="1">
      <alignment horizontal="right" vertical="center"/>
    </xf>
    <xf numFmtId="187" fontId="65" fillId="4" borderId="0" xfId="0" applyNumberFormat="1" applyFont="1" applyFill="1" applyBorder="1" applyAlignment="1">
      <alignment horizontal="right"/>
    </xf>
    <xf numFmtId="187" fontId="65" fillId="4" borderId="1" xfId="0" applyNumberFormat="1" applyFont="1" applyFill="1" applyBorder="1" applyAlignment="1">
      <alignment horizontal="right"/>
    </xf>
    <xf numFmtId="186" fontId="66" fillId="4" borderId="0" xfId="0" applyNumberFormat="1" applyFont="1" applyFill="1" applyAlignment="1">
      <alignment horizontal="right" vertical="center"/>
    </xf>
    <xf numFmtId="186" fontId="66" fillId="4" borderId="0" xfId="0" applyNumberFormat="1" applyFont="1" applyFill="1" applyBorder="1" applyAlignment="1">
      <alignment horizontal="right"/>
    </xf>
    <xf numFmtId="186" fontId="66" fillId="4" borderId="1" xfId="0" applyNumberFormat="1" applyFont="1" applyFill="1" applyBorder="1" applyAlignment="1">
      <alignment horizontal="right"/>
    </xf>
    <xf numFmtId="172" fontId="66" fillId="4" borderId="0" xfId="0" applyNumberFormat="1" applyFont="1" applyFill="1" applyAlignment="1">
      <alignment horizontal="right" vertical="center"/>
    </xf>
    <xf numFmtId="187" fontId="65" fillId="4" borderId="0" xfId="0" applyNumberFormat="1" applyFont="1" applyFill="1" applyAlignment="1">
      <alignment horizontal="right"/>
    </xf>
    <xf numFmtId="186" fontId="66" fillId="4" borderId="0" xfId="0" applyNumberFormat="1" applyFont="1" applyFill="1" applyAlignment="1">
      <alignment horizontal="right"/>
    </xf>
    <xf numFmtId="0" fontId="0" fillId="4" borderId="7" xfId="0" applyFill="1" applyBorder="1"/>
    <xf numFmtId="187" fontId="65" fillId="4" borderId="7" xfId="0" applyNumberFormat="1" applyFont="1" applyFill="1" applyBorder="1" applyAlignment="1">
      <alignment horizontal="right"/>
    </xf>
    <xf numFmtId="172" fontId="65" fillId="4" borderId="7" xfId="0" applyNumberFormat="1" applyFont="1" applyFill="1" applyBorder="1" applyAlignment="1">
      <alignment horizontal="right"/>
    </xf>
    <xf numFmtId="186" fontId="66" fillId="4" borderId="7" xfId="0" applyNumberFormat="1" applyFont="1" applyFill="1" applyBorder="1" applyAlignment="1">
      <alignment horizontal="right"/>
    </xf>
    <xf numFmtId="186" fontId="0" fillId="4" borderId="0" xfId="0" applyNumberFormat="1" applyFill="1" applyBorder="1"/>
    <xf numFmtId="186" fontId="42" fillId="4" borderId="0" xfId="0" applyNumberFormat="1" applyFont="1" applyFill="1" applyBorder="1"/>
    <xf numFmtId="0" fontId="72" fillId="4" borderId="0" xfId="0" applyFont="1" applyFill="1"/>
    <xf numFmtId="164" fontId="0" fillId="0" borderId="0" xfId="2" applyNumberFormat="1" applyFont="1" applyAlignment="1">
      <alignment vertical="center"/>
    </xf>
    <xf numFmtId="0" fontId="14" fillId="0" borderId="0" xfId="0" applyFont="1" applyFill="1" applyBorder="1" applyAlignment="1">
      <alignment vertical="center"/>
    </xf>
    <xf numFmtId="0" fontId="14" fillId="0" borderId="0" xfId="0" applyFont="1" applyFill="1" applyBorder="1" applyAlignment="1">
      <alignment horizontal="center" vertical="center" wrapText="1"/>
    </xf>
    <xf numFmtId="0" fontId="20" fillId="0" borderId="0" xfId="0" applyFont="1" applyFill="1" applyBorder="1" applyAlignment="1">
      <alignment vertical="center"/>
    </xf>
    <xf numFmtId="0" fontId="24" fillId="0" borderId="0" xfId="0" applyFont="1" applyFill="1" applyBorder="1" applyAlignment="1">
      <alignment horizontal="center" vertical="center" wrapText="1"/>
    </xf>
    <xf numFmtId="0" fontId="23" fillId="0" borderId="0" xfId="0" applyFont="1" applyFill="1" applyBorder="1" applyAlignment="1">
      <alignment horizontal="center" vertical="center" wrapText="1"/>
    </xf>
    <xf numFmtId="0" fontId="22" fillId="0" borderId="0" xfId="0" applyFont="1" applyFill="1" applyBorder="1" applyAlignment="1">
      <alignment horizontal="center" vertical="center" wrapText="1"/>
    </xf>
    <xf numFmtId="0" fontId="93" fillId="0" borderId="0" xfId="0" applyFont="1" applyFill="1" applyBorder="1" applyAlignment="1">
      <alignment horizontal="center" vertical="center" wrapText="1"/>
    </xf>
    <xf numFmtId="0" fontId="16" fillId="0" borderId="0" xfId="0" applyFont="1" applyFill="1" applyBorder="1" applyAlignment="1">
      <alignment horizontal="center" vertical="center"/>
    </xf>
    <xf numFmtId="0" fontId="16" fillId="0" borderId="0" xfId="0" applyFont="1" applyFill="1" applyBorder="1" applyAlignment="1">
      <alignment vertical="center"/>
    </xf>
    <xf numFmtId="191" fontId="28" fillId="0" borderId="0" xfId="2" applyFont="1" applyFill="1" applyBorder="1" applyAlignment="1">
      <alignment vertical="center"/>
    </xf>
    <xf numFmtId="0" fontId="0" fillId="0" borderId="0" xfId="0" applyFont="1" applyFill="1" applyBorder="1" applyAlignment="1">
      <alignment vertical="center"/>
    </xf>
    <xf numFmtId="191" fontId="92" fillId="0" borderId="0" xfId="2" applyFont="1" applyFill="1" applyBorder="1" applyAlignment="1">
      <alignment vertical="center"/>
    </xf>
    <xf numFmtId="191" fontId="34" fillId="0" borderId="0" xfId="2" applyFont="1" applyFill="1" applyBorder="1" applyAlignment="1">
      <alignment vertical="center"/>
    </xf>
    <xf numFmtId="0" fontId="26" fillId="0" borderId="0" xfId="0" applyFont="1" applyFill="1" applyBorder="1" applyAlignment="1">
      <alignment horizontal="center" vertical="center"/>
    </xf>
    <xf numFmtId="0" fontId="26" fillId="0" borderId="0" xfId="0" applyFont="1" applyFill="1" applyBorder="1" applyAlignment="1">
      <alignment vertical="center"/>
    </xf>
    <xf numFmtId="191" fontId="83" fillId="0" borderId="0" xfId="2" applyFont="1" applyFill="1" applyBorder="1" applyAlignment="1">
      <alignment vertical="center"/>
    </xf>
    <xf numFmtId="191" fontId="34" fillId="0" borderId="0" xfId="2" applyFont="1" applyFill="1" applyBorder="1" applyAlignment="1">
      <alignment horizontal="center" vertical="center" wrapText="1"/>
    </xf>
    <xf numFmtId="0" fontId="0" fillId="0" borderId="0" xfId="0" applyFill="1" applyBorder="1" applyAlignment="1">
      <alignment horizontal="center" vertical="center"/>
    </xf>
    <xf numFmtId="0" fontId="74" fillId="0" borderId="0" xfId="4" applyNumberFormat="1" applyFill="1" applyBorder="1" applyAlignment="1">
      <alignment vertical="center"/>
    </xf>
    <xf numFmtId="0" fontId="74" fillId="0" borderId="0" xfId="4" applyNumberFormat="1" applyFill="1" applyBorder="1" applyAlignment="1">
      <alignment horizontal="center" vertical="center"/>
    </xf>
    <xf numFmtId="0" fontId="74" fillId="0" borderId="0" xfId="4" applyNumberFormat="1" applyFill="1" applyBorder="1" applyAlignment="1">
      <alignment horizontal="left" vertical="center"/>
    </xf>
    <xf numFmtId="176" fontId="74" fillId="0" borderId="0" xfId="4" applyFill="1" applyBorder="1" applyAlignment="1">
      <alignment vertical="center"/>
    </xf>
    <xf numFmtId="0" fontId="16" fillId="0" borderId="0" xfId="0" applyFont="1" applyFill="1" applyBorder="1" applyAlignment="1">
      <alignment horizontal="center" vertical="center" wrapText="1"/>
    </xf>
    <xf numFmtId="0" fontId="20" fillId="0" borderId="11" xfId="0" applyFont="1" applyFill="1" applyBorder="1" applyAlignment="1">
      <alignment vertical="center"/>
    </xf>
    <xf numFmtId="0" fontId="18" fillId="0" borderId="0" xfId="0" applyFont="1" applyFill="1" applyBorder="1" applyAlignment="1">
      <alignment vertical="center"/>
    </xf>
    <xf numFmtId="0" fontId="26" fillId="0" borderId="13" xfId="0" applyFont="1" applyFill="1" applyBorder="1" applyAlignment="1">
      <alignment vertical="center"/>
    </xf>
    <xf numFmtId="0" fontId="16" fillId="0" borderId="13" xfId="0" applyFont="1" applyFill="1" applyBorder="1" applyAlignment="1">
      <alignment vertical="center"/>
    </xf>
    <xf numFmtId="0" fontId="19" fillId="0" borderId="0" xfId="0" applyFont="1" applyFill="1" applyBorder="1" applyAlignment="1">
      <alignment horizontal="center" vertical="center"/>
    </xf>
    <xf numFmtId="0" fontId="0" fillId="0" borderId="0" xfId="0" applyBorder="1" applyAlignment="1">
      <alignment horizontal="right" vertical="center"/>
    </xf>
    <xf numFmtId="3" fontId="0" fillId="0" borderId="1" xfId="0" applyNumberFormat="1" applyBorder="1" applyAlignment="1">
      <alignment vertical="center"/>
    </xf>
    <xf numFmtId="0" fontId="26" fillId="0" borderId="15" xfId="0" applyFont="1" applyBorder="1" applyAlignment="1">
      <alignment horizontal="left" vertical="center"/>
    </xf>
    <xf numFmtId="191" fontId="26" fillId="0" borderId="0" xfId="2" applyFont="1" applyBorder="1" applyAlignment="1">
      <alignment vertical="center"/>
    </xf>
    <xf numFmtId="188" fontId="0" fillId="0" borderId="0" xfId="2" applyNumberFormat="1" applyFont="1"/>
    <xf numFmtId="189" fontId="0" fillId="0" borderId="0" xfId="2" applyNumberFormat="1" applyFont="1"/>
    <xf numFmtId="0" fontId="26" fillId="0" borderId="2" xfId="0" applyFont="1" applyBorder="1" applyAlignment="1">
      <alignment horizontal="center" vertical="center"/>
    </xf>
    <xf numFmtId="0" fontId="0" fillId="15" borderId="0" xfId="0" applyFill="1"/>
    <xf numFmtId="0" fontId="74" fillId="0" borderId="0" xfId="4" applyNumberFormat="1"/>
    <xf numFmtId="0" fontId="26" fillId="0" borderId="0" xfId="0" applyFont="1"/>
    <xf numFmtId="0" fontId="0" fillId="0" borderId="0" xfId="0" applyAlignment="1">
      <alignment vertical="top"/>
    </xf>
    <xf numFmtId="0" fontId="0" fillId="0" borderId="0" xfId="0" applyAlignment="1">
      <alignment vertical="center"/>
    </xf>
    <xf numFmtId="0" fontId="26" fillId="0" borderId="0" xfId="0" applyFont="1" applyFill="1" applyBorder="1" applyAlignment="1">
      <alignment horizontal="right" vertical="center"/>
    </xf>
    <xf numFmtId="0" fontId="74" fillId="0" borderId="0" xfId="4" applyNumberFormat="1" applyFill="1" applyBorder="1" applyAlignment="1">
      <alignment horizontal="right" vertical="center"/>
    </xf>
    <xf numFmtId="0" fontId="0" fillId="0" borderId="0" xfId="0" applyFont="1" applyFill="1" applyBorder="1" applyAlignment="1">
      <alignment horizontal="right" vertical="center"/>
    </xf>
    <xf numFmtId="0" fontId="0" fillId="0" borderId="0" xfId="0" applyAlignment="1">
      <alignment horizontal="left" vertical="center"/>
    </xf>
    <xf numFmtId="0" fontId="18" fillId="0" borderId="0" xfId="0" applyFont="1" applyAlignment="1">
      <alignment vertical="center"/>
    </xf>
    <xf numFmtId="0" fontId="0" fillId="0" borderId="0" xfId="0" applyAlignment="1">
      <alignment wrapText="1"/>
    </xf>
    <xf numFmtId="0" fontId="0" fillId="0" borderId="0" xfId="0" applyBorder="1" applyAlignment="1">
      <alignment wrapText="1"/>
    </xf>
    <xf numFmtId="0" fontId="95" fillId="0" borderId="0" xfId="0" applyFont="1"/>
    <xf numFmtId="0" fontId="95" fillId="0" borderId="0" xfId="0" applyFont="1" applyAlignment="1">
      <alignment vertical="center"/>
    </xf>
    <xf numFmtId="0" fontId="96" fillId="3" borderId="3" xfId="3" applyFont="1" applyAlignment="1">
      <alignment horizontal="left" vertical="center" indent="1"/>
    </xf>
    <xf numFmtId="0" fontId="0" fillId="0" borderId="12" xfId="0" applyBorder="1"/>
    <xf numFmtId="0" fontId="33" fillId="0" borderId="12" xfId="0" applyFont="1" applyFill="1" applyBorder="1" applyAlignment="1">
      <alignment horizontal="left" vertical="center"/>
    </xf>
    <xf numFmtId="164" fontId="0" fillId="0" borderId="12" xfId="0" applyNumberFormat="1" applyBorder="1"/>
    <xf numFmtId="0" fontId="0" fillId="8" borderId="0" xfId="0" applyFill="1" applyBorder="1" applyAlignment="1">
      <alignment vertical="center"/>
    </xf>
    <xf numFmtId="0" fontId="23" fillId="6" borderId="16" xfId="0" applyFont="1" applyFill="1" applyBorder="1" applyAlignment="1">
      <alignment vertical="center"/>
    </xf>
    <xf numFmtId="0" fontId="98" fillId="0" borderId="0" xfId="0" applyFont="1"/>
    <xf numFmtId="0" fontId="98" fillId="0" borderId="0" xfId="0" applyFont="1" applyAlignment="1">
      <alignment vertical="center"/>
    </xf>
    <xf numFmtId="0" fontId="0" fillId="6" borderId="17" xfId="0" applyNumberFormat="1" applyFill="1" applyBorder="1" applyAlignment="1">
      <alignment vertical="center"/>
    </xf>
    <xf numFmtId="0" fontId="0" fillId="6" borderId="17" xfId="0" applyFill="1" applyBorder="1" applyAlignment="1">
      <alignment vertical="center"/>
    </xf>
    <xf numFmtId="0" fontId="23" fillId="6" borderId="16" xfId="0" applyFont="1" applyFill="1" applyBorder="1" applyAlignment="1">
      <alignment horizontal="right" vertical="center"/>
    </xf>
    <xf numFmtId="0" fontId="23" fillId="6" borderId="18" xfId="0" applyFont="1" applyFill="1" applyBorder="1" applyAlignment="1">
      <alignment horizontal="right" vertical="center"/>
    </xf>
    <xf numFmtId="164" fontId="0" fillId="0" borderId="0" xfId="0" applyNumberFormat="1" applyAlignment="1">
      <alignment vertical="center"/>
    </xf>
    <xf numFmtId="0" fontId="23" fillId="6" borderId="0" xfId="0" applyFont="1" applyFill="1" applyBorder="1" applyAlignment="1">
      <alignment vertical="center"/>
    </xf>
    <xf numFmtId="0" fontId="14" fillId="6" borderId="0" xfId="0" applyFont="1" applyFill="1" applyBorder="1" applyAlignment="1">
      <alignment vertical="center"/>
    </xf>
    <xf numFmtId="200" fontId="0" fillId="6" borderId="17" xfId="1" applyFont="1" applyFill="1" applyBorder="1" applyAlignment="1">
      <alignment vertical="center"/>
    </xf>
    <xf numFmtId="190" fontId="0" fillId="6" borderId="17" xfId="1" applyNumberFormat="1" applyFont="1" applyFill="1" applyBorder="1" applyAlignment="1">
      <alignment vertical="center"/>
    </xf>
    <xf numFmtId="170" fontId="0" fillId="8" borderId="0" xfId="0" applyNumberFormat="1" applyFill="1" applyBorder="1" applyAlignment="1">
      <alignment vertical="center"/>
    </xf>
    <xf numFmtId="200" fontId="0" fillId="6" borderId="20" xfId="1" applyFont="1" applyFill="1" applyBorder="1" applyAlignment="1">
      <alignment vertical="center"/>
    </xf>
    <xf numFmtId="200" fontId="0" fillId="6" borderId="19" xfId="1" applyFont="1" applyFill="1" applyBorder="1" applyAlignment="1">
      <alignment vertical="center"/>
    </xf>
    <xf numFmtId="191" fontId="0" fillId="6" borderId="17" xfId="2" applyFont="1" applyFill="1" applyBorder="1" applyAlignment="1">
      <alignment vertical="center"/>
    </xf>
    <xf numFmtId="191" fontId="26" fillId="0" borderId="0" xfId="2" applyFont="1"/>
    <xf numFmtId="0" fontId="0" fillId="0" borderId="0" xfId="0" applyNumberFormat="1" applyAlignment="1">
      <alignment vertical="center"/>
    </xf>
    <xf numFmtId="0" fontId="0" fillId="0" borderId="0" xfId="0" applyBorder="1" applyAlignment="1">
      <alignment horizontal="left" vertical="center"/>
    </xf>
    <xf numFmtId="0" fontId="0" fillId="0" borderId="0" xfId="0" applyNumberFormat="1" applyBorder="1" applyAlignment="1">
      <alignment vertical="center"/>
    </xf>
    <xf numFmtId="0" fontId="99" fillId="0" borderId="0" xfId="0" applyFont="1"/>
    <xf numFmtId="0" fontId="100" fillId="0" borderId="0" xfId="0" applyFont="1"/>
    <xf numFmtId="0" fontId="0" fillId="6" borderId="21" xfId="0" applyNumberFormat="1" applyFill="1" applyBorder="1" applyAlignment="1">
      <alignment vertical="center"/>
    </xf>
    <xf numFmtId="0" fontId="0" fillId="6" borderId="21" xfId="0" applyFill="1" applyBorder="1" applyAlignment="1">
      <alignment vertical="center"/>
    </xf>
    <xf numFmtId="191" fontId="0" fillId="6" borderId="21" xfId="2" applyFont="1" applyFill="1" applyBorder="1" applyAlignment="1">
      <alignment vertical="center"/>
    </xf>
    <xf numFmtId="200" fontId="0" fillId="6" borderId="22" xfId="1" applyFont="1" applyFill="1" applyBorder="1" applyAlignment="1">
      <alignment vertical="center"/>
    </xf>
    <xf numFmtId="0" fontId="26" fillId="0" borderId="0" xfId="0" quotePrefix="1" applyFont="1"/>
    <xf numFmtId="0" fontId="20" fillId="0" borderId="0" xfId="0" applyFont="1" applyFill="1" applyBorder="1" applyAlignment="1">
      <alignment horizontal="left" vertical="center"/>
    </xf>
    <xf numFmtId="0" fontId="19" fillId="0" borderId="0" xfId="0" applyFont="1"/>
    <xf numFmtId="191" fontId="74" fillId="0" borderId="0" xfId="4" applyNumberFormat="1" applyFill="1" applyBorder="1" applyAlignment="1">
      <alignment vertical="center"/>
    </xf>
    <xf numFmtId="191" fontId="16" fillId="0" borderId="0" xfId="2" applyFont="1"/>
    <xf numFmtId="190" fontId="0" fillId="6" borderId="21" xfId="1" applyNumberFormat="1" applyFont="1" applyFill="1" applyBorder="1" applyAlignment="1">
      <alignment vertical="center"/>
    </xf>
    <xf numFmtId="0" fontId="102" fillId="0" borderId="0" xfId="0" applyFont="1"/>
    <xf numFmtId="190" fontId="16" fillId="0" borderId="0" xfId="1" applyNumberFormat="1" applyFont="1"/>
    <xf numFmtId="190" fontId="0" fillId="6" borderId="22" xfId="0" applyNumberFormat="1" applyFill="1" applyBorder="1" applyAlignment="1">
      <alignment vertical="center"/>
    </xf>
    <xf numFmtId="0" fontId="31" fillId="0" borderId="0" xfId="0" applyFont="1" applyFill="1" applyBorder="1" applyAlignment="1">
      <alignment vertical="center"/>
    </xf>
    <xf numFmtId="0" fontId="0" fillId="6" borderId="0" xfId="0" applyNumberFormat="1" applyFill="1" applyBorder="1" applyAlignment="1">
      <alignment vertical="center"/>
    </xf>
    <xf numFmtId="0" fontId="0" fillId="6" borderId="0" xfId="0" applyFill="1" applyBorder="1" applyAlignment="1">
      <alignment vertical="center"/>
    </xf>
    <xf numFmtId="0" fontId="0" fillId="6" borderId="14" xfId="0" applyFill="1" applyBorder="1" applyAlignment="1">
      <alignment vertical="center"/>
    </xf>
    <xf numFmtId="0" fontId="26" fillId="0" borderId="0" xfId="0" applyFont="1" applyAlignment="1">
      <alignment vertical="center"/>
    </xf>
    <xf numFmtId="191" fontId="26" fillId="0" borderId="0" xfId="0" applyNumberFormat="1" applyFont="1" applyAlignment="1">
      <alignment vertical="center"/>
    </xf>
    <xf numFmtId="200" fontId="0" fillId="0" borderId="0" xfId="1" applyFont="1" applyAlignment="1">
      <alignment vertical="center"/>
    </xf>
    <xf numFmtId="0" fontId="0" fillId="0" borderId="0" xfId="0" quotePrefix="1" applyAlignment="1">
      <alignment vertical="center"/>
    </xf>
    <xf numFmtId="191" fontId="0" fillId="0" borderId="0" xfId="0" applyNumberFormat="1" applyAlignment="1">
      <alignment vertical="center"/>
    </xf>
    <xf numFmtId="191" fontId="26" fillId="0" borderId="0" xfId="2" applyFont="1" applyAlignment="1">
      <alignment vertical="center"/>
    </xf>
    <xf numFmtId="191" fontId="0" fillId="0" borderId="0" xfId="2" applyFont="1" applyAlignment="1">
      <alignment vertical="center"/>
    </xf>
    <xf numFmtId="0" fontId="26" fillId="0" borderId="0" xfId="0" quotePrefix="1" applyFont="1" applyAlignment="1">
      <alignment vertical="center"/>
    </xf>
    <xf numFmtId="200" fontId="16" fillId="0" borderId="0" xfId="1" applyFont="1" applyAlignment="1">
      <alignment vertical="center"/>
    </xf>
    <xf numFmtId="191" fontId="26" fillId="0" borderId="8" xfId="2" applyFont="1" applyBorder="1" applyAlignment="1">
      <alignment vertical="center"/>
    </xf>
    <xf numFmtId="176" fontId="0" fillId="0" borderId="0" xfId="0" applyNumberFormat="1" applyAlignment="1">
      <alignment vertical="center"/>
    </xf>
    <xf numFmtId="176" fontId="26" fillId="0" borderId="0" xfId="0" applyNumberFormat="1" applyFont="1" applyAlignment="1">
      <alignment vertical="center"/>
    </xf>
    <xf numFmtId="9" fontId="0" fillId="6" borderId="17" xfId="1" applyNumberFormat="1" applyFont="1" applyFill="1" applyBorder="1" applyAlignment="1">
      <alignment vertical="center"/>
    </xf>
    <xf numFmtId="191" fontId="0" fillId="6" borderId="0" xfId="2" applyFont="1" applyFill="1" applyBorder="1" applyAlignment="1">
      <alignment vertical="center"/>
    </xf>
    <xf numFmtId="0" fontId="0" fillId="6" borderId="0" xfId="0" applyFill="1" applyBorder="1" applyAlignment="1">
      <alignment horizontal="right" vertical="center"/>
    </xf>
    <xf numFmtId="0" fontId="101" fillId="0" borderId="0" xfId="4" applyNumberFormat="1" applyFont="1" applyFill="1" applyBorder="1" applyAlignment="1">
      <alignment horizontal="center" vertical="center"/>
    </xf>
    <xf numFmtId="0" fontId="101" fillId="0" borderId="0" xfId="4" applyNumberFormat="1" applyFont="1" applyFill="1" applyBorder="1" applyAlignment="1">
      <alignment vertical="center"/>
    </xf>
    <xf numFmtId="191" fontId="101" fillId="0" borderId="0" xfId="4" applyNumberFormat="1" applyFont="1" applyFill="1" applyBorder="1" applyAlignment="1">
      <alignment vertical="center"/>
    </xf>
    <xf numFmtId="0" fontId="106" fillId="0" borderId="0" xfId="0" applyFont="1"/>
    <xf numFmtId="0" fontId="0" fillId="0" borderId="0" xfId="0" applyAlignment="1">
      <alignment horizontal="center" vertical="center"/>
    </xf>
    <xf numFmtId="192" fontId="0" fillId="0" borderId="0" xfId="2" applyNumberFormat="1" applyFont="1" applyAlignment="1">
      <alignment vertical="center"/>
    </xf>
    <xf numFmtId="191" fontId="0" fillId="6" borderId="17" xfId="2" applyFont="1" applyFill="1" applyBorder="1" applyAlignment="1">
      <alignment horizontal="right" vertical="center"/>
    </xf>
    <xf numFmtId="0" fontId="23" fillId="0" borderId="0" xfId="0" applyFont="1" applyAlignment="1">
      <alignment horizontal="center"/>
    </xf>
    <xf numFmtId="0" fontId="26" fillId="0" borderId="0" xfId="0" applyFont="1" applyAlignment="1">
      <alignment horizontal="right"/>
    </xf>
    <xf numFmtId="0" fontId="0" fillId="6" borderId="0" xfId="0" applyFill="1" applyBorder="1"/>
    <xf numFmtId="200" fontId="0" fillId="6" borderId="0" xfId="1" applyFont="1" applyFill="1" applyBorder="1" applyAlignment="1">
      <alignment vertical="center"/>
    </xf>
    <xf numFmtId="0" fontId="26" fillId="6" borderId="0" xfId="0" applyFont="1" applyFill="1" applyBorder="1"/>
    <xf numFmtId="0" fontId="0" fillId="6" borderId="0" xfId="0" applyFill="1" applyBorder="1" applyAlignment="1">
      <alignment horizontal="right"/>
    </xf>
    <xf numFmtId="0" fontId="0" fillId="6" borderId="0" xfId="0" applyNumberFormat="1" applyFill="1" applyBorder="1"/>
    <xf numFmtId="0" fontId="26" fillId="6" borderId="0" xfId="0" applyNumberFormat="1" applyFont="1" applyFill="1" applyBorder="1" applyAlignment="1">
      <alignment vertical="center"/>
    </xf>
    <xf numFmtId="0" fontId="23" fillId="6" borderId="15" xfId="0" applyFont="1" applyFill="1" applyBorder="1" applyAlignment="1">
      <alignment vertical="center"/>
    </xf>
    <xf numFmtId="0" fontId="93" fillId="6" borderId="15" xfId="0" applyFont="1" applyFill="1" applyBorder="1" applyAlignment="1">
      <alignment horizontal="center" vertical="center" wrapText="1"/>
    </xf>
    <xf numFmtId="0" fontId="24" fillId="6" borderId="23" xfId="0" applyFont="1" applyFill="1" applyBorder="1" applyAlignment="1">
      <alignment horizontal="center" vertical="center" wrapText="1"/>
    </xf>
    <xf numFmtId="200" fontId="0" fillId="6" borderId="0" xfId="1" applyFont="1" applyFill="1" applyBorder="1" applyAlignment="1">
      <alignment horizontal="right" vertical="center"/>
    </xf>
    <xf numFmtId="200" fontId="0" fillId="6" borderId="17" xfId="1" applyFont="1" applyFill="1" applyBorder="1" applyAlignment="1">
      <alignment horizontal="right" vertical="center"/>
    </xf>
    <xf numFmtId="191" fontId="14" fillId="6" borderId="0" xfId="2" applyFont="1" applyFill="1" applyBorder="1" applyAlignment="1">
      <alignment horizontal="right" vertical="center"/>
    </xf>
    <xf numFmtId="0" fontId="14" fillId="6" borderId="1" xfId="0" applyFont="1" applyFill="1" applyBorder="1" applyAlignment="1">
      <alignment vertical="center"/>
    </xf>
    <xf numFmtId="0" fontId="0" fillId="0" borderId="0" xfId="0" quotePrefix="1" applyFont="1"/>
    <xf numFmtId="0" fontId="0" fillId="6" borderId="1" xfId="0" applyNumberFormat="1" applyFill="1" applyBorder="1" applyAlignment="1">
      <alignment vertical="center"/>
    </xf>
    <xf numFmtId="0" fontId="0" fillId="6" borderId="1" xfId="0" applyFill="1" applyBorder="1" applyAlignment="1">
      <alignment vertical="center"/>
    </xf>
    <xf numFmtId="191" fontId="0" fillId="6" borderId="1" xfId="2" applyFont="1" applyFill="1" applyBorder="1" applyAlignment="1">
      <alignment vertical="center"/>
    </xf>
    <xf numFmtId="0" fontId="107" fillId="0" borderId="0" xfId="4" applyNumberFormat="1" applyFont="1"/>
    <xf numFmtId="0" fontId="31" fillId="0" borderId="0" xfId="0" applyFont="1" applyAlignment="1">
      <alignment vertical="center"/>
    </xf>
    <xf numFmtId="191" fontId="31" fillId="0" borderId="0" xfId="2" applyFont="1" applyAlignment="1">
      <alignment vertical="center"/>
    </xf>
    <xf numFmtId="176" fontId="31" fillId="0" borderId="0" xfId="0" applyNumberFormat="1" applyFont="1" applyAlignment="1">
      <alignment vertical="center"/>
    </xf>
    <xf numFmtId="191" fontId="0" fillId="0" borderId="8" xfId="0" applyNumberFormat="1" applyBorder="1" applyAlignment="1">
      <alignment vertical="center"/>
    </xf>
    <xf numFmtId="194" fontId="0" fillId="6" borderId="1" xfId="2" applyNumberFormat="1" applyFont="1" applyFill="1" applyBorder="1" applyAlignment="1">
      <alignment horizontal="right" vertical="center"/>
    </xf>
    <xf numFmtId="191" fontId="0" fillId="6" borderId="22" xfId="2" applyFont="1" applyFill="1" applyBorder="1" applyAlignment="1">
      <alignment vertical="center"/>
    </xf>
    <xf numFmtId="192" fontId="0" fillId="6" borderId="0" xfId="2" applyNumberFormat="1" applyFont="1" applyFill="1" applyBorder="1" applyAlignment="1">
      <alignment horizontal="right" vertical="center"/>
    </xf>
    <xf numFmtId="191" fontId="0" fillId="6" borderId="0" xfId="2" applyNumberFormat="1" applyFont="1" applyFill="1" applyBorder="1" applyAlignment="1">
      <alignment vertical="center"/>
    </xf>
    <xf numFmtId="191" fontId="0" fillId="6" borderId="29" xfId="2" applyNumberFormat="1" applyFont="1" applyFill="1" applyBorder="1" applyAlignment="1">
      <alignment vertical="center"/>
    </xf>
    <xf numFmtId="200" fontId="0" fillId="6" borderId="1" xfId="1" applyFont="1" applyFill="1" applyBorder="1" applyAlignment="1">
      <alignment vertical="center"/>
    </xf>
    <xf numFmtId="200" fontId="0" fillId="6" borderId="28" xfId="1" applyFont="1" applyFill="1" applyBorder="1" applyAlignment="1">
      <alignment vertical="center"/>
    </xf>
    <xf numFmtId="190" fontId="0" fillId="6" borderId="0" xfId="1" applyNumberFormat="1" applyFont="1" applyFill="1" applyBorder="1" applyAlignment="1">
      <alignment vertical="center"/>
    </xf>
    <xf numFmtId="190" fontId="0" fillId="6" borderId="1" xfId="1" applyNumberFormat="1" applyFont="1" applyFill="1" applyBorder="1" applyAlignment="1">
      <alignment vertical="center"/>
    </xf>
    <xf numFmtId="0" fontId="0" fillId="0" borderId="0" xfId="0" applyAlignment="1">
      <alignment horizontal="center" vertical="center" wrapText="1"/>
    </xf>
    <xf numFmtId="0" fontId="26" fillId="8" borderId="16" xfId="0" applyFont="1" applyFill="1" applyBorder="1" applyAlignment="1">
      <alignment vertical="center"/>
    </xf>
    <xf numFmtId="0" fontId="23" fillId="6" borderId="16" xfId="0" applyNumberFormat="1" applyFont="1" applyFill="1" applyBorder="1" applyAlignment="1">
      <alignment horizontal="right" vertical="center"/>
    </xf>
    <xf numFmtId="0" fontId="23" fillId="6" borderId="18" xfId="0" applyNumberFormat="1" applyFont="1" applyFill="1" applyBorder="1" applyAlignment="1">
      <alignment horizontal="right" vertical="center"/>
    </xf>
    <xf numFmtId="0" fontId="26" fillId="0" borderId="2" xfId="0" applyFont="1" applyBorder="1" applyAlignment="1">
      <alignment horizontal="right" vertical="center"/>
    </xf>
    <xf numFmtId="0" fontId="26" fillId="0" borderId="15" xfId="0" applyFont="1" applyBorder="1" applyAlignment="1">
      <alignment horizontal="right" vertical="center"/>
    </xf>
    <xf numFmtId="196" fontId="0" fillId="0" borderId="0" xfId="0" applyNumberFormat="1"/>
    <xf numFmtId="0" fontId="26" fillId="0" borderId="0" xfId="0" applyFont="1" applyAlignment="1">
      <alignment horizontal="left" vertical="center"/>
    </xf>
    <xf numFmtId="0" fontId="0" fillId="8" borderId="21" xfId="0" applyFill="1" applyBorder="1" applyAlignment="1">
      <alignment vertical="center"/>
    </xf>
    <xf numFmtId="0" fontId="14" fillId="0" borderId="0" xfId="0" applyFont="1" applyFill="1" applyBorder="1" applyAlignment="1">
      <alignment horizontal="left" vertical="center"/>
    </xf>
    <xf numFmtId="0" fontId="0" fillId="8" borderId="0" xfId="0" applyFont="1" applyFill="1" applyBorder="1" applyAlignment="1">
      <alignment vertical="center"/>
    </xf>
    <xf numFmtId="191" fontId="0" fillId="8" borderId="0" xfId="2" applyFont="1" applyFill="1" applyBorder="1" applyAlignment="1">
      <alignment vertical="center"/>
    </xf>
    <xf numFmtId="191" fontId="28" fillId="6" borderId="30" xfId="2" applyFont="1" applyFill="1" applyBorder="1" applyAlignment="1">
      <alignment vertical="center"/>
    </xf>
    <xf numFmtId="191" fontId="29" fillId="6" borderId="30" xfId="2" applyFont="1" applyFill="1" applyBorder="1" applyAlignment="1">
      <alignment horizontal="center" vertical="center" wrapText="1"/>
    </xf>
    <xf numFmtId="191" fontId="92" fillId="6" borderId="30" xfId="2" applyFont="1" applyFill="1" applyBorder="1" applyAlignment="1">
      <alignment vertical="center"/>
    </xf>
    <xf numFmtId="191" fontId="34" fillId="6" borderId="30" xfId="2" applyFont="1" applyFill="1" applyBorder="1" applyAlignment="1">
      <alignment vertical="center"/>
    </xf>
    <xf numFmtId="191" fontId="35" fillId="6" borderId="30" xfId="2" applyFont="1" applyFill="1" applyBorder="1" applyAlignment="1">
      <alignment horizontal="center" vertical="center" wrapText="1"/>
    </xf>
    <xf numFmtId="191" fontId="34" fillId="6" borderId="30" xfId="2" applyFont="1" applyFill="1" applyBorder="1" applyAlignment="1">
      <alignment horizontal="center" vertical="center" wrapText="1"/>
    </xf>
    <xf numFmtId="191" fontId="101" fillId="6" borderId="30" xfId="4" applyNumberFormat="1" applyFont="1" applyFill="1" applyBorder="1" applyAlignment="1">
      <alignment vertical="center"/>
    </xf>
    <xf numFmtId="191" fontId="101" fillId="6" borderId="30" xfId="4" applyNumberFormat="1" applyFont="1" applyFill="1" applyBorder="1" applyAlignment="1">
      <alignment horizontal="center" vertical="center" wrapText="1"/>
    </xf>
    <xf numFmtId="191" fontId="74" fillId="6" borderId="30" xfId="4" applyNumberFormat="1" applyFill="1" applyBorder="1" applyAlignment="1">
      <alignment vertical="center"/>
    </xf>
    <xf numFmtId="191" fontId="74" fillId="6" borderId="30" xfId="4" applyNumberFormat="1" applyFill="1" applyBorder="1" applyAlignment="1">
      <alignment horizontal="center" vertical="center" wrapText="1"/>
    </xf>
    <xf numFmtId="0" fontId="108" fillId="0" borderId="0" xfId="0" applyFont="1" applyFill="1" applyBorder="1" applyAlignment="1">
      <alignment horizontal="left" vertical="center"/>
    </xf>
    <xf numFmtId="0" fontId="24" fillId="5" borderId="30" xfId="0" applyFont="1" applyFill="1" applyBorder="1" applyAlignment="1">
      <alignment horizontal="center" vertical="center" wrapText="1"/>
    </xf>
    <xf numFmtId="0" fontId="24" fillId="10" borderId="30" xfId="0" applyFont="1" applyFill="1" applyBorder="1" applyAlignment="1">
      <alignment horizontal="center" vertical="center" wrapText="1"/>
    </xf>
    <xf numFmtId="191" fontId="28" fillId="2" borderId="30" xfId="2" applyFont="1" applyFill="1" applyBorder="1" applyAlignment="1">
      <alignment vertical="center"/>
    </xf>
    <xf numFmtId="191" fontId="92" fillId="2" borderId="30" xfId="2" applyFont="1" applyFill="1" applyBorder="1" applyAlignment="1">
      <alignment vertical="center"/>
    </xf>
    <xf numFmtId="191" fontId="34" fillId="2" borderId="30" xfId="2" applyFont="1" applyFill="1" applyBorder="1" applyAlignment="1">
      <alignment vertical="center"/>
    </xf>
    <xf numFmtId="191" fontId="101" fillId="2" borderId="30" xfId="4" applyNumberFormat="1" applyFont="1" applyFill="1" applyBorder="1" applyAlignment="1">
      <alignment vertical="center"/>
    </xf>
    <xf numFmtId="191" fontId="74" fillId="2" borderId="30" xfId="4" applyNumberFormat="1" applyFill="1" applyBorder="1" applyAlignment="1">
      <alignment vertical="center"/>
    </xf>
    <xf numFmtId="191" fontId="94" fillId="2" borderId="30" xfId="2" applyFont="1" applyFill="1" applyBorder="1" applyAlignment="1">
      <alignment vertical="center"/>
    </xf>
    <xf numFmtId="191" fontId="28" fillId="8" borderId="30" xfId="2" applyFont="1" applyFill="1" applyBorder="1" applyAlignment="1">
      <alignment vertical="center"/>
    </xf>
    <xf numFmtId="191" fontId="92" fillId="8" borderId="30" xfId="2" applyFont="1" applyFill="1" applyBorder="1" applyAlignment="1">
      <alignment vertical="center"/>
    </xf>
    <xf numFmtId="191" fontId="34" fillId="8" borderId="30" xfId="2" applyFont="1" applyFill="1" applyBorder="1" applyAlignment="1">
      <alignment vertical="center"/>
    </xf>
    <xf numFmtId="176" fontId="74" fillId="8" borderId="30" xfId="4" applyFill="1" applyBorder="1" applyAlignment="1">
      <alignment vertical="center"/>
    </xf>
    <xf numFmtId="191" fontId="101" fillId="8" borderId="30" xfId="4" applyNumberFormat="1" applyFont="1" applyFill="1" applyBorder="1" applyAlignment="1">
      <alignment vertical="center"/>
    </xf>
    <xf numFmtId="191" fontId="74" fillId="8" borderId="30" xfId="4" applyNumberFormat="1" applyFill="1" applyBorder="1" applyAlignment="1">
      <alignment vertical="center"/>
    </xf>
    <xf numFmtId="191" fontId="94" fillId="8" borderId="30" xfId="2" applyFont="1" applyFill="1" applyBorder="1" applyAlignment="1">
      <alignment vertical="center"/>
    </xf>
    <xf numFmtId="0" fontId="24" fillId="11" borderId="30" xfId="0" applyFont="1" applyFill="1" applyBorder="1" applyAlignment="1">
      <alignment horizontal="center" vertical="center" wrapText="1"/>
    </xf>
    <xf numFmtId="0" fontId="24" fillId="11" borderId="32" xfId="0" applyFont="1" applyFill="1" applyBorder="1" applyAlignment="1">
      <alignment horizontal="center" vertical="center" wrapText="1"/>
    </xf>
    <xf numFmtId="0" fontId="93" fillId="5" borderId="30" xfId="0" applyFont="1" applyFill="1" applyBorder="1" applyAlignment="1">
      <alignment horizontal="center" vertical="center" wrapText="1"/>
    </xf>
    <xf numFmtId="0" fontId="24" fillId="5" borderId="32" xfId="0" applyFont="1" applyFill="1" applyBorder="1" applyAlignment="1">
      <alignment horizontal="center" vertical="center" wrapText="1"/>
    </xf>
    <xf numFmtId="0" fontId="24" fillId="10" borderId="32" xfId="0" applyFont="1" applyFill="1" applyBorder="1" applyAlignment="1">
      <alignment horizontal="center" vertical="center" wrapText="1"/>
    </xf>
    <xf numFmtId="0" fontId="24" fillId="13" borderId="30" xfId="0" applyFont="1" applyFill="1" applyBorder="1" applyAlignment="1">
      <alignment horizontal="center" vertical="center" wrapText="1"/>
    </xf>
    <xf numFmtId="0" fontId="24" fillId="13" borderId="32" xfId="0" applyFont="1" applyFill="1" applyBorder="1" applyAlignment="1">
      <alignment horizontal="center" vertical="center" wrapText="1"/>
    </xf>
    <xf numFmtId="191" fontId="28" fillId="7" borderId="30" xfId="2" applyFont="1" applyFill="1" applyBorder="1" applyAlignment="1">
      <alignment vertical="center"/>
    </xf>
    <xf numFmtId="191" fontId="92" fillId="7" borderId="30" xfId="2" applyFont="1" applyFill="1" applyBorder="1" applyAlignment="1">
      <alignment vertical="center"/>
    </xf>
    <xf numFmtId="191" fontId="34" fillId="7" borderId="30" xfId="2" applyFont="1" applyFill="1" applyBorder="1" applyAlignment="1">
      <alignment vertical="center"/>
    </xf>
    <xf numFmtId="191" fontId="101" fillId="7" borderId="30" xfId="4" applyNumberFormat="1" applyFont="1" applyFill="1" applyBorder="1" applyAlignment="1">
      <alignment vertical="center"/>
    </xf>
    <xf numFmtId="191" fontId="74" fillId="7" borderId="30" xfId="4" applyNumberFormat="1" applyFill="1" applyBorder="1" applyAlignment="1">
      <alignment vertical="center"/>
    </xf>
    <xf numFmtId="191" fontId="94" fillId="7" borderId="30" xfId="2" applyFont="1" applyFill="1" applyBorder="1" applyAlignment="1">
      <alignment vertical="center"/>
    </xf>
    <xf numFmtId="0" fontId="109" fillId="9" borderId="33" xfId="0" applyFont="1" applyFill="1" applyBorder="1" applyAlignment="1">
      <alignment horizontal="centerContinuous" vertical="center" wrapText="1"/>
    </xf>
    <xf numFmtId="191" fontId="34" fillId="6" borderId="32" xfId="2" applyFont="1" applyFill="1" applyBorder="1" applyAlignment="1">
      <alignment vertical="center"/>
    </xf>
    <xf numFmtId="191" fontId="34" fillId="6" borderId="32" xfId="2" applyFont="1" applyFill="1" applyBorder="1" applyAlignment="1">
      <alignment horizontal="center" vertical="center" wrapText="1"/>
    </xf>
    <xf numFmtId="0" fontId="93" fillId="10" borderId="30" xfId="0" applyFont="1" applyFill="1" applyBorder="1" applyAlignment="1">
      <alignment horizontal="center" vertical="center" wrapText="1"/>
    </xf>
    <xf numFmtId="191" fontId="34" fillId="2" borderId="32" xfId="2" applyFont="1" applyFill="1" applyBorder="1" applyAlignment="1">
      <alignment vertical="center"/>
    </xf>
    <xf numFmtId="0" fontId="93" fillId="11" borderId="30" xfId="0" applyFont="1" applyFill="1" applyBorder="1" applyAlignment="1">
      <alignment horizontal="center" vertical="center" wrapText="1"/>
    </xf>
    <xf numFmtId="191" fontId="34" fillId="8" borderId="32" xfId="2" applyFont="1" applyFill="1" applyBorder="1" applyAlignment="1">
      <alignment vertical="center"/>
    </xf>
    <xf numFmtId="0" fontId="93" fillId="13" borderId="30" xfId="0" applyFont="1" applyFill="1" applyBorder="1" applyAlignment="1">
      <alignment horizontal="center" vertical="center" wrapText="1"/>
    </xf>
    <xf numFmtId="191" fontId="34" fillId="7" borderId="32" xfId="2" applyFont="1" applyFill="1" applyBorder="1" applyAlignment="1">
      <alignment vertical="center"/>
    </xf>
    <xf numFmtId="0" fontId="19" fillId="14" borderId="33" xfId="0" applyFont="1" applyFill="1" applyBorder="1" applyAlignment="1">
      <alignment horizontal="centerContinuous" vertical="center" wrapText="1"/>
    </xf>
    <xf numFmtId="0" fontId="74" fillId="0" borderId="31" xfId="4" applyNumberFormat="1" applyFill="1" applyBorder="1" applyAlignment="1">
      <alignment horizontal="left" vertical="center"/>
    </xf>
    <xf numFmtId="0" fontId="74" fillId="0" borderId="31" xfId="4" applyNumberFormat="1" applyFill="1" applyBorder="1" applyAlignment="1">
      <alignment vertical="center"/>
    </xf>
    <xf numFmtId="176" fontId="74" fillId="0" borderId="31" xfId="4" applyFill="1" applyBorder="1" applyAlignment="1">
      <alignment vertical="center"/>
    </xf>
    <xf numFmtId="176" fontId="74" fillId="8" borderId="32" xfId="4" applyFill="1" applyBorder="1" applyAlignment="1">
      <alignment vertical="center"/>
    </xf>
    <xf numFmtId="0" fontId="74" fillId="0" borderId="31" xfId="4" applyNumberFormat="1" applyFill="1" applyBorder="1" applyAlignment="1">
      <alignment horizontal="right" vertical="center"/>
    </xf>
    <xf numFmtId="0" fontId="74" fillId="0" borderId="15" xfId="4" applyNumberFormat="1" applyFill="1" applyBorder="1" applyAlignment="1">
      <alignment vertical="center"/>
    </xf>
    <xf numFmtId="0" fontId="74" fillId="0" borderId="15" xfId="4" applyNumberFormat="1" applyFill="1" applyBorder="1" applyAlignment="1">
      <alignment horizontal="left" vertical="center"/>
    </xf>
    <xf numFmtId="191" fontId="74" fillId="8" borderId="34" xfId="4" applyNumberFormat="1" applyFill="1" applyBorder="1" applyAlignment="1">
      <alignment vertical="center"/>
    </xf>
    <xf numFmtId="176" fontId="74" fillId="8" borderId="34" xfId="4" applyFill="1" applyBorder="1" applyAlignment="1">
      <alignment vertical="center"/>
    </xf>
    <xf numFmtId="191" fontId="83" fillId="2" borderId="35" xfId="2" applyFont="1" applyFill="1" applyBorder="1" applyAlignment="1">
      <alignment vertical="center"/>
    </xf>
    <xf numFmtId="191" fontId="83" fillId="8" borderId="35" xfId="2" applyFont="1" applyFill="1" applyBorder="1" applyAlignment="1">
      <alignment vertical="center"/>
    </xf>
    <xf numFmtId="191" fontId="83" fillId="7" borderId="35" xfId="2" applyFont="1" applyFill="1" applyBorder="1" applyAlignment="1">
      <alignment vertical="center"/>
    </xf>
    <xf numFmtId="191" fontId="110" fillId="6" borderId="30" xfId="2" applyFont="1" applyFill="1" applyBorder="1" applyAlignment="1">
      <alignment horizontal="right" vertical="center"/>
    </xf>
    <xf numFmtId="191" fontId="110" fillId="6" borderId="32" xfId="2" applyFont="1" applyFill="1" applyBorder="1" applyAlignment="1">
      <alignment horizontal="right" vertical="center"/>
    </xf>
    <xf numFmtId="191" fontId="74" fillId="6" borderId="30" xfId="2" applyFont="1" applyFill="1" applyBorder="1" applyAlignment="1">
      <alignment horizontal="right" vertical="center"/>
    </xf>
    <xf numFmtId="191" fontId="74" fillId="6" borderId="34" xfId="2" applyFont="1" applyFill="1" applyBorder="1" applyAlignment="1">
      <alignment horizontal="right" vertical="center"/>
    </xf>
    <xf numFmtId="191" fontId="34" fillId="6" borderId="30" xfId="2" applyFont="1" applyFill="1" applyBorder="1" applyAlignment="1">
      <alignment horizontal="right" vertical="center"/>
    </xf>
    <xf numFmtId="191" fontId="110" fillId="6" borderId="34" xfId="2" applyFont="1" applyFill="1" applyBorder="1" applyAlignment="1">
      <alignment horizontal="right" vertical="center"/>
    </xf>
    <xf numFmtId="191" fontId="83" fillId="6" borderId="35" xfId="2" applyFont="1" applyFill="1" applyBorder="1" applyAlignment="1">
      <alignment horizontal="right" vertical="center"/>
    </xf>
    <xf numFmtId="191" fontId="74" fillId="6" borderId="32" xfId="2" applyFont="1" applyFill="1" applyBorder="1" applyAlignment="1">
      <alignment horizontal="right" vertical="center"/>
    </xf>
    <xf numFmtId="0" fontId="108" fillId="14" borderId="33" xfId="0" applyFont="1" applyFill="1" applyBorder="1" applyAlignment="1">
      <alignment horizontal="centerContinuous" vertical="center" wrapText="1"/>
    </xf>
    <xf numFmtId="191" fontId="110" fillId="2" borderId="30" xfId="2" applyFont="1" applyFill="1" applyBorder="1" applyAlignment="1">
      <alignment vertical="center"/>
    </xf>
    <xf numFmtId="191" fontId="74" fillId="2" borderId="30" xfId="2" applyFont="1" applyFill="1" applyBorder="1" applyAlignment="1">
      <alignment vertical="center"/>
    </xf>
    <xf numFmtId="191" fontId="110" fillId="2" borderId="32" xfId="2" applyFont="1" applyFill="1" applyBorder="1" applyAlignment="1">
      <alignment vertical="center"/>
    </xf>
    <xf numFmtId="191" fontId="74" fillId="2" borderId="32" xfId="2" applyFont="1" applyFill="1" applyBorder="1" applyAlignment="1">
      <alignment vertical="center"/>
    </xf>
    <xf numFmtId="191" fontId="74" fillId="2" borderId="34" xfId="2" applyFont="1" applyFill="1" applyBorder="1" applyAlignment="1">
      <alignment vertical="center"/>
    </xf>
    <xf numFmtId="191" fontId="110" fillId="2" borderId="34" xfId="2" applyFont="1" applyFill="1" applyBorder="1" applyAlignment="1">
      <alignment vertical="center"/>
    </xf>
    <xf numFmtId="191" fontId="110" fillId="7" borderId="30" xfId="2" applyFont="1" applyFill="1" applyBorder="1" applyAlignment="1">
      <alignment vertical="center"/>
    </xf>
    <xf numFmtId="191" fontId="110" fillId="7" borderId="32" xfId="2" applyFont="1" applyFill="1" applyBorder="1" applyAlignment="1">
      <alignment vertical="center"/>
    </xf>
    <xf numFmtId="191" fontId="74" fillId="7" borderId="30" xfId="2" applyFont="1" applyFill="1" applyBorder="1" applyAlignment="1">
      <alignment vertical="center"/>
    </xf>
    <xf numFmtId="191" fontId="74" fillId="7" borderId="34" xfId="2" applyFont="1" applyFill="1" applyBorder="1" applyAlignment="1">
      <alignment vertical="center"/>
    </xf>
    <xf numFmtId="191" fontId="110" fillId="7" borderId="34" xfId="2" applyFont="1" applyFill="1" applyBorder="1" applyAlignment="1">
      <alignment vertical="center"/>
    </xf>
    <xf numFmtId="191" fontId="74" fillId="7" borderId="36" xfId="2" applyFont="1" applyFill="1" applyBorder="1" applyAlignment="1">
      <alignment vertical="center"/>
    </xf>
    <xf numFmtId="191" fontId="110" fillId="8" borderId="30" xfId="2" applyFont="1" applyFill="1" applyBorder="1" applyAlignment="1">
      <alignment vertical="center"/>
    </xf>
    <xf numFmtId="191" fontId="110" fillId="8" borderId="32" xfId="2" applyFont="1" applyFill="1" applyBorder="1" applyAlignment="1">
      <alignment vertical="center"/>
    </xf>
    <xf numFmtId="191" fontId="74" fillId="8" borderId="30" xfId="2" applyFont="1" applyFill="1" applyBorder="1" applyAlignment="1">
      <alignment vertical="center"/>
    </xf>
    <xf numFmtId="191" fontId="74" fillId="8" borderId="34" xfId="2" applyFont="1" applyFill="1" applyBorder="1" applyAlignment="1">
      <alignment vertical="center"/>
    </xf>
    <xf numFmtId="191" fontId="110" fillId="8" borderId="34" xfId="2" applyFont="1" applyFill="1" applyBorder="1" applyAlignment="1">
      <alignment vertical="center"/>
    </xf>
    <xf numFmtId="191" fontId="74" fillId="8" borderId="36" xfId="2" applyFont="1" applyFill="1" applyBorder="1" applyAlignment="1">
      <alignment vertical="center"/>
    </xf>
    <xf numFmtId="191" fontId="74" fillId="7" borderId="32" xfId="2" applyFont="1" applyFill="1" applyBorder="1" applyAlignment="1">
      <alignment vertical="center"/>
    </xf>
    <xf numFmtId="0" fontId="18" fillId="0" borderId="0" xfId="0" applyFont="1" applyAlignment="1">
      <alignment horizontal="left" vertical="center"/>
    </xf>
    <xf numFmtId="0" fontId="101" fillId="0" borderId="0" xfId="4" applyNumberFormat="1" applyFont="1" applyFill="1" applyBorder="1" applyAlignment="1">
      <alignment horizontal="right" vertical="center"/>
    </xf>
    <xf numFmtId="0" fontId="101" fillId="0" borderId="37" xfId="4" applyNumberFormat="1" applyFont="1" applyFill="1" applyBorder="1" applyAlignment="1">
      <alignment vertical="center"/>
    </xf>
    <xf numFmtId="191" fontId="101" fillId="6" borderId="38" xfId="4" applyNumberFormat="1" applyFont="1" applyFill="1" applyBorder="1" applyAlignment="1">
      <alignment vertical="center"/>
    </xf>
    <xf numFmtId="191" fontId="101" fillId="6" borderId="38" xfId="4" applyNumberFormat="1" applyFont="1" applyFill="1" applyBorder="1" applyAlignment="1">
      <alignment horizontal="center" vertical="center" wrapText="1"/>
    </xf>
    <xf numFmtId="191" fontId="101" fillId="2" borderId="38" xfId="4" applyNumberFormat="1" applyFont="1" applyFill="1" applyBorder="1" applyAlignment="1">
      <alignment vertical="center"/>
    </xf>
    <xf numFmtId="191" fontId="101" fillId="8" borderId="38" xfId="4" applyNumberFormat="1" applyFont="1" applyFill="1" applyBorder="1" applyAlignment="1">
      <alignment vertical="center"/>
    </xf>
    <xf numFmtId="191" fontId="101" fillId="7" borderId="38" xfId="4" applyNumberFormat="1" applyFont="1" applyFill="1" applyBorder="1" applyAlignment="1">
      <alignment vertical="center"/>
    </xf>
    <xf numFmtId="191" fontId="110" fillId="6" borderId="33" xfId="2" applyFont="1" applyFill="1" applyBorder="1" applyAlignment="1">
      <alignment horizontal="right" vertical="center"/>
    </xf>
    <xf numFmtId="191" fontId="74" fillId="6" borderId="33" xfId="2" applyFont="1" applyFill="1" applyBorder="1" applyAlignment="1">
      <alignment horizontal="right" vertical="center"/>
    </xf>
    <xf numFmtId="191" fontId="110" fillId="2" borderId="33" xfId="2" applyFont="1" applyFill="1" applyBorder="1" applyAlignment="1">
      <alignment vertical="center"/>
    </xf>
    <xf numFmtId="191" fontId="74" fillId="2" borderId="33" xfId="2" applyFont="1" applyFill="1" applyBorder="1" applyAlignment="1">
      <alignment vertical="center"/>
    </xf>
    <xf numFmtId="191" fontId="110" fillId="8" borderId="33" xfId="2" applyFont="1" applyFill="1" applyBorder="1" applyAlignment="1">
      <alignment vertical="center"/>
    </xf>
    <xf numFmtId="191" fontId="74" fillId="8" borderId="33" xfId="4" applyNumberFormat="1" applyFill="1" applyBorder="1" applyAlignment="1">
      <alignment vertical="center"/>
    </xf>
    <xf numFmtId="191" fontId="110" fillId="7" borderId="33" xfId="2" applyFont="1" applyFill="1" applyBorder="1" applyAlignment="1">
      <alignment vertical="center"/>
    </xf>
    <xf numFmtId="191" fontId="74" fillId="7" borderId="33" xfId="2" applyFont="1" applyFill="1" applyBorder="1" applyAlignment="1">
      <alignment vertical="center"/>
    </xf>
    <xf numFmtId="0" fontId="0" fillId="0" borderId="15" xfId="0" applyFont="1" applyFill="1" applyBorder="1" applyAlignment="1">
      <alignment vertical="center"/>
    </xf>
    <xf numFmtId="191" fontId="101" fillId="6" borderId="33" xfId="4" applyNumberFormat="1" applyFont="1" applyFill="1" applyBorder="1" applyAlignment="1">
      <alignment vertical="center"/>
    </xf>
    <xf numFmtId="191" fontId="101" fillId="6" borderId="33" xfId="4" applyNumberFormat="1" applyFont="1" applyFill="1" applyBorder="1" applyAlignment="1">
      <alignment horizontal="center" vertical="center" wrapText="1"/>
    </xf>
    <xf numFmtId="191" fontId="101" fillId="2" borderId="33" xfId="4" applyNumberFormat="1" applyFont="1" applyFill="1" applyBorder="1" applyAlignment="1">
      <alignment vertical="center"/>
    </xf>
    <xf numFmtId="191" fontId="101" fillId="8" borderId="33" xfId="4" applyNumberFormat="1" applyFont="1" applyFill="1" applyBorder="1" applyAlignment="1">
      <alignment vertical="center"/>
    </xf>
    <xf numFmtId="191" fontId="101" fillId="7" borderId="33" xfId="4" applyNumberFormat="1" applyFont="1" applyFill="1" applyBorder="1" applyAlignment="1">
      <alignment vertical="center"/>
    </xf>
    <xf numFmtId="191" fontId="83" fillId="6" borderId="35" xfId="2" applyFont="1" applyFill="1" applyBorder="1" applyAlignment="1">
      <alignment vertical="center"/>
    </xf>
    <xf numFmtId="191" fontId="83" fillId="6" borderId="35" xfId="2" applyFont="1" applyFill="1" applyBorder="1" applyAlignment="1">
      <alignment horizontal="center" vertical="center" wrapText="1"/>
    </xf>
    <xf numFmtId="10" fontId="0" fillId="0" borderId="0" xfId="0" applyNumberFormat="1"/>
    <xf numFmtId="190" fontId="0" fillId="6" borderId="0" xfId="0" applyNumberFormat="1" applyFill="1" applyBorder="1" applyAlignment="1">
      <alignment vertical="center"/>
    </xf>
    <xf numFmtId="0" fontId="0" fillId="6" borderId="17" xfId="0" applyNumberFormat="1" applyFont="1" applyFill="1" applyBorder="1" applyAlignment="1">
      <alignment vertical="center"/>
    </xf>
    <xf numFmtId="0" fontId="0" fillId="6" borderId="17" xfId="0" applyFont="1" applyFill="1" applyBorder="1" applyAlignment="1">
      <alignment vertical="center"/>
    </xf>
    <xf numFmtId="9" fontId="0" fillId="6" borderId="20" xfId="0" applyNumberFormat="1" applyFont="1" applyFill="1" applyBorder="1" applyAlignment="1">
      <alignment vertical="center"/>
    </xf>
    <xf numFmtId="0" fontId="0" fillId="6" borderId="0" xfId="0" applyFont="1" applyFill="1" applyBorder="1" applyAlignment="1">
      <alignment vertical="center"/>
    </xf>
    <xf numFmtId="0" fontId="26" fillId="6" borderId="0" xfId="0" applyFont="1" applyFill="1" applyBorder="1" applyAlignment="1">
      <alignment vertical="center"/>
    </xf>
    <xf numFmtId="190" fontId="0" fillId="6" borderId="0" xfId="1" applyNumberFormat="1" applyFont="1" applyFill="1" applyBorder="1" applyAlignment="1">
      <alignment horizontal="right" vertical="center"/>
    </xf>
    <xf numFmtId="9" fontId="0" fillId="6" borderId="19" xfId="0" applyNumberFormat="1" applyFont="1" applyFill="1" applyBorder="1" applyAlignment="1">
      <alignment horizontal="right" vertical="center"/>
    </xf>
    <xf numFmtId="9" fontId="0" fillId="6" borderId="0" xfId="1" applyNumberFormat="1" applyFont="1" applyFill="1" applyBorder="1" applyAlignment="1">
      <alignment horizontal="right" vertical="center"/>
    </xf>
    <xf numFmtId="0" fontId="0" fillId="6" borderId="1" xfId="0" applyNumberFormat="1" applyFont="1" applyFill="1" applyBorder="1" applyAlignment="1">
      <alignment vertical="center"/>
    </xf>
    <xf numFmtId="0" fontId="0" fillId="6" borderId="1" xfId="0" applyFont="1" applyFill="1" applyBorder="1" applyAlignment="1">
      <alignment vertical="center"/>
    </xf>
    <xf numFmtId="191" fontId="0" fillId="6" borderId="0" xfId="2" applyFont="1" applyFill="1" applyBorder="1" applyAlignment="1">
      <alignment horizontal="right" vertical="center"/>
    </xf>
    <xf numFmtId="190" fontId="0" fillId="6" borderId="19" xfId="0" applyNumberFormat="1" applyFont="1" applyFill="1" applyBorder="1" applyAlignment="1">
      <alignment horizontal="right" vertical="center"/>
    </xf>
    <xf numFmtId="190" fontId="0" fillId="6" borderId="20" xfId="0" applyNumberFormat="1" applyFont="1" applyFill="1" applyBorder="1" applyAlignment="1">
      <alignment vertical="center"/>
    </xf>
    <xf numFmtId="0" fontId="23" fillId="0" borderId="0" xfId="0" applyFont="1"/>
    <xf numFmtId="0" fontId="0" fillId="0" borderId="0" xfId="0" applyFill="1" applyBorder="1" applyAlignment="1">
      <alignment horizontal="left" vertical="center"/>
    </xf>
    <xf numFmtId="191" fontId="74" fillId="6" borderId="30" xfId="4" applyNumberFormat="1" applyFill="1" applyBorder="1" applyAlignment="1">
      <alignment horizontal="right" vertical="center"/>
    </xf>
    <xf numFmtId="191" fontId="92" fillId="6" borderId="39" xfId="2" applyFont="1" applyFill="1" applyBorder="1" applyAlignment="1">
      <alignment vertical="center"/>
    </xf>
    <xf numFmtId="191" fontId="92" fillId="2" borderId="39" xfId="2" applyFont="1" applyFill="1" applyBorder="1" applyAlignment="1">
      <alignment vertical="center"/>
    </xf>
    <xf numFmtId="191" fontId="92" fillId="8" borderId="39" xfId="2" applyFont="1" applyFill="1" applyBorder="1" applyAlignment="1">
      <alignment vertical="center"/>
    </xf>
    <xf numFmtId="191" fontId="92" fillId="7" borderId="39" xfId="2" applyFont="1" applyFill="1" applyBorder="1" applyAlignment="1">
      <alignment vertical="center"/>
    </xf>
    <xf numFmtId="191" fontId="74" fillId="6" borderId="34" xfId="4" applyNumberFormat="1" applyFill="1" applyBorder="1" applyAlignment="1">
      <alignment vertical="center"/>
    </xf>
    <xf numFmtId="191" fontId="74" fillId="6" borderId="34" xfId="4" applyNumberFormat="1" applyFill="1" applyBorder="1" applyAlignment="1">
      <alignment horizontal="center" vertical="center" wrapText="1"/>
    </xf>
    <xf numFmtId="191" fontId="74" fillId="6" borderId="34" xfId="4" applyNumberFormat="1" applyFill="1" applyBorder="1" applyAlignment="1">
      <alignment horizontal="right" vertical="center"/>
    </xf>
    <xf numFmtId="191" fontId="74" fillId="2" borderId="34" xfId="4" applyNumberFormat="1" applyFill="1" applyBorder="1" applyAlignment="1">
      <alignment vertical="center"/>
    </xf>
    <xf numFmtId="191" fontId="74" fillId="7" borderId="34" xfId="4" applyNumberFormat="1" applyFill="1" applyBorder="1" applyAlignment="1">
      <alignment vertical="center"/>
    </xf>
    <xf numFmtId="0" fontId="113" fillId="0" borderId="0" xfId="0" applyFont="1"/>
    <xf numFmtId="191" fontId="31" fillId="0" borderId="0" xfId="2" applyFont="1"/>
    <xf numFmtId="191" fontId="74" fillId="0" borderId="0" xfId="4" applyNumberFormat="1"/>
    <xf numFmtId="0" fontId="0" fillId="0" borderId="0" xfId="0" applyAlignment="1">
      <alignment horizontal="center"/>
    </xf>
    <xf numFmtId="0" fontId="0" fillId="0" borderId="0" xfId="0" applyAlignment="1">
      <alignment horizontal="centerContinuous"/>
    </xf>
    <xf numFmtId="0" fontId="0" fillId="2" borderId="40" xfId="0" applyFill="1" applyBorder="1" applyAlignment="1">
      <alignment vertical="center"/>
    </xf>
    <xf numFmtId="0" fontId="0" fillId="0" borderId="40" xfId="0" applyFill="1" applyBorder="1" applyAlignment="1">
      <alignment vertical="center"/>
    </xf>
    <xf numFmtId="0" fontId="0" fillId="0" borderId="40" xfId="0" applyFill="1" applyBorder="1" applyAlignment="1">
      <alignment horizontal="center" vertical="center"/>
    </xf>
    <xf numFmtId="0" fontId="18" fillId="2" borderId="40" xfId="0" applyFont="1" applyFill="1" applyBorder="1" applyAlignment="1">
      <alignment vertical="center"/>
    </xf>
    <xf numFmtId="0" fontId="18" fillId="2" borderId="41" xfId="0" applyFont="1" applyFill="1" applyBorder="1" applyAlignment="1">
      <alignment vertical="center"/>
    </xf>
    <xf numFmtId="0" fontId="114" fillId="0" borderId="0" xfId="0" applyFont="1" applyAlignment="1">
      <alignment horizontal="center" vertical="center"/>
    </xf>
    <xf numFmtId="0" fontId="114" fillId="0" borderId="40" xfId="0" applyFont="1" applyFill="1" applyBorder="1" applyAlignment="1">
      <alignment horizontal="center" vertical="center"/>
    </xf>
    <xf numFmtId="0" fontId="19" fillId="18" borderId="0" xfId="0" applyFont="1" applyFill="1" applyAlignment="1">
      <alignment vertical="center"/>
    </xf>
    <xf numFmtId="0" fontId="23" fillId="18" borderId="0" xfId="0" applyFont="1" applyFill="1" applyAlignment="1">
      <alignment vertical="center"/>
    </xf>
    <xf numFmtId="0" fontId="0" fillId="2" borderId="40" xfId="0" applyFill="1" applyBorder="1" applyAlignment="1">
      <alignment horizontal="right" vertical="center"/>
    </xf>
    <xf numFmtId="0" fontId="0" fillId="2" borderId="40" xfId="0" applyFont="1" applyFill="1" applyBorder="1" applyAlignment="1">
      <alignment horizontal="right" vertical="center"/>
    </xf>
    <xf numFmtId="197" fontId="0" fillId="0" borderId="0" xfId="0" applyNumberFormat="1"/>
    <xf numFmtId="0" fontId="105" fillId="0" borderId="0" xfId="0" applyFont="1"/>
    <xf numFmtId="197" fontId="0" fillId="0" borderId="0" xfId="0" applyNumberFormat="1" applyBorder="1"/>
    <xf numFmtId="0" fontId="23" fillId="18" borderId="0" xfId="0" applyFont="1" applyFill="1" applyAlignment="1">
      <alignment horizontal="center" vertical="center"/>
    </xf>
    <xf numFmtId="3" fontId="0" fillId="0" borderId="0" xfId="0" applyNumberFormat="1" applyBorder="1" applyAlignment="1">
      <alignment vertical="center"/>
    </xf>
    <xf numFmtId="0" fontId="0" fillId="0" borderId="0" xfId="0" applyFont="1" applyBorder="1" applyAlignment="1">
      <alignment horizontal="left" vertical="center"/>
    </xf>
    <xf numFmtId="0" fontId="0" fillId="0" borderId="14" xfId="0" applyFont="1" applyBorder="1" applyAlignment="1">
      <alignment horizontal="left" vertical="center"/>
    </xf>
    <xf numFmtId="191" fontId="74" fillId="2" borderId="36" xfId="2" applyFont="1" applyFill="1" applyBorder="1" applyAlignment="1">
      <alignment vertical="center"/>
    </xf>
    <xf numFmtId="0" fontId="108" fillId="18" borderId="41" xfId="0" applyFont="1" applyFill="1" applyBorder="1" applyAlignment="1">
      <alignment horizontal="centerContinuous" vertical="center" wrapText="1"/>
    </xf>
    <xf numFmtId="0" fontId="19" fillId="18" borderId="40" xfId="0" applyFont="1" applyFill="1" applyBorder="1" applyAlignment="1">
      <alignment horizontal="centerContinuous" vertical="center" wrapText="1"/>
    </xf>
    <xf numFmtId="0" fontId="108" fillId="12" borderId="40" xfId="0" applyFont="1" applyFill="1" applyBorder="1" applyAlignment="1">
      <alignment horizontal="centerContinuous" vertical="center" wrapText="1"/>
    </xf>
    <xf numFmtId="0" fontId="19" fillId="12" borderId="40" xfId="0" applyFont="1" applyFill="1" applyBorder="1" applyAlignment="1">
      <alignment horizontal="centerContinuous" vertical="center" wrapText="1"/>
    </xf>
    <xf numFmtId="0" fontId="19" fillId="18" borderId="42" xfId="0" applyFont="1" applyFill="1" applyBorder="1" applyAlignment="1">
      <alignment horizontal="centerContinuous" vertical="center" wrapText="1"/>
    </xf>
    <xf numFmtId="0" fontId="108" fillId="18" borderId="40" xfId="0" applyFont="1" applyFill="1" applyBorder="1" applyAlignment="1">
      <alignment horizontal="centerContinuous" vertical="center" wrapText="1"/>
    </xf>
    <xf numFmtId="0" fontId="19" fillId="12" borderId="41" xfId="0" applyFont="1" applyFill="1" applyBorder="1" applyAlignment="1">
      <alignment horizontal="centerContinuous" vertical="center" wrapText="1"/>
    </xf>
    <xf numFmtId="0" fontId="19" fillId="12" borderId="42" xfId="0" applyFont="1" applyFill="1" applyBorder="1" applyAlignment="1">
      <alignment horizontal="centerContinuous" vertical="center" wrapText="1"/>
    </xf>
    <xf numFmtId="0" fontId="0" fillId="0" borderId="0" xfId="0" applyAlignment="1">
      <alignment horizontal="right" vertical="center"/>
    </xf>
    <xf numFmtId="0" fontId="108" fillId="16" borderId="41" xfId="0" applyFont="1" applyFill="1" applyBorder="1" applyAlignment="1">
      <alignment horizontal="centerContinuous" vertical="center" wrapText="1"/>
    </xf>
    <xf numFmtId="0" fontId="108" fillId="16" borderId="40" xfId="0" applyFont="1" applyFill="1" applyBorder="1" applyAlignment="1">
      <alignment horizontal="centerContinuous" vertical="center"/>
    </xf>
    <xf numFmtId="0" fontId="0" fillId="17" borderId="33" xfId="0" applyFill="1" applyBorder="1" applyAlignment="1">
      <alignment horizontal="center" vertical="center"/>
    </xf>
    <xf numFmtId="0" fontId="0" fillId="15" borderId="38" xfId="0" applyFill="1" applyBorder="1"/>
    <xf numFmtId="0" fontId="0" fillId="15" borderId="30" xfId="0" applyFill="1" applyBorder="1"/>
    <xf numFmtId="0" fontId="0" fillId="17" borderId="43" xfId="0" applyFont="1" applyFill="1" applyBorder="1" applyAlignment="1">
      <alignment horizontal="centerContinuous" vertical="center" wrapText="1"/>
    </xf>
    <xf numFmtId="0" fontId="0" fillId="17" borderId="37" xfId="0" applyFont="1" applyFill="1" applyBorder="1" applyAlignment="1">
      <alignment horizontal="centerContinuous" vertical="center" wrapText="1"/>
    </xf>
    <xf numFmtId="0" fontId="0" fillId="17" borderId="44" xfId="0" applyFont="1" applyFill="1" applyBorder="1" applyAlignment="1">
      <alignment horizontal="centerContinuous" vertical="center" wrapText="1"/>
    </xf>
    <xf numFmtId="0" fontId="22" fillId="17" borderId="45" xfId="0" applyFont="1" applyFill="1" applyBorder="1" applyAlignment="1">
      <alignment horizontal="centerContinuous" vertical="center"/>
    </xf>
    <xf numFmtId="0" fontId="22" fillId="17" borderId="31" xfId="0" applyFont="1" applyFill="1" applyBorder="1" applyAlignment="1">
      <alignment horizontal="centerContinuous" vertical="center"/>
    </xf>
    <xf numFmtId="0" fontId="22" fillId="17" borderId="46" xfId="0" applyFont="1" applyFill="1" applyBorder="1" applyAlignment="1">
      <alignment horizontal="centerContinuous" vertical="center"/>
    </xf>
    <xf numFmtId="0" fontId="0" fillId="6" borderId="47" xfId="0" applyFill="1" applyBorder="1"/>
    <xf numFmtId="0" fontId="0" fillId="6" borderId="48" xfId="0" applyFill="1" applyBorder="1"/>
    <xf numFmtId="0" fontId="18" fillId="6" borderId="47" xfId="0" applyFont="1" applyFill="1" applyBorder="1"/>
    <xf numFmtId="0" fontId="26" fillId="6" borderId="47" xfId="0" applyFont="1" applyFill="1" applyBorder="1"/>
    <xf numFmtId="0" fontId="18" fillId="6" borderId="47" xfId="0" applyFont="1" applyFill="1" applyBorder="1" applyAlignment="1">
      <alignment vertical="center"/>
    </xf>
    <xf numFmtId="0" fontId="0" fillId="6" borderId="48" xfId="0" applyFill="1" applyBorder="1" applyAlignment="1">
      <alignment vertical="center"/>
    </xf>
    <xf numFmtId="0" fontId="0" fillId="6" borderId="47" xfId="0" applyFont="1" applyFill="1" applyBorder="1"/>
    <xf numFmtId="0" fontId="0" fillId="6" borderId="45" xfId="0" applyFill="1" applyBorder="1"/>
    <xf numFmtId="0" fontId="0" fillId="6" borderId="31" xfId="0" applyFill="1" applyBorder="1"/>
    <xf numFmtId="0" fontId="0" fillId="6" borderId="46" xfId="0" applyFill="1" applyBorder="1"/>
    <xf numFmtId="0" fontId="0" fillId="9" borderId="40" xfId="0" applyFill="1" applyBorder="1" applyAlignment="1">
      <alignment vertical="center"/>
    </xf>
    <xf numFmtId="0" fontId="0" fillId="9" borderId="42" xfId="0" applyFill="1" applyBorder="1" applyAlignment="1">
      <alignment vertical="center"/>
    </xf>
    <xf numFmtId="0" fontId="19" fillId="9" borderId="40" xfId="0" applyFont="1" applyFill="1" applyBorder="1" applyAlignment="1">
      <alignment vertical="center"/>
    </xf>
    <xf numFmtId="0" fontId="117" fillId="0" borderId="0" xfId="0" applyFont="1" applyAlignment="1">
      <alignment vertical="center"/>
    </xf>
    <xf numFmtId="0" fontId="117" fillId="0" borderId="0" xfId="0" applyFont="1"/>
    <xf numFmtId="0" fontId="0" fillId="8" borderId="47" xfId="0" applyFill="1" applyBorder="1"/>
    <xf numFmtId="0" fontId="0" fillId="8" borderId="0" xfId="0" applyFont="1" applyFill="1" applyBorder="1"/>
    <xf numFmtId="0" fontId="0" fillId="8" borderId="0" xfId="0" applyFill="1" applyBorder="1"/>
    <xf numFmtId="0" fontId="0" fillId="8" borderId="0" xfId="0" applyFill="1" applyBorder="1" applyAlignment="1">
      <alignment horizontal="right"/>
    </xf>
    <xf numFmtId="0" fontId="0" fillId="8" borderId="48" xfId="0" applyFill="1" applyBorder="1"/>
    <xf numFmtId="0" fontId="18" fillId="8" borderId="47" xfId="0" applyFont="1" applyFill="1" applyBorder="1"/>
    <xf numFmtId="0" fontId="18" fillId="8" borderId="45" xfId="0" applyFont="1" applyFill="1" applyBorder="1"/>
    <xf numFmtId="0" fontId="0" fillId="8" borderId="31" xfId="0" applyFill="1" applyBorder="1" applyAlignment="1">
      <alignment vertical="center"/>
    </xf>
    <xf numFmtId="0" fontId="0" fillId="8" borderId="31" xfId="0" applyFill="1" applyBorder="1"/>
    <xf numFmtId="0" fontId="0" fillId="8" borderId="46" xfId="0" applyFill="1" applyBorder="1"/>
    <xf numFmtId="0" fontId="19" fillId="12" borderId="40" xfId="0" applyFont="1" applyFill="1" applyBorder="1" applyAlignment="1">
      <alignment vertical="center"/>
    </xf>
    <xf numFmtId="0" fontId="0" fillId="12" borderId="40" xfId="0" applyFill="1" applyBorder="1"/>
    <xf numFmtId="0" fontId="0" fillId="12" borderId="40" xfId="0" applyFill="1" applyBorder="1" applyAlignment="1">
      <alignment horizontal="right"/>
    </xf>
    <xf numFmtId="0" fontId="0" fillId="12" borderId="42" xfId="0" applyFill="1" applyBorder="1"/>
    <xf numFmtId="0" fontId="26" fillId="8" borderId="0" xfId="0" applyFont="1" applyFill="1" applyBorder="1"/>
    <xf numFmtId="0" fontId="18" fillId="8" borderId="47" xfId="0" applyFont="1" applyFill="1" applyBorder="1" applyAlignment="1">
      <alignment vertical="center"/>
    </xf>
    <xf numFmtId="0" fontId="14" fillId="8" borderId="0" xfId="0" applyFont="1" applyFill="1" applyBorder="1" applyAlignment="1">
      <alignment vertical="center"/>
    </xf>
    <xf numFmtId="0" fontId="97" fillId="8" borderId="0" xfId="0" applyFont="1" applyFill="1" applyBorder="1" applyAlignment="1">
      <alignment vertical="center"/>
    </xf>
    <xf numFmtId="0" fontId="0" fillId="8" borderId="48" xfId="0" applyFill="1" applyBorder="1" applyAlignment="1">
      <alignment vertical="center"/>
    </xf>
    <xf numFmtId="0" fontId="0" fillId="8" borderId="45" xfId="0" applyFill="1" applyBorder="1"/>
    <xf numFmtId="0" fontId="19" fillId="13" borderId="40" xfId="0" applyFont="1" applyFill="1" applyBorder="1" applyAlignment="1">
      <alignment vertical="center"/>
    </xf>
    <xf numFmtId="0" fontId="0" fillId="13" borderId="40" xfId="0" applyFill="1" applyBorder="1"/>
    <xf numFmtId="0" fontId="0" fillId="13" borderId="42" xfId="0" applyFill="1" applyBorder="1"/>
    <xf numFmtId="0" fontId="26" fillId="7" borderId="0" xfId="0" applyFont="1" applyFill="1" applyBorder="1"/>
    <xf numFmtId="0" fontId="0" fillId="7" borderId="0" xfId="0" applyFill="1" applyBorder="1"/>
    <xf numFmtId="0" fontId="0" fillId="7" borderId="0" xfId="0" applyFill="1" applyBorder="1" applyAlignment="1">
      <alignment horizontal="right"/>
    </xf>
    <xf numFmtId="0" fontId="14" fillId="7" borderId="0" xfId="0" applyFont="1" applyFill="1" applyBorder="1" applyAlignment="1">
      <alignment vertical="center"/>
    </xf>
    <xf numFmtId="0" fontId="0" fillId="7" borderId="0" xfId="0" applyFill="1" applyBorder="1" applyAlignment="1">
      <alignment vertical="center"/>
    </xf>
    <xf numFmtId="0" fontId="0" fillId="7" borderId="43" xfId="0" applyFill="1" applyBorder="1"/>
    <xf numFmtId="0" fontId="0" fillId="7" borderId="37" xfId="0" applyFill="1" applyBorder="1"/>
    <xf numFmtId="0" fontId="0" fillId="7" borderId="44" xfId="0" applyFill="1" applyBorder="1"/>
    <xf numFmtId="0" fontId="0" fillId="7" borderId="47" xfId="0" applyFill="1" applyBorder="1"/>
    <xf numFmtId="0" fontId="0" fillId="7" borderId="48" xfId="0" applyFill="1" applyBorder="1"/>
    <xf numFmtId="0" fontId="18" fillId="7" borderId="47" xfId="0" applyFont="1" applyFill="1" applyBorder="1"/>
    <xf numFmtId="0" fontId="0" fillId="7" borderId="31" xfId="0" applyFill="1" applyBorder="1"/>
    <xf numFmtId="0" fontId="0" fillId="7" borderId="46" xfId="0" applyFill="1" applyBorder="1"/>
    <xf numFmtId="0" fontId="0" fillId="7" borderId="0" xfId="0" applyNumberFormat="1" applyFill="1" applyBorder="1" applyAlignment="1">
      <alignment vertical="center"/>
    </xf>
    <xf numFmtId="191" fontId="16" fillId="0" borderId="0" xfId="2" applyFont="1" applyBorder="1" applyAlignment="1">
      <alignment vertical="center"/>
    </xf>
    <xf numFmtId="191" fontId="0" fillId="7" borderId="0" xfId="2" applyFont="1" applyFill="1" applyBorder="1" applyAlignment="1">
      <alignment vertical="center"/>
    </xf>
    <xf numFmtId="0" fontId="0" fillId="6" borderId="43" xfId="0" applyFill="1" applyBorder="1"/>
    <xf numFmtId="0" fontId="0" fillId="6" borderId="37" xfId="0" applyFill="1" applyBorder="1"/>
    <xf numFmtId="0" fontId="0" fillId="6" borderId="44" xfId="0" applyFill="1" applyBorder="1"/>
    <xf numFmtId="0" fontId="74" fillId="6" borderId="47" xfId="4" applyNumberFormat="1" applyFill="1" applyBorder="1"/>
    <xf numFmtId="0" fontId="34" fillId="6" borderId="0" xfId="4" applyNumberFormat="1" applyFont="1" applyFill="1" applyBorder="1" applyAlignment="1">
      <alignment horizontal="right"/>
    </xf>
    <xf numFmtId="0" fontId="34" fillId="6" borderId="0" xfId="4" applyNumberFormat="1" applyFont="1" applyFill="1" applyBorder="1" applyAlignment="1">
      <alignment horizontal="left"/>
    </xf>
    <xf numFmtId="0" fontId="74" fillId="6" borderId="0" xfId="4" applyNumberFormat="1" applyFill="1" applyBorder="1"/>
    <xf numFmtId="0" fontId="74" fillId="6" borderId="48" xfId="4" applyNumberFormat="1" applyFill="1" applyBorder="1"/>
    <xf numFmtId="0" fontId="19" fillId="12" borderId="41" xfId="0" applyFont="1" applyFill="1" applyBorder="1" applyAlignment="1">
      <alignment horizontal="left" vertical="center" indent="1"/>
    </xf>
    <xf numFmtId="0" fontId="0" fillId="8" borderId="47" xfId="0" applyFill="1" applyBorder="1" applyAlignment="1">
      <alignment horizontal="left" indent="1"/>
    </xf>
    <xf numFmtId="0" fontId="0" fillId="0" borderId="0" xfId="0" applyAlignment="1">
      <alignment horizontal="left" indent="1"/>
    </xf>
    <xf numFmtId="0" fontId="19" fillId="9" borderId="41" xfId="0" applyFont="1" applyFill="1" applyBorder="1" applyAlignment="1">
      <alignment horizontal="left" vertical="center" indent="1"/>
    </xf>
    <xf numFmtId="0" fontId="0" fillId="6" borderId="47" xfId="0" applyFill="1" applyBorder="1" applyAlignment="1">
      <alignment horizontal="left" indent="1"/>
    </xf>
    <xf numFmtId="0" fontId="18" fillId="6" borderId="47" xfId="0" applyFont="1" applyFill="1" applyBorder="1" applyAlignment="1">
      <alignment horizontal="left" indent="1"/>
    </xf>
    <xf numFmtId="0" fontId="18" fillId="8" borderId="47" xfId="0" applyFont="1" applyFill="1" applyBorder="1" applyAlignment="1">
      <alignment horizontal="left" indent="1"/>
    </xf>
    <xf numFmtId="0" fontId="18" fillId="8" borderId="45" xfId="0" applyFont="1" applyFill="1" applyBorder="1" applyAlignment="1">
      <alignment horizontal="left" indent="1"/>
    </xf>
    <xf numFmtId="0" fontId="19" fillId="13" borderId="41" xfId="0" applyFont="1" applyFill="1" applyBorder="1" applyAlignment="1">
      <alignment horizontal="left" vertical="center" indent="1"/>
    </xf>
    <xf numFmtId="0" fontId="0" fillId="6" borderId="0" xfId="0" applyFont="1" applyFill="1" applyBorder="1" applyAlignment="1">
      <alignment horizontal="right"/>
    </xf>
    <xf numFmtId="0" fontId="74" fillId="6" borderId="0" xfId="4" applyNumberFormat="1" applyFill="1" applyBorder="1" applyAlignment="1">
      <alignment horizontal="right"/>
    </xf>
    <xf numFmtId="0" fontId="74" fillId="6" borderId="0" xfId="4" applyNumberFormat="1" applyFill="1" applyBorder="1" applyAlignment="1">
      <alignment horizontal="left"/>
    </xf>
    <xf numFmtId="9" fontId="0" fillId="6" borderId="0" xfId="1" applyNumberFormat="1" applyFont="1" applyFill="1" applyBorder="1" applyAlignment="1">
      <alignment vertical="center"/>
    </xf>
    <xf numFmtId="0" fontId="0" fillId="9" borderId="40" xfId="0" applyFill="1" applyBorder="1"/>
    <xf numFmtId="0" fontId="0" fillId="9" borderId="42" xfId="0" applyFill="1" applyBorder="1"/>
    <xf numFmtId="191" fontId="14" fillId="8" borderId="0" xfId="2" applyFont="1" applyFill="1" applyBorder="1" applyAlignment="1">
      <alignment vertical="center"/>
    </xf>
    <xf numFmtId="191" fontId="0" fillId="7" borderId="0" xfId="2" applyNumberFormat="1" applyFont="1" applyFill="1" applyBorder="1" applyAlignment="1">
      <alignment vertical="center"/>
    </xf>
    <xf numFmtId="0" fontId="23" fillId="7" borderId="15" xfId="0" applyFont="1" applyFill="1" applyBorder="1" applyAlignment="1">
      <alignment vertical="center"/>
    </xf>
    <xf numFmtId="0" fontId="18" fillId="7" borderId="45" xfId="0" applyFont="1" applyFill="1" applyBorder="1"/>
    <xf numFmtId="0" fontId="0" fillId="6" borderId="0" xfId="0" applyNumberFormat="1" applyFont="1" applyFill="1" applyBorder="1" applyAlignment="1">
      <alignment vertical="center"/>
    </xf>
    <xf numFmtId="194" fontId="0" fillId="6" borderId="0" xfId="2" applyNumberFormat="1" applyFont="1" applyFill="1" applyBorder="1" applyAlignment="1">
      <alignment vertical="center"/>
    </xf>
    <xf numFmtId="0" fontId="14" fillId="8" borderId="48" xfId="0" applyFont="1" applyFill="1" applyBorder="1" applyAlignment="1">
      <alignment vertical="center"/>
    </xf>
    <xf numFmtId="0" fontId="21" fillId="8" borderId="47" xfId="0" applyFont="1" applyFill="1" applyBorder="1"/>
    <xf numFmtId="170" fontId="0" fillId="8" borderId="48" xfId="0" applyNumberFormat="1" applyFill="1" applyBorder="1" applyAlignment="1">
      <alignment vertical="center"/>
    </xf>
    <xf numFmtId="0" fontId="21" fillId="8" borderId="45" xfId="0" applyFont="1" applyFill="1" applyBorder="1"/>
    <xf numFmtId="170" fontId="0" fillId="8" borderId="46" xfId="0" applyNumberFormat="1" applyFill="1" applyBorder="1" applyAlignment="1">
      <alignment vertical="center"/>
    </xf>
    <xf numFmtId="191" fontId="0" fillId="7" borderId="0" xfId="0" applyNumberFormat="1" applyFont="1" applyFill="1" applyBorder="1" applyAlignment="1">
      <alignment vertical="center"/>
    </xf>
    <xf numFmtId="0" fontId="0" fillId="16" borderId="31" xfId="0" applyFill="1" applyBorder="1"/>
    <xf numFmtId="0" fontId="74" fillId="8" borderId="31" xfId="4" applyNumberFormat="1" applyFill="1" applyBorder="1" applyAlignment="1">
      <alignment horizontal="right" vertical="center"/>
    </xf>
    <xf numFmtId="0" fontId="74" fillId="8" borderId="31" xfId="4" applyNumberFormat="1" applyFill="1" applyBorder="1" applyAlignment="1">
      <alignment vertical="center"/>
    </xf>
    <xf numFmtId="191" fontId="112" fillId="8" borderId="0" xfId="0" applyNumberFormat="1" applyFont="1" applyFill="1" applyBorder="1" applyAlignment="1">
      <alignment vertical="center"/>
    </xf>
    <xf numFmtId="0" fontId="0" fillId="8" borderId="14" xfId="0" applyFill="1" applyBorder="1" applyAlignment="1">
      <alignment vertical="center"/>
    </xf>
    <xf numFmtId="0" fontId="0" fillId="8" borderId="1" xfId="0" applyFill="1" applyBorder="1" applyAlignment="1">
      <alignment vertical="center"/>
    </xf>
    <xf numFmtId="0" fontId="23" fillId="6" borderId="0" xfId="0" applyNumberFormat="1" applyFont="1" applyFill="1" applyBorder="1" applyAlignment="1">
      <alignment horizontal="right" vertical="center"/>
    </xf>
    <xf numFmtId="0" fontId="0" fillId="6" borderId="1" xfId="0" applyFill="1" applyBorder="1"/>
    <xf numFmtId="0" fontId="38" fillId="4" borderId="0" xfId="6" applyFont="1" applyFill="1"/>
    <xf numFmtId="0" fontId="80" fillId="4" borderId="0" xfId="6" applyFont="1" applyFill="1"/>
    <xf numFmtId="0" fontId="80" fillId="4" borderId="0" xfId="6" applyFont="1" applyFill="1" applyBorder="1"/>
    <xf numFmtId="14" fontId="71" fillId="4" borderId="0" xfId="6" applyNumberFormat="1" applyFont="1" applyFill="1" applyBorder="1"/>
    <xf numFmtId="14" fontId="118" fillId="4" borderId="0" xfId="6" applyNumberFormat="1" applyFont="1" applyFill="1" applyBorder="1"/>
    <xf numFmtId="199" fontId="80" fillId="4" borderId="0" xfId="6" applyNumberFormat="1" applyFont="1" applyFill="1" applyBorder="1"/>
    <xf numFmtId="199" fontId="80" fillId="4" borderId="0" xfId="6" applyNumberFormat="1" applyFont="1" applyFill="1"/>
    <xf numFmtId="0" fontId="71" fillId="4" borderId="0" xfId="6" applyFont="1" applyFill="1"/>
    <xf numFmtId="0" fontId="71" fillId="4" borderId="0" xfId="6" applyFont="1" applyFill="1" applyBorder="1"/>
    <xf numFmtId="199" fontId="71" fillId="4" borderId="0" xfId="6" applyNumberFormat="1" applyFont="1" applyFill="1"/>
    <xf numFmtId="0" fontId="42" fillId="4" borderId="0" xfId="6" applyFont="1" applyFill="1"/>
    <xf numFmtId="0" fontId="43" fillId="4" borderId="0" xfId="6" applyFont="1" applyFill="1" applyAlignment="1">
      <alignment horizontal="left"/>
    </xf>
    <xf numFmtId="0" fontId="45" fillId="4" borderId="0" xfId="6" applyFont="1" applyFill="1"/>
    <xf numFmtId="0" fontId="43" fillId="4" borderId="0" xfId="6" applyFont="1" applyFill="1" applyAlignment="1">
      <alignment horizontal="right"/>
    </xf>
    <xf numFmtId="0" fontId="37" fillId="4" borderId="0" xfId="6" applyFill="1"/>
    <xf numFmtId="0" fontId="56" fillId="4" borderId="0" xfId="6" applyFont="1" applyFill="1" applyAlignment="1">
      <alignment horizontal="right"/>
    </xf>
    <xf numFmtId="199" fontId="42" fillId="4" borderId="0" xfId="6" applyNumberFormat="1" applyFont="1" applyFill="1"/>
    <xf numFmtId="0" fontId="43" fillId="4" borderId="0" xfId="6" applyFont="1" applyFill="1"/>
    <xf numFmtId="0" fontId="37" fillId="0" borderId="0" xfId="6"/>
    <xf numFmtId="0" fontId="120" fillId="4" borderId="0" xfId="6" applyFont="1" applyFill="1" applyAlignment="1">
      <alignment horizontal="right"/>
    </xf>
    <xf numFmtId="0" fontId="120" fillId="4" borderId="7" xfId="6" applyFont="1" applyFill="1" applyBorder="1" applyAlignment="1">
      <alignment horizontal="right"/>
    </xf>
    <xf numFmtId="199" fontId="61" fillId="4" borderId="4" xfId="6" applyNumberFormat="1" applyFont="1" applyFill="1" applyBorder="1"/>
    <xf numFmtId="0" fontId="61" fillId="4" borderId="4" xfId="6" applyFont="1" applyFill="1" applyBorder="1"/>
    <xf numFmtId="0" fontId="61" fillId="4" borderId="4" xfId="6" applyNumberFormat="1" applyFont="1" applyFill="1" applyBorder="1"/>
    <xf numFmtId="199" fontId="37" fillId="4" borderId="0" xfId="6" applyNumberFormat="1" applyFill="1"/>
    <xf numFmtId="0" fontId="46" fillId="4" borderId="0" xfId="6" applyFont="1" applyFill="1" applyAlignment="1">
      <alignment vertical="center"/>
    </xf>
    <xf numFmtId="172" fontId="42" fillId="4" borderId="0" xfId="6" applyNumberFormat="1" applyFont="1" applyFill="1" applyAlignment="1">
      <alignment vertical="center"/>
    </xf>
    <xf numFmtId="172" fontId="71" fillId="4" borderId="0" xfId="6" applyNumberFormat="1" applyFont="1" applyFill="1" applyBorder="1" applyAlignment="1">
      <alignment vertical="center"/>
    </xf>
    <xf numFmtId="199" fontId="37" fillId="4" borderId="0" xfId="6" applyNumberFormat="1" applyFill="1" applyBorder="1" applyAlignment="1">
      <alignment vertical="center"/>
    </xf>
    <xf numFmtId="199" fontId="71" fillId="4" borderId="0" xfId="6" applyNumberFormat="1" applyFont="1" applyFill="1" applyBorder="1" applyAlignment="1">
      <alignment vertical="center"/>
    </xf>
    <xf numFmtId="199" fontId="42" fillId="4" borderId="0" xfId="6" applyNumberFormat="1" applyFont="1" applyFill="1" applyBorder="1" applyAlignment="1">
      <alignment vertical="center"/>
    </xf>
    <xf numFmtId="199" fontId="37" fillId="4" borderId="0" xfId="6" applyNumberFormat="1" applyFill="1" applyAlignment="1">
      <alignment vertical="center"/>
    </xf>
    <xf numFmtId="0" fontId="37" fillId="4" borderId="0" xfId="6" applyFill="1" applyAlignment="1">
      <alignment vertical="center"/>
    </xf>
    <xf numFmtId="165" fontId="65" fillId="4" borderId="0" xfId="6" applyNumberFormat="1" applyFont="1" applyFill="1" applyAlignment="1">
      <alignment horizontal="right"/>
    </xf>
    <xf numFmtId="172" fontId="65" fillId="4" borderId="0" xfId="6" applyNumberFormat="1" applyFont="1" applyFill="1" applyAlignment="1">
      <alignment horizontal="right"/>
    </xf>
    <xf numFmtId="172" fontId="65" fillId="4" borderId="0" xfId="6" applyNumberFormat="1" applyFont="1" applyFill="1" applyBorder="1" applyAlignment="1">
      <alignment horizontal="right"/>
    </xf>
    <xf numFmtId="172" fontId="42" fillId="4" borderId="0" xfId="6" applyNumberFormat="1" applyFont="1" applyFill="1" applyBorder="1" applyAlignment="1">
      <alignment horizontal="right"/>
    </xf>
    <xf numFmtId="173" fontId="42" fillId="4" borderId="0" xfId="6" applyNumberFormat="1" applyFont="1" applyFill="1" applyBorder="1" applyAlignment="1">
      <alignment horizontal="right"/>
    </xf>
    <xf numFmtId="173" fontId="65" fillId="4" borderId="0" xfId="6" applyNumberFormat="1" applyFont="1" applyFill="1" applyBorder="1" applyAlignment="1">
      <alignment horizontal="right"/>
    </xf>
    <xf numFmtId="0" fontId="46" fillId="4" borderId="6" xfId="6" applyFont="1" applyFill="1" applyBorder="1" applyAlignment="1">
      <alignment vertical="center"/>
    </xf>
    <xf numFmtId="165" fontId="68" fillId="4" borderId="6" xfId="6" applyNumberFormat="1" applyFont="1" applyFill="1" applyBorder="1" applyAlignment="1">
      <alignment horizontal="right"/>
    </xf>
    <xf numFmtId="172" fontId="68" fillId="4" borderId="6" xfId="6" applyNumberFormat="1" applyFont="1" applyFill="1" applyBorder="1" applyAlignment="1">
      <alignment horizontal="right"/>
    </xf>
    <xf numFmtId="172" fontId="43" fillId="4" borderId="6" xfId="6" applyNumberFormat="1" applyFont="1" applyFill="1" applyBorder="1" applyAlignment="1">
      <alignment horizontal="right"/>
    </xf>
    <xf numFmtId="173" fontId="43" fillId="4" borderId="6" xfId="6" applyNumberFormat="1" applyFont="1" applyFill="1" applyBorder="1" applyAlignment="1">
      <alignment horizontal="right"/>
    </xf>
    <xf numFmtId="165" fontId="68" fillId="4" borderId="0" xfId="6" applyNumberFormat="1" applyFont="1" applyFill="1" applyAlignment="1">
      <alignment horizontal="right"/>
    </xf>
    <xf numFmtId="172" fontId="68" fillId="4" borderId="0" xfId="6" applyNumberFormat="1" applyFont="1" applyFill="1" applyAlignment="1">
      <alignment horizontal="right"/>
    </xf>
    <xf numFmtId="172" fontId="43" fillId="4" borderId="0" xfId="6" applyNumberFormat="1" applyFont="1" applyFill="1" applyAlignment="1">
      <alignment horizontal="right"/>
    </xf>
    <xf numFmtId="0" fontId="46" fillId="4" borderId="1" xfId="6" applyFont="1" applyFill="1" applyBorder="1" applyAlignment="1">
      <alignment vertical="center"/>
    </xf>
    <xf numFmtId="165" fontId="65" fillId="4" borderId="1" xfId="6" applyNumberFormat="1" applyFont="1" applyFill="1" applyBorder="1" applyAlignment="1">
      <alignment horizontal="right"/>
    </xf>
    <xf numFmtId="172" fontId="65" fillId="4" borderId="1" xfId="6" applyNumberFormat="1" applyFont="1" applyFill="1" applyBorder="1" applyAlignment="1">
      <alignment horizontal="right"/>
    </xf>
    <xf numFmtId="172" fontId="42" fillId="4" borderId="1" xfId="6" applyNumberFormat="1" applyFont="1" applyFill="1" applyBorder="1" applyAlignment="1">
      <alignment horizontal="right"/>
    </xf>
    <xf numFmtId="173" fontId="43" fillId="4" borderId="0" xfId="6" applyNumberFormat="1" applyFont="1" applyFill="1" applyAlignment="1">
      <alignment horizontal="right"/>
    </xf>
    <xf numFmtId="0" fontId="46" fillId="4" borderId="7" xfId="6" applyFont="1" applyFill="1" applyBorder="1" applyAlignment="1">
      <alignment vertical="center"/>
    </xf>
    <xf numFmtId="165" fontId="65" fillId="4" borderId="7" xfId="6" applyNumberFormat="1" applyFont="1" applyFill="1" applyBorder="1" applyAlignment="1">
      <alignment horizontal="right"/>
    </xf>
    <xf numFmtId="172" fontId="65" fillId="4" borderId="7" xfId="6" applyNumberFormat="1" applyFont="1" applyFill="1" applyBorder="1" applyAlignment="1">
      <alignment horizontal="right"/>
    </xf>
    <xf numFmtId="173" fontId="42" fillId="4" borderId="7" xfId="6" applyNumberFormat="1" applyFont="1" applyFill="1" applyBorder="1" applyAlignment="1">
      <alignment horizontal="right"/>
    </xf>
    <xf numFmtId="172" fontId="66" fillId="4" borderId="0" xfId="6" applyNumberFormat="1" applyFont="1" applyFill="1" applyAlignment="1">
      <alignment horizontal="right"/>
    </xf>
    <xf numFmtId="173" fontId="42" fillId="4" borderId="0" xfId="6" applyNumberFormat="1" applyFont="1" applyFill="1" applyAlignment="1">
      <alignment horizontal="right"/>
    </xf>
    <xf numFmtId="172" fontId="42" fillId="4" borderId="0" xfId="6" applyNumberFormat="1" applyFont="1" applyFill="1" applyAlignment="1">
      <alignment horizontal="right"/>
    </xf>
    <xf numFmtId="0" fontId="42" fillId="4" borderId="1" xfId="6" applyFont="1" applyFill="1" applyBorder="1"/>
    <xf numFmtId="173" fontId="42" fillId="4" borderId="1" xfId="6" applyNumberFormat="1" applyFont="1" applyFill="1" applyBorder="1" applyAlignment="1">
      <alignment horizontal="right"/>
    </xf>
    <xf numFmtId="165" fontId="68" fillId="4" borderId="7" xfId="6" applyNumberFormat="1" applyFont="1" applyFill="1" applyBorder="1" applyAlignment="1">
      <alignment horizontal="right"/>
    </xf>
    <xf numFmtId="172" fontId="68" fillId="4" borderId="7" xfId="6" applyNumberFormat="1" applyFont="1" applyFill="1" applyBorder="1" applyAlignment="1">
      <alignment horizontal="right"/>
    </xf>
    <xf numFmtId="172" fontId="68" fillId="4" borderId="7" xfId="6" applyNumberFormat="1" applyFont="1" applyFill="1" applyBorder="1" applyAlignment="1">
      <alignment horizontal="right" vertical="center"/>
    </xf>
    <xf numFmtId="173" fontId="43" fillId="4" borderId="7" xfId="6" applyNumberFormat="1" applyFont="1" applyFill="1" applyBorder="1" applyAlignment="1">
      <alignment horizontal="right" vertical="center"/>
    </xf>
    <xf numFmtId="172" fontId="43" fillId="4" borderId="7" xfId="6" applyNumberFormat="1" applyFont="1" applyFill="1" applyBorder="1" applyAlignment="1">
      <alignment horizontal="right" vertical="center"/>
    </xf>
    <xf numFmtId="0" fontId="46" fillId="4" borderId="0" xfId="6" applyFont="1" applyFill="1"/>
    <xf numFmtId="199" fontId="42" fillId="4" borderId="1" xfId="6" applyNumberFormat="1" applyFont="1" applyFill="1" applyBorder="1"/>
    <xf numFmtId="199" fontId="50" fillId="4" borderId="7" xfId="6" applyNumberFormat="1" applyFont="1" applyFill="1" applyBorder="1"/>
    <xf numFmtId="165" fontId="42" fillId="4" borderId="0" xfId="6" applyNumberFormat="1" applyFont="1" applyFill="1" applyAlignment="1">
      <alignment horizontal="right"/>
    </xf>
    <xf numFmtId="172" fontId="68" fillId="4" borderId="0" xfId="6" applyNumberFormat="1" applyFont="1" applyFill="1" applyAlignment="1">
      <alignment horizontal="right" vertical="center"/>
    </xf>
    <xf numFmtId="173" fontId="43" fillId="4" borderId="0" xfId="6" applyNumberFormat="1" applyFont="1" applyFill="1" applyAlignment="1">
      <alignment horizontal="right" vertical="center"/>
    </xf>
    <xf numFmtId="172" fontId="65" fillId="4" borderId="1" xfId="6" applyNumberFormat="1" applyFont="1" applyFill="1" applyBorder="1" applyAlignment="1">
      <alignment horizontal="right" vertical="center"/>
    </xf>
    <xf numFmtId="173" fontId="42" fillId="4" borderId="1" xfId="6" applyNumberFormat="1" applyFont="1" applyFill="1" applyBorder="1" applyAlignment="1">
      <alignment horizontal="right" vertical="center"/>
    </xf>
    <xf numFmtId="172" fontId="65" fillId="4" borderId="7" xfId="6" applyNumberFormat="1" applyFont="1" applyFill="1" applyBorder="1" applyAlignment="1">
      <alignment horizontal="right" vertical="center"/>
    </xf>
    <xf numFmtId="173" fontId="42" fillId="4" borderId="7" xfId="6" applyNumberFormat="1" applyFont="1" applyFill="1" applyBorder="1" applyAlignment="1">
      <alignment horizontal="right" vertical="center"/>
    </xf>
    <xf numFmtId="172" fontId="66" fillId="4" borderId="0" xfId="6" applyNumberFormat="1" applyFont="1" applyFill="1" applyAlignment="1">
      <alignment horizontal="right" vertical="center"/>
    </xf>
    <xf numFmtId="172" fontId="43" fillId="4" borderId="0" xfId="6" applyNumberFormat="1" applyFont="1" applyFill="1" applyAlignment="1">
      <alignment horizontal="right" vertical="center"/>
    </xf>
    <xf numFmtId="0" fontId="65" fillId="4" borderId="0" xfId="6" applyFont="1" applyFill="1"/>
    <xf numFmtId="0" fontId="65" fillId="4" borderId="0" xfId="6" applyFont="1" applyFill="1" applyAlignment="1">
      <alignment horizontal="right"/>
    </xf>
    <xf numFmtId="0" fontId="37" fillId="4" borderId="0" xfId="6" applyFont="1" applyFill="1" applyBorder="1" applyAlignment="1">
      <alignment horizontal="right"/>
    </xf>
    <xf numFmtId="0" fontId="37" fillId="4" borderId="0" xfId="6" applyFill="1" applyBorder="1" applyAlignment="1">
      <alignment horizontal="right"/>
    </xf>
    <xf numFmtId="0" fontId="71" fillId="4" borderId="0" xfId="6" applyFont="1" applyFill="1" applyBorder="1" applyAlignment="1">
      <alignment horizontal="right"/>
    </xf>
    <xf numFmtId="199" fontId="42" fillId="4" borderId="0" xfId="6" applyNumberFormat="1" applyFont="1" applyFill="1" applyBorder="1"/>
    <xf numFmtId="0" fontId="50" fillId="4" borderId="0" xfId="6" applyFont="1" applyFill="1"/>
    <xf numFmtId="0" fontId="42" fillId="4" borderId="0" xfId="6" applyFont="1" applyFill="1" applyAlignment="1">
      <alignment horizontal="right"/>
    </xf>
    <xf numFmtId="199" fontId="37" fillId="4" borderId="0" xfId="6" applyNumberFormat="1" applyFont="1" applyFill="1"/>
    <xf numFmtId="0" fontId="37" fillId="4" borderId="0" xfId="6" applyFont="1" applyFill="1"/>
    <xf numFmtId="0" fontId="37" fillId="4" borderId="0" xfId="6" applyFill="1" applyAlignment="1">
      <alignment horizontal="right"/>
    </xf>
    <xf numFmtId="199" fontId="43" fillId="4" borderId="0" xfId="6" applyNumberFormat="1" applyFont="1" applyFill="1" applyBorder="1"/>
    <xf numFmtId="0" fontId="37" fillId="4" borderId="0" xfId="6" applyFill="1" applyBorder="1"/>
    <xf numFmtId="0" fontId="37" fillId="0" borderId="0" xfId="6" applyFont="1"/>
    <xf numFmtId="199" fontId="61" fillId="4" borderId="0" xfId="6" applyNumberFormat="1" applyFont="1" applyFill="1"/>
    <xf numFmtId="0" fontId="61" fillId="4" borderId="0" xfId="6" applyFont="1" applyFill="1"/>
    <xf numFmtId="199" fontId="42" fillId="4" borderId="0" xfId="6" applyNumberFormat="1" applyFont="1" applyFill="1" applyAlignment="1">
      <alignment vertical="center"/>
    </xf>
    <xf numFmtId="199" fontId="66" fillId="4" borderId="0" xfId="6" applyNumberFormat="1" applyFont="1" applyFill="1" applyAlignment="1">
      <alignment vertical="center"/>
    </xf>
    <xf numFmtId="199" fontId="69" fillId="4" borderId="0" xfId="6" applyNumberFormat="1" applyFont="1" applyFill="1" applyBorder="1" applyAlignment="1">
      <alignment vertical="center"/>
    </xf>
    <xf numFmtId="165" fontId="65" fillId="4" borderId="0" xfId="6" applyNumberFormat="1" applyFont="1" applyFill="1"/>
    <xf numFmtId="172" fontId="65" fillId="4" borderId="0" xfId="6" applyNumberFormat="1" applyFont="1" applyFill="1"/>
    <xf numFmtId="172" fontId="42" fillId="4" borderId="0" xfId="6" applyNumberFormat="1" applyFont="1" applyFill="1"/>
    <xf numFmtId="173" fontId="42" fillId="4" borderId="0" xfId="6" applyNumberFormat="1" applyFont="1" applyFill="1"/>
    <xf numFmtId="165" fontId="42" fillId="4" borderId="0" xfId="6" applyNumberFormat="1" applyFont="1" applyFill="1"/>
    <xf numFmtId="172" fontId="65" fillId="4" borderId="1" xfId="6" quotePrefix="1" applyNumberFormat="1" applyFont="1" applyFill="1" applyBorder="1" applyAlignment="1">
      <alignment horizontal="right"/>
    </xf>
    <xf numFmtId="0" fontId="46" fillId="4" borderId="7" xfId="6" applyFont="1" applyFill="1" applyBorder="1"/>
    <xf numFmtId="165" fontId="68" fillId="4" borderId="7" xfId="6" applyNumberFormat="1" applyFont="1" applyFill="1" applyBorder="1"/>
    <xf numFmtId="172" fontId="68" fillId="4" borderId="7" xfId="6" applyNumberFormat="1" applyFont="1" applyFill="1" applyBorder="1"/>
    <xf numFmtId="173" fontId="43" fillId="4" borderId="7" xfId="6" applyNumberFormat="1" applyFont="1" applyFill="1" applyBorder="1"/>
    <xf numFmtId="0" fontId="46" fillId="4" borderId="9" xfId="6" applyFont="1" applyFill="1" applyBorder="1"/>
    <xf numFmtId="165" fontId="68" fillId="4" borderId="9" xfId="6" applyNumberFormat="1" applyFont="1" applyFill="1" applyBorder="1"/>
    <xf numFmtId="172" fontId="68" fillId="4" borderId="9" xfId="6" applyNumberFormat="1" applyFont="1" applyFill="1" applyBorder="1"/>
    <xf numFmtId="172" fontId="43" fillId="4" borderId="9" xfId="6" applyNumberFormat="1" applyFont="1" applyFill="1" applyBorder="1"/>
    <xf numFmtId="173" fontId="43" fillId="4" borderId="9" xfId="6" applyNumberFormat="1" applyFont="1" applyFill="1" applyBorder="1"/>
    <xf numFmtId="0" fontId="46" fillId="4" borderId="0" xfId="6" applyFont="1" applyFill="1" applyBorder="1"/>
    <xf numFmtId="165" fontId="68" fillId="4" borderId="0" xfId="6" applyNumberFormat="1" applyFont="1" applyFill="1" applyBorder="1"/>
    <xf numFmtId="172" fontId="68" fillId="4" borderId="0" xfId="6" applyNumberFormat="1" applyFont="1" applyFill="1" applyBorder="1"/>
    <xf numFmtId="173" fontId="43" fillId="4" borderId="0" xfId="6" applyNumberFormat="1" applyFont="1" applyFill="1" applyBorder="1"/>
    <xf numFmtId="172" fontId="66" fillId="4" borderId="0" xfId="6" applyNumberFormat="1" applyFont="1" applyFill="1"/>
    <xf numFmtId="165" fontId="65" fillId="4" borderId="1" xfId="6" applyNumberFormat="1" applyFont="1" applyFill="1" applyBorder="1"/>
    <xf numFmtId="172" fontId="65" fillId="4" borderId="1" xfId="6" applyNumberFormat="1" applyFont="1" applyFill="1" applyBorder="1"/>
    <xf numFmtId="173" fontId="42" fillId="4" borderId="1" xfId="6" applyNumberFormat="1" applyFont="1" applyFill="1" applyBorder="1"/>
    <xf numFmtId="165" fontId="68" fillId="4" borderId="0" xfId="6" applyNumberFormat="1" applyFont="1" applyFill="1"/>
    <xf numFmtId="172" fontId="68" fillId="4" borderId="0" xfId="6" applyNumberFormat="1" applyFont="1" applyFill="1"/>
    <xf numFmtId="173" fontId="43" fillId="4" borderId="0" xfId="6" applyNumberFormat="1" applyFont="1" applyFill="1"/>
    <xf numFmtId="165" fontId="68" fillId="4" borderId="0" xfId="6" applyNumberFormat="1" applyFont="1" applyFill="1" applyBorder="1" applyAlignment="1">
      <alignment horizontal="right"/>
    </xf>
    <xf numFmtId="172" fontId="68" fillId="4" borderId="0" xfId="6" applyNumberFormat="1" applyFont="1" applyFill="1" applyBorder="1" applyAlignment="1">
      <alignment horizontal="right"/>
    </xf>
    <xf numFmtId="173" fontId="43" fillId="4" borderId="0" xfId="6" applyNumberFormat="1" applyFont="1" applyFill="1" applyBorder="1" applyAlignment="1">
      <alignment horizontal="right"/>
    </xf>
    <xf numFmtId="0" fontId="46" fillId="4" borderId="0" xfId="6" applyFont="1" applyFill="1" applyAlignment="1"/>
    <xf numFmtId="172" fontId="66" fillId="4" borderId="0" xfId="6" applyNumberFormat="1" applyFont="1" applyFill="1" applyAlignment="1">
      <alignment vertical="center"/>
    </xf>
    <xf numFmtId="199" fontId="42" fillId="4" borderId="7" xfId="6" applyNumberFormat="1" applyFont="1" applyFill="1" applyBorder="1"/>
    <xf numFmtId="0" fontId="67" fillId="4" borderId="0" xfId="6" applyFont="1" applyFill="1"/>
    <xf numFmtId="0" fontId="79" fillId="4" borderId="0" xfId="6" applyFont="1" applyFill="1"/>
    <xf numFmtId="0" fontId="37" fillId="4" borderId="0" xfId="6" applyFont="1" applyFill="1" applyBorder="1"/>
    <xf numFmtId="0" fontId="46" fillId="4" borderId="0" xfId="6" applyFont="1" applyFill="1" applyAlignment="1">
      <alignment horizontal="right"/>
    </xf>
    <xf numFmtId="3" fontId="65" fillId="4" borderId="0" xfId="6" applyNumberFormat="1" applyFont="1" applyFill="1"/>
    <xf numFmtId="1" fontId="65" fillId="4" borderId="0" xfId="6" applyNumberFormat="1" applyFont="1" applyFill="1"/>
    <xf numFmtId="3" fontId="68" fillId="4" borderId="0" xfId="6" applyNumberFormat="1" applyFont="1" applyFill="1"/>
    <xf numFmtId="172" fontId="68" fillId="0" borderId="0" xfId="6" applyNumberFormat="1" applyFont="1" applyFill="1"/>
    <xf numFmtId="173" fontId="43" fillId="0" borderId="0" xfId="6" applyNumberFormat="1" applyFont="1" applyFill="1"/>
    <xf numFmtId="0" fontId="68" fillId="4" borderId="0" xfId="6" applyFont="1" applyFill="1"/>
    <xf numFmtId="172" fontId="64" fillId="4" borderId="0" xfId="6" applyNumberFormat="1" applyFont="1" applyFill="1"/>
    <xf numFmtId="165" fontId="64" fillId="4" borderId="0" xfId="6" applyNumberFormat="1" applyFont="1" applyFill="1" applyBorder="1"/>
    <xf numFmtId="172" fontId="69" fillId="4" borderId="0" xfId="6" applyNumberFormat="1" applyFont="1" applyFill="1" applyAlignment="1">
      <alignment horizontal="right"/>
    </xf>
    <xf numFmtId="0" fontId="64" fillId="4" borderId="0" xfId="6" applyFont="1" applyFill="1"/>
    <xf numFmtId="10" fontId="0" fillId="0" borderId="0" xfId="1" applyNumberFormat="1" applyFont="1"/>
    <xf numFmtId="191" fontId="0" fillId="8" borderId="0" xfId="0" applyNumberFormat="1" applyFont="1" applyFill="1" applyBorder="1" applyAlignment="1">
      <alignment vertical="center"/>
    </xf>
    <xf numFmtId="191" fontId="101" fillId="6" borderId="33" xfId="4" applyNumberFormat="1" applyFont="1" applyFill="1" applyBorder="1" applyAlignment="1">
      <alignment horizontal="right" vertical="center"/>
    </xf>
    <xf numFmtId="0" fontId="26" fillId="0" borderId="0" xfId="0" applyFont="1" applyAlignment="1">
      <alignment horizontal="center" vertical="center"/>
    </xf>
    <xf numFmtId="0" fontId="74" fillId="0" borderId="0" xfId="4" applyNumberFormat="1" applyBorder="1" applyAlignment="1">
      <alignment vertical="center"/>
    </xf>
    <xf numFmtId="191" fontId="74" fillId="15" borderId="30" xfId="2" applyFont="1" applyFill="1" applyBorder="1" applyAlignment="1">
      <alignment vertical="center"/>
    </xf>
    <xf numFmtId="191" fontId="0" fillId="15" borderId="30" xfId="2" applyFont="1" applyFill="1" applyBorder="1" applyAlignment="1">
      <alignment vertical="center"/>
    </xf>
    <xf numFmtId="0" fontId="74" fillId="0" borderId="31" xfId="4" applyNumberFormat="1" applyBorder="1" applyAlignment="1">
      <alignment vertical="center"/>
    </xf>
    <xf numFmtId="0" fontId="74" fillId="0" borderId="0" xfId="4" applyNumberFormat="1" applyAlignment="1">
      <alignment vertical="center"/>
    </xf>
    <xf numFmtId="191" fontId="74" fillId="15" borderId="34" xfId="2" applyFont="1" applyFill="1" applyBorder="1" applyAlignment="1">
      <alignment vertical="center"/>
    </xf>
    <xf numFmtId="191" fontId="0" fillId="15" borderId="34" xfId="2" applyFont="1" applyFill="1" applyBorder="1" applyAlignment="1">
      <alignment vertical="center"/>
    </xf>
    <xf numFmtId="191" fontId="26" fillId="15" borderId="49" xfId="2" applyFont="1" applyFill="1" applyBorder="1" applyAlignment="1">
      <alignment vertical="center"/>
    </xf>
    <xf numFmtId="0" fontId="101" fillId="0" borderId="0" xfId="4" applyNumberFormat="1" applyFont="1" applyAlignment="1">
      <alignment vertical="center"/>
    </xf>
    <xf numFmtId="0" fontId="111" fillId="0" borderId="0" xfId="4" applyNumberFormat="1" applyFont="1" applyAlignment="1">
      <alignment vertical="center"/>
    </xf>
    <xf numFmtId="191" fontId="101" fillId="15" borderId="30" xfId="2" applyFont="1" applyFill="1" applyBorder="1" applyAlignment="1">
      <alignment vertical="center"/>
    </xf>
    <xf numFmtId="0" fontId="101" fillId="0" borderId="40" xfId="4" applyNumberFormat="1" applyFont="1" applyBorder="1" applyAlignment="1">
      <alignment vertical="center"/>
    </xf>
    <xf numFmtId="0" fontId="34" fillId="0" borderId="0" xfId="4" applyNumberFormat="1" applyFont="1" applyAlignment="1">
      <alignment vertical="center"/>
    </xf>
    <xf numFmtId="191" fontId="20" fillId="15" borderId="50" xfId="2" applyFont="1" applyFill="1" applyBorder="1" applyAlignment="1">
      <alignment vertical="center"/>
    </xf>
    <xf numFmtId="0" fontId="0" fillId="15" borderId="32" xfId="0" applyFill="1" applyBorder="1" applyAlignment="1">
      <alignment vertical="center"/>
    </xf>
    <xf numFmtId="0" fontId="122" fillId="0" borderId="0" xfId="0" applyFont="1" applyAlignment="1">
      <alignment vertical="center"/>
    </xf>
    <xf numFmtId="0" fontId="0" fillId="6" borderId="14" xfId="0" applyNumberFormat="1" applyFill="1" applyBorder="1" applyAlignment="1">
      <alignment vertical="center"/>
    </xf>
    <xf numFmtId="200" fontId="0" fillId="6" borderId="0" xfId="1" applyFont="1" applyFill="1" applyBorder="1"/>
    <xf numFmtId="200" fontId="0" fillId="6" borderId="1" xfId="1" applyFont="1" applyFill="1" applyBorder="1" applyAlignment="1">
      <alignment horizontal="right" vertical="center"/>
    </xf>
    <xf numFmtId="200" fontId="0" fillId="6" borderId="1" xfId="1" applyFont="1" applyFill="1" applyBorder="1"/>
    <xf numFmtId="0" fontId="101" fillId="0" borderId="40" xfId="4" applyNumberFormat="1" applyFont="1" applyFill="1" applyBorder="1" applyAlignment="1">
      <alignment horizontal="right" vertical="center"/>
    </xf>
    <xf numFmtId="0" fontId="101" fillId="0" borderId="40" xfId="4" applyNumberFormat="1" applyFont="1" applyFill="1" applyBorder="1" applyAlignment="1">
      <alignment vertical="center"/>
    </xf>
    <xf numFmtId="191" fontId="101" fillId="0" borderId="40" xfId="4" applyNumberFormat="1" applyFont="1" applyFill="1" applyBorder="1" applyAlignment="1">
      <alignment vertical="center"/>
    </xf>
    <xf numFmtId="191" fontId="101" fillId="0" borderId="40" xfId="4" applyNumberFormat="1" applyFont="1" applyBorder="1" applyAlignment="1">
      <alignment vertical="center"/>
    </xf>
    <xf numFmtId="191" fontId="101" fillId="15" borderId="33" xfId="4" applyNumberFormat="1" applyFont="1" applyFill="1" applyBorder="1" applyAlignment="1">
      <alignment vertical="center"/>
    </xf>
    <xf numFmtId="0" fontId="23" fillId="6" borderId="52" xfId="0" applyFont="1" applyFill="1" applyBorder="1" applyAlignment="1">
      <alignment horizontal="right" vertical="center"/>
    </xf>
    <xf numFmtId="200" fontId="0" fillId="6" borderId="24" xfId="1" applyFont="1" applyFill="1" applyBorder="1" applyAlignment="1">
      <alignment vertical="center"/>
    </xf>
    <xf numFmtId="0" fontId="23" fillId="6" borderId="52" xfId="0" applyNumberFormat="1" applyFont="1" applyFill="1" applyBorder="1" applyAlignment="1">
      <alignment horizontal="right" vertical="center"/>
    </xf>
    <xf numFmtId="0" fontId="23" fillId="0" borderId="5" xfId="0" applyFont="1" applyBorder="1" applyAlignment="1">
      <alignment vertical="center"/>
    </xf>
    <xf numFmtId="191" fontId="0" fillId="6" borderId="26" xfId="2" applyFont="1" applyFill="1" applyBorder="1" applyAlignment="1">
      <alignment vertical="center"/>
    </xf>
    <xf numFmtId="191" fontId="0" fillId="6" borderId="53" xfId="2" applyFont="1" applyFill="1" applyBorder="1" applyAlignment="1">
      <alignment vertical="center"/>
    </xf>
    <xf numFmtId="0" fontId="0" fillId="6" borderId="0" xfId="0" applyFont="1" applyFill="1" applyBorder="1"/>
    <xf numFmtId="0" fontId="26" fillId="0" borderId="16" xfId="0" applyFont="1" applyFill="1" applyBorder="1" applyAlignment="1">
      <alignment horizontal="center" vertical="center"/>
    </xf>
    <xf numFmtId="0" fontId="0" fillId="0" borderId="1" xfId="0" applyBorder="1"/>
    <xf numFmtId="0" fontId="0" fillId="0" borderId="46" xfId="0" applyFill="1" applyBorder="1"/>
    <xf numFmtId="0" fontId="0" fillId="0" borderId="0" xfId="0" applyFill="1"/>
    <xf numFmtId="0" fontId="0" fillId="0" borderId="0" xfId="0" applyFont="1" applyBorder="1"/>
    <xf numFmtId="0" fontId="0" fillId="0" borderId="0" xfId="0" applyBorder="1" applyAlignment="1">
      <alignment horizontal="left" vertical="center" wrapText="1"/>
    </xf>
    <xf numFmtId="191" fontId="74" fillId="15" borderId="30" xfId="4" applyNumberFormat="1" applyFill="1" applyBorder="1" applyAlignment="1">
      <alignment vertical="center"/>
    </xf>
    <xf numFmtId="191" fontId="74" fillId="0" borderId="0" xfId="4" applyNumberFormat="1" applyAlignment="1">
      <alignment vertical="center"/>
    </xf>
    <xf numFmtId="191" fontId="110" fillId="6" borderId="30" xfId="4" applyNumberFormat="1" applyFont="1" applyFill="1" applyBorder="1" applyAlignment="1">
      <alignment horizontal="right" vertical="center"/>
    </xf>
    <xf numFmtId="191" fontId="110" fillId="6" borderId="30" xfId="4" applyNumberFormat="1" applyFont="1" applyFill="1" applyBorder="1" applyAlignment="1">
      <alignment horizontal="right" vertical="center" wrapText="1"/>
    </xf>
    <xf numFmtId="191" fontId="110" fillId="2" borderId="30" xfId="4" applyNumberFormat="1" applyFont="1" applyFill="1" applyBorder="1" applyAlignment="1">
      <alignment vertical="center"/>
    </xf>
    <xf numFmtId="191" fontId="110" fillId="8" borderId="30" xfId="4" applyNumberFormat="1" applyFont="1" applyFill="1" applyBorder="1" applyAlignment="1">
      <alignment vertical="center"/>
    </xf>
    <xf numFmtId="191" fontId="110" fillId="7" borderId="30" xfId="4" applyNumberFormat="1" applyFont="1" applyFill="1" applyBorder="1" applyAlignment="1">
      <alignment vertical="center"/>
    </xf>
    <xf numFmtId="191" fontId="0" fillId="0" borderId="0" xfId="2" applyFont="1" applyBorder="1" applyAlignment="1">
      <alignment vertical="center"/>
    </xf>
    <xf numFmtId="194" fontId="0" fillId="0" borderId="0" xfId="2" applyNumberFormat="1" applyFont="1"/>
    <xf numFmtId="0" fontId="26" fillId="6" borderId="0" xfId="0" applyFont="1" applyFill="1" applyBorder="1" applyAlignment="1">
      <alignment horizontal="left"/>
    </xf>
    <xf numFmtId="200" fontId="34" fillId="6" borderId="0" xfId="1" applyFont="1" applyFill="1" applyBorder="1" applyAlignment="1">
      <alignment vertical="center"/>
    </xf>
    <xf numFmtId="194" fontId="26" fillId="0" borderId="0" xfId="2" applyNumberFormat="1" applyFont="1"/>
    <xf numFmtId="192" fontId="0" fillId="0" borderId="0" xfId="2" applyNumberFormat="1" applyFont="1"/>
    <xf numFmtId="0" fontId="0" fillId="0" borderId="0" xfId="0" applyFont="1" applyBorder="1" applyAlignment="1">
      <alignment horizontal="left" vertical="center" wrapText="1"/>
    </xf>
    <xf numFmtId="191" fontId="0" fillId="6" borderId="14" xfId="2" applyNumberFormat="1" applyFont="1" applyFill="1" applyBorder="1" applyAlignment="1">
      <alignment vertical="center"/>
    </xf>
    <xf numFmtId="191" fontId="0" fillId="6" borderId="19" xfId="2" applyNumberFormat="1" applyFont="1" applyFill="1" applyBorder="1" applyAlignment="1">
      <alignment vertical="center"/>
    </xf>
    <xf numFmtId="191" fontId="0" fillId="6" borderId="19" xfId="2" applyNumberFormat="1" applyFont="1" applyFill="1" applyBorder="1" applyAlignment="1">
      <alignment horizontal="right" vertical="center"/>
    </xf>
    <xf numFmtId="191" fontId="0" fillId="6" borderId="0" xfId="2" applyNumberFormat="1" applyFont="1" applyFill="1" applyBorder="1" applyAlignment="1">
      <alignment horizontal="right" vertical="center"/>
    </xf>
    <xf numFmtId="191" fontId="0" fillId="6" borderId="20" xfId="2" applyNumberFormat="1" applyFont="1" applyFill="1" applyBorder="1" applyAlignment="1">
      <alignment horizontal="right" vertical="center"/>
    </xf>
    <xf numFmtId="191" fontId="0" fillId="6" borderId="17" xfId="2" applyNumberFormat="1" applyFont="1" applyFill="1" applyBorder="1" applyAlignment="1">
      <alignment horizontal="right" vertical="center"/>
    </xf>
    <xf numFmtId="192" fontId="0" fillId="6" borderId="1" xfId="2" applyNumberFormat="1" applyFont="1" applyFill="1" applyBorder="1" applyAlignment="1">
      <alignment vertical="center"/>
    </xf>
    <xf numFmtId="192" fontId="0" fillId="6" borderId="0" xfId="2" applyNumberFormat="1" applyFont="1" applyFill="1" applyBorder="1"/>
    <xf numFmtId="192" fontId="0" fillId="6" borderId="1" xfId="2" applyNumberFormat="1" applyFont="1" applyFill="1" applyBorder="1"/>
    <xf numFmtId="0" fontId="23" fillId="6" borderId="14" xfId="0" applyFont="1" applyFill="1" applyBorder="1" applyAlignment="1">
      <alignment vertical="center"/>
    </xf>
    <xf numFmtId="200" fontId="0" fillId="6" borderId="26" xfId="1" applyFont="1" applyFill="1" applyBorder="1" applyAlignment="1">
      <alignment vertical="center"/>
    </xf>
    <xf numFmtId="200" fontId="0" fillId="6" borderId="53" xfId="1" applyFont="1" applyFill="1" applyBorder="1" applyAlignment="1">
      <alignment vertical="center"/>
    </xf>
    <xf numFmtId="200" fontId="126" fillId="6" borderId="0" xfId="1" applyFont="1" applyFill="1" applyBorder="1" applyAlignment="1">
      <alignment vertical="center"/>
    </xf>
    <xf numFmtId="200" fontId="126" fillId="6" borderId="0" xfId="1" applyFont="1" applyFill="1" applyBorder="1" applyAlignment="1">
      <alignment horizontal="right" vertical="center"/>
    </xf>
    <xf numFmtId="0" fontId="0" fillId="6" borderId="0" xfId="0" applyFill="1" applyBorder="1" applyAlignment="1">
      <alignment horizontal="left"/>
    </xf>
    <xf numFmtId="0" fontId="0" fillId="2" borderId="0" xfId="0" applyFill="1" applyBorder="1" applyAlignment="1">
      <alignment vertical="center"/>
    </xf>
    <xf numFmtId="201" fontId="26" fillId="0" borderId="0" xfId="1" applyNumberFormat="1" applyFont="1"/>
    <xf numFmtId="0" fontId="26" fillId="0" borderId="0" xfId="0" applyFont="1" applyBorder="1" applyAlignment="1">
      <alignment vertical="center"/>
    </xf>
    <xf numFmtId="0" fontId="0" fillId="8" borderId="51" xfId="0" applyFill="1" applyBorder="1" applyAlignment="1">
      <alignment horizontal="left" vertical="center"/>
    </xf>
    <xf numFmtId="0" fontId="0" fillId="8" borderId="51" xfId="0" applyFill="1" applyBorder="1" applyAlignment="1">
      <alignment horizontal="right" vertical="center"/>
    </xf>
    <xf numFmtId="0" fontId="23" fillId="8" borderId="51" xfId="0" applyFont="1" applyFill="1" applyBorder="1" applyAlignment="1">
      <alignment vertical="center"/>
    </xf>
    <xf numFmtId="0" fontId="26" fillId="8" borderId="14" xfId="0" applyFont="1" applyFill="1" applyBorder="1" applyAlignment="1">
      <alignment vertical="center"/>
    </xf>
    <xf numFmtId="191" fontId="26" fillId="8" borderId="14" xfId="2" applyFont="1" applyFill="1" applyBorder="1" applyAlignment="1">
      <alignment vertical="center"/>
    </xf>
    <xf numFmtId="0" fontId="26" fillId="8" borderId="0" xfId="0" applyFont="1" applyFill="1" applyBorder="1" applyAlignment="1">
      <alignment vertical="center"/>
    </xf>
    <xf numFmtId="191" fontId="26" fillId="8" borderId="0" xfId="2" applyFont="1" applyFill="1" applyBorder="1" applyAlignment="1">
      <alignment vertical="center"/>
    </xf>
    <xf numFmtId="0" fontId="0" fillId="8" borderId="54" xfId="0" applyFill="1" applyBorder="1"/>
    <xf numFmtId="0" fontId="0" fillId="8" borderId="54" xfId="0" applyFill="1" applyBorder="1" applyAlignment="1">
      <alignment vertical="center"/>
    </xf>
    <xf numFmtId="0" fontId="74" fillId="8" borderId="47" xfId="4" applyNumberFormat="1" applyFill="1" applyBorder="1"/>
    <xf numFmtId="0" fontId="74" fillId="8" borderId="0" xfId="4" applyNumberFormat="1" applyFill="1" applyBorder="1"/>
    <xf numFmtId="191" fontId="74" fillId="8" borderId="0" xfId="4" applyNumberFormat="1" applyFill="1" applyBorder="1"/>
    <xf numFmtId="191" fontId="74" fillId="8" borderId="48" xfId="4" applyNumberFormat="1" applyFill="1" applyBorder="1"/>
    <xf numFmtId="191" fontId="0" fillId="8" borderId="0" xfId="2" applyFont="1" applyFill="1" applyBorder="1"/>
    <xf numFmtId="191" fontId="0" fillId="8" borderId="48" xfId="2" applyFont="1" applyFill="1" applyBorder="1"/>
    <xf numFmtId="0" fontId="122" fillId="8" borderId="47" xfId="0" applyFont="1" applyFill="1" applyBorder="1" applyAlignment="1">
      <alignment vertical="center"/>
    </xf>
    <xf numFmtId="191" fontId="26" fillId="8" borderId="48" xfId="2" applyFont="1" applyFill="1" applyBorder="1" applyAlignment="1">
      <alignment vertical="center"/>
    </xf>
    <xf numFmtId="0" fontId="26" fillId="8" borderId="47" xfId="0" applyFont="1" applyFill="1" applyBorder="1"/>
    <xf numFmtId="191" fontId="26" fillId="8" borderId="0" xfId="2" applyFont="1" applyFill="1" applyBorder="1"/>
    <xf numFmtId="191" fontId="26" fillId="8" borderId="48" xfId="2" applyFont="1" applyFill="1" applyBorder="1"/>
    <xf numFmtId="0" fontId="31" fillId="8" borderId="47" xfId="0" applyFont="1" applyFill="1" applyBorder="1"/>
    <xf numFmtId="0" fontId="31" fillId="8" borderId="0" xfId="0" applyFont="1" applyFill="1" applyBorder="1"/>
    <xf numFmtId="191" fontId="31" fillId="8" borderId="0" xfId="2" applyFont="1" applyFill="1" applyBorder="1"/>
    <xf numFmtId="191" fontId="31" fillId="8" borderId="48" xfId="2" applyFont="1" applyFill="1" applyBorder="1"/>
    <xf numFmtId="0" fontId="98" fillId="8" borderId="47" xfId="0" applyFont="1" applyFill="1" applyBorder="1" applyAlignment="1">
      <alignment vertical="center"/>
    </xf>
    <xf numFmtId="191" fontId="0" fillId="8" borderId="48" xfId="2" applyFont="1" applyFill="1" applyBorder="1" applyAlignment="1">
      <alignment vertical="center"/>
    </xf>
    <xf numFmtId="0" fontId="122" fillId="8" borderId="45" xfId="0" applyFont="1" applyFill="1" applyBorder="1" applyAlignment="1">
      <alignment vertical="center"/>
    </xf>
    <xf numFmtId="0" fontId="26" fillId="8" borderId="31" xfId="0" applyFont="1" applyFill="1" applyBorder="1" applyAlignment="1">
      <alignment vertical="center"/>
    </xf>
    <xf numFmtId="191" fontId="26" fillId="8" borderId="31" xfId="2" applyFont="1" applyFill="1" applyBorder="1" applyAlignment="1">
      <alignment vertical="center"/>
    </xf>
    <xf numFmtId="191" fontId="26" fillId="8" borderId="46" xfId="2" applyFont="1" applyFill="1" applyBorder="1" applyAlignment="1">
      <alignment vertical="center"/>
    </xf>
    <xf numFmtId="0" fontId="83" fillId="8" borderId="0" xfId="4" applyNumberFormat="1" applyFont="1" applyFill="1" applyBorder="1"/>
    <xf numFmtId="0" fontId="22" fillId="8" borderId="0" xfId="0" applyFont="1" applyFill="1" applyBorder="1"/>
    <xf numFmtId="0" fontId="127" fillId="8" borderId="0" xfId="0" applyFont="1" applyFill="1" applyBorder="1" applyAlignment="1">
      <alignment vertical="center"/>
    </xf>
    <xf numFmtId="0" fontId="127" fillId="8" borderId="0" xfId="0" applyFont="1" applyFill="1" applyBorder="1"/>
    <xf numFmtId="0" fontId="121" fillId="8" borderId="0" xfId="0" applyFont="1" applyFill="1" applyBorder="1"/>
    <xf numFmtId="0" fontId="74" fillId="8" borderId="0" xfId="4" applyNumberFormat="1" applyFont="1" applyFill="1" applyBorder="1"/>
    <xf numFmtId="0" fontId="19" fillId="18" borderId="41" xfId="0" applyFont="1" applyFill="1" applyBorder="1" applyAlignment="1">
      <alignment horizontal="left" vertical="center" indent="1"/>
    </xf>
    <xf numFmtId="0" fontId="0" fillId="18" borderId="40" xfId="0" applyFill="1" applyBorder="1"/>
    <xf numFmtId="191" fontId="0" fillId="18" borderId="40" xfId="2" applyFont="1" applyFill="1" applyBorder="1"/>
    <xf numFmtId="191" fontId="0" fillId="18" borderId="42" xfId="2" applyFont="1" applyFill="1" applyBorder="1"/>
    <xf numFmtId="0" fontId="0" fillId="2" borderId="43" xfId="0" applyFill="1" applyBorder="1"/>
    <xf numFmtId="0" fontId="0" fillId="2" borderId="37" xfId="0" applyFill="1" applyBorder="1"/>
    <xf numFmtId="191" fontId="0" fillId="2" borderId="37" xfId="2" applyFont="1" applyFill="1" applyBorder="1"/>
    <xf numFmtId="191" fontId="0" fillId="2" borderId="44" xfId="2" applyFont="1" applyFill="1" applyBorder="1"/>
    <xf numFmtId="0" fontId="0" fillId="2" borderId="47" xfId="0" applyFill="1" applyBorder="1"/>
    <xf numFmtId="0" fontId="0" fillId="2" borderId="0" xfId="0" applyFill="1" applyBorder="1"/>
    <xf numFmtId="191" fontId="74" fillId="2" borderId="0" xfId="4" applyNumberFormat="1" applyFill="1" applyBorder="1"/>
    <xf numFmtId="191" fontId="0" fillId="2" borderId="0" xfId="2" applyFont="1" applyFill="1" applyBorder="1"/>
    <xf numFmtId="191" fontId="0" fillId="2" borderId="48" xfId="2" applyFont="1" applyFill="1" applyBorder="1"/>
    <xf numFmtId="0" fontId="98" fillId="2" borderId="47" xfId="0" applyFont="1" applyFill="1" applyBorder="1" applyAlignment="1">
      <alignment vertical="center"/>
    </xf>
    <xf numFmtId="0" fontId="26" fillId="2" borderId="14" xfId="0" applyFont="1" applyFill="1" applyBorder="1" applyAlignment="1">
      <alignment vertical="center"/>
    </xf>
    <xf numFmtId="191" fontId="26" fillId="2" borderId="14" xfId="2" applyFont="1" applyFill="1" applyBorder="1" applyAlignment="1">
      <alignment vertical="center"/>
    </xf>
    <xf numFmtId="191" fontId="0" fillId="2" borderId="48" xfId="2" applyFont="1" applyFill="1" applyBorder="1" applyAlignment="1">
      <alignment vertical="center"/>
    </xf>
    <xf numFmtId="0" fontId="0" fillId="2" borderId="48" xfId="0" applyFill="1" applyBorder="1"/>
    <xf numFmtId="0" fontId="74" fillId="2" borderId="47" xfId="4" applyNumberFormat="1" applyFill="1" applyBorder="1"/>
    <xf numFmtId="0" fontId="74" fillId="2" borderId="48" xfId="4" applyNumberFormat="1" applyFill="1" applyBorder="1"/>
    <xf numFmtId="0" fontId="26" fillId="2" borderId="14" xfId="0" applyFont="1" applyFill="1" applyBorder="1"/>
    <xf numFmtId="191" fontId="26" fillId="2" borderId="14" xfId="2" applyFont="1" applyFill="1" applyBorder="1"/>
    <xf numFmtId="0" fontId="0" fillId="2" borderId="45" xfId="0" applyFill="1" applyBorder="1"/>
    <xf numFmtId="0" fontId="0" fillId="2" borderId="31" xfId="0" applyFill="1" applyBorder="1"/>
    <xf numFmtId="0" fontId="0" fillId="2" borderId="46" xfId="0" applyFill="1" applyBorder="1"/>
    <xf numFmtId="0" fontId="0" fillId="0" borderId="47" xfId="0" applyFill="1" applyBorder="1"/>
    <xf numFmtId="0" fontId="0" fillId="0" borderId="48" xfId="0" applyFill="1" applyBorder="1"/>
    <xf numFmtId="0" fontId="19" fillId="2" borderId="47" xfId="0" applyFont="1" applyFill="1" applyBorder="1" applyAlignment="1">
      <alignment horizontal="left" vertical="center" indent="1"/>
    </xf>
    <xf numFmtId="0" fontId="0" fillId="0" borderId="0" xfId="0" applyFont="1" applyFill="1"/>
    <xf numFmtId="0" fontId="19" fillId="16" borderId="41" xfId="0" applyFont="1" applyFill="1" applyBorder="1" applyAlignment="1">
      <alignment horizontal="left" vertical="center" indent="1"/>
    </xf>
    <xf numFmtId="0" fontId="18" fillId="15" borderId="47" xfId="0" applyFont="1" applyFill="1" applyBorder="1"/>
    <xf numFmtId="0" fontId="0" fillId="15" borderId="0" xfId="0" applyFill="1" applyBorder="1"/>
    <xf numFmtId="0" fontId="0" fillId="15" borderId="0" xfId="0" applyFill="1" applyBorder="1" applyAlignment="1">
      <alignment horizontal="right"/>
    </xf>
    <xf numFmtId="0" fontId="0" fillId="15" borderId="48" xfId="0" applyFill="1" applyBorder="1"/>
    <xf numFmtId="0" fontId="0" fillId="15" borderId="47" xfId="0" applyFill="1" applyBorder="1"/>
    <xf numFmtId="0" fontId="26" fillId="15" borderId="0" xfId="0" applyFont="1" applyFill="1" applyBorder="1"/>
    <xf numFmtId="0" fontId="74" fillId="15" borderId="47" xfId="4" applyNumberFormat="1" applyFill="1" applyBorder="1"/>
    <xf numFmtId="0" fontId="74" fillId="15" borderId="0" xfId="4" applyNumberFormat="1" applyFill="1" applyBorder="1" applyAlignment="1">
      <alignment horizontal="right"/>
    </xf>
    <xf numFmtId="0" fontId="74" fillId="15" borderId="0" xfId="4" applyNumberFormat="1" applyFill="1" applyBorder="1"/>
    <xf numFmtId="192" fontId="74" fillId="15" borderId="0" xfId="4" applyNumberFormat="1" applyFill="1" applyBorder="1"/>
    <xf numFmtId="192" fontId="0" fillId="15" borderId="0" xfId="0" applyNumberFormat="1" applyFill="1" applyBorder="1"/>
    <xf numFmtId="0" fontId="74" fillId="15" borderId="48" xfId="4" applyNumberFormat="1" applyFill="1" applyBorder="1"/>
    <xf numFmtId="192" fontId="0" fillId="15" borderId="0" xfId="2" applyNumberFormat="1" applyFont="1" applyFill="1" applyBorder="1"/>
    <xf numFmtId="192" fontId="26" fillId="15" borderId="0" xfId="0" applyNumberFormat="1" applyFont="1" applyFill="1" applyBorder="1"/>
    <xf numFmtId="0" fontId="26" fillId="15" borderId="47" xfId="0" applyFont="1" applyFill="1" applyBorder="1"/>
    <xf numFmtId="192" fontId="26" fillId="15" borderId="0" xfId="2" applyNumberFormat="1" applyFont="1" applyFill="1" applyBorder="1"/>
    <xf numFmtId="200" fontId="26" fillId="15" borderId="0" xfId="1" applyFont="1" applyFill="1" applyBorder="1"/>
    <xf numFmtId="0" fontId="26" fillId="15" borderId="48" xfId="0" applyFont="1" applyFill="1" applyBorder="1"/>
    <xf numFmtId="0" fontId="31" fillId="15" borderId="47" xfId="0" applyFont="1" applyFill="1" applyBorder="1"/>
    <xf numFmtId="0" fontId="31" fillId="15" borderId="0" xfId="0" applyFont="1" applyFill="1" applyBorder="1"/>
    <xf numFmtId="192" fontId="31" fillId="15" borderId="0" xfId="0" applyNumberFormat="1" applyFont="1" applyFill="1" applyBorder="1"/>
    <xf numFmtId="0" fontId="31" fillId="15" borderId="48" xfId="0" applyFont="1" applyFill="1" applyBorder="1"/>
    <xf numFmtId="0" fontId="0" fillId="15" borderId="45" xfId="0" applyFill="1" applyBorder="1"/>
    <xf numFmtId="0" fontId="0" fillId="15" borderId="31" xfId="0" applyFill="1" applyBorder="1"/>
    <xf numFmtId="0" fontId="0" fillId="15" borderId="46" xfId="0" applyFill="1" applyBorder="1"/>
    <xf numFmtId="0" fontId="0" fillId="16" borderId="40" xfId="0" applyFill="1" applyBorder="1"/>
    <xf numFmtId="0" fontId="0" fillId="16" borderId="40" xfId="0" applyFill="1" applyBorder="1" applyAlignment="1">
      <alignment horizontal="right"/>
    </xf>
    <xf numFmtId="0" fontId="0" fillId="16" borderId="42" xfId="0" applyFill="1" applyBorder="1"/>
    <xf numFmtId="192" fontId="31" fillId="15" borderId="0" xfId="2" applyNumberFormat="1" applyFont="1" applyFill="1" applyBorder="1"/>
    <xf numFmtId="0" fontId="18" fillId="15" borderId="0" xfId="0" applyFont="1" applyFill="1" applyBorder="1"/>
    <xf numFmtId="192" fontId="18" fillId="0" borderId="0" xfId="2" applyNumberFormat="1" applyFont="1" applyAlignment="1">
      <alignment vertical="center"/>
    </xf>
    <xf numFmtId="0" fontId="0" fillId="15" borderId="0" xfId="0" applyFill="1" applyBorder="1" applyAlignment="1">
      <alignment horizontal="center"/>
    </xf>
    <xf numFmtId="9" fontId="0" fillId="15" borderId="0" xfId="0" quotePrefix="1" applyNumberFormat="1" applyFill="1" applyBorder="1"/>
    <xf numFmtId="0" fontId="0" fillId="15" borderId="0" xfId="0" quotePrefix="1" applyFill="1" applyBorder="1"/>
    <xf numFmtId="200" fontId="31" fillId="15" borderId="0" xfId="1" applyFont="1" applyFill="1" applyBorder="1"/>
    <xf numFmtId="0" fontId="0" fillId="15" borderId="47" xfId="0" applyFill="1" applyBorder="1" applyAlignment="1">
      <alignment vertical="center"/>
    </xf>
    <xf numFmtId="0" fontId="0" fillId="15" borderId="0" xfId="0" applyFill="1" applyBorder="1" applyAlignment="1">
      <alignment vertical="center"/>
    </xf>
    <xf numFmtId="0" fontId="0" fillId="15" borderId="48" xfId="0" applyFill="1" applyBorder="1" applyAlignment="1">
      <alignment vertical="center"/>
    </xf>
    <xf numFmtId="200" fontId="0" fillId="15" borderId="0" xfId="1" applyNumberFormat="1" applyFont="1" applyFill="1" applyBorder="1"/>
    <xf numFmtId="200" fontId="0" fillId="15" borderId="0" xfId="0" applyNumberFormat="1" applyFill="1" applyBorder="1"/>
    <xf numFmtId="200" fontId="26" fillId="15" borderId="0" xfId="1" applyNumberFormat="1" applyFont="1" applyFill="1" applyBorder="1"/>
    <xf numFmtId="200" fontId="31" fillId="15" borderId="0" xfId="1" applyNumberFormat="1" applyFont="1" applyFill="1" applyBorder="1"/>
    <xf numFmtId="0" fontId="74" fillId="0" borderId="40" xfId="4" applyNumberFormat="1" applyBorder="1" applyAlignment="1">
      <alignment vertical="center"/>
    </xf>
    <xf numFmtId="0" fontId="74" fillId="0" borderId="40" xfId="4" applyNumberFormat="1" applyFill="1" applyBorder="1" applyAlignment="1">
      <alignment horizontal="right" vertical="center"/>
    </xf>
    <xf numFmtId="0" fontId="74" fillId="0" borderId="40" xfId="4" applyNumberFormat="1" applyFill="1" applyBorder="1" applyAlignment="1">
      <alignment vertical="center"/>
    </xf>
    <xf numFmtId="0" fontId="0" fillId="0" borderId="40" xfId="0" applyBorder="1" applyAlignment="1">
      <alignment vertical="center"/>
    </xf>
    <xf numFmtId="191" fontId="74" fillId="0" borderId="40" xfId="4" applyNumberFormat="1" applyFill="1" applyBorder="1" applyAlignment="1">
      <alignment vertical="center"/>
    </xf>
    <xf numFmtId="191" fontId="0" fillId="0" borderId="40" xfId="2" applyFont="1" applyBorder="1" applyAlignment="1">
      <alignment vertical="center"/>
    </xf>
    <xf numFmtId="191" fontId="74" fillId="15" borderId="33" xfId="2" applyFont="1" applyFill="1" applyBorder="1" applyAlignment="1">
      <alignment vertical="center"/>
    </xf>
    <xf numFmtId="191" fontId="0" fillId="15" borderId="33" xfId="2" applyFont="1" applyFill="1" applyBorder="1" applyAlignment="1">
      <alignment vertical="center"/>
    </xf>
    <xf numFmtId="191" fontId="0" fillId="0" borderId="40" xfId="0" applyNumberFormat="1" applyBorder="1" applyAlignment="1">
      <alignment vertical="center"/>
    </xf>
    <xf numFmtId="191" fontId="101" fillId="15" borderId="33" xfId="2" applyFont="1" applyFill="1" applyBorder="1" applyAlignment="1">
      <alignment vertical="center"/>
    </xf>
    <xf numFmtId="191" fontId="0" fillId="6" borderId="22" xfId="2" applyNumberFormat="1" applyFont="1" applyFill="1" applyBorder="1" applyAlignment="1">
      <alignment vertical="center"/>
    </xf>
    <xf numFmtId="0" fontId="39" fillId="4" borderId="0" xfId="6" applyFont="1" applyFill="1"/>
    <xf numFmtId="14" fontId="64" fillId="4" borderId="0" xfId="6" applyNumberFormat="1" applyFont="1" applyFill="1"/>
    <xf numFmtId="0" fontId="128" fillId="4" borderId="0" xfId="6" applyFont="1" applyFill="1"/>
    <xf numFmtId="0" fontId="37" fillId="4" borderId="7" xfId="6" applyFill="1" applyBorder="1"/>
    <xf numFmtId="0" fontId="63" fillId="4" borderId="4" xfId="6" applyFont="1" applyFill="1" applyBorder="1"/>
    <xf numFmtId="0" fontId="61" fillId="4" borderId="1" xfId="6" applyFont="1" applyFill="1" applyBorder="1"/>
    <xf numFmtId="0" fontId="44" fillId="4" borderId="0" xfId="6" applyFont="1" applyFill="1"/>
    <xf numFmtId="202" fontId="65" fillId="4" borderId="0" xfId="6" applyNumberFormat="1" applyFont="1" applyFill="1" applyAlignment="1">
      <alignment horizontal="right"/>
    </xf>
    <xf numFmtId="202" fontId="37" fillId="4" borderId="0" xfId="6" applyNumberFormat="1" applyFill="1"/>
    <xf numFmtId="203" fontId="65" fillId="4" borderId="0" xfId="6" applyNumberFormat="1" applyFont="1" applyFill="1" applyAlignment="1">
      <alignment horizontal="right"/>
    </xf>
    <xf numFmtId="0" fontId="42" fillId="4" borderId="0" xfId="6" applyFont="1" applyFill="1" applyBorder="1"/>
    <xf numFmtId="202" fontId="65" fillId="4" borderId="1" xfId="6" applyNumberFormat="1" applyFont="1" applyFill="1" applyBorder="1" applyAlignment="1">
      <alignment horizontal="right"/>
    </xf>
    <xf numFmtId="0" fontId="46" fillId="4" borderId="10" xfId="6" applyFont="1" applyFill="1" applyBorder="1"/>
    <xf numFmtId="202" fontId="68" fillId="4" borderId="10" xfId="6" applyNumberFormat="1" applyFont="1" applyFill="1" applyBorder="1" applyAlignment="1">
      <alignment horizontal="right"/>
    </xf>
    <xf numFmtId="203" fontId="68" fillId="4" borderId="10" xfId="6" applyNumberFormat="1" applyFont="1" applyFill="1" applyBorder="1" applyAlignment="1">
      <alignment horizontal="right"/>
    </xf>
    <xf numFmtId="0" fontId="61" fillId="4" borderId="10" xfId="6" applyFont="1" applyFill="1" applyBorder="1"/>
    <xf numFmtId="202" fontId="65" fillId="4" borderId="10" xfId="6" applyNumberFormat="1" applyFont="1" applyFill="1" applyBorder="1" applyAlignment="1">
      <alignment horizontal="right"/>
    </xf>
    <xf numFmtId="186" fontId="65" fillId="4" borderId="0" xfId="6" applyNumberFormat="1" applyFont="1" applyFill="1" applyAlignment="1">
      <alignment horizontal="right"/>
    </xf>
    <xf numFmtId="187" fontId="65" fillId="4" borderId="0" xfId="6" applyNumberFormat="1" applyFont="1" applyFill="1" applyAlignment="1">
      <alignment horizontal="right"/>
    </xf>
    <xf numFmtId="0" fontId="42" fillId="4" borderId="5" xfId="6" applyFont="1" applyFill="1" applyBorder="1"/>
    <xf numFmtId="186" fontId="65" fillId="4" borderId="5" xfId="6" applyNumberFormat="1" applyFont="1" applyFill="1" applyBorder="1" applyAlignment="1">
      <alignment horizontal="right"/>
    </xf>
    <xf numFmtId="187" fontId="65" fillId="4" borderId="5" xfId="6" applyNumberFormat="1" applyFont="1" applyFill="1" applyBorder="1" applyAlignment="1">
      <alignment horizontal="right"/>
    </xf>
    <xf numFmtId="186" fontId="68" fillId="4" borderId="10" xfId="6" applyNumberFormat="1" applyFont="1" applyFill="1" applyBorder="1" applyAlignment="1">
      <alignment horizontal="right"/>
    </xf>
    <xf numFmtId="187" fontId="68" fillId="4" borderId="10" xfId="6" applyNumberFormat="1" applyFont="1" applyFill="1" applyBorder="1" applyAlignment="1">
      <alignment horizontal="right"/>
    </xf>
    <xf numFmtId="186" fontId="65" fillId="4" borderId="10" xfId="6" applyNumberFormat="1" applyFont="1" applyFill="1" applyBorder="1" applyAlignment="1">
      <alignment horizontal="right"/>
    </xf>
    <xf numFmtId="0" fontId="66" fillId="4" borderId="0" xfId="6" applyFont="1" applyFill="1" applyBorder="1" applyAlignment="1">
      <alignment horizontal="right"/>
    </xf>
    <xf numFmtId="0" fontId="65" fillId="4" borderId="0" xfId="6" applyFont="1" applyFill="1" applyBorder="1" applyAlignment="1">
      <alignment horizontal="right"/>
    </xf>
    <xf numFmtId="202" fontId="66" fillId="4" borderId="0" xfId="6" applyNumberFormat="1" applyFont="1" applyFill="1" applyBorder="1" applyAlignment="1">
      <alignment horizontal="right"/>
    </xf>
    <xf numFmtId="202" fontId="65" fillId="4" borderId="0" xfId="6" applyNumberFormat="1" applyFont="1" applyFill="1" applyBorder="1" applyAlignment="1">
      <alignment horizontal="right"/>
    </xf>
    <xf numFmtId="203" fontId="65" fillId="4" borderId="0" xfId="6" applyNumberFormat="1" applyFont="1" applyFill="1" applyBorder="1" applyAlignment="1">
      <alignment horizontal="right"/>
    </xf>
    <xf numFmtId="0" fontId="42" fillId="4" borderId="7" xfId="6" applyFont="1" applyFill="1" applyBorder="1"/>
    <xf numFmtId="202" fontId="65" fillId="4" borderId="7" xfId="6" applyNumberFormat="1" applyFont="1" applyFill="1" applyBorder="1" applyAlignment="1">
      <alignment horizontal="right"/>
    </xf>
    <xf numFmtId="203" fontId="65" fillId="4" borderId="7" xfId="6" applyNumberFormat="1" applyFont="1" applyFill="1" applyBorder="1" applyAlignment="1">
      <alignment horizontal="right"/>
    </xf>
    <xf numFmtId="0" fontId="42" fillId="4" borderId="10" xfId="6" applyFont="1" applyFill="1" applyBorder="1"/>
    <xf numFmtId="0" fontId="43" fillId="4" borderId="0" xfId="6" applyFont="1" applyFill="1" applyBorder="1"/>
    <xf numFmtId="202" fontId="66" fillId="4" borderId="0" xfId="6" applyNumberFormat="1" applyFont="1" applyFill="1" applyBorder="1"/>
    <xf numFmtId="203" fontId="65" fillId="4" borderId="7" xfId="6" applyNumberFormat="1" applyFont="1" applyFill="1" applyBorder="1"/>
    <xf numFmtId="202" fontId="65" fillId="4" borderId="7" xfId="6" applyNumberFormat="1" applyFont="1" applyFill="1" applyBorder="1"/>
    <xf numFmtId="0" fontId="66" fillId="4" borderId="0" xfId="6" applyFont="1" applyFill="1"/>
    <xf numFmtId="0" fontId="72" fillId="4" borderId="0" xfId="6" applyFont="1" applyFill="1"/>
    <xf numFmtId="0" fontId="118" fillId="4" borderId="0" xfId="6" applyFont="1" applyFill="1"/>
    <xf numFmtId="0" fontId="64" fillId="4" borderId="0" xfId="6" applyFont="1" applyFill="1" applyBorder="1"/>
    <xf numFmtId="0" fontId="61" fillId="4" borderId="0" xfId="6" applyFont="1" applyFill="1" applyBorder="1"/>
    <xf numFmtId="0" fontId="63" fillId="4" borderId="0" xfId="6" applyFont="1" applyFill="1" applyBorder="1"/>
    <xf numFmtId="2" fontId="42" fillId="4" borderId="0" xfId="6" applyNumberFormat="1" applyFont="1" applyFill="1" applyBorder="1"/>
    <xf numFmtId="2" fontId="65" fillId="4" borderId="0" xfId="6" applyNumberFormat="1" applyFont="1" applyFill="1" applyBorder="1"/>
    <xf numFmtId="0" fontId="0" fillId="2" borderId="51" xfId="0" applyFill="1" applyBorder="1"/>
    <xf numFmtId="0" fontId="23" fillId="2" borderId="51" xfId="0" applyFont="1" applyFill="1" applyBorder="1" applyAlignment="1">
      <alignment horizontal="center" vertical="center"/>
    </xf>
    <xf numFmtId="191" fontId="110" fillId="6" borderId="38" xfId="2" applyFont="1" applyFill="1" applyBorder="1" applyAlignment="1">
      <alignment horizontal="right" vertical="center"/>
    </xf>
    <xf numFmtId="191" fontId="74" fillId="6" borderId="38" xfId="2" applyFont="1" applyFill="1" applyBorder="1" applyAlignment="1">
      <alignment horizontal="right" vertical="center"/>
    </xf>
    <xf numFmtId="191" fontId="110" fillId="2" borderId="38" xfId="2" applyFont="1" applyFill="1" applyBorder="1" applyAlignment="1">
      <alignment vertical="center"/>
    </xf>
    <xf numFmtId="191" fontId="74" fillId="2" borderId="38" xfId="2" applyFont="1" applyFill="1" applyBorder="1" applyAlignment="1">
      <alignment vertical="center"/>
    </xf>
    <xf numFmtId="191" fontId="110" fillId="8" borderId="38" xfId="2" applyFont="1" applyFill="1" applyBorder="1" applyAlignment="1">
      <alignment vertical="center"/>
    </xf>
    <xf numFmtId="191" fontId="74" fillId="8" borderId="38" xfId="4" applyNumberFormat="1" applyFill="1" applyBorder="1" applyAlignment="1">
      <alignment vertical="center"/>
    </xf>
    <xf numFmtId="191" fontId="110" fillId="7" borderId="38" xfId="2" applyFont="1" applyFill="1" applyBorder="1" applyAlignment="1">
      <alignment vertical="center"/>
    </xf>
    <xf numFmtId="191" fontId="74" fillId="7" borderId="38" xfId="2" applyFont="1" applyFill="1" applyBorder="1" applyAlignment="1">
      <alignment vertical="center"/>
    </xf>
    <xf numFmtId="0" fontId="31" fillId="2" borderId="0" xfId="0" applyFont="1" applyFill="1" applyBorder="1" applyAlignment="1">
      <alignment vertical="center"/>
    </xf>
    <xf numFmtId="0" fontId="31" fillId="2" borderId="0" xfId="0" applyFont="1" applyFill="1" applyBorder="1"/>
    <xf numFmtId="191" fontId="31" fillId="2" borderId="0" xfId="2" applyFont="1" applyFill="1" applyBorder="1" applyAlignment="1">
      <alignment vertical="center"/>
    </xf>
    <xf numFmtId="0" fontId="31" fillId="2" borderId="48" xfId="0" applyFont="1" applyFill="1" applyBorder="1" applyAlignment="1">
      <alignment vertical="center"/>
    </xf>
    <xf numFmtId="191" fontId="0" fillId="0" borderId="0" xfId="2" applyFont="1" applyFill="1" applyBorder="1"/>
    <xf numFmtId="191" fontId="0" fillId="0" borderId="48" xfId="2" applyFont="1" applyFill="1" applyBorder="1"/>
    <xf numFmtId="191" fontId="74" fillId="0" borderId="0" xfId="4" applyNumberFormat="1" applyFill="1" applyBorder="1"/>
    <xf numFmtId="0" fontId="98" fillId="0" borderId="47" xfId="0" applyFont="1" applyFill="1" applyBorder="1" applyAlignment="1">
      <alignment vertical="center"/>
    </xf>
    <xf numFmtId="0" fontId="26" fillId="0" borderId="14" xfId="0" applyFont="1" applyFill="1" applyBorder="1" applyAlignment="1">
      <alignment vertical="center"/>
    </xf>
    <xf numFmtId="191" fontId="26" fillId="0" borderId="14" xfId="2" applyFont="1" applyFill="1" applyBorder="1" applyAlignment="1">
      <alignment vertical="center"/>
    </xf>
    <xf numFmtId="0" fontId="0" fillId="0" borderId="48" xfId="0" applyFill="1" applyBorder="1" applyAlignment="1">
      <alignment vertical="center"/>
    </xf>
    <xf numFmtId="0" fontId="31" fillId="2" borderId="47" xfId="0" applyFont="1" applyFill="1" applyBorder="1" applyAlignment="1">
      <alignment vertical="center"/>
    </xf>
    <xf numFmtId="0" fontId="0" fillId="2" borderId="47" xfId="0" applyFont="1" applyFill="1" applyBorder="1"/>
    <xf numFmtId="200" fontId="0" fillId="6" borderId="14" xfId="1" applyFont="1" applyFill="1" applyBorder="1"/>
    <xf numFmtId="0" fontId="31" fillId="2" borderId="47" xfId="0" applyFont="1" applyFill="1" applyBorder="1"/>
    <xf numFmtId="191" fontId="31" fillId="2" borderId="0" xfId="2" applyFont="1" applyFill="1" applyBorder="1"/>
    <xf numFmtId="191" fontId="31" fillId="2" borderId="48" xfId="2" applyFont="1" applyFill="1" applyBorder="1"/>
    <xf numFmtId="0" fontId="0" fillId="6" borderId="21" xfId="0" applyNumberFormat="1" applyFont="1" applyFill="1" applyBorder="1" applyAlignment="1">
      <alignment vertical="center"/>
    </xf>
    <xf numFmtId="0" fontId="0" fillId="6" borderId="21" xfId="0" applyFont="1" applyFill="1" applyBorder="1" applyAlignment="1">
      <alignment vertical="center"/>
    </xf>
    <xf numFmtId="195" fontId="0" fillId="6" borderId="21" xfId="2" applyNumberFormat="1" applyFont="1" applyFill="1" applyBorder="1" applyAlignment="1">
      <alignment vertical="center"/>
    </xf>
    <xf numFmtId="195" fontId="0" fillId="6" borderId="22" xfId="2" applyNumberFormat="1" applyFont="1" applyFill="1" applyBorder="1" applyAlignment="1">
      <alignment vertical="center"/>
    </xf>
    <xf numFmtId="191" fontId="0" fillId="0" borderId="0" xfId="0" applyNumberFormat="1" applyBorder="1" applyAlignment="1">
      <alignment vertical="center"/>
    </xf>
    <xf numFmtId="191" fontId="31" fillId="0" borderId="0" xfId="2" applyFont="1" applyBorder="1" applyAlignment="1">
      <alignment vertical="center"/>
    </xf>
    <xf numFmtId="0" fontId="131" fillId="0" borderId="0" xfId="0" applyFont="1" applyFill="1" applyBorder="1" applyAlignment="1">
      <alignment horizontal="right" vertical="center"/>
    </xf>
    <xf numFmtId="0" fontId="0" fillId="2" borderId="0" xfId="0" applyFill="1"/>
    <xf numFmtId="0" fontId="0" fillId="2" borderId="0" xfId="0" applyFill="1" applyAlignment="1">
      <alignment vertical="center"/>
    </xf>
    <xf numFmtId="0" fontId="31" fillId="2" borderId="0" xfId="0" applyFont="1" applyFill="1" applyAlignment="1">
      <alignment vertical="center"/>
    </xf>
    <xf numFmtId="192" fontId="18" fillId="2" borderId="0" xfId="2" applyNumberFormat="1" applyFont="1" applyFill="1" applyAlignment="1">
      <alignment vertical="center"/>
    </xf>
    <xf numFmtId="0" fontId="18" fillId="2" borderId="0" xfId="0" applyFont="1" applyFill="1" applyAlignment="1">
      <alignment vertical="center"/>
    </xf>
    <xf numFmtId="0" fontId="125" fillId="2" borderId="51" xfId="0" applyFont="1" applyFill="1" applyBorder="1" applyAlignment="1">
      <alignment vertical="center"/>
    </xf>
    <xf numFmtId="0" fontId="18" fillId="2" borderId="0" xfId="0" applyFont="1" applyFill="1" applyAlignment="1">
      <alignment horizontal="right" vertical="center"/>
    </xf>
    <xf numFmtId="0" fontId="0" fillId="2" borderId="14" xfId="0" applyFill="1" applyBorder="1" applyAlignment="1">
      <alignment vertical="center"/>
    </xf>
    <xf numFmtId="0" fontId="125" fillId="2" borderId="14" xfId="0" applyFont="1" applyFill="1" applyBorder="1" applyAlignment="1">
      <alignment vertical="center"/>
    </xf>
    <xf numFmtId="0" fontId="0" fillId="2" borderId="1" xfId="0" applyFill="1" applyBorder="1" applyAlignment="1">
      <alignment vertical="center"/>
    </xf>
    <xf numFmtId="0" fontId="18" fillId="2" borderId="1" xfId="0" applyFont="1" applyFill="1" applyBorder="1" applyAlignment="1">
      <alignment vertical="center"/>
    </xf>
    <xf numFmtId="0" fontId="0" fillId="2" borderId="1" xfId="0" applyFont="1" applyFill="1" applyBorder="1" applyAlignment="1">
      <alignment vertical="center"/>
    </xf>
    <xf numFmtId="0" fontId="31" fillId="2" borderId="1" xfId="0" applyFont="1" applyFill="1" applyBorder="1" applyAlignment="1">
      <alignment vertical="center"/>
    </xf>
    <xf numFmtId="0" fontId="108" fillId="2" borderId="0" xfId="0" applyFont="1" applyFill="1" applyAlignment="1">
      <alignment vertical="center"/>
    </xf>
    <xf numFmtId="0" fontId="18" fillId="2" borderId="51" xfId="0" applyFont="1" applyFill="1" applyBorder="1" applyAlignment="1">
      <alignment vertical="center"/>
    </xf>
    <xf numFmtId="0" fontId="125" fillId="2" borderId="0" xfId="0" applyFont="1" applyFill="1" applyAlignment="1">
      <alignment horizontal="left" vertical="center"/>
    </xf>
    <xf numFmtId="0" fontId="18" fillId="2" borderId="1" xfId="0" applyFont="1" applyFill="1" applyBorder="1" applyAlignment="1">
      <alignment horizontal="right" vertical="center"/>
    </xf>
    <xf numFmtId="192" fontId="18" fillId="2" borderId="1" xfId="2" applyNumberFormat="1" applyFont="1" applyFill="1" applyBorder="1" applyAlignment="1">
      <alignment vertical="center"/>
    </xf>
    <xf numFmtId="0" fontId="132" fillId="19" borderId="0" xfId="0" applyFont="1" applyFill="1" applyAlignment="1">
      <alignment vertical="center"/>
    </xf>
    <xf numFmtId="0" fontId="133" fillId="19" borderId="0" xfId="0" applyFont="1" applyFill="1" applyAlignment="1">
      <alignment vertical="center"/>
    </xf>
    <xf numFmtId="0" fontId="132" fillId="19" borderId="0" xfId="0" applyFont="1" applyFill="1" applyAlignment="1">
      <alignment horizontal="centerContinuous" vertical="center"/>
    </xf>
    <xf numFmtId="0" fontId="133" fillId="19" borderId="0" xfId="0" applyFont="1" applyFill="1" applyAlignment="1">
      <alignment horizontal="centerContinuous" vertical="center"/>
    </xf>
    <xf numFmtId="0" fontId="0" fillId="0" borderId="0" xfId="0" applyFill="1" applyAlignment="1">
      <alignment vertical="center"/>
    </xf>
    <xf numFmtId="192" fontId="125" fillId="2" borderId="0" xfId="2" applyNumberFormat="1" applyFont="1" applyFill="1" applyAlignment="1">
      <alignment vertical="center"/>
    </xf>
    <xf numFmtId="0" fontId="26" fillId="2" borderId="51" xfId="0" applyFont="1" applyFill="1" applyBorder="1" applyAlignment="1">
      <alignment vertical="center"/>
    </xf>
    <xf numFmtId="0" fontId="0" fillId="2" borderId="51" xfId="0" applyFont="1" applyFill="1" applyBorder="1" applyAlignment="1">
      <alignment horizontal="right" vertical="center"/>
    </xf>
    <xf numFmtId="0" fontId="18" fillId="2" borderId="51" xfId="0" applyFont="1" applyFill="1" applyBorder="1"/>
    <xf numFmtId="0" fontId="134" fillId="2" borderId="51" xfId="0" applyFont="1" applyFill="1" applyBorder="1" applyAlignment="1">
      <alignment vertical="center"/>
    </xf>
    <xf numFmtId="191" fontId="0" fillId="6" borderId="25" xfId="2" applyFont="1" applyFill="1" applyBorder="1" applyAlignment="1">
      <alignment vertical="center"/>
    </xf>
    <xf numFmtId="0" fontId="102" fillId="0" borderId="0" xfId="0" applyFont="1" applyAlignment="1">
      <alignment vertical="center"/>
    </xf>
    <xf numFmtId="0" fontId="130" fillId="15" borderId="0" xfId="0" applyFont="1" applyFill="1" applyAlignment="1">
      <alignment vertical="center"/>
    </xf>
    <xf numFmtId="0" fontId="26" fillId="15" borderId="0" xfId="0" applyFont="1" applyFill="1" applyBorder="1" applyAlignment="1">
      <alignment horizontal="right" vertical="center"/>
    </xf>
    <xf numFmtId="198" fontId="26" fillId="15" borderId="0" xfId="2" applyNumberFormat="1" applyFont="1" applyFill="1" applyBorder="1" applyAlignment="1">
      <alignment vertical="center"/>
    </xf>
    <xf numFmtId="0" fontId="18" fillId="2" borderId="0" xfId="0" applyFont="1" applyFill="1" applyBorder="1" applyAlignment="1">
      <alignment horizontal="right" vertical="center"/>
    </xf>
    <xf numFmtId="0" fontId="18" fillId="2" borderId="0" xfId="0" applyFont="1" applyFill="1" applyBorder="1" applyAlignment="1">
      <alignment vertical="center"/>
    </xf>
    <xf numFmtId="200" fontId="18" fillId="2" borderId="0" xfId="1" applyFont="1" applyFill="1" applyBorder="1" applyAlignment="1">
      <alignment vertical="center"/>
    </xf>
    <xf numFmtId="0" fontId="108" fillId="2" borderId="0" xfId="0" applyFont="1" applyFill="1" applyAlignment="1"/>
    <xf numFmtId="0" fontId="33" fillId="0" borderId="0" xfId="0" applyFont="1" applyFill="1" applyBorder="1" applyAlignment="1">
      <alignment horizontal="left" vertical="center"/>
    </xf>
    <xf numFmtId="164" fontId="0" fillId="0" borderId="0" xfId="0" applyNumberFormat="1" applyBorder="1"/>
    <xf numFmtId="191" fontId="0" fillId="6" borderId="14" xfId="2" applyFont="1" applyFill="1" applyBorder="1" applyAlignment="1">
      <alignment vertical="center"/>
    </xf>
    <xf numFmtId="0" fontId="115" fillId="20" borderId="41" xfId="0" applyFont="1" applyFill="1" applyBorder="1" applyAlignment="1">
      <alignment vertical="center"/>
    </xf>
    <xf numFmtId="0" fontId="115" fillId="20" borderId="40" xfId="0" applyFont="1" applyFill="1" applyBorder="1" applyAlignment="1">
      <alignment vertical="center"/>
    </xf>
    <xf numFmtId="0" fontId="18" fillId="20" borderId="41" xfId="0" applyFont="1" applyFill="1" applyBorder="1" applyAlignment="1">
      <alignment vertical="center"/>
    </xf>
    <xf numFmtId="0" fontId="18" fillId="20" borderId="40" xfId="0" applyFont="1" applyFill="1" applyBorder="1" applyAlignment="1">
      <alignment vertical="center"/>
    </xf>
    <xf numFmtId="0" fontId="31" fillId="20" borderId="40" xfId="0" applyFont="1" applyFill="1" applyBorder="1" applyAlignment="1">
      <alignment vertical="center"/>
    </xf>
    <xf numFmtId="0" fontId="0" fillId="20" borderId="40" xfId="0" applyFont="1" applyFill="1" applyBorder="1" applyAlignment="1">
      <alignment horizontal="right" vertical="center"/>
    </xf>
    <xf numFmtId="0" fontId="0" fillId="20" borderId="0" xfId="0" applyFill="1" applyBorder="1" applyAlignment="1">
      <alignment vertical="center"/>
    </xf>
    <xf numFmtId="0" fontId="0" fillId="20" borderId="0" xfId="0" applyFill="1" applyBorder="1" applyAlignment="1">
      <alignment horizontal="right" vertical="center"/>
    </xf>
    <xf numFmtId="0" fontId="0" fillId="20" borderId="40" xfId="0" applyFill="1" applyBorder="1" applyAlignment="1">
      <alignment vertical="center"/>
    </xf>
    <xf numFmtId="0" fontId="0" fillId="20" borderId="40" xfId="0" applyFill="1" applyBorder="1" applyAlignment="1">
      <alignment horizontal="right" vertical="center"/>
    </xf>
    <xf numFmtId="0" fontId="132" fillId="0" borderId="0" xfId="0" applyFont="1" applyFill="1" applyAlignment="1">
      <alignment horizontal="left" vertical="center"/>
    </xf>
    <xf numFmtId="191" fontId="0" fillId="6" borderId="27" xfId="2" applyFont="1" applyFill="1" applyBorder="1" applyAlignment="1">
      <alignment vertical="center"/>
    </xf>
    <xf numFmtId="0" fontId="0" fillId="21" borderId="0" xfId="0" applyFill="1"/>
    <xf numFmtId="0" fontId="0" fillId="21" borderId="0" xfId="0" applyFill="1" applyAlignment="1">
      <alignment vertical="center"/>
    </xf>
    <xf numFmtId="192" fontId="0" fillId="0" borderId="0" xfId="2" applyNumberFormat="1" applyFont="1" applyBorder="1" applyAlignment="1">
      <alignment vertical="center"/>
    </xf>
    <xf numFmtId="0" fontId="33" fillId="0" borderId="1" xfId="0" applyFont="1" applyFill="1" applyBorder="1" applyAlignment="1">
      <alignment horizontal="left" vertical="center"/>
    </xf>
    <xf numFmtId="192" fontId="0" fillId="0" borderId="1" xfId="2" applyNumberFormat="1" applyFont="1" applyBorder="1" applyAlignment="1">
      <alignment vertical="center"/>
    </xf>
    <xf numFmtId="11" fontId="0" fillId="0" borderId="0" xfId="2" applyNumberFormat="1" applyFont="1" applyBorder="1" applyAlignment="1">
      <alignment vertical="center"/>
    </xf>
    <xf numFmtId="192" fontId="0" fillId="0" borderId="0" xfId="2" applyNumberFormat="1" applyFont="1" applyBorder="1" applyAlignment="1">
      <alignment horizontal="left" vertical="center"/>
    </xf>
    <xf numFmtId="191" fontId="0" fillId="0" borderId="0" xfId="0" applyNumberFormat="1"/>
    <xf numFmtId="191" fontId="16" fillId="0" borderId="0" xfId="2" applyNumberFormat="1" applyFont="1"/>
    <xf numFmtId="0" fontId="0" fillId="6" borderId="1" xfId="0" applyFill="1" applyBorder="1" applyAlignment="1">
      <alignment horizontal="right"/>
    </xf>
    <xf numFmtId="0" fontId="18" fillId="2" borderId="0" xfId="0" applyFont="1" applyFill="1" applyAlignment="1">
      <alignment horizontal="left" vertical="center"/>
    </xf>
    <xf numFmtId="200" fontId="18" fillId="2" borderId="0" xfId="1" applyFont="1" applyFill="1"/>
    <xf numFmtId="0" fontId="18" fillId="2" borderId="1" xfId="0" applyFont="1" applyFill="1" applyBorder="1" applyAlignment="1">
      <alignment horizontal="left" vertical="center"/>
    </xf>
    <xf numFmtId="0" fontId="0" fillId="2" borderId="1" xfId="0" applyFill="1" applyBorder="1"/>
    <xf numFmtId="192" fontId="0" fillId="0" borderId="1" xfId="2" applyNumberFormat="1" applyFont="1" applyBorder="1" applyAlignment="1">
      <alignment horizontal="left" vertical="center"/>
    </xf>
    <xf numFmtId="0" fontId="0" fillId="0" borderId="1" xfId="0" applyBorder="1" applyAlignment="1">
      <alignment horizontal="left" vertical="center"/>
    </xf>
    <xf numFmtId="177" fontId="0" fillId="0" borderId="0" xfId="0" applyNumberFormat="1"/>
    <xf numFmtId="191" fontId="0" fillId="6" borderId="21" xfId="2" applyNumberFormat="1" applyFont="1" applyFill="1" applyBorder="1" applyAlignment="1">
      <alignment vertical="center"/>
    </xf>
    <xf numFmtId="191" fontId="0" fillId="6" borderId="28" xfId="2" applyNumberFormat="1" applyFont="1" applyFill="1" applyBorder="1" applyAlignment="1">
      <alignment horizontal="right" vertical="center"/>
    </xf>
    <xf numFmtId="200" fontId="0" fillId="6" borderId="0" xfId="0" applyNumberFormat="1" applyFill="1" applyBorder="1"/>
    <xf numFmtId="192" fontId="14" fillId="6" borderId="0" xfId="2" applyNumberFormat="1" applyFont="1" applyFill="1" applyBorder="1" applyAlignment="1">
      <alignment horizontal="right" vertical="center"/>
    </xf>
    <xf numFmtId="192" fontId="14" fillId="6" borderId="1" xfId="2" applyNumberFormat="1" applyFont="1" applyFill="1" applyBorder="1" applyAlignment="1">
      <alignment horizontal="right" vertical="center"/>
    </xf>
    <xf numFmtId="0" fontId="0" fillId="0" borderId="8" xfId="0" applyBorder="1"/>
    <xf numFmtId="0" fontId="0" fillId="0" borderId="45" xfId="0" applyFill="1" applyBorder="1"/>
    <xf numFmtId="0" fontId="0" fillId="0" borderId="31" xfId="0" applyFill="1" applyBorder="1"/>
    <xf numFmtId="0" fontId="14" fillId="6" borderId="0" xfId="0" applyFont="1" applyFill="1" applyBorder="1" applyAlignment="1">
      <alignment horizontal="right" vertical="center"/>
    </xf>
    <xf numFmtId="11" fontId="56" fillId="0" borderId="0" xfId="0" applyNumberFormat="1" applyFont="1" applyFill="1" applyBorder="1"/>
    <xf numFmtId="0" fontId="137" fillId="0" borderId="0" xfId="0" applyFont="1" applyBorder="1"/>
    <xf numFmtId="0" fontId="137" fillId="0" borderId="0" xfId="0" applyFont="1" applyBorder="1" applyAlignment="1">
      <alignment vertical="center"/>
    </xf>
    <xf numFmtId="0" fontId="137" fillId="0" borderId="0" xfId="0" applyFont="1" applyBorder="1" applyAlignment="1">
      <alignment horizontal="left" vertical="center" wrapText="1"/>
    </xf>
    <xf numFmtId="192" fontId="18" fillId="2" borderId="0" xfId="2" applyNumberFormat="1" applyFont="1" applyFill="1" applyBorder="1" applyAlignment="1">
      <alignment vertical="center"/>
    </xf>
    <xf numFmtId="0" fontId="138" fillId="0" borderId="0" xfId="0" applyFont="1"/>
    <xf numFmtId="200" fontId="74" fillId="0" borderId="0" xfId="1" applyFont="1"/>
    <xf numFmtId="0" fontId="0" fillId="6" borderId="8" xfId="0" applyNumberFormat="1" applyFill="1" applyBorder="1" applyAlignment="1">
      <alignment vertical="center"/>
    </xf>
    <xf numFmtId="0" fontId="0" fillId="2" borderId="40" xfId="0" applyFont="1" applyFill="1" applyBorder="1" applyAlignment="1">
      <alignment vertical="center"/>
    </xf>
    <xf numFmtId="0" fontId="0" fillId="2" borderId="0" xfId="0" applyFont="1" applyFill="1" applyBorder="1" applyAlignment="1">
      <alignment horizontal="right" vertical="center"/>
    </xf>
    <xf numFmtId="0" fontId="0" fillId="2" borderId="0" xfId="0" applyFont="1" applyFill="1" applyBorder="1" applyAlignment="1">
      <alignment vertical="center"/>
    </xf>
    <xf numFmtId="0" fontId="23" fillId="18" borderId="55" xfId="0" applyFont="1" applyFill="1" applyBorder="1" applyAlignment="1">
      <alignment vertical="center"/>
    </xf>
    <xf numFmtId="0" fontId="0" fillId="0" borderId="55" xfId="0" applyFont="1" applyBorder="1"/>
    <xf numFmtId="0" fontId="0" fillId="2" borderId="55" xfId="0" applyFont="1" applyFill="1" applyBorder="1"/>
    <xf numFmtId="0" fontId="0" fillId="2" borderId="55" xfId="0" applyFont="1" applyFill="1" applyBorder="1" applyAlignment="1">
      <alignment vertical="center"/>
    </xf>
    <xf numFmtId="0" fontId="0" fillId="2" borderId="37" xfId="0" applyFont="1" applyFill="1" applyBorder="1" applyAlignment="1">
      <alignment vertical="center"/>
    </xf>
    <xf numFmtId="0" fontId="23" fillId="18" borderId="56" xfId="0" applyFont="1" applyFill="1" applyBorder="1" applyAlignment="1">
      <alignment vertical="center"/>
    </xf>
    <xf numFmtId="0" fontId="23" fillId="18" borderId="56" xfId="0" applyFont="1" applyFill="1" applyBorder="1" applyAlignment="1">
      <alignment horizontal="center" vertical="center"/>
    </xf>
    <xf numFmtId="0" fontId="0" fillId="0" borderId="0" xfId="0" applyFont="1" applyBorder="1" applyAlignment="1">
      <alignment vertical="center"/>
    </xf>
    <xf numFmtId="0" fontId="23" fillId="2" borderId="0" xfId="0" applyFont="1" applyFill="1" applyBorder="1" applyAlignment="1">
      <alignment vertical="center"/>
    </xf>
    <xf numFmtId="0" fontId="26" fillId="2" borderId="0" xfId="0" applyFont="1" applyFill="1" applyBorder="1" applyAlignment="1">
      <alignment vertical="center"/>
    </xf>
    <xf numFmtId="0" fontId="0" fillId="2" borderId="0" xfId="0" applyFont="1" applyFill="1" applyBorder="1"/>
    <xf numFmtId="0" fontId="31" fillId="0" borderId="0" xfId="0" applyFont="1" applyBorder="1" applyAlignment="1">
      <alignment vertical="center"/>
    </xf>
    <xf numFmtId="0" fontId="0" fillId="2" borderId="0" xfId="0" applyFont="1" applyFill="1" applyBorder="1" applyAlignment="1">
      <alignment horizontal="left" vertical="center"/>
    </xf>
    <xf numFmtId="0" fontId="0" fillId="2" borderId="0" xfId="0" applyFont="1" applyFill="1" applyBorder="1" applyAlignment="1"/>
    <xf numFmtId="0" fontId="0" fillId="0" borderId="57" xfId="0" applyBorder="1"/>
    <xf numFmtId="0" fontId="0" fillId="0" borderId="58" xfId="0" applyBorder="1"/>
    <xf numFmtId="0" fontId="0" fillId="0" borderId="59" xfId="0" applyBorder="1"/>
    <xf numFmtId="0" fontId="139" fillId="19" borderId="0" xfId="0" applyFont="1" applyFill="1" applyBorder="1" applyAlignment="1">
      <alignment vertical="center"/>
    </xf>
    <xf numFmtId="0" fontId="140" fillId="19" borderId="0" xfId="0" applyFont="1" applyFill="1" applyBorder="1" applyAlignment="1">
      <alignment vertical="center"/>
    </xf>
    <xf numFmtId="0" fontId="139" fillId="19" borderId="0" xfId="0" applyFont="1" applyFill="1" applyBorder="1" applyAlignment="1">
      <alignment horizontal="centerContinuous" vertical="center"/>
    </xf>
    <xf numFmtId="0" fontId="140" fillId="19" borderId="0" xfId="0" applyFont="1" applyFill="1" applyBorder="1" applyAlignment="1">
      <alignment horizontal="centerContinuous" vertical="center"/>
    </xf>
    <xf numFmtId="0" fontId="0" fillId="0" borderId="60" xfId="0" applyBorder="1"/>
    <xf numFmtId="0" fontId="0" fillId="0" borderId="61" xfId="0" applyBorder="1"/>
    <xf numFmtId="0" fontId="0" fillId="0" borderId="62" xfId="0" applyBorder="1"/>
    <xf numFmtId="0" fontId="14" fillId="18" borderId="55" xfId="0" applyFont="1" applyFill="1" applyBorder="1" applyAlignment="1">
      <alignment horizontal="center" vertical="center"/>
    </xf>
    <xf numFmtId="0" fontId="141" fillId="19" borderId="0" xfId="0" applyFont="1" applyFill="1" applyBorder="1" applyAlignment="1">
      <alignment vertical="center"/>
    </xf>
    <xf numFmtId="0" fontId="142" fillId="19" borderId="0" xfId="0" applyFont="1" applyFill="1" applyBorder="1" applyAlignment="1">
      <alignment vertical="center"/>
    </xf>
    <xf numFmtId="0" fontId="141" fillId="19" borderId="0" xfId="0" applyFont="1" applyFill="1" applyBorder="1" applyAlignment="1">
      <alignment horizontal="centerContinuous" vertical="center"/>
    </xf>
    <xf numFmtId="0" fontId="143" fillId="0" borderId="0" xfId="0" applyFont="1" applyBorder="1"/>
    <xf numFmtId="0" fontId="142" fillId="19" borderId="0" xfId="0" applyFont="1" applyFill="1" applyBorder="1" applyAlignment="1">
      <alignment horizontal="centerContinuous" vertical="center"/>
    </xf>
    <xf numFmtId="0" fontId="26" fillId="2" borderId="40" xfId="0" applyFont="1" applyFill="1" applyBorder="1" applyAlignment="1">
      <alignment vertical="center"/>
    </xf>
    <xf numFmtId="0" fontId="125" fillId="2" borderId="0" xfId="0" applyFont="1" applyFill="1" applyBorder="1" applyAlignment="1">
      <alignment vertical="center" wrapText="1"/>
    </xf>
    <xf numFmtId="192" fontId="135" fillId="2" borderId="0" xfId="2" applyNumberFormat="1" applyFont="1" applyFill="1" applyAlignment="1">
      <alignment vertical="center"/>
    </xf>
    <xf numFmtId="192" fontId="134" fillId="2" borderId="14" xfId="0" applyNumberFormat="1" applyFont="1" applyFill="1" applyBorder="1" applyAlignment="1">
      <alignment vertical="center"/>
    </xf>
    <xf numFmtId="0" fontId="144" fillId="2" borderId="51" xfId="0" applyFont="1" applyFill="1" applyBorder="1" applyAlignment="1">
      <alignment vertical="center"/>
    </xf>
    <xf numFmtId="200" fontId="124" fillId="2" borderId="0" xfId="1" applyFont="1" applyFill="1" applyAlignment="1">
      <alignment vertical="center"/>
    </xf>
    <xf numFmtId="200" fontId="144" fillId="2" borderId="14" xfId="1" applyNumberFormat="1" applyFont="1" applyFill="1" applyBorder="1" applyAlignment="1">
      <alignment vertical="center"/>
    </xf>
    <xf numFmtId="0" fontId="104" fillId="2" borderId="1" xfId="0" applyFont="1" applyFill="1" applyBorder="1" applyAlignment="1">
      <alignment vertical="center"/>
    </xf>
    <xf numFmtId="200" fontId="135" fillId="2" borderId="1" xfId="1" applyFont="1" applyFill="1" applyBorder="1" applyAlignment="1">
      <alignment vertical="center"/>
    </xf>
    <xf numFmtId="0" fontId="0" fillId="0" borderId="0" xfId="0" applyAlignment="1">
      <alignment horizontal="centerContinuous" vertical="center"/>
    </xf>
    <xf numFmtId="0" fontId="117" fillId="0" borderId="0" xfId="0" applyFont="1" applyAlignment="1">
      <alignment horizontal="centerContinuous" vertical="center"/>
    </xf>
    <xf numFmtId="0" fontId="0" fillId="0" borderId="63" xfId="0" applyBorder="1"/>
    <xf numFmtId="0" fontId="145" fillId="0" borderId="0" xfId="0" applyFont="1"/>
    <xf numFmtId="0" fontId="0" fillId="0" borderId="33" xfId="0" applyBorder="1" applyAlignment="1">
      <alignment vertical="center"/>
    </xf>
    <xf numFmtId="0" fontId="146" fillId="2" borderId="33" xfId="0" applyFont="1" applyFill="1" applyBorder="1" applyAlignment="1">
      <alignment horizontal="left" vertical="center" indent="1"/>
    </xf>
    <xf numFmtId="0" fontId="146" fillId="0" borderId="33" xfId="0" applyFont="1" applyBorder="1" applyAlignment="1">
      <alignment horizontal="left" vertical="center" indent="1"/>
    </xf>
    <xf numFmtId="0" fontId="146" fillId="23" borderId="33" xfId="0" applyFont="1" applyFill="1" applyBorder="1" applyAlignment="1">
      <alignment horizontal="left" vertical="center" indent="1"/>
    </xf>
    <xf numFmtId="0" fontId="146" fillId="7" borderId="33" xfId="0" applyFont="1" applyFill="1" applyBorder="1" applyAlignment="1">
      <alignment horizontal="left" vertical="center" indent="1"/>
    </xf>
    <xf numFmtId="0" fontId="146" fillId="9" borderId="33" xfId="0" applyFont="1" applyFill="1" applyBorder="1" applyAlignment="1">
      <alignment horizontal="left" vertical="center" indent="1"/>
    </xf>
    <xf numFmtId="0" fontId="146" fillId="11" borderId="33" xfId="0" applyFont="1" applyFill="1" applyBorder="1" applyAlignment="1">
      <alignment horizontal="left" vertical="center" indent="1"/>
    </xf>
    <xf numFmtId="0" fontId="21" fillId="2" borderId="0" xfId="0" applyFont="1" applyFill="1" applyAlignment="1"/>
    <xf numFmtId="0" fontId="21" fillId="2" borderId="0" xfId="0" applyFont="1" applyFill="1" applyAlignment="1">
      <alignment vertical="center"/>
    </xf>
    <xf numFmtId="0" fontId="109" fillId="12" borderId="0" xfId="0" applyFont="1" applyFill="1" applyAlignment="1">
      <alignment vertical="center"/>
    </xf>
    <xf numFmtId="0" fontId="133" fillId="12" borderId="0" xfId="0" applyFont="1" applyFill="1" applyAlignment="1">
      <alignment vertical="center"/>
    </xf>
    <xf numFmtId="0" fontId="0" fillId="8" borderId="30" xfId="0" applyFill="1" applyBorder="1" applyAlignment="1">
      <alignment horizontal="center" vertical="center"/>
    </xf>
    <xf numFmtId="0" fontId="0" fillId="8" borderId="30" xfId="0" applyFont="1" applyFill="1" applyBorder="1" applyAlignment="1">
      <alignment horizontal="center" vertical="center"/>
    </xf>
    <xf numFmtId="0" fontId="147" fillId="24" borderId="33" xfId="0" applyFont="1" applyFill="1" applyBorder="1" applyAlignment="1">
      <alignment horizontal="left" vertical="center" indent="1"/>
    </xf>
    <xf numFmtId="0" fontId="147" fillId="25" borderId="33" xfId="0" applyFont="1" applyFill="1" applyBorder="1" applyAlignment="1">
      <alignment horizontal="left" vertical="center" indent="1"/>
    </xf>
    <xf numFmtId="0" fontId="148" fillId="0" borderId="0" xfId="0" applyFont="1" applyBorder="1"/>
    <xf numFmtId="0" fontId="146" fillId="0" borderId="38" xfId="0" applyFont="1" applyBorder="1" applyAlignment="1">
      <alignment horizontal="left" vertical="center" indent="1"/>
    </xf>
    <xf numFmtId="0" fontId="0" fillId="0" borderId="0" xfId="0" applyFont="1" applyAlignment="1">
      <alignment horizontal="center" vertical="top"/>
    </xf>
    <xf numFmtId="0" fontId="0" fillId="0" borderId="0" xfId="0" applyFont="1" applyAlignment="1">
      <alignment vertical="top"/>
    </xf>
    <xf numFmtId="0" fontId="0" fillId="0" borderId="63" xfId="0" applyFont="1" applyBorder="1" applyAlignment="1">
      <alignment horizontal="center" vertical="top"/>
    </xf>
    <xf numFmtId="0" fontId="0" fillId="0" borderId="63" xfId="0" applyFont="1" applyBorder="1" applyAlignment="1">
      <alignment horizontal="left" vertical="top"/>
    </xf>
    <xf numFmtId="0" fontId="0" fillId="0" borderId="63" xfId="0" applyFont="1" applyBorder="1" applyAlignment="1">
      <alignment vertical="top"/>
    </xf>
    <xf numFmtId="0" fontId="21" fillId="0" borderId="0" xfId="0" applyFont="1" applyFill="1" applyAlignment="1">
      <alignment horizontal="left" vertical="top" wrapText="1"/>
    </xf>
    <xf numFmtId="0" fontId="25" fillId="0" borderId="0" xfId="0" applyFont="1" applyFill="1" applyBorder="1" applyAlignment="1">
      <alignment horizontal="left" vertical="top" wrapText="1"/>
    </xf>
    <xf numFmtId="0" fontId="0" fillId="0" borderId="33" xfId="0" applyFill="1" applyBorder="1" applyAlignment="1">
      <alignment horizontal="left" vertical="center"/>
    </xf>
    <xf numFmtId="0" fontId="34" fillId="0" borderId="33" xfId="0" applyFont="1" applyFill="1" applyBorder="1" applyAlignment="1">
      <alignment horizontal="left" vertical="center"/>
    </xf>
    <xf numFmtId="0" fontId="0" fillId="0" borderId="38" xfId="0" applyFill="1" applyBorder="1" applyAlignment="1">
      <alignment horizontal="left" vertical="center"/>
    </xf>
    <xf numFmtId="0" fontId="0" fillId="0" borderId="0" xfId="0" applyAlignment="1">
      <alignment vertical="top" wrapText="1"/>
    </xf>
    <xf numFmtId="0" fontId="26" fillId="0" borderId="0" xfId="0" applyFont="1" applyAlignment="1">
      <alignment vertical="top"/>
    </xf>
    <xf numFmtId="0" fontId="26" fillId="0" borderId="63" xfId="0" applyFont="1" applyBorder="1"/>
    <xf numFmtId="0" fontId="0" fillId="0" borderId="0" xfId="0" applyNumberFormat="1" applyAlignment="1">
      <alignment vertical="top" wrapText="1"/>
    </xf>
    <xf numFmtId="0" fontId="149" fillId="26" borderId="41" xfId="0" applyFont="1" applyFill="1" applyBorder="1" applyAlignment="1">
      <alignment horizontal="left" vertical="center" indent="1"/>
    </xf>
    <xf numFmtId="0" fontId="31" fillId="26" borderId="40" xfId="0" applyFont="1" applyFill="1" applyBorder="1"/>
    <xf numFmtId="191" fontId="31" fillId="26" borderId="40" xfId="2" applyFont="1" applyFill="1" applyBorder="1"/>
    <xf numFmtId="191" fontId="31" fillId="26" borderId="42" xfId="2" applyFont="1" applyFill="1" applyBorder="1"/>
    <xf numFmtId="0" fontId="31" fillId="23" borderId="0" xfId="0" applyFont="1" applyFill="1" applyBorder="1"/>
    <xf numFmtId="0" fontId="31" fillId="23" borderId="37" xfId="0" applyFont="1" applyFill="1" applyBorder="1"/>
    <xf numFmtId="191" fontId="31" fillId="23" borderId="37" xfId="2" applyFont="1" applyFill="1" applyBorder="1"/>
    <xf numFmtId="0" fontId="31" fillId="23" borderId="47" xfId="0" applyFont="1" applyFill="1" applyBorder="1"/>
    <xf numFmtId="0" fontId="31" fillId="23" borderId="48" xfId="0" applyFont="1" applyFill="1" applyBorder="1"/>
    <xf numFmtId="0" fontId="149" fillId="23" borderId="43" xfId="0" applyFont="1" applyFill="1" applyBorder="1" applyAlignment="1">
      <alignment horizontal="left" vertical="center" indent="1"/>
    </xf>
    <xf numFmtId="191" fontId="31" fillId="23" borderId="44" xfId="2" applyFont="1" applyFill="1" applyBorder="1"/>
    <xf numFmtId="192" fontId="31" fillId="23" borderId="0" xfId="2" applyNumberFormat="1" applyFont="1" applyFill="1" applyBorder="1"/>
    <xf numFmtId="0" fontId="105" fillId="23" borderId="0" xfId="0" applyFont="1" applyFill="1" applyBorder="1"/>
    <xf numFmtId="192" fontId="105" fillId="23" borderId="0" xfId="2" applyNumberFormat="1" applyFont="1" applyFill="1" applyBorder="1"/>
    <xf numFmtId="191" fontId="31" fillId="23" borderId="0" xfId="0" applyNumberFormat="1" applyFont="1" applyFill="1" applyBorder="1"/>
    <xf numFmtId="0" fontId="0" fillId="2" borderId="31" xfId="0" applyFont="1" applyFill="1" applyBorder="1" applyAlignment="1">
      <alignment vertical="center"/>
    </xf>
    <xf numFmtId="0" fontId="151" fillId="2" borderId="40" xfId="0" applyFont="1" applyFill="1" applyBorder="1" applyAlignment="1">
      <alignment vertical="center"/>
    </xf>
    <xf numFmtId="0" fontId="151" fillId="2" borderId="37" xfId="0" applyFont="1" applyFill="1" applyBorder="1" applyAlignment="1">
      <alignment vertical="center"/>
    </xf>
    <xf numFmtId="0" fontId="93" fillId="18" borderId="56" xfId="0" applyFont="1" applyFill="1" applyBorder="1" applyAlignment="1">
      <alignment vertical="center"/>
    </xf>
    <xf numFmtId="0" fontId="151" fillId="2" borderId="41" xfId="0" applyFont="1" applyFill="1" applyBorder="1" applyAlignment="1">
      <alignment vertical="center"/>
    </xf>
    <xf numFmtId="0" fontId="152" fillId="20" borderId="41" xfId="0" applyFont="1" applyFill="1" applyBorder="1" applyAlignment="1">
      <alignment vertical="center"/>
    </xf>
    <xf numFmtId="0" fontId="152" fillId="20" borderId="40" xfId="0" applyFont="1" applyFill="1" applyBorder="1" applyAlignment="1">
      <alignment vertical="center"/>
    </xf>
    <xf numFmtId="0" fontId="151" fillId="2" borderId="31" xfId="0" applyFont="1" applyFill="1" applyBorder="1" applyAlignment="1">
      <alignment vertical="center"/>
    </xf>
    <xf numFmtId="0" fontId="31" fillId="20" borderId="40" xfId="0" applyFont="1" applyFill="1" applyBorder="1" applyAlignment="1">
      <alignment horizontal="right" vertical="center"/>
    </xf>
    <xf numFmtId="0" fontId="18" fillId="0" borderId="0" xfId="0" applyFont="1" applyAlignment="1">
      <alignment horizontal="centerContinuous"/>
    </xf>
    <xf numFmtId="0" fontId="23" fillId="0" borderId="63" xfId="0" applyFont="1" applyBorder="1"/>
    <xf numFmtId="0" fontId="0" fillId="0" borderId="0" xfId="0" applyFont="1" applyAlignment="1">
      <alignment horizontal="centerContinuous" vertical="center"/>
    </xf>
    <xf numFmtId="0" fontId="0" fillId="0" borderId="63" xfId="0" applyFont="1" applyBorder="1"/>
    <xf numFmtId="0" fontId="108" fillId="0" borderId="0" xfId="0" applyFont="1" applyAlignment="1">
      <alignment horizontal="centerContinuous" vertical="center"/>
    </xf>
    <xf numFmtId="0" fontId="153" fillId="0" borderId="0" xfId="0" applyFont="1" applyAlignment="1">
      <alignment horizontal="centerContinuous" vertical="center"/>
    </xf>
    <xf numFmtId="0" fontId="150" fillId="6" borderId="0" xfId="0" applyFont="1" applyFill="1" applyBorder="1" applyAlignment="1">
      <alignment horizontal="centerContinuous" vertical="center"/>
    </xf>
    <xf numFmtId="0" fontId="154" fillId="6" borderId="67" xfId="0" applyFont="1" applyFill="1" applyBorder="1"/>
    <xf numFmtId="0" fontId="150" fillId="6" borderId="68" xfId="0" applyFont="1" applyFill="1" applyBorder="1"/>
    <xf numFmtId="0" fontId="150" fillId="6" borderId="69" xfId="0" applyFont="1" applyFill="1" applyBorder="1"/>
    <xf numFmtId="0" fontId="124" fillId="6" borderId="70" xfId="0" applyFont="1" applyFill="1" applyBorder="1" applyAlignment="1">
      <alignment horizontal="centerContinuous" vertical="center"/>
    </xf>
    <xf numFmtId="0" fontId="150" fillId="6" borderId="71" xfId="0" applyFont="1" applyFill="1" applyBorder="1" applyAlignment="1">
      <alignment horizontal="centerContinuous" vertical="center"/>
    </xf>
    <xf numFmtId="0" fontId="154" fillId="6" borderId="72" xfId="0" applyFont="1" applyFill="1" applyBorder="1"/>
    <xf numFmtId="0" fontId="150" fillId="6" borderId="73" xfId="0" applyFont="1" applyFill="1" applyBorder="1"/>
    <xf numFmtId="0" fontId="150" fillId="6" borderId="74" xfId="0" applyFont="1" applyFill="1" applyBorder="1"/>
    <xf numFmtId="0" fontId="125" fillId="0" borderId="0" xfId="0" applyFont="1"/>
    <xf numFmtId="0" fontId="125" fillId="0" borderId="0" xfId="0" applyFont="1" applyAlignment="1">
      <alignment horizontal="center"/>
    </xf>
    <xf numFmtId="0" fontId="18" fillId="0" borderId="0" xfId="0" applyFont="1" applyAlignment="1">
      <alignment horizontal="center"/>
    </xf>
    <xf numFmtId="0" fontId="115" fillId="0" borderId="0" xfId="0" applyFont="1"/>
    <xf numFmtId="0" fontId="155" fillId="0" borderId="0" xfId="0" applyFont="1"/>
    <xf numFmtId="0" fontId="157" fillId="0" borderId="0" xfId="0" applyFont="1" applyAlignment="1">
      <alignment vertical="center"/>
    </xf>
    <xf numFmtId="0" fontId="158" fillId="0" borderId="0" xfId="0" applyFont="1" applyAlignment="1">
      <alignment vertical="center"/>
    </xf>
    <xf numFmtId="0" fontId="0" fillId="0" borderId="0" xfId="0"/>
    <xf numFmtId="205" fontId="74" fillId="0" borderId="0" xfId="4" applyNumberFormat="1"/>
    <xf numFmtId="191" fontId="0" fillId="6" borderId="25" xfId="2" applyNumberFormat="1" applyFont="1" applyFill="1" applyBorder="1" applyAlignment="1">
      <alignment vertical="center"/>
    </xf>
    <xf numFmtId="206" fontId="0" fillId="0" borderId="0" xfId="0" applyNumberFormat="1"/>
    <xf numFmtId="1" fontId="23" fillId="6" borderId="18" xfId="0" applyNumberFormat="1" applyFont="1" applyFill="1" applyBorder="1" applyAlignment="1">
      <alignment horizontal="right" vertical="center"/>
    </xf>
    <xf numFmtId="1" fontId="23" fillId="6" borderId="16" xfId="0" applyNumberFormat="1" applyFont="1" applyFill="1" applyBorder="1" applyAlignment="1">
      <alignment horizontal="right" vertical="center"/>
    </xf>
    <xf numFmtId="0" fontId="0" fillId="0" borderId="0" xfId="0"/>
    <xf numFmtId="207" fontId="0" fillId="0" borderId="0" xfId="0" applyNumberFormat="1"/>
    <xf numFmtId="191" fontId="0" fillId="6" borderId="1" xfId="2" applyFont="1" applyFill="1" applyBorder="1" applyAlignment="1">
      <alignment horizontal="right" vertical="center"/>
    </xf>
    <xf numFmtId="0" fontId="0" fillId="6" borderId="75" xfId="0" applyFill="1" applyBorder="1"/>
    <xf numFmtId="0" fontId="14" fillId="6" borderId="0" xfId="0" applyFont="1" applyFill="1" applyBorder="1"/>
    <xf numFmtId="0" fontId="14" fillId="27" borderId="0" xfId="8" applyFont="1"/>
    <xf numFmtId="200" fontId="126" fillId="6" borderId="0" xfId="1" applyNumberFormat="1" applyFont="1" applyFill="1" applyBorder="1" applyAlignment="1">
      <alignment vertical="center"/>
    </xf>
    <xf numFmtId="201" fontId="126" fillId="6" borderId="0" xfId="1" applyNumberFormat="1" applyFont="1" applyFill="1" applyBorder="1" applyAlignment="1">
      <alignment vertical="center"/>
    </xf>
    <xf numFmtId="0" fontId="19" fillId="9" borderId="43" xfId="0" applyFont="1" applyFill="1" applyBorder="1" applyAlignment="1">
      <alignment horizontal="left" vertical="center" indent="1"/>
    </xf>
    <xf numFmtId="0" fontId="19" fillId="9" borderId="37" xfId="0" applyFont="1" applyFill="1" applyBorder="1" applyAlignment="1">
      <alignment vertical="center"/>
    </xf>
    <xf numFmtId="0" fontId="0" fillId="9" borderId="37" xfId="0" applyFill="1" applyBorder="1" applyAlignment="1">
      <alignment vertical="center"/>
    </xf>
    <xf numFmtId="0" fontId="0" fillId="9" borderId="44" xfId="0" applyFill="1" applyBorder="1" applyAlignment="1">
      <alignment vertical="center"/>
    </xf>
    <xf numFmtId="0" fontId="19" fillId="28" borderId="41" xfId="0" applyFont="1" applyFill="1" applyBorder="1" applyAlignment="1">
      <alignment horizontal="left" vertical="center" indent="1"/>
    </xf>
    <xf numFmtId="0" fontId="0" fillId="28" borderId="40" xfId="0" applyFill="1" applyBorder="1"/>
    <xf numFmtId="0" fontId="0" fillId="28" borderId="42" xfId="0" applyFill="1" applyBorder="1"/>
    <xf numFmtId="0" fontId="0" fillId="29" borderId="47" xfId="0" applyFill="1" applyBorder="1"/>
    <xf numFmtId="0" fontId="0" fillId="29" borderId="0" xfId="0" applyFill="1" applyBorder="1"/>
    <xf numFmtId="0" fontId="0" fillId="29" borderId="48" xfId="0" applyFill="1" applyBorder="1"/>
    <xf numFmtId="0" fontId="18" fillId="29" borderId="47" xfId="0" applyFont="1" applyFill="1" applyBorder="1"/>
    <xf numFmtId="0" fontId="23" fillId="29" borderId="15" xfId="0" applyFont="1" applyFill="1" applyBorder="1" applyAlignment="1">
      <alignment vertical="center"/>
    </xf>
    <xf numFmtId="0" fontId="0" fillId="29" borderId="0" xfId="0" applyFill="1" applyBorder="1" applyAlignment="1">
      <alignment vertical="center"/>
    </xf>
    <xf numFmtId="0" fontId="0" fillId="29" borderId="0" xfId="0" applyFont="1" applyFill="1" applyBorder="1" applyAlignment="1">
      <alignment vertical="center"/>
    </xf>
    <xf numFmtId="192" fontId="0" fillId="29" borderId="0" xfId="2" applyNumberFormat="1" applyFont="1" applyFill="1" applyBorder="1" applyAlignment="1">
      <alignment vertical="center"/>
    </xf>
    <xf numFmtId="0" fontId="0" fillId="29" borderId="31" xfId="0" applyFill="1" applyBorder="1"/>
    <xf numFmtId="2" fontId="0" fillId="0" borderId="0" xfId="0" applyNumberFormat="1"/>
    <xf numFmtId="177" fontId="0" fillId="0" borderId="0" xfId="1" applyNumberFormat="1" applyFont="1" applyAlignment="1">
      <alignment vertical="center"/>
    </xf>
    <xf numFmtId="0" fontId="0" fillId="0" borderId="0" xfId="0"/>
    <xf numFmtId="208" fontId="0" fillId="0" borderId="0" xfId="0" applyNumberFormat="1" applyAlignment="1">
      <alignment vertical="center"/>
    </xf>
    <xf numFmtId="0" fontId="0" fillId="0" borderId="0" xfId="0"/>
    <xf numFmtId="0" fontId="14" fillId="27" borderId="14" xfId="8" applyFont="1" applyBorder="1"/>
    <xf numFmtId="0" fontId="14" fillId="27" borderId="0" xfId="8" applyFont="1" applyBorder="1"/>
    <xf numFmtId="0" fontId="14" fillId="27" borderId="1" xfId="8" applyFont="1" applyBorder="1"/>
    <xf numFmtId="0" fontId="23" fillId="6" borderId="14" xfId="0" applyNumberFormat="1" applyFont="1" applyFill="1" applyBorder="1" applyAlignment="1">
      <alignment horizontal="right" vertical="center"/>
    </xf>
    <xf numFmtId="0" fontId="14" fillId="6" borderId="1" xfId="0" applyFont="1" applyFill="1" applyBorder="1"/>
    <xf numFmtId="0" fontId="23" fillId="6" borderId="76" xfId="0" applyFont="1" applyFill="1" applyBorder="1"/>
    <xf numFmtId="0" fontId="23" fillId="27" borderId="76" xfId="8" applyFont="1" applyBorder="1"/>
    <xf numFmtId="0" fontId="0" fillId="22" borderId="0" xfId="0" applyFill="1"/>
    <xf numFmtId="191" fontId="0" fillId="22" borderId="0" xfId="2" applyFont="1" applyFill="1" applyBorder="1" applyAlignment="1">
      <alignment horizontal="right" vertical="center"/>
    </xf>
    <xf numFmtId="0" fontId="0" fillId="8" borderId="14" xfId="0" applyFont="1" applyFill="1" applyBorder="1" applyAlignment="1">
      <alignment vertical="center"/>
    </xf>
    <xf numFmtId="0" fontId="125" fillId="2" borderId="0" xfId="0" applyFont="1" applyFill="1" applyBorder="1" applyAlignment="1">
      <alignment vertical="center"/>
    </xf>
    <xf numFmtId="0" fontId="18" fillId="2" borderId="0" xfId="0" applyFont="1" applyFill="1" applyBorder="1"/>
    <xf numFmtId="0" fontId="74" fillId="6" borderId="0" xfId="0" applyFont="1" applyFill="1" applyBorder="1"/>
    <xf numFmtId="191" fontId="0" fillId="6" borderId="1" xfId="2" applyNumberFormat="1" applyFont="1" applyFill="1" applyBorder="1" applyAlignment="1">
      <alignment horizontal="right" vertical="center"/>
    </xf>
    <xf numFmtId="0" fontId="0" fillId="22" borderId="0" xfId="0" applyFill="1" applyAlignment="1">
      <alignment vertical="center"/>
    </xf>
    <xf numFmtId="2" fontId="18" fillId="2" borderId="0" xfId="1" applyNumberFormat="1" applyFont="1" applyFill="1"/>
    <xf numFmtId="0" fontId="19" fillId="28" borderId="40" xfId="0" applyFont="1" applyFill="1" applyBorder="1" applyAlignment="1">
      <alignment vertical="center"/>
    </xf>
    <xf numFmtId="0" fontId="0" fillId="29" borderId="43" xfId="0" applyFill="1" applyBorder="1"/>
    <xf numFmtId="0" fontId="0" fillId="29" borderId="37" xfId="0" applyFill="1" applyBorder="1"/>
    <xf numFmtId="0" fontId="0" fillId="29" borderId="44" xfId="0" applyFill="1" applyBorder="1"/>
    <xf numFmtId="0" fontId="26" fillId="29" borderId="0" xfId="0" applyFont="1" applyFill="1" applyBorder="1"/>
    <xf numFmtId="0" fontId="0" fillId="29" borderId="0" xfId="0" applyFill="1" applyBorder="1" applyAlignment="1">
      <alignment horizontal="right"/>
    </xf>
    <xf numFmtId="0" fontId="0" fillId="29" borderId="46" xfId="0" applyFill="1" applyBorder="1"/>
    <xf numFmtId="0" fontId="0" fillId="0" borderId="0" xfId="0"/>
    <xf numFmtId="191" fontId="0" fillId="29" borderId="0" xfId="2" applyNumberFormat="1" applyFont="1" applyFill="1" applyBorder="1" applyAlignment="1">
      <alignment vertical="center"/>
    </xf>
    <xf numFmtId="0" fontId="18" fillId="29" borderId="45" xfId="0" applyFont="1" applyFill="1" applyBorder="1"/>
    <xf numFmtId="0" fontId="159" fillId="0" borderId="0" xfId="0" applyFont="1" applyBorder="1"/>
    <xf numFmtId="0" fontId="159" fillId="0" borderId="0" xfId="0" applyFont="1" applyBorder="1" applyAlignment="1">
      <alignment vertical="center"/>
    </xf>
    <xf numFmtId="0" fontId="159" fillId="0" borderId="0" xfId="0" applyFont="1" applyBorder="1" applyAlignment="1">
      <alignment horizontal="left" vertical="center" wrapText="1"/>
    </xf>
    <xf numFmtId="210" fontId="0" fillId="0" borderId="0" xfId="0" applyNumberFormat="1"/>
    <xf numFmtId="192" fontId="0" fillId="0" borderId="0" xfId="0" applyNumberFormat="1"/>
    <xf numFmtId="200" fontId="12" fillId="2" borderId="0" xfId="1" applyFont="1" applyFill="1"/>
    <xf numFmtId="2" fontId="18" fillId="2" borderId="1" xfId="1" applyNumberFormat="1" applyFont="1" applyFill="1" applyBorder="1"/>
    <xf numFmtId="200" fontId="18" fillId="2" borderId="0" xfId="1" applyFont="1" applyFill="1" applyAlignment="1">
      <alignment horizontal="right" vertical="center"/>
    </xf>
    <xf numFmtId="192" fontId="18" fillId="2" borderId="0" xfId="2" applyNumberFormat="1" applyFont="1" applyFill="1" applyAlignment="1">
      <alignment horizontal="right" vertical="center"/>
    </xf>
    <xf numFmtId="192" fontId="18" fillId="2" borderId="0" xfId="2" applyNumberFormat="1" applyFont="1" applyFill="1" applyAlignment="1">
      <alignment horizontal="right"/>
    </xf>
    <xf numFmtId="192" fontId="18" fillId="2" borderId="1" xfId="2" applyNumberFormat="1" applyFont="1" applyFill="1" applyBorder="1" applyAlignment="1">
      <alignment horizontal="right" vertical="center"/>
    </xf>
    <xf numFmtId="192" fontId="18" fillId="2" borderId="1" xfId="2" applyNumberFormat="1" applyFont="1" applyFill="1" applyBorder="1" applyAlignment="1">
      <alignment horizontal="right"/>
    </xf>
    <xf numFmtId="0" fontId="0" fillId="0" borderId="0" xfId="0"/>
    <xf numFmtId="0" fontId="0" fillId="6" borderId="5" xfId="0" applyFill="1" applyBorder="1"/>
    <xf numFmtId="0" fontId="26" fillId="6" borderId="0" xfId="0" applyFont="1" applyFill="1" applyBorder="1" applyAlignment="1">
      <alignment horizontal="right"/>
    </xf>
    <xf numFmtId="0" fontId="0" fillId="0" borderId="0" xfId="0"/>
    <xf numFmtId="0" fontId="19" fillId="18" borderId="0" xfId="0" applyFont="1" applyFill="1" applyAlignment="1">
      <alignment vertical="center" wrapText="1"/>
    </xf>
    <xf numFmtId="0" fontId="18" fillId="0" borderId="0" xfId="0" applyFont="1" applyAlignment="1">
      <alignment vertical="center" wrapText="1"/>
    </xf>
    <xf numFmtId="0" fontId="23" fillId="6" borderId="16" xfId="0" applyNumberFormat="1" applyFont="1" applyFill="1" applyBorder="1" applyAlignment="1">
      <alignment horizontal="left" vertical="center"/>
    </xf>
    <xf numFmtId="192" fontId="16" fillId="0" borderId="0" xfId="2" applyNumberFormat="1" applyFont="1"/>
    <xf numFmtId="0" fontId="0" fillId="6" borderId="1" xfId="0" applyFill="1" applyBorder="1" applyAlignment="1">
      <alignment horizontal="left"/>
    </xf>
    <xf numFmtId="0" fontId="23" fillId="6" borderId="14" xfId="0" applyNumberFormat="1" applyFont="1" applyFill="1" applyBorder="1" applyAlignment="1">
      <alignment horizontal="left" vertical="center"/>
    </xf>
    <xf numFmtId="192" fontId="0" fillId="6" borderId="1" xfId="2" applyNumberFormat="1" applyFont="1" applyFill="1" applyBorder="1" applyAlignment="1">
      <alignment horizontal="right" vertical="center"/>
    </xf>
    <xf numFmtId="0" fontId="0" fillId="0" borderId="0" xfId="0"/>
    <xf numFmtId="0" fontId="0" fillId="0" borderId="0" xfId="0"/>
    <xf numFmtId="0" fontId="18" fillId="20" borderId="0" xfId="0" applyFont="1" applyFill="1" applyBorder="1" applyAlignment="1">
      <alignment vertical="center"/>
    </xf>
    <xf numFmtId="0" fontId="132" fillId="19" borderId="0" xfId="0" applyFont="1" applyFill="1" applyAlignment="1">
      <alignment horizontal="center" vertical="center"/>
    </xf>
    <xf numFmtId="0" fontId="18" fillId="2" borderId="0" xfId="0" applyFont="1" applyFill="1" applyBorder="1" applyAlignment="1">
      <alignment horizontal="center" vertical="center"/>
    </xf>
    <xf numFmtId="0" fontId="18" fillId="20" borderId="0" xfId="0" applyFont="1" applyFill="1" applyBorder="1" applyAlignment="1">
      <alignment horizontal="center" vertical="center"/>
    </xf>
    <xf numFmtId="0" fontId="19" fillId="18" borderId="0" xfId="0" applyFont="1" applyFill="1" applyAlignment="1">
      <alignment horizontal="center" vertical="center" wrapText="1"/>
    </xf>
    <xf numFmtId="0" fontId="0" fillId="23" borderId="0" xfId="0" applyFill="1"/>
    <xf numFmtId="0" fontId="37" fillId="23" borderId="0" xfId="6" applyFont="1" applyFill="1"/>
    <xf numFmtId="0" fontId="37" fillId="23" borderId="0" xfId="6" applyNumberFormat="1" applyFont="1" applyFill="1"/>
    <xf numFmtId="192" fontId="37" fillId="23" borderId="0" xfId="2" applyNumberFormat="1" applyFont="1" applyFill="1"/>
    <xf numFmtId="0" fontId="0" fillId="0" borderId="0" xfId="0"/>
    <xf numFmtId="0" fontId="56" fillId="23" borderId="0" xfId="6" applyFont="1" applyFill="1"/>
    <xf numFmtId="0" fontId="0" fillId="23" borderId="0" xfId="0" applyFill="1" applyBorder="1"/>
    <xf numFmtId="0" fontId="56" fillId="23" borderId="0" xfId="6" applyNumberFormat="1" applyFont="1" applyFill="1"/>
    <xf numFmtId="0" fontId="26" fillId="23" borderId="0" xfId="0" applyFont="1" applyFill="1" applyBorder="1"/>
    <xf numFmtId="0" fontId="26" fillId="23" borderId="0" xfId="0" applyFont="1" applyFill="1" applyBorder="1" applyAlignment="1">
      <alignment horizontal="right"/>
    </xf>
    <xf numFmtId="0" fontId="0" fillId="0" borderId="0" xfId="0"/>
    <xf numFmtId="0" fontId="162" fillId="0" borderId="0" xfId="0" applyFont="1" applyBorder="1"/>
    <xf numFmtId="0" fontId="162" fillId="0" borderId="0" xfId="0" applyFont="1" applyBorder="1" applyAlignment="1">
      <alignment vertical="center"/>
    </xf>
    <xf numFmtId="0" fontId="162" fillId="0" borderId="0" xfId="0" applyFont="1" applyBorder="1" applyAlignment="1">
      <alignment horizontal="left" vertical="center" wrapText="1"/>
    </xf>
    <xf numFmtId="0" fontId="0" fillId="0" borderId="0" xfId="0"/>
    <xf numFmtId="0" fontId="0" fillId="8" borderId="47" xfId="0" applyFill="1" applyBorder="1" applyAlignment="1">
      <alignment horizontal="center" vertical="center"/>
    </xf>
    <xf numFmtId="0" fontId="0" fillId="8" borderId="47" xfId="0" applyFont="1" applyFill="1" applyBorder="1" applyAlignment="1">
      <alignment horizontal="center" vertical="center"/>
    </xf>
    <xf numFmtId="0" fontId="0" fillId="22" borderId="0" xfId="0" applyFill="1" applyBorder="1" applyAlignment="1">
      <alignment horizontal="right"/>
    </xf>
    <xf numFmtId="0" fontId="0" fillId="22" borderId="0" xfId="0" applyFill="1" applyBorder="1" applyAlignment="1">
      <alignment horizontal="center"/>
    </xf>
    <xf numFmtId="0" fontId="0" fillId="22" borderId="0" xfId="0" applyFill="1" applyBorder="1"/>
    <xf numFmtId="192" fontId="0" fillId="22" borderId="0" xfId="0" applyNumberFormat="1" applyFill="1" applyBorder="1" applyAlignment="1">
      <alignment horizontal="center"/>
    </xf>
    <xf numFmtId="0" fontId="0" fillId="22" borderId="0" xfId="0" applyFill="1" applyBorder="1" applyAlignment="1">
      <alignment horizontal="left"/>
    </xf>
    <xf numFmtId="0" fontId="163" fillId="30" borderId="0" xfId="229" applyFont="1" applyFill="1" applyBorder="1" applyAlignment="1">
      <alignment horizontal="left"/>
    </xf>
    <xf numFmtId="0" fontId="163" fillId="30" borderId="0" xfId="229" applyFont="1" applyFill="1" applyBorder="1" applyAlignment="1">
      <alignment horizontal="right"/>
    </xf>
    <xf numFmtId="192" fontId="0" fillId="22" borderId="0" xfId="2" applyNumberFormat="1" applyFont="1" applyFill="1" applyBorder="1" applyAlignment="1">
      <alignment horizontal="center"/>
    </xf>
    <xf numFmtId="192" fontId="0" fillId="22" borderId="0" xfId="0" applyNumberFormat="1" applyFill="1" applyBorder="1" applyAlignment="1">
      <alignment horizontal="left"/>
    </xf>
    <xf numFmtId="192" fontId="0" fillId="22" borderId="0" xfId="0" applyNumberFormat="1" applyFill="1" applyBorder="1" applyAlignment="1">
      <alignment horizontal="right"/>
    </xf>
    <xf numFmtId="200" fontId="0" fillId="15" borderId="0" xfId="0" applyNumberFormat="1" applyFill="1" applyBorder="1" applyAlignment="1">
      <alignment vertical="center"/>
    </xf>
    <xf numFmtId="0" fontId="0" fillId="15" borderId="0" xfId="0" applyFill="1" applyBorder="1" applyAlignment="1">
      <alignment horizontal="right" vertical="center"/>
    </xf>
    <xf numFmtId="200" fontId="31" fillId="23" borderId="0" xfId="1" applyFont="1" applyFill="1" applyBorder="1"/>
    <xf numFmtId="0" fontId="0" fillId="0" borderId="0" xfId="0"/>
    <xf numFmtId="0" fontId="26" fillId="22" borderId="0" xfId="0" applyFont="1" applyFill="1" applyBorder="1" applyAlignment="1">
      <alignment horizontal="right"/>
    </xf>
    <xf numFmtId="0" fontId="26" fillId="0" borderId="0" xfId="0" applyFont="1" applyAlignment="1">
      <alignment horizontal="center"/>
    </xf>
    <xf numFmtId="0" fontId="26" fillId="22" borderId="0" xfId="0" applyFont="1" applyFill="1" applyBorder="1"/>
    <xf numFmtId="0" fontId="0" fillId="0" borderId="0" xfId="0"/>
    <xf numFmtId="0" fontId="0" fillId="0" borderId="0" xfId="0"/>
    <xf numFmtId="0" fontId="26" fillId="2" borderId="0" xfId="0" applyFont="1" applyFill="1" applyBorder="1"/>
    <xf numFmtId="191" fontId="26" fillId="2" borderId="0" xfId="2" applyFont="1" applyFill="1" applyBorder="1"/>
    <xf numFmtId="1" fontId="37" fillId="15" borderId="0" xfId="230" applyNumberFormat="1" applyFont="1" applyFill="1" applyAlignment="1">
      <alignment vertical="center"/>
    </xf>
    <xf numFmtId="1" fontId="37" fillId="15" borderId="0" xfId="230" applyNumberFormat="1" applyFont="1" applyFill="1" applyBorder="1" applyAlignment="1">
      <alignment vertical="center"/>
    </xf>
    <xf numFmtId="0" fontId="34" fillId="15" borderId="0" xfId="0" applyFont="1" applyFill="1" applyBorder="1"/>
    <xf numFmtId="0" fontId="37" fillId="15" borderId="0" xfId="6" applyFont="1" applyFill="1"/>
    <xf numFmtId="192" fontId="37" fillId="15" borderId="0" xfId="2" applyNumberFormat="1" applyFont="1" applyFill="1"/>
    <xf numFmtId="0" fontId="18" fillId="0" borderId="0" xfId="0" applyFont="1" applyAlignment="1">
      <alignment horizontal="center" vertical="center" wrapText="1"/>
    </xf>
    <xf numFmtId="0" fontId="34" fillId="15" borderId="0" xfId="0" applyFont="1" applyFill="1" applyAlignment="1">
      <alignment vertical="center"/>
    </xf>
    <xf numFmtId="0" fontId="104" fillId="15" borderId="0" xfId="0" applyFont="1" applyFill="1" applyBorder="1" applyAlignment="1">
      <alignment vertical="center"/>
    </xf>
    <xf numFmtId="0" fontId="34" fillId="15" borderId="0" xfId="0" applyFont="1" applyFill="1" applyBorder="1" applyAlignment="1">
      <alignment vertical="center"/>
    </xf>
    <xf numFmtId="0" fontId="83" fillId="15" borderId="0" xfId="0" applyFont="1" applyFill="1" applyAlignment="1">
      <alignment vertical="center"/>
    </xf>
    <xf numFmtId="0" fontId="26" fillId="15" borderId="0" xfId="0" applyFont="1" applyFill="1" applyBorder="1" applyAlignment="1">
      <alignment horizontal="left" vertical="center"/>
    </xf>
    <xf numFmtId="0" fontId="83" fillId="15" borderId="0" xfId="0" applyFont="1" applyFill="1" applyAlignment="1">
      <alignment horizontal="left" vertical="center"/>
    </xf>
    <xf numFmtId="0" fontId="56" fillId="15" borderId="0" xfId="6" applyFont="1" applyFill="1" applyBorder="1" applyAlignment="1">
      <alignment horizontal="center" vertical="center"/>
    </xf>
    <xf numFmtId="1" fontId="0" fillId="15" borderId="0" xfId="0" applyNumberFormat="1" applyFill="1" applyBorder="1"/>
    <xf numFmtId="0" fontId="18" fillId="0" borderId="0" xfId="0" applyFont="1" applyAlignment="1">
      <alignment horizontal="center" vertical="center" wrapText="1"/>
    </xf>
    <xf numFmtId="0" fontId="0" fillId="0" borderId="0" xfId="0"/>
    <xf numFmtId="0" fontId="0" fillId="0" borderId="0" xfId="0"/>
    <xf numFmtId="0" fontId="105" fillId="15" borderId="0" xfId="0" applyFont="1" applyFill="1" applyBorder="1"/>
    <xf numFmtId="192" fontId="0" fillId="15" borderId="48" xfId="0" applyNumberFormat="1" applyFill="1" applyBorder="1"/>
    <xf numFmtId="0" fontId="0" fillId="0" borderId="0" xfId="0"/>
    <xf numFmtId="0" fontId="26" fillId="11" borderId="0" xfId="0" applyFont="1" applyFill="1" applyBorder="1" applyAlignment="1">
      <alignment horizontal="left" textRotation="90"/>
    </xf>
    <xf numFmtId="0" fontId="26" fillId="11" borderId="0" xfId="0" applyFont="1" applyFill="1" applyBorder="1" applyAlignment="1">
      <alignment horizontal="center" textRotation="90"/>
    </xf>
    <xf numFmtId="0" fontId="26" fillId="11" borderId="30" xfId="0" applyFont="1" applyFill="1" applyBorder="1" applyAlignment="1">
      <alignment horizontal="center" textRotation="90"/>
    </xf>
    <xf numFmtId="0" fontId="23" fillId="18" borderId="59" xfId="0" applyFont="1" applyFill="1" applyBorder="1" applyAlignment="1">
      <alignment horizontal="center" vertical="center"/>
    </xf>
    <xf numFmtId="0" fontId="0" fillId="0" borderId="59" xfId="0" applyBorder="1" applyAlignment="1">
      <alignment vertical="center"/>
    </xf>
    <xf numFmtId="0" fontId="0" fillId="0" borderId="59" xfId="0" applyBorder="1" applyAlignment="1">
      <alignment horizontal="left" vertical="center"/>
    </xf>
    <xf numFmtId="0" fontId="31" fillId="0" borderId="59" xfId="0" applyFont="1" applyBorder="1" applyAlignment="1">
      <alignment vertical="center"/>
    </xf>
    <xf numFmtId="0" fontId="0" fillId="0" borderId="0" xfId="0"/>
    <xf numFmtId="0" fontId="0" fillId="15" borderId="0" xfId="0" applyFont="1" applyFill="1" applyBorder="1" applyAlignment="1">
      <alignment horizontal="left" vertical="center"/>
    </xf>
    <xf numFmtId="0" fontId="0" fillId="0" borderId="0" xfId="0" applyFont="1" applyAlignment="1">
      <alignment horizontal="left" vertical="center"/>
    </xf>
    <xf numFmtId="0" fontId="34" fillId="15" borderId="0" xfId="4" applyNumberFormat="1" applyFont="1" applyFill="1" applyBorder="1"/>
    <xf numFmtId="0" fontId="56" fillId="15" borderId="0" xfId="6" applyFont="1" applyFill="1" applyBorder="1" applyAlignment="1">
      <alignment horizontal="right" vertical="center"/>
    </xf>
    <xf numFmtId="0" fontId="26" fillId="15" borderId="0" xfId="0" applyFont="1" applyFill="1" applyBorder="1" applyAlignment="1">
      <alignment vertical="center"/>
    </xf>
    <xf numFmtId="0" fontId="0" fillId="15" borderId="0" xfId="0" applyFont="1" applyFill="1" applyBorder="1" applyAlignment="1">
      <alignment horizontal="right" vertical="center"/>
    </xf>
    <xf numFmtId="0" fontId="83" fillId="15" borderId="0" xfId="0" applyFont="1" applyFill="1" applyBorder="1" applyAlignment="1">
      <alignment horizontal="left" vertical="center"/>
    </xf>
    <xf numFmtId="192" fontId="83" fillId="15" borderId="0" xfId="2" applyNumberFormat="1" applyFont="1" applyFill="1" applyBorder="1" applyAlignment="1">
      <alignment vertical="center"/>
    </xf>
    <xf numFmtId="200" fontId="104" fillId="15" borderId="0" xfId="1" applyFont="1" applyFill="1" applyBorder="1" applyAlignment="1">
      <alignment vertical="center"/>
    </xf>
    <xf numFmtId="0" fontId="34" fillId="15" borderId="0" xfId="0" applyFont="1" applyFill="1" applyBorder="1" applyAlignment="1">
      <alignment horizontal="right" vertical="center"/>
    </xf>
    <xf numFmtId="1" fontId="104" fillId="15" borderId="0" xfId="1" applyNumberFormat="1" applyFont="1" applyFill="1" applyBorder="1" applyAlignment="1">
      <alignment vertical="center"/>
    </xf>
    <xf numFmtId="0" fontId="104" fillId="15" borderId="0" xfId="0" applyFont="1" applyFill="1" applyBorder="1" applyAlignment="1">
      <alignment horizontal="right" vertical="center"/>
    </xf>
    <xf numFmtId="194" fontId="0" fillId="0" borderId="0" xfId="0" applyNumberFormat="1"/>
    <xf numFmtId="191" fontId="0" fillId="2" borderId="30" xfId="2" applyFont="1" applyFill="1" applyBorder="1" applyAlignment="1">
      <alignment vertical="center"/>
    </xf>
    <xf numFmtId="0" fontId="34" fillId="2" borderId="0" xfId="4" applyNumberFormat="1" applyFont="1" applyFill="1" applyBorder="1"/>
    <xf numFmtId="191" fontId="34" fillId="2" borderId="0" xfId="4" applyNumberFormat="1" applyFont="1" applyFill="1" applyBorder="1"/>
    <xf numFmtId="208" fontId="0" fillId="0" borderId="0" xfId="0" applyNumberFormat="1"/>
    <xf numFmtId="0" fontId="0" fillId="0" borderId="0" xfId="0"/>
    <xf numFmtId="1" fontId="31" fillId="15" borderId="0" xfId="0" applyNumberFormat="1" applyFont="1" applyFill="1" applyBorder="1"/>
    <xf numFmtId="0" fontId="19" fillId="18" borderId="0" xfId="0" applyFont="1" applyFill="1" applyAlignment="1">
      <alignment horizontal="center" vertical="center"/>
    </xf>
    <xf numFmtId="0" fontId="0" fillId="0" borderId="0" xfId="0"/>
    <xf numFmtId="0" fontId="0" fillId="0" borderId="0" xfId="0"/>
    <xf numFmtId="0" fontId="133" fillId="19" borderId="0" xfId="0" applyFont="1" applyFill="1" applyAlignment="1">
      <alignment horizontal="left" vertical="top"/>
    </xf>
    <xf numFmtId="0" fontId="108" fillId="2" borderId="0" xfId="0" applyFont="1" applyFill="1" applyBorder="1" applyAlignment="1"/>
    <xf numFmtId="0" fontId="21" fillId="2" borderId="0" xfId="0" applyFont="1" applyFill="1" applyBorder="1" applyAlignment="1"/>
    <xf numFmtId="0" fontId="108" fillId="2" borderId="0" xfId="0" applyFont="1" applyFill="1" applyBorder="1" applyAlignment="1">
      <alignment vertical="center"/>
    </xf>
    <xf numFmtId="0" fontId="125" fillId="2" borderId="0" xfId="0" applyFont="1" applyFill="1" applyBorder="1" applyAlignment="1">
      <alignment horizontal="left" vertical="center"/>
    </xf>
    <xf numFmtId="0" fontId="115" fillId="2" borderId="0" xfId="0" applyFont="1" applyFill="1" applyBorder="1" applyAlignment="1">
      <alignment horizontal="right" vertical="center"/>
    </xf>
    <xf numFmtId="0" fontId="18" fillId="2" borderId="0" xfId="0" applyFont="1" applyFill="1" applyBorder="1" applyAlignment="1">
      <alignment horizontal="left" vertical="center"/>
    </xf>
    <xf numFmtId="0" fontId="0" fillId="0" borderId="0" xfId="0"/>
    <xf numFmtId="0" fontId="0" fillId="0" borderId="0" xfId="0" applyFont="1" applyBorder="1" applyAlignment="1">
      <alignment vertical="top"/>
    </xf>
    <xf numFmtId="0" fontId="32" fillId="0" borderId="0" xfId="0" applyFont="1" applyBorder="1" applyAlignment="1">
      <alignment vertical="top" wrapText="1"/>
    </xf>
    <xf numFmtId="0" fontId="83" fillId="15" borderId="0" xfId="0" applyFont="1" applyFill="1" applyBorder="1"/>
    <xf numFmtId="0" fontId="104" fillId="15" borderId="0" xfId="0" applyFont="1" applyFill="1" applyBorder="1"/>
    <xf numFmtId="0" fontId="23" fillId="18" borderId="0" xfId="0" applyFont="1" applyFill="1" applyBorder="1" applyAlignment="1">
      <alignment horizontal="center" vertical="center"/>
    </xf>
    <xf numFmtId="0" fontId="0" fillId="20" borderId="31" xfId="0" applyFill="1" applyBorder="1" applyAlignment="1">
      <alignment vertical="center"/>
    </xf>
    <xf numFmtId="0" fontId="0" fillId="20" borderId="31" xfId="0" applyFont="1" applyFill="1" applyBorder="1" applyAlignment="1">
      <alignment horizontal="right" vertical="center"/>
    </xf>
    <xf numFmtId="0" fontId="19" fillId="18" borderId="0" xfId="0" applyFont="1" applyFill="1" applyBorder="1" applyAlignment="1">
      <alignment vertical="center" wrapText="1"/>
    </xf>
    <xf numFmtId="0" fontId="0" fillId="2" borderId="0" xfId="0" applyFill="1" applyBorder="1" applyAlignment="1">
      <alignment horizontal="right" vertical="center"/>
    </xf>
    <xf numFmtId="0" fontId="0" fillId="0" borderId="0" xfId="0" applyFont="1" applyFill="1" applyBorder="1"/>
    <xf numFmtId="0" fontId="0" fillId="20" borderId="0" xfId="0" applyFont="1" applyFill="1" applyBorder="1" applyAlignment="1">
      <alignment horizontal="right" vertical="center"/>
    </xf>
    <xf numFmtId="0" fontId="31" fillId="20" borderId="0" xfId="0" applyFont="1" applyFill="1" applyBorder="1" applyAlignment="1">
      <alignment vertical="center"/>
    </xf>
    <xf numFmtId="0" fontId="31" fillId="0" borderId="0" xfId="0" applyFont="1" applyFill="1" applyBorder="1"/>
    <xf numFmtId="0" fontId="115" fillId="2" borderId="0" xfId="0" applyFont="1" applyFill="1" applyBorder="1" applyAlignment="1">
      <alignment vertical="center"/>
    </xf>
    <xf numFmtId="200" fontId="115" fillId="2" borderId="0" xfId="1" applyFont="1" applyFill="1" applyBorder="1" applyAlignment="1">
      <alignment vertical="center"/>
    </xf>
    <xf numFmtId="192" fontId="115" fillId="2" borderId="0" xfId="2" applyNumberFormat="1" applyFont="1" applyFill="1" applyBorder="1" applyAlignment="1">
      <alignment vertical="center"/>
    </xf>
    <xf numFmtId="0" fontId="98" fillId="2" borderId="0" xfId="0" applyFont="1" applyFill="1" applyAlignment="1">
      <alignment vertical="center"/>
    </xf>
    <xf numFmtId="0" fontId="0" fillId="0" borderId="0" xfId="0"/>
    <xf numFmtId="0" fontId="0" fillId="0" borderId="0" xfId="0"/>
    <xf numFmtId="0" fontId="147" fillId="32" borderId="77" xfId="0" applyFont="1" applyFill="1" applyBorder="1" applyAlignment="1">
      <alignment vertical="center"/>
    </xf>
    <xf numFmtId="0" fontId="147" fillId="32" borderId="78" xfId="0" applyFont="1" applyFill="1" applyBorder="1" applyAlignment="1">
      <alignment horizontal="left" vertical="center" wrapText="1"/>
    </xf>
    <xf numFmtId="0" fontId="0" fillId="33" borderId="48" xfId="0" applyFill="1" applyBorder="1"/>
    <xf numFmtId="0" fontId="0" fillId="33" borderId="48" xfId="0" applyFill="1" applyBorder="1" applyAlignment="1">
      <alignment vertical="center"/>
    </xf>
    <xf numFmtId="0" fontId="0" fillId="33" borderId="0" xfId="0" applyFont="1" applyFill="1" applyBorder="1" applyAlignment="1">
      <alignment horizontal="left" vertical="center" wrapText="1"/>
    </xf>
    <xf numFmtId="0" fontId="26" fillId="0" borderId="57" xfId="0" applyFont="1" applyBorder="1" applyAlignment="1">
      <alignment horizontal="left" vertical="center"/>
    </xf>
    <xf numFmtId="0" fontId="26" fillId="0" borderId="8" xfId="0" applyFont="1" applyBorder="1" applyAlignment="1">
      <alignment horizontal="left" vertical="center"/>
    </xf>
    <xf numFmtId="0" fontId="26" fillId="0" borderId="8" xfId="0" applyFont="1" applyBorder="1" applyAlignment="1">
      <alignment horizontal="center" vertical="center"/>
    </xf>
    <xf numFmtId="0" fontId="26" fillId="0" borderId="58" xfId="0" applyFont="1" applyBorder="1" applyAlignment="1">
      <alignment horizontal="center" vertical="center"/>
    </xf>
    <xf numFmtId="0" fontId="33" fillId="0" borderId="0" xfId="0" applyFont="1" applyBorder="1"/>
    <xf numFmtId="11" fontId="0" fillId="0" borderId="60" xfId="2" applyNumberFormat="1" applyFont="1" applyBorder="1"/>
    <xf numFmtId="11" fontId="0" fillId="0" borderId="60" xfId="2" applyNumberFormat="1" applyFont="1" applyBorder="1" applyAlignment="1">
      <alignment vertical="center"/>
    </xf>
    <xf numFmtId="0" fontId="0" fillId="0" borderId="61" xfId="0" applyBorder="1" applyAlignment="1">
      <alignment vertical="center"/>
    </xf>
    <xf numFmtId="11" fontId="0" fillId="0" borderId="62" xfId="2" applyNumberFormat="1" applyFont="1" applyBorder="1" applyAlignment="1">
      <alignment vertical="center"/>
    </xf>
    <xf numFmtId="0" fontId="14" fillId="6" borderId="1" xfId="0" applyFont="1" applyFill="1" applyBorder="1" applyAlignment="1">
      <alignment horizontal="right" vertical="center"/>
    </xf>
    <xf numFmtId="0" fontId="165" fillId="6" borderId="0" xfId="231" applyFont="1" applyFill="1" applyBorder="1" applyAlignment="1" applyProtection="1"/>
    <xf numFmtId="0" fontId="26" fillId="29" borderId="0" xfId="0" applyFont="1" applyFill="1"/>
    <xf numFmtId="0" fontId="0" fillId="29" borderId="0" xfId="0" applyFill="1"/>
    <xf numFmtId="0" fontId="14" fillId="29" borderId="48" xfId="0" applyFont="1" applyFill="1" applyBorder="1" applyAlignment="1">
      <alignment vertical="center"/>
    </xf>
    <xf numFmtId="0" fontId="21" fillId="29" borderId="47" xfId="0" applyFont="1" applyFill="1" applyBorder="1"/>
    <xf numFmtId="170" fontId="0" fillId="29" borderId="48" xfId="0" applyNumberFormat="1" applyFill="1" applyBorder="1" applyAlignment="1">
      <alignment vertical="center"/>
    </xf>
    <xf numFmtId="0" fontId="21" fillId="29" borderId="45" xfId="0" applyFont="1" applyFill="1" applyBorder="1"/>
    <xf numFmtId="170" fontId="0" fillId="29" borderId="46" xfId="0" applyNumberFormat="1" applyFill="1" applyBorder="1" applyAlignment="1">
      <alignment vertical="center"/>
    </xf>
    <xf numFmtId="0" fontId="0" fillId="6" borderId="1" xfId="0" applyFill="1" applyBorder="1" applyAlignment="1">
      <alignment horizontal="right" vertical="center"/>
    </xf>
    <xf numFmtId="0" fontId="166" fillId="27" borderId="0" xfId="8" applyFont="1"/>
    <xf numFmtId="0" fontId="0" fillId="0" borderId="0" xfId="0"/>
    <xf numFmtId="0" fontId="160" fillId="0" borderId="0" xfId="232" applyAlignment="1">
      <alignment vertical="center"/>
    </xf>
    <xf numFmtId="0" fontId="31" fillId="8" borderId="0" xfId="0" applyFont="1" applyFill="1" applyBorder="1" applyAlignment="1">
      <alignment vertical="center"/>
    </xf>
    <xf numFmtId="0" fontId="0" fillId="6" borderId="0" xfId="0" applyFill="1"/>
    <xf numFmtId="0" fontId="0" fillId="6" borderId="0" xfId="0" applyFill="1" applyAlignment="1">
      <alignment horizontal="left"/>
    </xf>
    <xf numFmtId="0" fontId="0" fillId="6" borderId="0" xfId="0" applyFill="1" applyAlignment="1">
      <alignment horizontal="right"/>
    </xf>
    <xf numFmtId="0" fontId="26" fillId="6" borderId="79" xfId="0" applyFont="1" applyFill="1" applyBorder="1"/>
    <xf numFmtId="0" fontId="0" fillId="6" borderId="79" xfId="0" applyFill="1" applyBorder="1" applyAlignment="1">
      <alignment horizontal="right"/>
    </xf>
    <xf numFmtId="0" fontId="0" fillId="6" borderId="79" xfId="0" applyFill="1" applyBorder="1"/>
    <xf numFmtId="0" fontId="160" fillId="6" borderId="0" xfId="232" applyFill="1" applyAlignment="1">
      <alignment vertical="center"/>
    </xf>
    <xf numFmtId="192" fontId="0" fillId="29" borderId="0" xfId="0" applyNumberFormat="1" applyFont="1" applyFill="1" applyBorder="1" applyAlignment="1">
      <alignment vertical="center"/>
    </xf>
    <xf numFmtId="0" fontId="164" fillId="0" borderId="0" xfId="231" applyAlignment="1" applyProtection="1">
      <alignment vertical="center"/>
    </xf>
    <xf numFmtId="192" fontId="0" fillId="6" borderId="0" xfId="2" applyNumberFormat="1" applyFont="1" applyFill="1"/>
    <xf numFmtId="0" fontId="0" fillId="34" borderId="0" xfId="0" applyFill="1"/>
    <xf numFmtId="192" fontId="0" fillId="34" borderId="0" xfId="0" applyNumberFormat="1" applyFill="1"/>
    <xf numFmtId="0" fontId="26" fillId="34" borderId="0" xfId="0" applyFont="1" applyFill="1"/>
    <xf numFmtId="0" fontId="0" fillId="0" borderId="0" xfId="0"/>
    <xf numFmtId="0" fontId="164" fillId="6" borderId="0" xfId="231" applyFill="1" applyBorder="1" applyAlignment="1" applyProtection="1"/>
    <xf numFmtId="192" fontId="0" fillId="34" borderId="0" xfId="2" applyNumberFormat="1" applyFont="1" applyFill="1"/>
    <xf numFmtId="0" fontId="167" fillId="29" borderId="0" xfId="0" applyFont="1" applyFill="1" applyAlignment="1">
      <alignment vertical="center"/>
    </xf>
    <xf numFmtId="192" fontId="167" fillId="29" borderId="0" xfId="2" applyNumberFormat="1" applyFont="1" applyFill="1" applyBorder="1" applyAlignment="1">
      <alignment vertical="center"/>
    </xf>
    <xf numFmtId="0" fontId="26" fillId="34" borderId="0" xfId="0" applyFont="1" applyFill="1" applyAlignment="1">
      <alignment horizontal="right"/>
    </xf>
    <xf numFmtId="0" fontId="0" fillId="6" borderId="80" xfId="0" applyNumberFormat="1" applyFill="1" applyBorder="1" applyAlignment="1">
      <alignment horizontal="center" vertical="center"/>
    </xf>
    <xf numFmtId="0" fontId="0" fillId="6" borderId="80" xfId="0" applyFill="1" applyBorder="1" applyAlignment="1">
      <alignment vertical="center"/>
    </xf>
    <xf numFmtId="194" fontId="0" fillId="6" borderId="80" xfId="2" applyNumberFormat="1" applyFont="1" applyFill="1" applyBorder="1" applyAlignment="1">
      <alignment vertical="center"/>
    </xf>
    <xf numFmtId="191" fontId="0" fillId="6" borderId="80" xfId="2" applyFont="1" applyFill="1" applyBorder="1" applyAlignment="1">
      <alignment horizontal="right" vertical="center"/>
    </xf>
    <xf numFmtId="0" fontId="164" fillId="6" borderId="0" xfId="231" applyFill="1" applyAlignment="1" applyProtection="1">
      <alignment vertical="center"/>
    </xf>
    <xf numFmtId="0" fontId="26" fillId="22" borderId="0" xfId="0" applyFont="1" applyFill="1"/>
    <xf numFmtId="192" fontId="0" fillId="22" borderId="0" xfId="2" applyNumberFormat="1" applyFont="1" applyFill="1"/>
    <xf numFmtId="198" fontId="0" fillId="34" borderId="0" xfId="2" applyNumberFormat="1" applyFont="1" applyFill="1"/>
    <xf numFmtId="192" fontId="14" fillId="6" borderId="14" xfId="2" applyNumberFormat="1" applyFont="1" applyFill="1" applyBorder="1" applyAlignment="1">
      <alignment horizontal="right" vertical="center"/>
    </xf>
    <xf numFmtId="0" fontId="0" fillId="0" borderId="0" xfId="0"/>
    <xf numFmtId="0" fontId="23" fillId="8" borderId="15" xfId="0" applyFont="1" applyFill="1" applyBorder="1" applyAlignment="1">
      <alignment vertical="center"/>
    </xf>
    <xf numFmtId="191" fontId="74" fillId="8" borderId="0" xfId="4" applyNumberFormat="1" applyFont="1" applyFill="1" applyBorder="1"/>
    <xf numFmtId="0" fontId="0" fillId="0" borderId="0" xfId="0"/>
    <xf numFmtId="200" fontId="0" fillId="6" borderId="8" xfId="1" applyFont="1" applyFill="1" applyBorder="1" applyAlignment="1">
      <alignment vertical="center"/>
    </xf>
    <xf numFmtId="191" fontId="0" fillId="6" borderId="24" xfId="2" applyNumberFormat="1" applyFont="1" applyFill="1" applyBorder="1" applyAlignment="1">
      <alignment vertical="center"/>
    </xf>
    <xf numFmtId="0" fontId="10" fillId="27" borderId="16" xfId="8" applyFont="1" applyBorder="1" applyAlignment="1">
      <alignment vertical="center"/>
    </xf>
    <xf numFmtId="0" fontId="10" fillId="27" borderId="16" xfId="8" applyNumberFormat="1" applyFont="1" applyBorder="1" applyAlignment="1">
      <alignment horizontal="right" vertical="center"/>
    </xf>
    <xf numFmtId="0" fontId="10" fillId="27" borderId="18" xfId="8" applyNumberFormat="1" applyFont="1" applyBorder="1" applyAlignment="1">
      <alignment horizontal="right" vertical="center"/>
    </xf>
    <xf numFmtId="0" fontId="10" fillId="27" borderId="14" xfId="8" applyNumberFormat="1" applyFont="1" applyBorder="1" applyAlignment="1">
      <alignment vertical="center"/>
    </xf>
    <xf numFmtId="0" fontId="10" fillId="27" borderId="14" xfId="8" applyFont="1" applyBorder="1"/>
    <xf numFmtId="0" fontId="10" fillId="27" borderId="14" xfId="8" applyFont="1" applyBorder="1" applyAlignment="1">
      <alignment vertical="center"/>
    </xf>
    <xf numFmtId="9" fontId="10" fillId="27" borderId="14" xfId="8" applyNumberFormat="1" applyFont="1" applyBorder="1" applyAlignment="1">
      <alignment vertical="center"/>
    </xf>
    <xf numFmtId="0" fontId="10" fillId="27" borderId="0" xfId="8" applyNumberFormat="1" applyFont="1" applyBorder="1" applyAlignment="1">
      <alignment vertical="center"/>
    </xf>
    <xf numFmtId="0" fontId="10" fillId="27" borderId="0" xfId="8" applyFont="1" applyBorder="1"/>
    <xf numFmtId="0" fontId="10" fillId="27" borderId="0" xfId="8" applyFont="1" applyBorder="1" applyAlignment="1">
      <alignment vertical="center"/>
    </xf>
    <xf numFmtId="9" fontId="10" fillId="27" borderId="0" xfId="8" applyNumberFormat="1" applyFont="1" applyBorder="1" applyAlignment="1">
      <alignment vertical="center"/>
    </xf>
    <xf numFmtId="0" fontId="10" fillId="27" borderId="1" xfId="8" applyNumberFormat="1" applyFont="1" applyBorder="1" applyAlignment="1">
      <alignment vertical="center"/>
    </xf>
    <xf numFmtId="0" fontId="10" fillId="27" borderId="1" xfId="8" applyFont="1" applyBorder="1"/>
    <xf numFmtId="0" fontId="10" fillId="27" borderId="1" xfId="8" applyFont="1" applyBorder="1" applyAlignment="1">
      <alignment vertical="center"/>
    </xf>
    <xf numFmtId="9" fontId="10" fillId="27" borderId="1" xfId="8" applyNumberFormat="1" applyFont="1" applyBorder="1" applyAlignment="1">
      <alignment vertical="center"/>
    </xf>
    <xf numFmtId="0" fontId="10" fillId="27" borderId="23" xfId="8" applyFont="1" applyBorder="1" applyAlignment="1">
      <alignment vertical="center"/>
    </xf>
    <xf numFmtId="0" fontId="10" fillId="27" borderId="23" xfId="8" applyNumberFormat="1" applyFont="1" applyBorder="1" applyAlignment="1">
      <alignment horizontal="right" vertical="center"/>
    </xf>
    <xf numFmtId="9" fontId="10" fillId="27" borderId="0" xfId="8" applyNumberFormat="1" applyFont="1" applyBorder="1" applyAlignment="1">
      <alignment horizontal="right" vertical="center"/>
    </xf>
    <xf numFmtId="0" fontId="10" fillId="27" borderId="17" xfId="8" applyNumberFormat="1" applyFont="1" applyBorder="1" applyAlignment="1">
      <alignment vertical="center"/>
    </xf>
    <xf numFmtId="0" fontId="10" fillId="27" borderId="17" xfId="8" applyFont="1" applyBorder="1"/>
    <xf numFmtId="0" fontId="10" fillId="27" borderId="17" xfId="8" applyFont="1" applyBorder="1" applyAlignment="1">
      <alignment vertical="center"/>
    </xf>
    <xf numFmtId="200" fontId="10" fillId="27" borderId="17" xfId="8" applyNumberFormat="1" applyFont="1" applyBorder="1" applyAlignment="1">
      <alignment horizontal="right" vertical="center"/>
    </xf>
    <xf numFmtId="9" fontId="10" fillId="27" borderId="0" xfId="8" applyNumberFormat="1" applyFont="1" applyBorder="1" applyAlignment="1">
      <alignment horizontal="right"/>
    </xf>
    <xf numFmtId="9" fontId="10" fillId="27" borderId="1" xfId="8" applyNumberFormat="1" applyFont="1" applyBorder="1" applyAlignment="1">
      <alignment horizontal="right"/>
    </xf>
    <xf numFmtId="0" fontId="10" fillId="27" borderId="0" xfId="8" applyFont="1"/>
    <xf numFmtId="0" fontId="10" fillId="27" borderId="0" xfId="8" applyNumberFormat="1" applyFont="1"/>
    <xf numFmtId="0" fontId="10" fillId="27" borderId="0" xfId="8" applyFont="1" applyAlignment="1">
      <alignment horizontal="right"/>
    </xf>
    <xf numFmtId="0" fontId="10" fillId="27" borderId="0" xfId="8" applyFont="1" applyBorder="1" applyAlignment="1">
      <alignment horizontal="left" vertical="center" indent="1"/>
    </xf>
    <xf numFmtId="177" fontId="14" fillId="6" borderId="14" xfId="0" applyNumberFormat="1" applyFont="1" applyFill="1" applyBorder="1" applyAlignment="1">
      <alignment horizontal="right" vertical="center"/>
    </xf>
    <xf numFmtId="177" fontId="14" fillId="6" borderId="0" xfId="0" applyNumberFormat="1" applyFont="1" applyFill="1" applyBorder="1" applyAlignment="1">
      <alignment horizontal="right" vertical="center"/>
    </xf>
    <xf numFmtId="0" fontId="0" fillId="6" borderId="5" xfId="0" applyNumberFormat="1" applyFill="1" applyBorder="1" applyAlignment="1">
      <alignment vertical="center"/>
    </xf>
    <xf numFmtId="177" fontId="0" fillId="6" borderId="5" xfId="0" applyNumberFormat="1" applyFont="1" applyFill="1" applyBorder="1"/>
    <xf numFmtId="191" fontId="0" fillId="0" borderId="0" xfId="0" applyNumberFormat="1" applyFont="1" applyAlignment="1">
      <alignment vertical="center"/>
    </xf>
    <xf numFmtId="191" fontId="16" fillId="0" borderId="0" xfId="2" applyFont="1" applyAlignment="1">
      <alignment vertical="center"/>
    </xf>
    <xf numFmtId="191" fontId="16" fillId="7" borderId="0" xfId="0" applyNumberFormat="1" applyFont="1" applyFill="1" applyBorder="1" applyAlignment="1">
      <alignment vertical="center"/>
    </xf>
    <xf numFmtId="0" fontId="0" fillId="0" borderId="0" xfId="0"/>
    <xf numFmtId="0" fontId="9" fillId="27" borderId="0" xfId="8" applyFont="1" applyBorder="1"/>
    <xf numFmtId="191" fontId="26" fillId="0" borderId="0" xfId="2" applyNumberFormat="1" applyFont="1"/>
    <xf numFmtId="0" fontId="74" fillId="0" borderId="0" xfId="4" applyNumberFormat="1"/>
    <xf numFmtId="0" fontId="0" fillId="6" borderId="17" xfId="0" applyNumberFormat="1" applyFill="1" applyBorder="1" applyAlignment="1">
      <alignment vertical="center"/>
    </xf>
    <xf numFmtId="0" fontId="23" fillId="6" borderId="0" xfId="0" applyFont="1" applyFill="1" applyBorder="1" applyAlignment="1">
      <alignment vertical="center"/>
    </xf>
    <xf numFmtId="0" fontId="0" fillId="6" borderId="0" xfId="0" applyNumberFormat="1" applyFill="1" applyBorder="1" applyAlignment="1">
      <alignment vertical="center"/>
    </xf>
    <xf numFmtId="0" fontId="0" fillId="6" borderId="0" xfId="0" applyFill="1" applyBorder="1" applyAlignment="1">
      <alignment vertical="center"/>
    </xf>
    <xf numFmtId="0" fontId="0" fillId="6" borderId="0" xfId="0" applyFill="1" applyBorder="1"/>
    <xf numFmtId="0" fontId="26" fillId="6" borderId="0" xfId="0" applyFont="1" applyFill="1" applyBorder="1"/>
    <xf numFmtId="0" fontId="0" fillId="6" borderId="47" xfId="0" applyFill="1" applyBorder="1"/>
    <xf numFmtId="0" fontId="0" fillId="6" borderId="48" xfId="0" applyFill="1" applyBorder="1"/>
    <xf numFmtId="0" fontId="117" fillId="0" borderId="0" xfId="0" applyFont="1"/>
    <xf numFmtId="0" fontId="19" fillId="9" borderId="41" xfId="0" applyFont="1" applyFill="1" applyBorder="1" applyAlignment="1">
      <alignment horizontal="left" vertical="center" indent="1"/>
    </xf>
    <xf numFmtId="0" fontId="0" fillId="0" borderId="0" xfId="0" applyAlignment="1">
      <alignment horizontal="right"/>
    </xf>
    <xf numFmtId="0" fontId="26" fillId="0" borderId="0" xfId="0" applyFont="1"/>
    <xf numFmtId="0" fontId="19" fillId="28" borderId="41" xfId="0" applyFont="1" applyFill="1" applyBorder="1" applyAlignment="1">
      <alignment horizontal="left" vertical="center" indent="1"/>
    </xf>
    <xf numFmtId="0" fontId="0" fillId="28" borderId="40" xfId="0" applyFill="1" applyBorder="1"/>
    <xf numFmtId="0" fontId="0" fillId="28" borderId="42" xfId="0" applyFill="1" applyBorder="1"/>
    <xf numFmtId="0" fontId="0" fillId="29" borderId="47" xfId="0" applyFill="1" applyBorder="1"/>
    <xf numFmtId="0" fontId="0" fillId="29" borderId="0" xfId="0" applyFill="1" applyBorder="1"/>
    <xf numFmtId="0" fontId="0" fillId="29" borderId="48" xfId="0" applyFill="1" applyBorder="1"/>
    <xf numFmtId="0" fontId="18" fillId="29" borderId="47" xfId="0" applyFont="1" applyFill="1" applyBorder="1"/>
    <xf numFmtId="0" fontId="23" fillId="29" borderId="15" xfId="0" applyFont="1" applyFill="1" applyBorder="1" applyAlignment="1">
      <alignment vertical="center"/>
    </xf>
    <xf numFmtId="0" fontId="0" fillId="29" borderId="0" xfId="0" applyFill="1" applyBorder="1" applyAlignment="1">
      <alignment vertical="center"/>
    </xf>
    <xf numFmtId="0" fontId="0" fillId="29" borderId="0" xfId="0" applyFont="1" applyFill="1" applyBorder="1" applyAlignment="1">
      <alignment vertical="center"/>
    </xf>
    <xf numFmtId="0" fontId="0" fillId="29" borderId="31" xfId="0" applyFill="1" applyBorder="1"/>
    <xf numFmtId="0" fontId="26" fillId="29" borderId="0" xfId="0" applyFont="1" applyFill="1"/>
    <xf numFmtId="0" fontId="0" fillId="29" borderId="0" xfId="0" applyFill="1"/>
    <xf numFmtId="0" fontId="14" fillId="29" borderId="48" xfId="0" applyFont="1" applyFill="1" applyBorder="1" applyAlignment="1">
      <alignment vertical="center"/>
    </xf>
    <xf numFmtId="0" fontId="21" fillId="29" borderId="47" xfId="0" applyFont="1" applyFill="1" applyBorder="1"/>
    <xf numFmtId="170" fontId="0" fillId="29" borderId="48" xfId="0" applyNumberFormat="1" applyFill="1" applyBorder="1" applyAlignment="1">
      <alignment vertical="center"/>
    </xf>
    <xf numFmtId="0" fontId="21" fillId="29" borderId="45" xfId="0" applyFont="1" applyFill="1" applyBorder="1"/>
    <xf numFmtId="170" fontId="0" fillId="29" borderId="46" xfId="0" applyNumberFormat="1" applyFill="1" applyBorder="1" applyAlignment="1">
      <alignment vertical="center"/>
    </xf>
    <xf numFmtId="191" fontId="0" fillId="29" borderId="0" xfId="2" applyFont="1" applyFill="1" applyBorder="1" applyAlignment="1">
      <alignment vertical="center"/>
    </xf>
    <xf numFmtId="0" fontId="0" fillId="0" borderId="0" xfId="0"/>
    <xf numFmtId="0" fontId="0" fillId="0" borderId="0" xfId="0"/>
    <xf numFmtId="0" fontId="0" fillId="0" borderId="0" xfId="0"/>
    <xf numFmtId="0" fontId="0" fillId="0" borderId="0" xfId="0"/>
    <xf numFmtId="0" fontId="5" fillId="0" borderId="0" xfId="0" applyFont="1"/>
    <xf numFmtId="0" fontId="0" fillId="0" borderId="0" xfId="0"/>
    <xf numFmtId="0" fontId="0" fillId="0" borderId="0" xfId="0"/>
    <xf numFmtId="0" fontId="0" fillId="0" borderId="0" xfId="0"/>
    <xf numFmtId="0" fontId="168" fillId="0" borderId="0" xfId="0" applyFont="1"/>
    <xf numFmtId="0" fontId="26" fillId="29" borderId="0" xfId="0" applyFont="1" applyFill="1" applyAlignment="1">
      <alignment horizontal="right"/>
    </xf>
    <xf numFmtId="0" fontId="0" fillId="0" borderId="0" xfId="0"/>
    <xf numFmtId="0" fontId="31" fillId="6" borderId="0" xfId="0" applyFont="1" applyFill="1"/>
    <xf numFmtId="0" fontId="0" fillId="0" borderId="0" xfId="0"/>
    <xf numFmtId="200" fontId="0" fillId="29" borderId="0" xfId="1" applyFont="1" applyFill="1" applyBorder="1" applyAlignment="1">
      <alignment vertical="center"/>
    </xf>
    <xf numFmtId="195" fontId="0" fillId="6" borderId="14" xfId="2" applyNumberFormat="1" applyFont="1" applyFill="1" applyBorder="1" applyAlignment="1">
      <alignment vertical="center"/>
    </xf>
    <xf numFmtId="177" fontId="0" fillId="6" borderId="0" xfId="0" applyNumberFormat="1" applyFont="1" applyFill="1" applyBorder="1"/>
    <xf numFmtId="200" fontId="0" fillId="34" borderId="0" xfId="1" applyFont="1" applyFill="1"/>
    <xf numFmtId="0" fontId="0" fillId="0" borderId="0" xfId="0"/>
    <xf numFmtId="192" fontId="0" fillId="21" borderId="0" xfId="2" applyNumberFormat="1" applyFont="1" applyFill="1"/>
    <xf numFmtId="192" fontId="0" fillId="21" borderId="0" xfId="0" applyNumberFormat="1" applyFill="1"/>
    <xf numFmtId="191" fontId="0" fillId="0" borderId="0" xfId="2" applyNumberFormat="1" applyFont="1"/>
    <xf numFmtId="0" fontId="26" fillId="21" borderId="0" xfId="0" applyFont="1" applyFill="1"/>
    <xf numFmtId="0" fontId="0" fillId="0" borderId="0" xfId="0"/>
    <xf numFmtId="10" fontId="0" fillId="0" borderId="0" xfId="0" applyNumberFormat="1" applyBorder="1"/>
    <xf numFmtId="201" fontId="0" fillId="0" borderId="0" xfId="1" applyNumberFormat="1" applyFont="1" applyBorder="1"/>
    <xf numFmtId="194" fontId="0" fillId="0" borderId="1" xfId="2" applyNumberFormat="1" applyFont="1" applyBorder="1"/>
    <xf numFmtId="0" fontId="26" fillId="0" borderId="57" xfId="0" applyFont="1" applyBorder="1" applyAlignment="1">
      <alignment horizontal="left"/>
    </xf>
    <xf numFmtId="0" fontId="26" fillId="0" borderId="8" xfId="0" applyFont="1" applyBorder="1" applyAlignment="1">
      <alignment horizontal="right"/>
    </xf>
    <xf numFmtId="0" fontId="26" fillId="0" borderId="58" xfId="0" applyFont="1" applyBorder="1" applyAlignment="1">
      <alignment horizontal="right"/>
    </xf>
    <xf numFmtId="9" fontId="0" fillId="0" borderId="0" xfId="0" applyNumberFormat="1" applyBorder="1"/>
    <xf numFmtId="9" fontId="0" fillId="0" borderId="1" xfId="0" applyNumberFormat="1" applyBorder="1"/>
    <xf numFmtId="0" fontId="26" fillId="0" borderId="57" xfId="0" applyFont="1" applyBorder="1"/>
    <xf numFmtId="0" fontId="0" fillId="0" borderId="0" xfId="0"/>
    <xf numFmtId="0" fontId="147" fillId="32" borderId="48" xfId="0" applyFont="1" applyFill="1" applyBorder="1" applyAlignment="1">
      <alignment vertical="center"/>
    </xf>
    <xf numFmtId="0" fontId="147" fillId="32" borderId="0" xfId="0" applyFont="1" applyFill="1" applyBorder="1" applyAlignment="1">
      <alignment horizontal="left" vertical="center" wrapText="1"/>
    </xf>
    <xf numFmtId="0" fontId="26" fillId="35" borderId="59" xfId="0" applyFont="1" applyFill="1" applyBorder="1"/>
    <xf numFmtId="10" fontId="26" fillId="35" borderId="0" xfId="0" applyNumberFormat="1" applyFont="1" applyFill="1" applyBorder="1"/>
    <xf numFmtId="201" fontId="26" fillId="35" borderId="0" xfId="1" applyNumberFormat="1" applyFont="1" applyFill="1" applyBorder="1"/>
    <xf numFmtId="201" fontId="26" fillId="35" borderId="0" xfId="0" applyNumberFormat="1" applyFont="1" applyFill="1" applyBorder="1"/>
    <xf numFmtId="201" fontId="26" fillId="35" borderId="60" xfId="0" applyNumberFormat="1" applyFont="1" applyFill="1" applyBorder="1"/>
    <xf numFmtId="0" fontId="0" fillId="0" borderId="0" xfId="0"/>
    <xf numFmtId="0" fontId="4" fillId="27" borderId="0" xfId="8" applyFont="1"/>
    <xf numFmtId="0" fontId="4" fillId="27" borderId="0" xfId="8" applyFont="1" applyBorder="1"/>
    <xf numFmtId="2" fontId="4" fillId="27" borderId="0" xfId="8" applyNumberFormat="1" applyFont="1" applyBorder="1"/>
    <xf numFmtId="0" fontId="4" fillId="27" borderId="0" xfId="8" applyFont="1" applyBorder="1" applyAlignment="1">
      <alignment horizontal="right"/>
    </xf>
    <xf numFmtId="0" fontId="26" fillId="6" borderId="0" xfId="0" applyFont="1" applyFill="1"/>
    <xf numFmtId="0" fontId="0" fillId="0" borderId="0" xfId="0"/>
    <xf numFmtId="177" fontId="3" fillId="27" borderId="0" xfId="8" applyNumberFormat="1" applyFont="1"/>
    <xf numFmtId="0" fontId="3" fillId="27" borderId="0" xfId="8" applyFont="1" applyBorder="1" applyAlignment="1">
      <alignment horizontal="right"/>
    </xf>
    <xf numFmtId="0" fontId="3" fillId="27" borderId="0" xfId="8" applyFont="1" applyBorder="1"/>
    <xf numFmtId="192" fontId="14" fillId="15" borderId="0" xfId="4" applyNumberFormat="1" applyFont="1" applyFill="1" applyBorder="1" applyAlignment="1">
      <alignment vertical="center"/>
    </xf>
    <xf numFmtId="194" fontId="16" fillId="0" borderId="0" xfId="2" applyNumberFormat="1" applyFont="1"/>
    <xf numFmtId="194" fontId="0" fillId="0" borderId="62" xfId="2" applyNumberFormat="1" applyFont="1" applyBorder="1"/>
    <xf numFmtId="0" fontId="0" fillId="0" borderId="0" xfId="0"/>
    <xf numFmtId="0" fontId="2" fillId="27" borderId="0" xfId="8" applyFont="1"/>
    <xf numFmtId="0" fontId="2" fillId="27" borderId="0" xfId="8" applyFont="1" applyBorder="1"/>
    <xf numFmtId="0" fontId="2" fillId="27" borderId="0" xfId="8" applyFont="1" applyBorder="1" applyAlignment="1">
      <alignment horizontal="right"/>
    </xf>
    <xf numFmtId="0" fontId="26" fillId="0" borderId="1" xfId="0" applyFont="1" applyBorder="1"/>
    <xf numFmtId="0" fontId="0" fillId="0" borderId="0" xfId="0"/>
    <xf numFmtId="0" fontId="0" fillId="0" borderId="0" xfId="0"/>
    <xf numFmtId="0" fontId="0" fillId="0" borderId="58" xfId="0" applyBorder="1" applyAlignment="1">
      <alignment horizontal="right"/>
    </xf>
    <xf numFmtId="0" fontId="25" fillId="0" borderId="0" xfId="0" applyFont="1" applyFill="1" applyBorder="1" applyAlignment="1">
      <alignment horizontal="left" vertical="top" wrapText="1"/>
    </xf>
    <xf numFmtId="0" fontId="0" fillId="2" borderId="0" xfId="0" applyFill="1" applyBorder="1" applyAlignment="1">
      <alignment horizontal="center" vertical="top" wrapText="1"/>
    </xf>
    <xf numFmtId="0" fontId="146" fillId="6" borderId="57" xfId="0" applyFont="1" applyFill="1" applyBorder="1" applyAlignment="1">
      <alignment horizontal="center" vertical="center" wrapText="1"/>
    </xf>
    <xf numFmtId="0" fontId="146" fillId="6" borderId="58" xfId="0" applyFont="1" applyFill="1" applyBorder="1" applyAlignment="1">
      <alignment horizontal="center" vertical="center" wrapText="1"/>
    </xf>
    <xf numFmtId="0" fontId="146" fillId="6" borderId="59" xfId="0" applyFont="1" applyFill="1" applyBorder="1" applyAlignment="1">
      <alignment horizontal="center" vertical="center" wrapText="1"/>
    </xf>
    <xf numFmtId="0" fontId="146" fillId="6" borderId="60" xfId="0" applyFont="1" applyFill="1" applyBorder="1" applyAlignment="1">
      <alignment horizontal="center" vertical="center" wrapText="1"/>
    </xf>
    <xf numFmtId="0" fontId="146" fillId="6" borderId="61" xfId="0" applyFont="1" applyFill="1" applyBorder="1" applyAlignment="1">
      <alignment horizontal="center" vertical="center" wrapText="1"/>
    </xf>
    <xf numFmtId="0" fontId="146" fillId="6" borderId="62" xfId="0" applyFont="1" applyFill="1" applyBorder="1" applyAlignment="1">
      <alignment horizontal="center" vertical="center" wrapText="1"/>
    </xf>
    <xf numFmtId="0" fontId="146" fillId="6" borderId="65" xfId="0" applyFont="1" applyFill="1" applyBorder="1" applyAlignment="1">
      <alignment horizontal="center" vertical="center" wrapText="1"/>
    </xf>
    <xf numFmtId="0" fontId="146" fillId="6" borderId="66" xfId="0" applyFont="1" applyFill="1" applyBorder="1" applyAlignment="1">
      <alignment horizontal="center" vertical="center" wrapText="1"/>
    </xf>
    <xf numFmtId="0" fontId="146" fillId="6" borderId="64" xfId="0" applyFont="1" applyFill="1" applyBorder="1" applyAlignment="1">
      <alignment horizontal="center" vertical="center" wrapText="1"/>
    </xf>
    <xf numFmtId="0" fontId="0" fillId="2" borderId="0" xfId="0" applyFont="1" applyFill="1" applyBorder="1" applyAlignment="1">
      <alignment horizontal="center" vertical="top" wrapText="1"/>
    </xf>
    <xf numFmtId="0" fontId="133" fillId="19" borderId="0" xfId="0" applyFont="1" applyFill="1" applyAlignment="1">
      <alignment horizontal="center" vertical="center"/>
    </xf>
    <xf numFmtId="0" fontId="125" fillId="0" borderId="0" xfId="0" applyFont="1" applyAlignment="1">
      <alignment horizontal="center" vertical="center" wrapText="1"/>
    </xf>
    <xf numFmtId="0" fontId="125" fillId="0" borderId="48" xfId="0" applyFont="1" applyBorder="1" applyAlignment="1">
      <alignment horizontal="center" vertical="center" wrapText="1"/>
    </xf>
    <xf numFmtId="0" fontId="18" fillId="0" borderId="0" xfId="0" applyFont="1" applyAlignment="1">
      <alignment horizontal="center" vertical="center" wrapText="1"/>
    </xf>
    <xf numFmtId="0" fontId="18" fillId="0" borderId="48" xfId="0" applyFont="1" applyBorder="1" applyAlignment="1">
      <alignment horizontal="center" vertical="center" wrapText="1"/>
    </xf>
    <xf numFmtId="0" fontId="0" fillId="0" borderId="0" xfId="0" applyAlignment="1">
      <alignment horizontal="center"/>
    </xf>
    <xf numFmtId="0" fontId="0" fillId="0" borderId="0" xfId="0"/>
    <xf numFmtId="0" fontId="136" fillId="27" borderId="37" xfId="8" applyFont="1" applyBorder="1" applyAlignment="1">
      <alignment horizontal="center"/>
    </xf>
    <xf numFmtId="0" fontId="44" fillId="4" borderId="0" xfId="0" applyFont="1" applyFill="1" applyBorder="1" applyAlignment="1">
      <alignment horizontal="right"/>
    </xf>
    <xf numFmtId="0" fontId="46" fillId="4" borderId="4" xfId="0" applyFont="1" applyFill="1" applyBorder="1" applyAlignment="1">
      <alignment horizontal="center"/>
    </xf>
    <xf numFmtId="0" fontId="44" fillId="4" borderId="7" xfId="0" applyFont="1" applyFill="1" applyBorder="1" applyAlignment="1">
      <alignment horizontal="right"/>
    </xf>
    <xf numFmtId="0" fontId="42" fillId="4" borderId="1" xfId="0" applyFont="1" applyFill="1" applyBorder="1" applyAlignment="1">
      <alignment horizontal="center"/>
    </xf>
    <xf numFmtId="0" fontId="42" fillId="4" borderId="7" xfId="0" applyFont="1" applyFill="1" applyBorder="1" applyAlignment="1">
      <alignment horizontal="center"/>
    </xf>
    <xf numFmtId="0" fontId="46" fillId="4" borderId="0" xfId="0" applyFont="1" applyFill="1" applyBorder="1" applyAlignment="1">
      <alignment horizontal="right"/>
    </xf>
    <xf numFmtId="0" fontId="44" fillId="4" borderId="0" xfId="0" applyFont="1" applyFill="1" applyBorder="1" applyAlignment="1">
      <alignment horizontal="center" vertical="center"/>
    </xf>
    <xf numFmtId="0" fontId="37" fillId="4" borderId="0" xfId="0" applyFont="1" applyFill="1" applyAlignment="1">
      <alignment horizontal="center"/>
    </xf>
    <xf numFmtId="0" fontId="78" fillId="4" borderId="0" xfId="0" applyFont="1" applyFill="1" applyAlignment="1">
      <alignment horizontal="center"/>
    </xf>
  </cellXfs>
  <cellStyles count="793">
    <cellStyle name="20% - Accent1" xfId="230" builtinId="30"/>
    <cellStyle name="20% - Accent1 2" xfId="454"/>
    <cellStyle name="20% - Accent6" xfId="8" builtinId="50"/>
    <cellStyle name="20% - Accent6 2" xfId="234"/>
    <cellStyle name="20% - Accent6 3" xfId="789"/>
    <cellStyle name="20% - Accent6 4" xfId="792"/>
    <cellStyle name="Comma" xfId="2" builtinId="3" customBuiltin="1"/>
    <cellStyle name="Comma 2" xfId="457"/>
    <cellStyle name="Excel Built-in Normal" xfId="229"/>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58" builtinId="9" hidden="1"/>
    <cellStyle name="Followed Hyperlink" xfId="654" builtinId="9" hidden="1"/>
    <cellStyle name="Followed Hyperlink" xfId="650" builtinId="9" hidden="1"/>
    <cellStyle name="Followed Hyperlink" xfId="646"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18" builtinId="9" hidden="1"/>
    <cellStyle name="Followed Hyperlink" xfId="614" builtinId="9" hidden="1"/>
    <cellStyle name="Followed Hyperlink" xfId="610"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582" builtinId="9" hidden="1"/>
    <cellStyle name="Followed Hyperlink" xfId="578" builtinId="9" hidden="1"/>
    <cellStyle name="Followed Hyperlink" xfId="574" builtinId="9" hidden="1"/>
    <cellStyle name="Followed Hyperlink" xfId="570"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42" builtinId="9" hidden="1"/>
    <cellStyle name="Followed Hyperlink" xfId="538"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06" builtinId="9" hidden="1"/>
    <cellStyle name="Followed Hyperlink" xfId="502" builtinId="9" hidden="1"/>
    <cellStyle name="Followed Hyperlink" xfId="498" builtinId="9" hidden="1"/>
    <cellStyle name="Followed Hyperlink" xfId="494"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66" builtinId="9" hidden="1"/>
    <cellStyle name="Followed Hyperlink" xfId="462" builtinId="9" hidden="1"/>
    <cellStyle name="Followed Hyperlink" xfId="680" builtinId="9" hidden="1"/>
    <cellStyle name="Followed Hyperlink" xfId="233" builtinId="9" hidden="1"/>
    <cellStyle name="Followed Hyperlink" xfId="681"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31" builtinId="8"/>
    <cellStyle name="Hyperlink 10" xfId="250" hidden="1"/>
    <cellStyle name="Hyperlink 10" xfId="648"/>
    <cellStyle name="Hyperlink 100" xfId="430" hidden="1"/>
    <cellStyle name="Hyperlink 100" xfId="764"/>
    <cellStyle name="Hyperlink 101" xfId="432" hidden="1"/>
    <cellStyle name="Hyperlink 101" xfId="766"/>
    <cellStyle name="Hyperlink 102" xfId="434" hidden="1"/>
    <cellStyle name="Hyperlink 102" xfId="768"/>
    <cellStyle name="Hyperlink 103" xfId="436" hidden="1"/>
    <cellStyle name="Hyperlink 103" xfId="770"/>
    <cellStyle name="Hyperlink 104" xfId="438" hidden="1"/>
    <cellStyle name="Hyperlink 104" xfId="772"/>
    <cellStyle name="Hyperlink 105" xfId="440" hidden="1"/>
    <cellStyle name="Hyperlink 105" xfId="774"/>
    <cellStyle name="Hyperlink 106" xfId="442" hidden="1"/>
    <cellStyle name="Hyperlink 106" xfId="776"/>
    <cellStyle name="Hyperlink 107" xfId="444" hidden="1"/>
    <cellStyle name="Hyperlink 107" xfId="778"/>
    <cellStyle name="Hyperlink 108" xfId="446" hidden="1"/>
    <cellStyle name="Hyperlink 108" xfId="780"/>
    <cellStyle name="Hyperlink 109" xfId="448" hidden="1"/>
    <cellStyle name="Hyperlink 109" xfId="782"/>
    <cellStyle name="Hyperlink 11" xfId="252" hidden="1"/>
    <cellStyle name="Hyperlink 11" xfId="644"/>
    <cellStyle name="Hyperlink 110" xfId="450" hidden="1"/>
    <cellStyle name="Hyperlink 110" xfId="784"/>
    <cellStyle name="Hyperlink 111" xfId="452" hidden="1"/>
    <cellStyle name="Hyperlink 111" xfId="786"/>
    <cellStyle name="Hyperlink 12" xfId="254" hidden="1"/>
    <cellStyle name="Hyperlink 12" xfId="640"/>
    <cellStyle name="Hyperlink 13" xfId="256" hidden="1"/>
    <cellStyle name="Hyperlink 13" xfId="636"/>
    <cellStyle name="Hyperlink 14" xfId="258" hidden="1"/>
    <cellStyle name="Hyperlink 14" xfId="632"/>
    <cellStyle name="Hyperlink 15" xfId="260" hidden="1"/>
    <cellStyle name="Hyperlink 15" xfId="628"/>
    <cellStyle name="Hyperlink 16" xfId="262" hidden="1"/>
    <cellStyle name="Hyperlink 16" xfId="624"/>
    <cellStyle name="Hyperlink 17" xfId="264" hidden="1"/>
    <cellStyle name="Hyperlink 17" xfId="620"/>
    <cellStyle name="Hyperlink 18" xfId="266" hidden="1"/>
    <cellStyle name="Hyperlink 18" xfId="616"/>
    <cellStyle name="Hyperlink 19" xfId="268" hidden="1"/>
    <cellStyle name="Hyperlink 19" xfId="612"/>
    <cellStyle name="Hyperlink 2" xfId="232" hidden="1"/>
    <cellStyle name="Hyperlink 2" xfId="455" hidden="1"/>
    <cellStyle name="Hyperlink 2" xfId="682" hidden="1"/>
    <cellStyle name="Hyperlink 2" xfId="788"/>
    <cellStyle name="Hyperlink 20" xfId="270" hidden="1"/>
    <cellStyle name="Hyperlink 20" xfId="608"/>
    <cellStyle name="Hyperlink 21" xfId="272" hidden="1"/>
    <cellStyle name="Hyperlink 21" xfId="604"/>
    <cellStyle name="Hyperlink 22" xfId="274" hidden="1"/>
    <cellStyle name="Hyperlink 22" xfId="600"/>
    <cellStyle name="Hyperlink 23" xfId="276" hidden="1"/>
    <cellStyle name="Hyperlink 23" xfId="596"/>
    <cellStyle name="Hyperlink 24" xfId="278" hidden="1"/>
    <cellStyle name="Hyperlink 24" xfId="592"/>
    <cellStyle name="Hyperlink 25" xfId="280" hidden="1"/>
    <cellStyle name="Hyperlink 25" xfId="588"/>
    <cellStyle name="Hyperlink 26" xfId="282" hidden="1"/>
    <cellStyle name="Hyperlink 26" xfId="584"/>
    <cellStyle name="Hyperlink 27" xfId="284" hidden="1"/>
    <cellStyle name="Hyperlink 27" xfId="580"/>
    <cellStyle name="Hyperlink 28" xfId="286" hidden="1"/>
    <cellStyle name="Hyperlink 28" xfId="576"/>
    <cellStyle name="Hyperlink 29" xfId="288" hidden="1"/>
    <cellStyle name="Hyperlink 29" xfId="572"/>
    <cellStyle name="Hyperlink 3" xfId="236" hidden="1"/>
    <cellStyle name="Hyperlink 3" xfId="676"/>
    <cellStyle name="Hyperlink 30" xfId="290" hidden="1"/>
    <cellStyle name="Hyperlink 30" xfId="568"/>
    <cellStyle name="Hyperlink 31" xfId="292" hidden="1"/>
    <cellStyle name="Hyperlink 31" xfId="564"/>
    <cellStyle name="Hyperlink 32" xfId="294" hidden="1"/>
    <cellStyle name="Hyperlink 32" xfId="560"/>
    <cellStyle name="Hyperlink 33" xfId="296" hidden="1"/>
    <cellStyle name="Hyperlink 33" xfId="556"/>
    <cellStyle name="Hyperlink 34" xfId="298" hidden="1"/>
    <cellStyle name="Hyperlink 34" xfId="552"/>
    <cellStyle name="Hyperlink 35" xfId="300" hidden="1"/>
    <cellStyle name="Hyperlink 35" xfId="548"/>
    <cellStyle name="Hyperlink 36" xfId="302" hidden="1"/>
    <cellStyle name="Hyperlink 36" xfId="544"/>
    <cellStyle name="Hyperlink 37" xfId="304" hidden="1"/>
    <cellStyle name="Hyperlink 37" xfId="540"/>
    <cellStyle name="Hyperlink 38" xfId="306" hidden="1"/>
    <cellStyle name="Hyperlink 38" xfId="536"/>
    <cellStyle name="Hyperlink 39" xfId="308" hidden="1"/>
    <cellStyle name="Hyperlink 39" xfId="532"/>
    <cellStyle name="Hyperlink 4" xfId="238" hidden="1"/>
    <cellStyle name="Hyperlink 4" xfId="672"/>
    <cellStyle name="Hyperlink 40" xfId="310" hidden="1"/>
    <cellStyle name="Hyperlink 40" xfId="528"/>
    <cellStyle name="Hyperlink 41" xfId="312" hidden="1"/>
    <cellStyle name="Hyperlink 41" xfId="524"/>
    <cellStyle name="Hyperlink 42" xfId="314" hidden="1"/>
    <cellStyle name="Hyperlink 42" xfId="520"/>
    <cellStyle name="Hyperlink 43" xfId="316" hidden="1"/>
    <cellStyle name="Hyperlink 43" xfId="516"/>
    <cellStyle name="Hyperlink 44" xfId="318" hidden="1"/>
    <cellStyle name="Hyperlink 44" xfId="512"/>
    <cellStyle name="Hyperlink 45" xfId="320" hidden="1"/>
    <cellStyle name="Hyperlink 45" xfId="508"/>
    <cellStyle name="Hyperlink 46" xfId="322" hidden="1"/>
    <cellStyle name="Hyperlink 46" xfId="504"/>
    <cellStyle name="Hyperlink 47" xfId="324" hidden="1"/>
    <cellStyle name="Hyperlink 47" xfId="500"/>
    <cellStyle name="Hyperlink 48" xfId="326" hidden="1"/>
    <cellStyle name="Hyperlink 48" xfId="496"/>
    <cellStyle name="Hyperlink 49" xfId="328" hidden="1"/>
    <cellStyle name="Hyperlink 49" xfId="492"/>
    <cellStyle name="Hyperlink 5" xfId="240" hidden="1"/>
    <cellStyle name="Hyperlink 5" xfId="668"/>
    <cellStyle name="Hyperlink 50" xfId="330" hidden="1"/>
    <cellStyle name="Hyperlink 50" xfId="488"/>
    <cellStyle name="Hyperlink 51" xfId="332" hidden="1"/>
    <cellStyle name="Hyperlink 51" xfId="484"/>
    <cellStyle name="Hyperlink 52" xfId="334" hidden="1"/>
    <cellStyle name="Hyperlink 52" xfId="480"/>
    <cellStyle name="Hyperlink 53" xfId="336" hidden="1"/>
    <cellStyle name="Hyperlink 53" xfId="476"/>
    <cellStyle name="Hyperlink 54" xfId="338" hidden="1"/>
    <cellStyle name="Hyperlink 54" xfId="472"/>
    <cellStyle name="Hyperlink 55" xfId="340" hidden="1"/>
    <cellStyle name="Hyperlink 55" xfId="468"/>
    <cellStyle name="Hyperlink 56" xfId="342" hidden="1"/>
    <cellStyle name="Hyperlink 56" xfId="464"/>
    <cellStyle name="Hyperlink 57" xfId="344" hidden="1"/>
    <cellStyle name="Hyperlink 57" xfId="460"/>
    <cellStyle name="Hyperlink 58" xfId="346" hidden="1"/>
    <cellStyle name="Hyperlink 58" xfId="683"/>
    <cellStyle name="Hyperlink 59" xfId="348" hidden="1"/>
    <cellStyle name="Hyperlink 59" xfId="459"/>
    <cellStyle name="Hyperlink 6" xfId="242" hidden="1"/>
    <cellStyle name="Hyperlink 6" xfId="664"/>
    <cellStyle name="Hyperlink 60" xfId="350" hidden="1"/>
    <cellStyle name="Hyperlink 60" xfId="684"/>
    <cellStyle name="Hyperlink 61" xfId="352" hidden="1"/>
    <cellStyle name="Hyperlink 61" xfId="686"/>
    <cellStyle name="Hyperlink 62" xfId="354" hidden="1"/>
    <cellStyle name="Hyperlink 62" xfId="688"/>
    <cellStyle name="Hyperlink 63" xfId="356" hidden="1"/>
    <cellStyle name="Hyperlink 63" xfId="690"/>
    <cellStyle name="Hyperlink 64" xfId="358" hidden="1"/>
    <cellStyle name="Hyperlink 64" xfId="692"/>
    <cellStyle name="Hyperlink 65" xfId="360" hidden="1"/>
    <cellStyle name="Hyperlink 65" xfId="694"/>
    <cellStyle name="Hyperlink 66" xfId="362" hidden="1"/>
    <cellStyle name="Hyperlink 66" xfId="696"/>
    <cellStyle name="Hyperlink 67" xfId="364" hidden="1"/>
    <cellStyle name="Hyperlink 67" xfId="698"/>
    <cellStyle name="Hyperlink 68" xfId="366" hidden="1"/>
    <cellStyle name="Hyperlink 68" xfId="700"/>
    <cellStyle name="Hyperlink 69" xfId="368" hidden="1"/>
    <cellStyle name="Hyperlink 69" xfId="702"/>
    <cellStyle name="Hyperlink 7" xfId="244" hidden="1"/>
    <cellStyle name="Hyperlink 7" xfId="660"/>
    <cellStyle name="Hyperlink 70" xfId="370" hidden="1"/>
    <cellStyle name="Hyperlink 70" xfId="704"/>
    <cellStyle name="Hyperlink 71" xfId="372" hidden="1"/>
    <cellStyle name="Hyperlink 71" xfId="706"/>
    <cellStyle name="Hyperlink 72" xfId="374" hidden="1"/>
    <cellStyle name="Hyperlink 72" xfId="708"/>
    <cellStyle name="Hyperlink 73" xfId="376" hidden="1"/>
    <cellStyle name="Hyperlink 73" xfId="710"/>
    <cellStyle name="Hyperlink 74" xfId="378" hidden="1"/>
    <cellStyle name="Hyperlink 74" xfId="712"/>
    <cellStyle name="Hyperlink 75" xfId="380" hidden="1"/>
    <cellStyle name="Hyperlink 75" xfId="714"/>
    <cellStyle name="Hyperlink 76" xfId="382" hidden="1"/>
    <cellStyle name="Hyperlink 76" xfId="716"/>
    <cellStyle name="Hyperlink 77" xfId="384" hidden="1"/>
    <cellStyle name="Hyperlink 77" xfId="718"/>
    <cellStyle name="Hyperlink 78" xfId="386" hidden="1"/>
    <cellStyle name="Hyperlink 78" xfId="720"/>
    <cellStyle name="Hyperlink 79" xfId="388" hidden="1"/>
    <cellStyle name="Hyperlink 79" xfId="722"/>
    <cellStyle name="Hyperlink 8" xfId="246" hidden="1"/>
    <cellStyle name="Hyperlink 8" xfId="656"/>
    <cellStyle name="Hyperlink 80" xfId="390" hidden="1"/>
    <cellStyle name="Hyperlink 80" xfId="724"/>
    <cellStyle name="Hyperlink 81" xfId="392" hidden="1"/>
    <cellStyle name="Hyperlink 81" xfId="726"/>
    <cellStyle name="Hyperlink 82" xfId="394" hidden="1"/>
    <cellStyle name="Hyperlink 82" xfId="728"/>
    <cellStyle name="Hyperlink 83" xfId="396" hidden="1"/>
    <cellStyle name="Hyperlink 83" xfId="730"/>
    <cellStyle name="Hyperlink 84" xfId="398" hidden="1"/>
    <cellStyle name="Hyperlink 84" xfId="732"/>
    <cellStyle name="Hyperlink 85" xfId="400" hidden="1"/>
    <cellStyle name="Hyperlink 85" xfId="734"/>
    <cellStyle name="Hyperlink 86" xfId="402" hidden="1"/>
    <cellStyle name="Hyperlink 86" xfId="736"/>
    <cellStyle name="Hyperlink 87" xfId="404" hidden="1"/>
    <cellStyle name="Hyperlink 87" xfId="738"/>
    <cellStyle name="Hyperlink 88" xfId="406" hidden="1"/>
    <cellStyle name="Hyperlink 88" xfId="740"/>
    <cellStyle name="Hyperlink 89" xfId="408" hidden="1"/>
    <cellStyle name="Hyperlink 89" xfId="742"/>
    <cellStyle name="Hyperlink 9" xfId="248" hidden="1"/>
    <cellStyle name="Hyperlink 9" xfId="652"/>
    <cellStyle name="Hyperlink 90" xfId="410" hidden="1"/>
    <cellStyle name="Hyperlink 90" xfId="744"/>
    <cellStyle name="Hyperlink 91" xfId="412" hidden="1"/>
    <cellStyle name="Hyperlink 91" xfId="746"/>
    <cellStyle name="Hyperlink 92" xfId="414" hidden="1"/>
    <cellStyle name="Hyperlink 92" xfId="748"/>
    <cellStyle name="Hyperlink 93" xfId="416" hidden="1"/>
    <cellStyle name="Hyperlink 93" xfId="750"/>
    <cellStyle name="Hyperlink 94" xfId="418" hidden="1"/>
    <cellStyle name="Hyperlink 94" xfId="752"/>
    <cellStyle name="Hyperlink 95" xfId="420" hidden="1"/>
    <cellStyle name="Hyperlink 95" xfId="754"/>
    <cellStyle name="Hyperlink 96" xfId="422" hidden="1"/>
    <cellStyle name="Hyperlink 96" xfId="756"/>
    <cellStyle name="Hyperlink 97" xfId="424" hidden="1"/>
    <cellStyle name="Hyperlink 97" xfId="758"/>
    <cellStyle name="Hyperlink 98" xfId="426" hidden="1"/>
    <cellStyle name="Hyperlink 98" xfId="760"/>
    <cellStyle name="Hyperlink 99" xfId="428" hidden="1"/>
    <cellStyle name="Hyperlink 99" xfId="762"/>
    <cellStyle name="Input" xfId="3" builtinId="20"/>
    <cellStyle name="Normal" xfId="0" builtinId="0" customBuiltin="1"/>
    <cellStyle name="Normal 2" xfId="6"/>
    <cellStyle name="Normal 2 2" xfId="458"/>
    <cellStyle name="Normal 2 2 2" xfId="791"/>
    <cellStyle name="Normal 3" xfId="456"/>
    <cellStyle name="Normal 3 2" xfId="790"/>
    <cellStyle name="ofwhich" xfId="4"/>
    <cellStyle name="Percent" xfId="1" builtinId="5" customBuiltin="1"/>
    <cellStyle name="Percent 2" xfId="7"/>
    <cellStyle name="Table_HeaderRow" xfId="5"/>
  </cellStyles>
  <dxfs count="957">
    <dxf>
      <font>
        <b val="0"/>
        <i/>
        <condense val="0"/>
        <extend val="0"/>
      </font>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border outline="0">
        <top style="thin">
          <color rgb="FF0D0D0D"/>
        </top>
        <bottom style="thin">
          <color rgb="FF0D0D0D"/>
        </bottom>
      </border>
    </dxf>
    <dxf>
      <font>
        <b val="0"/>
        <i val="0"/>
        <strike val="0"/>
        <condense val="0"/>
        <extend val="0"/>
        <outline val="0"/>
        <shadow val="0"/>
        <u val="none"/>
        <vertAlign val="baseline"/>
        <sz val="10"/>
        <color rgb="FF000000"/>
        <name val="Cambria"/>
        <scheme val="none"/>
      </font>
      <fill>
        <patternFill patternType="solid">
          <fgColor rgb="FF000000"/>
          <bgColor rgb="FFC5D9F1"/>
        </patternFill>
      </fill>
      <alignment horizontal="general" vertical="center" textRotation="0" wrapText="0" relativeIndent="0" justifyLastLine="0" shrinkToFit="0" readingOrder="0"/>
    </dxf>
    <dxf>
      <border outline="0">
        <bottom style="thin">
          <color rgb="FFA5A5A5"/>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numFmt numFmtId="192" formatCode="#,##0_);\(#,##0\);&quot;-&quot;_);@"/>
      <fill>
        <patternFill patternType="solid">
          <fgColor indexed="64"/>
          <bgColor theme="0" tint="-4.9989318521683403E-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numFmt numFmtId="192" formatCode="#,##0_);\(#,##0\);&quot;-&quot;_);@"/>
      <fill>
        <patternFill patternType="solid">
          <fgColor indexed="64"/>
          <bgColor theme="0" tint="-4.9989318521683403E-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numFmt numFmtId="192" formatCode="#,##0_);\(#,##0\);&quot;-&quot;_);@"/>
      <fill>
        <patternFill patternType="solid">
          <fgColor indexed="64"/>
          <bgColor theme="0" tint="-4.9989318521683403E-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numFmt numFmtId="192" formatCode="#,##0_);\(#,##0\);&quot;-&quot;_);@"/>
      <fill>
        <patternFill patternType="solid">
          <fgColor indexed="64"/>
          <bgColor theme="0" tint="-4.9989318521683403E-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numFmt numFmtId="192" formatCode="#,##0_);\(#,##0\);&quot;-&quot;_);@"/>
      <fill>
        <patternFill patternType="solid">
          <fgColor indexed="64"/>
          <bgColor theme="0" tint="-4.9989318521683403E-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numFmt numFmtId="192" formatCode="#,##0_);\(#,##0\);&quot;-&quot;_);@"/>
      <fill>
        <patternFill patternType="solid">
          <fgColor indexed="64"/>
          <bgColor theme="0" tint="-4.9989318521683403E-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numFmt numFmtId="192" formatCode="#,##0_);\(#,##0\);&quot;-&quot;_);@"/>
      <fill>
        <patternFill patternType="solid">
          <fgColor indexed="64"/>
          <bgColor theme="0" tint="-4.9989318521683403E-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numFmt numFmtId="192" formatCode="#,##0_);\(#,##0\);&quot;-&quot;_);@"/>
      <fill>
        <patternFill patternType="solid">
          <fgColor indexed="64"/>
          <bgColor theme="0" tint="-4.9989318521683403E-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numFmt numFmtId="192" formatCode="#,##0_);\(#,##0\);&quot;-&quot;_);@"/>
      <fill>
        <patternFill patternType="solid">
          <fgColor indexed="64"/>
          <bgColor theme="0" tint="-4.9989318521683403E-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0" tint="-4.9989318521683403E-2"/>
        </patternFill>
      </fill>
      <alignment horizontal="general" vertical="center" textRotation="0" wrapText="0" relativeIndent="0" justifyLastLine="0" shrinkToFit="0" readingOrder="0"/>
    </dxf>
    <dxf>
      <fill>
        <patternFill patternType="solid">
          <fgColor indexed="64"/>
          <bgColor theme="0" tint="-4.9989318521683403E-2"/>
        </patternFill>
      </fill>
      <alignment horizontal="general" vertical="center" textRotation="0" wrapText="0" indent="0" justifyLastLine="0" shrinkToFit="0" readingOrder="0"/>
    </dxf>
    <dxf>
      <fill>
        <patternFill patternType="solid">
          <fgColor indexed="64"/>
          <bgColor theme="0" tint="-4.9989318521683403E-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0" tint="-4.9989318521683403E-2"/>
        </patternFill>
      </fill>
      <alignment horizontal="right" vertical="bottom"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0" tint="-4.9989318521683403E-2"/>
        </patternFill>
      </fill>
      <alignment horizontal="general" vertical="center" textRotation="0" wrapText="0" relative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dxf>
    <dxf>
      <border outline="0">
        <top style="thin">
          <color theme="1" tint="4.9989318521683403E-2"/>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auto="1"/>
        <name val="Cambria"/>
        <scheme val="minor"/>
      </font>
      <numFmt numFmtId="191" formatCode="#,##0.0_);\(#,##0.0\);&quot;-&quot;_);@"/>
      <fill>
        <patternFill patternType="solid">
          <fgColor indexed="64"/>
          <bgColor theme="6" tint="0.79998168889431442"/>
        </patternFill>
      </fill>
    </dxf>
    <dxf>
      <font>
        <b val="0"/>
        <i val="0"/>
        <strike val="0"/>
        <condense val="0"/>
        <extend val="0"/>
        <outline val="0"/>
        <shadow val="0"/>
        <u val="none"/>
        <vertAlign val="baseline"/>
        <sz val="8"/>
        <color auto="1"/>
        <name val="Cambria"/>
        <scheme val="minor"/>
      </font>
      <numFmt numFmtId="191" formatCode="#,##0.0_);\(#,##0.0\);&quot;-&quot;_);@"/>
      <fill>
        <patternFill patternType="solid">
          <fgColor indexed="64"/>
          <bgColor theme="6" tint="0.79998168889431442"/>
        </patternFill>
      </fill>
    </dxf>
    <dxf>
      <font>
        <b val="0"/>
        <i val="0"/>
        <strike val="0"/>
        <condense val="0"/>
        <extend val="0"/>
        <outline val="0"/>
        <shadow val="0"/>
        <u val="none"/>
        <vertAlign val="baseline"/>
        <sz val="8"/>
        <color auto="1"/>
        <name val="Cambria"/>
        <scheme val="minor"/>
      </font>
      <numFmt numFmtId="191" formatCode="#,##0.0_);\(#,##0.0\);&quot;-&quot;_);@"/>
      <fill>
        <patternFill patternType="solid">
          <fgColor indexed="64"/>
          <bgColor theme="6" tint="0.79998168889431442"/>
        </patternFill>
      </fill>
    </dxf>
    <dxf>
      <font>
        <b val="0"/>
        <i val="0"/>
        <strike val="0"/>
        <condense val="0"/>
        <extend val="0"/>
        <outline val="0"/>
        <shadow val="0"/>
        <u val="none"/>
        <vertAlign val="baseline"/>
        <sz val="8"/>
        <color auto="1"/>
        <name val="Cambria"/>
        <scheme val="minor"/>
      </font>
      <numFmt numFmtId="191" formatCode="#,##0.0_);\(#,##0.0\);&quot;-&quot;_);@"/>
      <fill>
        <patternFill patternType="solid">
          <fgColor indexed="64"/>
          <bgColor theme="6" tint="0.79998168889431442"/>
        </patternFill>
      </fill>
    </dxf>
    <dxf>
      <font>
        <b val="0"/>
        <i val="0"/>
        <strike val="0"/>
        <condense val="0"/>
        <extend val="0"/>
        <outline val="0"/>
        <shadow val="0"/>
        <u val="none"/>
        <vertAlign val="baseline"/>
        <sz val="8"/>
        <color auto="1"/>
        <name val="Cambria"/>
        <scheme val="minor"/>
      </font>
      <numFmt numFmtId="191" formatCode="#,##0.0_);\(#,##0.0\);&quot;-&quot;_);@"/>
      <fill>
        <patternFill patternType="solid">
          <fgColor indexed="64"/>
          <bgColor theme="6" tint="0.79998168889431442"/>
        </patternFill>
      </fill>
    </dxf>
    <dxf>
      <font>
        <b val="0"/>
        <i val="0"/>
        <strike val="0"/>
        <condense val="0"/>
        <extend val="0"/>
        <outline val="0"/>
        <shadow val="0"/>
        <u val="none"/>
        <vertAlign val="baseline"/>
        <sz val="8"/>
        <color auto="1"/>
        <name val="Cambria"/>
        <scheme val="minor"/>
      </font>
      <numFmt numFmtId="191" formatCode="#,##0.0_);\(#,##0.0\);&quot;-&quot;_);@"/>
      <fill>
        <patternFill patternType="solid">
          <fgColor indexed="64"/>
          <bgColor theme="6" tint="0.79998168889431442"/>
        </patternFill>
      </fill>
    </dxf>
    <dxf>
      <font>
        <b val="0"/>
        <i val="0"/>
        <strike val="0"/>
        <condense val="0"/>
        <extend val="0"/>
        <outline val="0"/>
        <shadow val="0"/>
        <u val="none"/>
        <vertAlign val="baseline"/>
        <sz val="8"/>
        <color auto="1"/>
        <name val="Cambria"/>
        <scheme val="minor"/>
      </font>
      <numFmt numFmtId="191" formatCode="#,##0.0_);\(#,##0.0\);&quot;-&quot;_);@"/>
      <fill>
        <patternFill patternType="solid">
          <fgColor indexed="64"/>
          <bgColor theme="6" tint="0.79998168889431442"/>
        </patternFill>
      </fill>
    </dxf>
    <dxf>
      <font>
        <b val="0"/>
        <i val="0"/>
        <strike val="0"/>
        <condense val="0"/>
        <extend val="0"/>
        <outline val="0"/>
        <shadow val="0"/>
        <u val="none"/>
        <vertAlign val="baseline"/>
        <sz val="8"/>
        <color auto="1"/>
        <name val="Cambria"/>
        <scheme val="minor"/>
      </font>
      <numFmt numFmtId="191" formatCode="#,##0.0_);\(#,##0.0\);&quot;-&quot;_);@"/>
      <fill>
        <patternFill patternType="solid">
          <fgColor indexed="64"/>
          <bgColor theme="6" tint="0.79998168889431442"/>
        </patternFill>
      </fill>
    </dxf>
    <dxf>
      <font>
        <b val="0"/>
        <i val="0"/>
        <strike val="0"/>
        <condense val="0"/>
        <extend val="0"/>
        <outline val="0"/>
        <shadow val="0"/>
        <u val="none"/>
        <vertAlign val="baseline"/>
        <sz val="8"/>
        <color auto="1"/>
        <name val="Cambria"/>
        <scheme val="minor"/>
      </font>
      <numFmt numFmtId="191" formatCode="#,##0.0_);\(#,##0.0\);&quot;-&quot;_);@"/>
      <fill>
        <patternFill patternType="solid">
          <fgColor indexed="64"/>
          <bgColor theme="6" tint="0.79998168889431442"/>
        </patternFill>
      </fill>
    </dxf>
    <dxf>
      <font>
        <b val="0"/>
        <i val="0"/>
        <strike val="0"/>
        <condense val="0"/>
        <extend val="0"/>
        <outline val="0"/>
        <shadow val="0"/>
        <u val="none"/>
        <vertAlign val="baseline"/>
        <sz val="8"/>
        <color auto="1"/>
        <name val="Cambria"/>
        <scheme val="minor"/>
      </font>
      <numFmt numFmtId="191" formatCode="#,##0.0_);\(#,##0.0\);&quot;-&quot;_);@"/>
      <fill>
        <patternFill patternType="solid">
          <fgColor indexed="64"/>
          <bgColor theme="6" tint="0.79998168889431442"/>
        </patternFill>
      </fill>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border outline="0">
        <top style="thin">
          <color theme="1" tint="4.9989318521683403E-2"/>
        </top>
      </border>
    </dxf>
    <dxf>
      <font>
        <b val="0"/>
        <i val="0"/>
        <strike val="0"/>
        <condense val="0"/>
        <extend val="0"/>
        <outline val="0"/>
        <shadow val="0"/>
        <u val="none"/>
        <vertAlign val="baseline"/>
        <sz val="8"/>
        <color auto="1"/>
        <name val="Cambria"/>
        <scheme val="minor"/>
      </font>
      <fill>
        <patternFill patternType="solid">
          <fgColor indexed="64"/>
          <bgColor theme="6" tint="0.79998168889431442"/>
        </patternFill>
      </fill>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rgb="FF000000"/>
          <bgColor rgb="FFC5D9F1"/>
        </patternFill>
      </fill>
    </dxf>
    <dxf>
      <border outline="0">
        <top style="thin">
          <color rgb="FF0D0D0D"/>
        </top>
        <bottom style="thin">
          <color auto="1"/>
        </bottom>
      </border>
    </dxf>
    <dxf>
      <font>
        <b val="0"/>
        <i val="0"/>
        <strike val="0"/>
        <condense val="0"/>
        <extend val="0"/>
        <outline val="0"/>
        <shadow val="0"/>
        <u val="none"/>
        <vertAlign val="baseline"/>
        <sz val="10"/>
        <color rgb="FF000000"/>
        <name val="Cambria"/>
        <scheme val="none"/>
      </font>
      <fill>
        <patternFill patternType="solid">
          <fgColor rgb="FF000000"/>
          <bgColor rgb="FFC5D9F1"/>
        </patternFill>
      </fill>
      <alignment horizontal="general" vertical="center" textRotation="0" wrapText="0" relativeIndent="0" justifyLastLine="0" shrinkToFit="0" readingOrder="0"/>
    </dxf>
    <dxf>
      <border outline="0">
        <bottom style="thin">
          <color rgb="FFA6A6A6"/>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indent="0" justifyLastLine="0" shrinkToFit="0" readingOrder="0"/>
      <border diagonalUp="0" diagonalDown="0" outline="0">
        <left/>
        <right/>
        <top/>
        <bottom/>
      </border>
    </dxf>
    <dxf>
      <numFmt numFmtId="0" formatCode="General"/>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border outline="0">
        <top style="thin">
          <color rgb="FF0D0D0D"/>
        </top>
        <bottom style="thin">
          <color rgb="FF0D0D0D"/>
        </bottom>
      </border>
    </dxf>
    <dxf>
      <font>
        <b val="0"/>
        <i val="0"/>
        <strike val="0"/>
        <condense val="0"/>
        <extend val="0"/>
        <outline val="0"/>
        <shadow val="0"/>
        <u val="none"/>
        <vertAlign val="baseline"/>
        <sz val="10"/>
        <color rgb="FF000000"/>
        <name val="Cambria"/>
        <scheme val="none"/>
      </font>
      <fill>
        <patternFill patternType="solid">
          <fgColor rgb="FF000000"/>
          <bgColor rgb="FFE4DFEC"/>
        </patternFill>
      </fill>
      <alignment horizontal="general" vertical="center" textRotation="0" wrapText="0" relativeIndent="0" justifyLastLine="0" shrinkToFit="0" readingOrder="0"/>
    </dxf>
    <dxf>
      <border outline="0">
        <bottom style="thin">
          <color rgb="FFA6A6A6"/>
        </bottom>
      </border>
    </dxf>
    <dxf>
      <font>
        <b/>
        <i val="0"/>
        <strike val="0"/>
        <condense val="0"/>
        <extend val="0"/>
        <outline val="0"/>
        <shadow val="0"/>
        <u val="none"/>
        <vertAlign val="baseline"/>
        <sz val="10"/>
        <color theme="1"/>
        <name val="Calibri"/>
        <scheme val="maj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dxf>
    <dxf>
      <border outline="0">
        <top style="thin">
          <color theme="1" tint="4.9989318521683403E-2"/>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dxf>
    <dxf>
      <border outline="0">
        <top style="thin">
          <color theme="1" tint="4.9989318521683403E-2"/>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dxf>
    <dxf>
      <border outline="0">
        <top style="thin">
          <color theme="1" tint="4.9989318521683403E-2"/>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indent="0" justifyLastLine="0" shrinkToFit="0" readingOrder="0"/>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indent="0" justifyLastLine="0" shrinkToFit="0" readingOrder="0"/>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indent="0" justifyLastLine="0" shrinkToFit="0" readingOrder="0"/>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indent="0" justifyLastLine="0" shrinkToFit="0" readingOrder="0"/>
    </dxf>
    <dxf>
      <fill>
        <patternFill>
          <fgColor indexed="64"/>
          <bgColor theme="7" tint="0.79998168889431442"/>
        </patternFill>
      </fill>
    </dxf>
    <dxf>
      <fill>
        <patternFill patternType="solid">
          <fgColor indexed="64"/>
          <bgColor theme="7" tint="0.79998168889431442"/>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7" tint="0.79998168889431442"/>
        </patternFill>
      </fill>
      <alignment horizontal="general" vertical="center" textRotation="0" wrapText="0" 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relativeIndent="0" justifyLastLine="0" shrinkToFit="0" readingOrder="0"/>
    </dxf>
    <dxf>
      <numFmt numFmtId="170" formatCode="#,##0.0"/>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6" tint="0.79998168889431442"/>
        </patternFill>
      </fill>
      <alignment horizontal="general" vertical="center" textRotation="0" wrapText="0" indent="0" justifyLastLine="0" shrinkToFit="0" readingOrder="0"/>
    </dxf>
    <dxf>
      <fill>
        <patternFill patternType="solid">
          <fgColor rgb="FF000000"/>
          <bgColor rgb="FFEAF1DD"/>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dxf>
    <dxf>
      <border outline="0">
        <top style="thin">
          <color theme="1" tint="4.9989318521683403E-2"/>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dxf>
    <dxf>
      <border outline="0">
        <top style="thin">
          <color theme="1" tint="4.9989318521683403E-2"/>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dxf>
    <dxf>
      <border outline="0">
        <top style="thin">
          <color theme="1" tint="4.9989318521683403E-2"/>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2" formatCode="#,##0_);\(#,##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fill>
        <patternFill patternType="solid">
          <fgColor indexed="64"/>
          <bgColor theme="3" tint="0.79998168889431442"/>
        </patternFill>
      </fill>
      <alignment horizontal="general" vertical="center" textRotation="0" wrapText="0" relativeIndent="0" justifyLastLine="0" shrinkToFit="0" readingOrder="0"/>
    </dxf>
    <dxf>
      <border outline="0">
        <top style="thin">
          <color theme="1" tint="4.9989318521683403E-2"/>
        </top>
        <bottom style="thin">
          <color theme="1" tint="4.9989318521683403E-2"/>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3" tint="0.79998168889431442"/>
        </patternFill>
      </fill>
      <alignment horizontal="general" vertical="center" textRotation="0" wrapText="0" relativeIndent="0" justifyLastLine="0" shrinkToFit="0" readingOrder="0"/>
      <border diagonalUp="0" diagonalDown="0" outline="0">
        <left/>
        <right/>
        <top style="thin">
          <color auto="1"/>
        </top>
        <bottom style="thin">
          <color auto="1"/>
        </bottom>
      </border>
    </dxf>
    <dxf>
      <fill>
        <patternFill patternType="solid">
          <fgColor indexed="64"/>
          <bgColor theme="3" tint="0.79998168889431442"/>
        </patternFill>
      </fill>
    </dxf>
    <dxf>
      <border outline="0">
        <top style="thin">
          <color theme="1" tint="4.9989318521683403E-2"/>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3"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3"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Cambria"/>
        <scheme val="minor"/>
      </font>
      <numFmt numFmtId="191" formatCode="#,##0.0_);\(#,##0.0\);&quot;-&quot;_);@"/>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numFmt numFmtId="0" formatCode="General"/>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outline="0">
        <left/>
        <right/>
        <top/>
        <bottom/>
      </border>
    </dxf>
    <dxf>
      <fill>
        <patternFill patternType="solid">
          <fgColor indexed="64"/>
          <bgColor theme="7"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border outline="0">
        <top style="thin">
          <color theme="1" tint="4.9989318521683403E-2"/>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7" tint="0.79998168889431442"/>
        </patternFill>
      </fill>
      <alignment horizontal="general" vertical="center" textRotation="0" wrapText="0" relative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1"/>
        <name val="Calibri"/>
        <scheme val="major"/>
      </font>
      <fill>
        <patternFill patternType="solid">
          <fgColor indexed="64"/>
          <bgColor theme="7"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strike val="0"/>
        <outline val="0"/>
        <shadow val="0"/>
        <u val="none"/>
        <vertAlign val="baseline"/>
        <sz val="10"/>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strike val="0"/>
        <outline val="0"/>
        <shadow val="0"/>
        <u val="none"/>
        <vertAlign val="baseline"/>
        <sz val="10"/>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strike val="0"/>
        <outline val="0"/>
        <shadow val="0"/>
        <u val="none"/>
        <vertAlign val="baseline"/>
        <sz val="10"/>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strike val="0"/>
        <outline val="0"/>
        <shadow val="0"/>
        <u val="none"/>
        <vertAlign val="baseline"/>
        <sz val="10"/>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strike val="0"/>
        <outline val="0"/>
        <shadow val="0"/>
        <u val="none"/>
        <vertAlign val="baseline"/>
        <sz val="10"/>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strike val="0"/>
        <outline val="0"/>
        <shadow val="0"/>
        <u val="none"/>
        <vertAlign val="baseline"/>
        <sz val="10"/>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strike val="0"/>
        <outline val="0"/>
        <shadow val="0"/>
        <u val="none"/>
        <vertAlign val="baseline"/>
        <sz val="10"/>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strike val="0"/>
        <outline val="0"/>
        <shadow val="0"/>
        <u val="none"/>
        <vertAlign val="baseline"/>
        <sz val="10"/>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strike val="0"/>
        <outline val="0"/>
        <shadow val="0"/>
        <u val="none"/>
        <vertAlign val="baseline"/>
        <sz val="10"/>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left/>
        <right/>
        <top style="thin">
          <color auto="1"/>
        </top>
        <bottom style="thin">
          <color auto="1"/>
        </bottom>
      </border>
    </dxf>
    <dxf>
      <font>
        <b val="0"/>
        <i val="0"/>
        <strike val="0"/>
        <condense val="0"/>
        <extend val="0"/>
        <outline val="0"/>
        <shadow val="0"/>
        <u val="none"/>
        <vertAlign val="baseline"/>
        <sz val="10"/>
        <color theme="1"/>
        <name val="Cambria"/>
        <scheme val="minor"/>
      </font>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strike val="0"/>
        <outline val="0"/>
        <shadow val="0"/>
        <u val="none"/>
        <vertAlign val="baseline"/>
        <sz val="10"/>
        <name val="Cambria"/>
        <scheme val="minor"/>
      </font>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strike val="0"/>
        <outline val="0"/>
        <shadow val="0"/>
        <u val="none"/>
        <vertAlign val="baseline"/>
        <sz val="10"/>
        <name val="Cambria"/>
        <scheme val="minor"/>
      </font>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strike val="0"/>
        <outline val="0"/>
        <shadow val="0"/>
        <u val="none"/>
        <vertAlign val="baseline"/>
        <sz val="10"/>
        <name val="Cambria"/>
        <scheme val="minor"/>
      </font>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relativeIndent="0" justifyLastLine="0" shrinkToFit="0" readingOrder="0"/>
      <border diagonalUp="0" diagonalDown="0" outline="0">
        <left/>
        <right/>
        <top/>
        <bottom/>
      </border>
    </dxf>
    <dxf>
      <font>
        <strike val="0"/>
        <outline val="0"/>
        <shadow val="0"/>
        <u val="none"/>
        <vertAlign val="baseline"/>
        <sz val="10"/>
        <name val="Cambria"/>
        <scheme val="minor"/>
      </font>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ont>
        <strike val="0"/>
        <outline val="0"/>
        <shadow val="0"/>
        <u val="none"/>
        <vertAlign val="baseline"/>
        <sz val="10"/>
        <name val="Cambria"/>
        <scheme val="minor"/>
      </font>
      <fill>
        <patternFill patternType="solid">
          <fgColor indexed="64"/>
          <bgColor theme="6" tint="0.79998168889431442"/>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ont>
        <b val="0"/>
        <i val="0"/>
        <strike val="0"/>
        <condense val="0"/>
        <extend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relativeIndent="0" justifyLastLine="0" shrinkToFit="0" readingOrder="0"/>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indent="0" justifyLastLine="0" shrinkToFit="0" readingOrder="0"/>
      <border diagonalUp="0" diagonalDown="0">
        <left/>
        <right/>
        <top style="thin">
          <color auto="1"/>
        </top>
        <bottom style="thin">
          <color auto="1"/>
        </bottom>
      </border>
    </dxf>
    <dxf>
      <fill>
        <patternFill patternType="solid">
          <fgColor indexed="64"/>
          <bgColor theme="6" tint="0.79998168889431442"/>
        </patternFill>
      </fill>
      <alignment horizontal="general" vertical="center" textRotation="0" wrapText="0" indent="0" justifyLastLine="0" shrinkToFit="0" readingOrder="0"/>
    </dxf>
    <dxf>
      <font>
        <strike val="0"/>
        <outline val="0"/>
        <shadow val="0"/>
        <u val="none"/>
        <vertAlign val="baseline"/>
        <sz val="10"/>
        <color theme="1"/>
        <name val="Calibri"/>
        <scheme val="major"/>
      </font>
      <fill>
        <patternFill patternType="solid">
          <fgColor indexed="64"/>
          <bgColor theme="6" tint="0.79998168889431442"/>
        </patternFill>
      </fil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alignment horizontal="left" vertical="center" textRotation="0" wrapText="1" relativeIndent="0" justifyLastLine="0" shrinkToFit="0" readingOrder="0"/>
    </dxf>
    <dxf>
      <font>
        <b val="0"/>
        <i val="0"/>
        <strike val="0"/>
        <condense val="0"/>
        <extend val="0"/>
        <outline val="0"/>
        <shadow val="0"/>
        <u val="none"/>
        <vertAlign val="baseline"/>
        <sz val="10"/>
        <color theme="1"/>
        <name val="Cambria"/>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dxf>
    <dxf>
      <font>
        <b val="0"/>
        <i val="0"/>
        <strike val="0"/>
        <condense val="0"/>
        <extend val="0"/>
        <outline val="0"/>
        <shadow val="0"/>
        <u val="none"/>
        <vertAlign val="baseline"/>
        <sz val="10"/>
        <color theme="1"/>
        <name val="Cambria"/>
        <scheme val="minor"/>
      </font>
    </dxf>
    <dxf>
      <font>
        <b val="0"/>
        <i val="0"/>
        <strike val="0"/>
        <condense val="0"/>
        <extend val="0"/>
        <outline val="0"/>
        <shadow val="0"/>
        <u val="none"/>
        <vertAlign val="baseline"/>
        <sz val="10"/>
        <color theme="1"/>
        <name val="Cambria"/>
        <scheme val="minor"/>
      </font>
    </dxf>
    <dxf>
      <font>
        <b val="0"/>
        <i val="0"/>
        <strike val="0"/>
        <condense val="0"/>
        <extend val="0"/>
        <outline val="0"/>
        <shadow val="0"/>
        <u val="none"/>
        <vertAlign val="baseline"/>
        <sz val="10"/>
        <color theme="1"/>
        <name val="Cambria"/>
        <scheme val="minor"/>
      </font>
    </dxf>
    <dxf>
      <font>
        <b val="0"/>
        <strike val="0"/>
        <outline val="0"/>
        <shadow val="0"/>
        <u val="none"/>
        <vertAlign val="baseline"/>
        <sz val="11"/>
        <color theme="1"/>
        <name val="Calibri"/>
        <scheme val="major"/>
      </font>
      <alignment horizontal="general" vertical="center" textRotation="0" wrapText="0" relative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relativeIndent="0" justifyLastLine="0" shrinkToFit="0" readingOrder="0"/>
    </dxf>
    <dxf>
      <numFmt numFmtId="0" formatCode="General"/>
      <alignment horizontal="general" vertical="center" textRotation="0" wrapText="0" relative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1"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numFmt numFmtId="15" formatCode="0.00E+00"/>
      <alignment horizontal="general" vertical="center" textRotation="0" wrapText="0" relative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192" formatCode="#,##0_);\(#,##0\);&quot;-&quot;_);@"/>
      <alignment horizontal="general" vertical="center" textRotation="0" wrapText="0" indent="0" justifyLastLine="0" shrinkToFit="0" readingOrder="0"/>
    </dxf>
    <dxf>
      <numFmt numFmtId="192" formatCode="#,##0_);\(#,##0\);&quot;-&quot;_);@"/>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0"/>
        <color theme="1"/>
        <name val="Cambria"/>
        <scheme val="minor"/>
      </font>
      <fill>
        <patternFill patternType="solid">
          <fgColor theme="5" tint="0.59999389629810485"/>
          <bgColor theme="3" tint="0.79998168889431442"/>
        </patternFill>
      </fill>
      <alignment horizontal="left" vertical="center" textRotation="0" wrapText="1" relativeIndent="0" justifyLastLine="0" shrinkToFit="0" readingOrder="0"/>
    </dxf>
    <dxf>
      <fill>
        <patternFill patternType="solid">
          <fgColor theme="5" tint="0.59999389629810485"/>
          <bgColor theme="3" tint="0.79998168889431442"/>
        </patternFill>
      </fill>
      <alignment horizontal="general" vertical="center" textRotation="0" wrapText="0" relativeIndent="0" justifyLastLine="0" shrinkToFit="0" readingOrder="0"/>
      <border diagonalUp="0" diagonalDown="0">
        <left/>
        <right style="thin">
          <color theme="0"/>
        </right>
        <top/>
        <bottom/>
        <vertical/>
        <horizontal/>
      </border>
    </dxf>
    <dxf>
      <fill>
        <patternFill patternType="solid">
          <fgColor theme="5" tint="0.59999389629810485"/>
          <bgColor theme="3" tint="0.79998168889431442"/>
        </patternFill>
      </fill>
      <border diagonalUp="0" diagonalDown="0">
        <left/>
        <right style="thin">
          <color theme="0"/>
        </right>
        <top/>
        <bottom/>
        <vertical/>
        <horizontal/>
      </border>
    </dxf>
    <dxf>
      <border outline="0">
        <left style="thin">
          <color theme="0"/>
        </left>
        <bottom style="thin">
          <color theme="0"/>
        </bottom>
      </border>
    </dxf>
    <dxf>
      <border outline="0">
        <bottom style="thick">
          <color theme="0"/>
        </bottom>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numFmt numFmtId="197" formatCode="dd\-mmm\-yyyy"/>
    </dxf>
    <dxf>
      <alignment horizontal="general" vertical="center" textRotation="0" wrapText="0" indent="0" justifyLastLine="0" shrinkToFit="0" readingOrder="0"/>
    </dxf>
    <dxf>
      <fill>
        <patternFill>
          <bgColor theme="4" tint="0.79998168889431442"/>
        </patternFill>
      </fill>
    </dxf>
    <dxf>
      <font>
        <b/>
        <i val="0"/>
      </font>
      <border>
        <top style="thin">
          <color auto="1"/>
        </top>
      </border>
    </dxf>
    <dxf>
      <font>
        <b/>
        <i val="0"/>
      </font>
      <fill>
        <patternFill patternType="none">
          <bgColor auto="1"/>
        </patternFill>
      </fill>
      <border>
        <bottom style="thin">
          <color theme="0" tint="-0.34998626667073579"/>
        </bottom>
      </border>
    </dxf>
    <dxf>
      <border>
        <top style="thin">
          <color theme="1" tint="4.9989318521683403E-2"/>
        </top>
        <bottom style="thin">
          <color theme="1" tint="4.9989318521683403E-2"/>
        </bottom>
      </border>
    </dxf>
  </dxfs>
  <tableStyles count="1" defaultTableStyle="TableStyleMedium9" defaultPivotStyle="PivotStyleLight16">
    <tableStyle name="EnergyCalcTables" pivot="0" count="4">
      <tableStyleElement type="wholeTable" dxfId="956"/>
      <tableStyleElement type="headerRow" dxfId="955"/>
      <tableStyleElement type="totalRow" dxfId="954"/>
      <tableStyleElement type="secondRowStripe" dxfId="953"/>
    </tableStyle>
  </tableStyles>
  <colors>
    <mruColors>
      <color rgb="FFFFFFFF"/>
      <color rgb="FFE9EFF7"/>
      <color rgb="FF000000"/>
    </mruColors>
  </colors>
</styleSheet>
</file>

<file path=xl/_rels/workbook.xml.rels><?xml version="1.0" encoding="UTF-8" standalone="yes"?>
<Relationships xmlns="http://schemas.openxmlformats.org/package/2006/relationships"><Relationship Id="rId46" Type="http://schemas.openxmlformats.org/officeDocument/2006/relationships/sharedStrings" Target="sharedStrings.xml"/><Relationship Id="rId47" Type="http://schemas.openxmlformats.org/officeDocument/2006/relationships/calcChain" Target="calcChain.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externalLink" Target="externalLinks/externalLink1.xml"/><Relationship Id="rId38" Type="http://schemas.openxmlformats.org/officeDocument/2006/relationships/externalLink" Target="externalLinks/externalLink2.xml"/><Relationship Id="rId39" Type="http://schemas.openxmlformats.org/officeDocument/2006/relationships/externalLink" Target="externalLinks/externalLink3.xml"/><Relationship Id="rId40" Type="http://schemas.openxmlformats.org/officeDocument/2006/relationships/externalLink" Target="externalLinks/externalLink4.xml"/><Relationship Id="rId41" Type="http://schemas.openxmlformats.org/officeDocument/2006/relationships/externalLink" Target="externalLinks/externalLink5.xml"/><Relationship Id="rId42" Type="http://schemas.openxmlformats.org/officeDocument/2006/relationships/externalLink" Target="externalLinks/externalLink6.xml"/><Relationship Id="rId43" Type="http://schemas.openxmlformats.org/officeDocument/2006/relationships/externalLink" Target="externalLinks/externalLink7.xml"/><Relationship Id="rId44" Type="http://schemas.openxmlformats.org/officeDocument/2006/relationships/theme" Target="theme/theme1.xml"/><Relationship Id="rId45"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title>
      <c:tx>
        <c:rich>
          <a:bodyPr/>
          <a:lstStyle/>
          <a:p>
            <a:pPr>
              <a:defRPr lang="en-US"/>
            </a:pPr>
            <a:r>
              <a:rPr lang="en-GB"/>
              <a:t>Demand</a:t>
            </a:r>
          </a:p>
        </c:rich>
      </c:tx>
      <c:layout>
        <c:manualLayout>
          <c:xMode val="edge"/>
          <c:yMode val="edge"/>
          <c:x val="0.297526101555046"/>
          <c:y val="0.020382168331032"/>
        </c:manualLayout>
      </c:layout>
      <c:overlay val="0"/>
    </c:title>
    <c:autoTitleDeleted val="0"/>
    <c:plotArea>
      <c:layout>
        <c:manualLayout>
          <c:layoutTarget val="inner"/>
          <c:xMode val="edge"/>
          <c:yMode val="edge"/>
          <c:x val="0.126269476729738"/>
          <c:y val="0.123391816889359"/>
          <c:w val="0.602543223852048"/>
          <c:h val="0.781358640435946"/>
        </c:manualLayout>
      </c:layout>
      <c:areaChart>
        <c:grouping val="stacked"/>
        <c:varyColors val="0"/>
        <c:ser>
          <c:idx val="0"/>
          <c:order val="0"/>
          <c:tx>
            <c:strRef>
              <c:f>'Intermediate output'!$D$7</c:f>
              <c:strCache>
                <c:ptCount val="1"/>
                <c:pt idx="0">
                  <c:v>Road transport</c:v>
                </c:pt>
              </c:strCache>
            </c:strRef>
          </c:tx>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output'!$H$7:$Q$7</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ser>
          <c:idx val="1"/>
          <c:order val="1"/>
          <c:tx>
            <c:strRef>
              <c:f>'Intermediate output'!$D$8</c:f>
              <c:strCache>
                <c:ptCount val="1"/>
                <c:pt idx="0">
                  <c:v>Rail transport</c:v>
                </c:pt>
              </c:strCache>
            </c:strRef>
          </c:tx>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output'!$H$8:$Q$8</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ser>
          <c:idx val="2"/>
          <c:order val="2"/>
          <c:tx>
            <c:strRef>
              <c:f>'Intermediate output'!$D$9</c:f>
              <c:strCache>
                <c:ptCount val="1"/>
                <c:pt idx="0">
                  <c:v>Domestic aviation</c:v>
                </c:pt>
              </c:strCache>
            </c:strRef>
          </c:tx>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output'!$H$9:$Q$9</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ser>
          <c:idx val="3"/>
          <c:order val="3"/>
          <c:tx>
            <c:strRef>
              <c:f>'Intermediate output'!$D$10</c:f>
              <c:strCache>
                <c:ptCount val="1"/>
                <c:pt idx="0">
                  <c:v>National navigation</c:v>
                </c:pt>
              </c:strCache>
            </c:strRef>
          </c:tx>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output'!$H$10:$Q$10</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ser>
          <c:idx val="4"/>
          <c:order val="4"/>
          <c:tx>
            <c:strRef>
              <c:f>'Intermediate output'!$D$11</c:f>
              <c:strCache>
                <c:ptCount val="1"/>
                <c:pt idx="0">
                  <c:v>International aviation</c:v>
                </c:pt>
              </c:strCache>
            </c:strRef>
          </c:tx>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output'!$H$11:$Q$11</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ser>
          <c:idx val="5"/>
          <c:order val="5"/>
          <c:tx>
            <c:strRef>
              <c:f>'Intermediate output'!$D$12</c:f>
              <c:strCache>
                <c:ptCount val="1"/>
                <c:pt idx="0">
                  <c:v>International shipping</c:v>
                </c:pt>
              </c:strCache>
            </c:strRef>
          </c:tx>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output'!$H$12:$Q$12</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ser>
          <c:idx val="6"/>
          <c:order val="6"/>
          <c:tx>
            <c:strRef>
              <c:f>'Intermediate output'!$D$13</c:f>
              <c:strCache>
                <c:ptCount val="1"/>
                <c:pt idx="0">
                  <c:v>Transport</c:v>
                </c:pt>
              </c:strCache>
            </c:strRef>
          </c:tx>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output'!$H$13:$Q$13</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ser>
          <c:idx val="7"/>
          <c:order val="7"/>
          <c:tx>
            <c:strRef>
              <c:f>'Intermediate output'!$D$14</c:f>
              <c:strCache>
                <c:ptCount val="1"/>
                <c:pt idx="0">
                  <c:v>Industry</c:v>
                </c:pt>
              </c:strCache>
            </c:strRef>
          </c:tx>
          <c:spPr>
            <a:solidFill>
              <a:schemeClr val="bg1">
                <a:lumMod val="50000"/>
              </a:schemeClr>
            </a:solidFill>
          </c:spPr>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output'!$H$14:$Q$14</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ser>
          <c:idx val="8"/>
          <c:order val="8"/>
          <c:tx>
            <c:strRef>
              <c:f>'Intermediate output'!$D$15</c:f>
              <c:strCache>
                <c:ptCount val="1"/>
                <c:pt idx="0">
                  <c:v>Heating and cooling</c:v>
                </c:pt>
              </c:strCache>
            </c:strRef>
          </c:tx>
          <c:spPr>
            <a:solidFill>
              <a:schemeClr val="accent6"/>
            </a:solidFill>
          </c:spPr>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output'!$H$15:$Q$15</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ser>
          <c:idx val="9"/>
          <c:order val="9"/>
          <c:tx>
            <c:strRef>
              <c:f>'Intermediate output'!$D$16</c:f>
              <c:strCache>
                <c:ptCount val="1"/>
                <c:pt idx="0">
                  <c:v>Lighting &amp; appliances</c:v>
                </c:pt>
              </c:strCache>
            </c:strRef>
          </c:tx>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output'!$H$16:$Q$16</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ser>
          <c:idx val="11"/>
          <c:order val="10"/>
          <c:tx>
            <c:strRef>
              <c:f>'Intermediate output'!$D$20</c:f>
              <c:strCache>
                <c:ptCount val="1"/>
                <c:pt idx="0">
                  <c:v>Dummy for charting uses</c:v>
                </c:pt>
              </c:strCache>
            </c:strRef>
          </c:tx>
          <c:spPr>
            <a:noFill/>
            <a:ln>
              <a:noFill/>
            </a:ln>
          </c:spPr>
          <c:val>
            <c:numRef>
              <c:f>'Intermediate output'!$H$20:$Q$20</c:f>
              <c:numCache>
                <c:formatCode>#,##0.0_);\(#,##0.0\);"-"_);@</c:formatCode>
                <c:ptCount val="10"/>
                <c:pt idx="0">
                  <c:v>0.0</c:v>
                </c:pt>
                <c:pt idx="1">
                  <c:v>0.0</c:v>
                </c:pt>
                <c:pt idx="2">
                  <c:v>0.0</c:v>
                </c:pt>
                <c:pt idx="3">
                  <c:v>0.0</c:v>
                </c:pt>
                <c:pt idx="4">
                  <c:v>0.0</c:v>
                </c:pt>
                <c:pt idx="5">
                  <c:v>0.0</c:v>
                </c:pt>
                <c:pt idx="6">
                  <c:v>0.0</c:v>
                </c:pt>
                <c:pt idx="7">
                  <c:v>0.0</c:v>
                </c:pt>
                <c:pt idx="8">
                  <c:v>0.0</c:v>
                </c:pt>
                <c:pt idx="9">
                  <c:v>138.158140919076</c:v>
                </c:pt>
              </c:numCache>
            </c:numRef>
          </c:val>
        </c:ser>
        <c:dLbls>
          <c:showLegendKey val="0"/>
          <c:showVal val="0"/>
          <c:showCatName val="0"/>
          <c:showSerName val="0"/>
          <c:showPercent val="0"/>
          <c:showBubbleSize val="0"/>
        </c:dLbls>
        <c:axId val="426547496"/>
        <c:axId val="426550504"/>
      </c:areaChart>
      <c:catAx>
        <c:axId val="426547496"/>
        <c:scaling>
          <c:orientation val="minMax"/>
        </c:scaling>
        <c:delete val="0"/>
        <c:axPos val="b"/>
        <c:numFmt formatCode="General" sourceLinked="1"/>
        <c:majorTickMark val="out"/>
        <c:minorTickMark val="none"/>
        <c:tickLblPos val="nextTo"/>
        <c:txPr>
          <a:bodyPr/>
          <a:lstStyle/>
          <a:p>
            <a:pPr>
              <a:defRPr lang="en-US" sz="1200"/>
            </a:pPr>
            <a:endParaRPr lang="en-US"/>
          </a:p>
        </c:txPr>
        <c:crossAx val="426550504"/>
        <c:crosses val="autoZero"/>
        <c:auto val="1"/>
        <c:lblAlgn val="ctr"/>
        <c:lblOffset val="100"/>
        <c:noMultiLvlLbl val="0"/>
      </c:catAx>
      <c:valAx>
        <c:axId val="426550504"/>
        <c:scaling>
          <c:orientation val="minMax"/>
        </c:scaling>
        <c:delete val="0"/>
        <c:axPos val="l"/>
        <c:majorGridlines>
          <c:spPr>
            <a:ln>
              <a:solidFill>
                <a:schemeClr val="accent1">
                  <a:lumMod val="20000"/>
                  <a:lumOff val="80000"/>
                </a:schemeClr>
              </a:solidFill>
            </a:ln>
          </c:spPr>
        </c:majorGridlines>
        <c:title>
          <c:tx>
            <c:strRef>
              <c:f>'Intermediate output'!$D$4</c:f>
              <c:strCache>
                <c:ptCount val="1"/>
                <c:pt idx="0">
                  <c:v>TWh / year</c:v>
                </c:pt>
              </c:strCache>
            </c:strRef>
          </c:tx>
          <c:overlay val="0"/>
          <c:txPr>
            <a:bodyPr rot="-5400000" vert="horz"/>
            <a:lstStyle/>
            <a:p>
              <a:pPr>
                <a:defRPr lang="en-US" sz="1200"/>
              </a:pPr>
              <a:endParaRPr lang="en-US"/>
            </a:p>
          </c:txPr>
        </c:title>
        <c:numFmt formatCode="#,##0" sourceLinked="0"/>
        <c:majorTickMark val="out"/>
        <c:minorTickMark val="none"/>
        <c:tickLblPos val="nextTo"/>
        <c:spPr>
          <a:ln>
            <a:noFill/>
          </a:ln>
        </c:spPr>
        <c:txPr>
          <a:bodyPr/>
          <a:lstStyle/>
          <a:p>
            <a:pPr>
              <a:defRPr lang="en-US" sz="1200"/>
            </a:pPr>
            <a:endParaRPr lang="en-US"/>
          </a:p>
        </c:txPr>
        <c:crossAx val="426547496"/>
        <c:crosses val="autoZero"/>
        <c:crossBetween val="midCat"/>
      </c:valAx>
      <c:spPr>
        <a:noFill/>
      </c:spPr>
    </c:plotArea>
    <c:legend>
      <c:legendPos val="r"/>
      <c:legendEntry>
        <c:idx val="0"/>
        <c:delete val="1"/>
      </c:legendEntry>
      <c:layout>
        <c:manualLayout>
          <c:xMode val="edge"/>
          <c:yMode val="edge"/>
          <c:x val="0.767007860612409"/>
          <c:y val="0.0830073962088082"/>
          <c:w val="0.227245545737352"/>
          <c:h val="0.841593738337447"/>
        </c:manualLayout>
      </c:layout>
      <c:overlay val="0"/>
      <c:txPr>
        <a:bodyPr/>
        <a:lstStyle/>
        <a:p>
          <a:pPr>
            <a:defRPr lang="en-US" sz="1200"/>
          </a:pPr>
          <a:endParaRPr lang="en-US"/>
        </a:p>
      </c:txPr>
    </c:legend>
    <c:plotVisOnly val="1"/>
    <c:dispBlanksAs val="zero"/>
    <c:showDLblsOverMax val="0"/>
  </c:chart>
  <c:spPr>
    <a:noFill/>
    <a:ln>
      <a:noFill/>
    </a:ln>
  </c:spPr>
  <c:txPr>
    <a:bodyPr/>
    <a:lstStyle/>
    <a:p>
      <a:pPr>
        <a:defRPr>
          <a:latin typeface="+mj-lt"/>
        </a:defRPr>
      </a:pPr>
      <a:endParaRPr lang="en-US"/>
    </a:p>
  </c:txPr>
  <c:printSettings>
    <c:headerFooter/>
    <c:pageMargins b="0.750000000000016" l="0.700000000000002" r="0.700000000000002" t="0.75000000000001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title>
      <c:tx>
        <c:rich>
          <a:bodyPr/>
          <a:lstStyle/>
          <a:p>
            <a:pPr>
              <a:defRPr lang="en-US"/>
            </a:pPr>
            <a:r>
              <a:rPr lang="en-GB"/>
              <a:t>Primary supply</a:t>
            </a:r>
          </a:p>
        </c:rich>
      </c:tx>
      <c:layout>
        <c:manualLayout>
          <c:xMode val="edge"/>
          <c:yMode val="edge"/>
          <c:x val="0.283848836775698"/>
          <c:y val="0.0405513992795788"/>
        </c:manualLayout>
      </c:layout>
      <c:overlay val="0"/>
    </c:title>
    <c:autoTitleDeleted val="0"/>
    <c:plotArea>
      <c:layout>
        <c:manualLayout>
          <c:layoutTarget val="inner"/>
          <c:xMode val="edge"/>
          <c:yMode val="edge"/>
          <c:x val="0.115145103248964"/>
          <c:y val="0.142938648603397"/>
          <c:w val="0.615028124877673"/>
          <c:h val="0.746722937856857"/>
        </c:manualLayout>
      </c:layout>
      <c:areaChart>
        <c:grouping val="stacked"/>
        <c:varyColors val="0"/>
        <c:ser>
          <c:idx val="6"/>
          <c:order val="0"/>
          <c:tx>
            <c:strRef>
              <c:f>'Intermediate output'!$D$31</c:f>
              <c:strCache>
                <c:ptCount val="1"/>
                <c:pt idx="0">
                  <c:v>Primary electricity, solar, marine, and net imports</c:v>
                </c:pt>
              </c:strCache>
            </c:strRef>
          </c:tx>
          <c:spPr>
            <a:solidFill>
              <a:schemeClr val="accent1">
                <a:lumMod val="60000"/>
                <a:lumOff val="40000"/>
              </a:schemeClr>
            </a:solidFill>
            <a:effectLst/>
          </c:spPr>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output'!$H$31:$Q$31</c:f>
              <c:numCache>
                <c:formatCode>#,##0.0_);\(#,##0.0\);"-"_);@</c:formatCode>
                <c:ptCount val="10"/>
                <c:pt idx="0">
                  <c:v>0.0</c:v>
                </c:pt>
                <c:pt idx="1">
                  <c:v>0.0</c:v>
                </c:pt>
                <c:pt idx="2">
                  <c:v>0.0</c:v>
                </c:pt>
                <c:pt idx="3">
                  <c:v>0.0</c:v>
                </c:pt>
                <c:pt idx="4">
                  <c:v>0.0</c:v>
                </c:pt>
                <c:pt idx="5">
                  <c:v>0.0</c:v>
                </c:pt>
                <c:pt idx="6">
                  <c:v>0.0</c:v>
                </c:pt>
                <c:pt idx="7">
                  <c:v>0.0</c:v>
                </c:pt>
                <c:pt idx="8">
                  <c:v>0.0</c:v>
                </c:pt>
                <c:pt idx="9">
                  <c:v>-261.962114117724</c:v>
                </c:pt>
              </c:numCache>
            </c:numRef>
          </c:val>
        </c:ser>
        <c:ser>
          <c:idx val="7"/>
          <c:order val="1"/>
          <c:tx>
            <c:strRef>
              <c:f>'Intermediate output'!$D$32</c:f>
              <c:strCache>
                <c:ptCount val="1"/>
                <c:pt idx="0">
                  <c:v>Environmental heat</c:v>
                </c:pt>
              </c:strCache>
            </c:strRef>
          </c:tx>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output'!$H$32:$Q$32</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ser>
          <c:idx val="8"/>
          <c:order val="2"/>
          <c:tx>
            <c:strRef>
              <c:f>'Intermediate output'!$D$36</c:f>
              <c:strCache>
                <c:ptCount val="1"/>
                <c:pt idx="0">
                  <c:v>Agriculture, waste, and biomatter imports</c:v>
                </c:pt>
              </c:strCache>
            </c:strRef>
          </c:tx>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output'!$H$36:$Q$36</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ser>
          <c:idx val="9"/>
          <c:order val="3"/>
          <c:tx>
            <c:strRef>
              <c:f>'Intermediate output'!$D$39</c:f>
              <c:strCache>
                <c:ptCount val="1"/>
                <c:pt idx="0">
                  <c:v>Coal</c:v>
                </c:pt>
              </c:strCache>
            </c:strRef>
          </c:tx>
          <c:spPr>
            <a:solidFill>
              <a:schemeClr val="bg2">
                <a:lumMod val="25000"/>
              </a:schemeClr>
            </a:solidFill>
            <a:effectLst/>
          </c:spPr>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output'!$H$39:$Q$39</c:f>
              <c:numCache>
                <c:formatCode>#,##0.0_);\(#,##0.0\);"-"_);@</c:formatCode>
                <c:ptCount val="10"/>
                <c:pt idx="0">
                  <c:v>0.0</c:v>
                </c:pt>
                <c:pt idx="1">
                  <c:v>0.0</c:v>
                </c:pt>
                <c:pt idx="2">
                  <c:v>0.0</c:v>
                </c:pt>
                <c:pt idx="3">
                  <c:v>0.0</c:v>
                </c:pt>
                <c:pt idx="4">
                  <c:v>0.0</c:v>
                </c:pt>
                <c:pt idx="5">
                  <c:v>0.0</c:v>
                </c:pt>
                <c:pt idx="6">
                  <c:v>0.0</c:v>
                </c:pt>
                <c:pt idx="7">
                  <c:v>0.0</c:v>
                </c:pt>
                <c:pt idx="8">
                  <c:v>0.0</c:v>
                </c:pt>
                <c:pt idx="9">
                  <c:v>400.1202550368</c:v>
                </c:pt>
              </c:numCache>
            </c:numRef>
          </c:val>
        </c:ser>
        <c:ser>
          <c:idx val="10"/>
          <c:order val="4"/>
          <c:tx>
            <c:strRef>
              <c:f>'Intermediate output'!$D$43</c:f>
              <c:strCache>
                <c:ptCount val="1"/>
                <c:pt idx="0">
                  <c:v>Oil and petroleum products</c:v>
                </c:pt>
              </c:strCache>
            </c:strRef>
          </c:tx>
          <c:spPr>
            <a:solidFill>
              <a:schemeClr val="bg2">
                <a:lumMod val="50000"/>
              </a:schemeClr>
            </a:solidFill>
          </c:spPr>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output'!$H$43:$Q$43</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ser>
          <c:idx val="11"/>
          <c:order val="5"/>
          <c:tx>
            <c:strRef>
              <c:f>'Intermediate output'!$D$46</c:f>
              <c:strCache>
                <c:ptCount val="1"/>
                <c:pt idx="0">
                  <c:v>Natural gas</c:v>
                </c:pt>
              </c:strCache>
            </c:strRef>
          </c:tx>
          <c:spPr>
            <a:solidFill>
              <a:schemeClr val="bg2">
                <a:lumMod val="90000"/>
              </a:schemeClr>
            </a:solidFill>
          </c:spPr>
          <c:val>
            <c:numRef>
              <c:f>'Intermediate output'!$H$46:$Q$46</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ser>
          <c:idx val="12"/>
          <c:order val="6"/>
          <c:tx>
            <c:strRef>
              <c:f>'Intermediate output'!$D$49</c:f>
              <c:strCache>
                <c:ptCount val="1"/>
                <c:pt idx="0">
                  <c:v>Dummy for charting supply</c:v>
                </c:pt>
              </c:strCache>
            </c:strRef>
          </c:tx>
          <c:spPr>
            <a:noFill/>
            <a:ln>
              <a:noFill/>
            </a:ln>
          </c:spPr>
          <c:val>
            <c:numRef>
              <c:f>'Intermediate output'!$H$49:$Q$49</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dLbls>
          <c:showLegendKey val="0"/>
          <c:showVal val="0"/>
          <c:showCatName val="0"/>
          <c:showSerName val="0"/>
          <c:showPercent val="0"/>
          <c:showBubbleSize val="0"/>
        </c:dLbls>
        <c:axId val="434261464"/>
        <c:axId val="434264536"/>
      </c:areaChart>
      <c:catAx>
        <c:axId val="434261464"/>
        <c:scaling>
          <c:orientation val="minMax"/>
        </c:scaling>
        <c:delete val="0"/>
        <c:axPos val="b"/>
        <c:numFmt formatCode="General" sourceLinked="1"/>
        <c:majorTickMark val="out"/>
        <c:minorTickMark val="none"/>
        <c:tickLblPos val="nextTo"/>
        <c:txPr>
          <a:bodyPr/>
          <a:lstStyle/>
          <a:p>
            <a:pPr>
              <a:defRPr lang="en-US" sz="1200"/>
            </a:pPr>
            <a:endParaRPr lang="en-US"/>
          </a:p>
        </c:txPr>
        <c:crossAx val="434264536"/>
        <c:crosses val="autoZero"/>
        <c:auto val="1"/>
        <c:lblAlgn val="ctr"/>
        <c:lblOffset val="100"/>
        <c:noMultiLvlLbl val="0"/>
      </c:catAx>
      <c:valAx>
        <c:axId val="434264536"/>
        <c:scaling>
          <c:orientation val="minMax"/>
        </c:scaling>
        <c:delete val="0"/>
        <c:axPos val="l"/>
        <c:majorGridlines>
          <c:spPr>
            <a:ln>
              <a:solidFill>
                <a:schemeClr val="accent1">
                  <a:lumMod val="20000"/>
                  <a:lumOff val="80000"/>
                </a:schemeClr>
              </a:solidFill>
            </a:ln>
          </c:spPr>
        </c:majorGridlines>
        <c:title>
          <c:tx>
            <c:strRef>
              <c:f>'Intermediate output'!$D$4</c:f>
              <c:strCache>
                <c:ptCount val="1"/>
                <c:pt idx="0">
                  <c:v>TWh / year</c:v>
                </c:pt>
              </c:strCache>
            </c:strRef>
          </c:tx>
          <c:overlay val="0"/>
          <c:txPr>
            <a:bodyPr rot="-5400000" vert="horz"/>
            <a:lstStyle/>
            <a:p>
              <a:pPr>
                <a:defRPr lang="en-US" sz="1200"/>
              </a:pPr>
              <a:endParaRPr lang="en-US"/>
            </a:p>
          </c:txPr>
        </c:title>
        <c:numFmt formatCode="#,##0" sourceLinked="0"/>
        <c:majorTickMark val="out"/>
        <c:minorTickMark val="none"/>
        <c:tickLblPos val="nextTo"/>
        <c:spPr>
          <a:ln>
            <a:noFill/>
          </a:ln>
        </c:spPr>
        <c:txPr>
          <a:bodyPr/>
          <a:lstStyle/>
          <a:p>
            <a:pPr>
              <a:defRPr lang="en-US" sz="1200"/>
            </a:pPr>
            <a:endParaRPr lang="en-US"/>
          </a:p>
        </c:txPr>
        <c:crossAx val="434261464"/>
        <c:crosses val="autoZero"/>
        <c:crossBetween val="midCat"/>
      </c:valAx>
      <c:spPr>
        <a:noFill/>
      </c:spPr>
    </c:plotArea>
    <c:legend>
      <c:legendPos val="r"/>
      <c:legendEntry>
        <c:idx val="0"/>
        <c:delete val="1"/>
      </c:legendEntry>
      <c:layout>
        <c:manualLayout>
          <c:xMode val="edge"/>
          <c:yMode val="edge"/>
          <c:x val="0.74820120227706"/>
          <c:y val="0.102083910593886"/>
          <c:w val="0.251798797722952"/>
          <c:h val="0.771367876604854"/>
        </c:manualLayout>
      </c:layout>
      <c:overlay val="0"/>
      <c:txPr>
        <a:bodyPr/>
        <a:lstStyle/>
        <a:p>
          <a:pPr>
            <a:defRPr lang="en-US" sz="1200"/>
          </a:pPr>
          <a:endParaRPr lang="en-US"/>
        </a:p>
      </c:txPr>
    </c:legend>
    <c:plotVisOnly val="1"/>
    <c:dispBlanksAs val="zero"/>
    <c:showDLblsOverMax val="0"/>
  </c:chart>
  <c:spPr>
    <a:noFill/>
    <a:ln>
      <a:noFill/>
    </a:ln>
  </c:spPr>
  <c:txPr>
    <a:bodyPr/>
    <a:lstStyle/>
    <a:p>
      <a:pPr>
        <a:defRPr>
          <a:latin typeface="+mj-lt"/>
        </a:defRPr>
      </a:pPr>
      <a:endParaRPr lang="en-US"/>
    </a:p>
  </c:txPr>
  <c:printSettings>
    <c:headerFooter/>
    <c:pageMargins b="0.750000000000016" l="0.700000000000002" r="0.700000000000002" t="0.75000000000001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title>
      <c:tx>
        <c:rich>
          <a:bodyPr/>
          <a:lstStyle/>
          <a:p>
            <a:pPr>
              <a:defRPr lang="en-US"/>
            </a:pPr>
            <a:r>
              <a:rPr lang="en-GB"/>
              <a:t>Electricity generation</a:t>
            </a:r>
          </a:p>
        </c:rich>
      </c:tx>
      <c:layout>
        <c:manualLayout>
          <c:xMode val="edge"/>
          <c:yMode val="edge"/>
          <c:x val="0.190569031847216"/>
          <c:y val="0.0237598231827112"/>
        </c:manualLayout>
      </c:layout>
      <c:overlay val="0"/>
    </c:title>
    <c:autoTitleDeleted val="0"/>
    <c:plotArea>
      <c:layout>
        <c:manualLayout>
          <c:layoutTarget val="inner"/>
          <c:xMode val="edge"/>
          <c:yMode val="edge"/>
          <c:x val="0.118608349425654"/>
          <c:y val="0.142938648603397"/>
          <c:w val="0.639338575779897"/>
          <c:h val="0.746722937856857"/>
        </c:manualLayout>
      </c:layout>
      <c:areaChart>
        <c:grouping val="stacked"/>
        <c:varyColors val="0"/>
        <c:ser>
          <c:idx val="6"/>
          <c:order val="0"/>
          <c:tx>
            <c:strRef>
              <c:f>'Intermediate output'!$D$99</c:f>
              <c:strCache>
                <c:ptCount val="1"/>
                <c:pt idx="0">
                  <c:v>Unabated thermal generation</c:v>
                </c:pt>
              </c:strCache>
            </c:strRef>
          </c:tx>
          <c:spPr>
            <a:solidFill>
              <a:schemeClr val="bg1">
                <a:lumMod val="50000"/>
              </a:schemeClr>
            </a:solidFill>
            <a:effectLst/>
          </c:spPr>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output'!$H$99:$Q$99</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ser>
          <c:idx val="7"/>
          <c:order val="1"/>
          <c:tx>
            <c:strRef>
              <c:f>'Intermediate output'!$D$100</c:f>
              <c:strCache>
                <c:ptCount val="1"/>
                <c:pt idx="0">
                  <c:v>Carbon Capture Storage (CCS)</c:v>
                </c:pt>
              </c:strCache>
            </c:strRef>
          </c:tx>
          <c:spPr>
            <a:effectLst/>
          </c:spPr>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output'!$H$100:$Q$100</c:f>
              <c:numCache>
                <c:formatCode>#,##0.0_);\(#,##0.0\);"-"_);@</c:formatCode>
                <c:ptCount val="10"/>
                <c:pt idx="0">
                  <c:v>0.0</c:v>
                </c:pt>
                <c:pt idx="1">
                  <c:v>0.0</c:v>
                </c:pt>
                <c:pt idx="2">
                  <c:v>0.0</c:v>
                </c:pt>
                <c:pt idx="3">
                  <c:v>0.0</c:v>
                </c:pt>
                <c:pt idx="4">
                  <c:v>0.0</c:v>
                </c:pt>
                <c:pt idx="5">
                  <c:v>0.0</c:v>
                </c:pt>
                <c:pt idx="6">
                  <c:v>0.0</c:v>
                </c:pt>
                <c:pt idx="7">
                  <c:v>0.0</c:v>
                </c:pt>
                <c:pt idx="8">
                  <c:v>0.0</c:v>
                </c:pt>
                <c:pt idx="9">
                  <c:v>261.962114117724</c:v>
                </c:pt>
              </c:numCache>
            </c:numRef>
          </c:val>
        </c:ser>
        <c:ser>
          <c:idx val="8"/>
          <c:order val="2"/>
          <c:tx>
            <c:strRef>
              <c:f>'Intermediate output'!$D$101</c:f>
              <c:strCache>
                <c:ptCount val="1"/>
                <c:pt idx="0">
                  <c:v>Nuclear power</c:v>
                </c:pt>
              </c:strCache>
            </c:strRef>
          </c:tx>
          <c:spPr>
            <a:solidFill>
              <a:schemeClr val="accent4">
                <a:lumMod val="60000"/>
                <a:lumOff val="40000"/>
              </a:schemeClr>
            </a:solidFill>
            <a:effectLst/>
          </c:spPr>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output'!$H$101:$Q$101</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ser>
          <c:idx val="9"/>
          <c:order val="3"/>
          <c:tx>
            <c:strRef>
              <c:f>'Intermediate output'!$D$109</c:f>
              <c:strCache>
                <c:ptCount val="1"/>
                <c:pt idx="0">
                  <c:v>Non-thermal renewable generation</c:v>
                </c:pt>
              </c:strCache>
            </c:strRef>
          </c:tx>
          <c:spPr>
            <a:solidFill>
              <a:schemeClr val="accent3"/>
            </a:solidFill>
            <a:effectLst/>
          </c:spPr>
          <c:cat>
            <c:numRef>
              <c:f>'Intermediate output'!$H$4:$Q$4</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output'!$H$109:$Q$109</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ser>
          <c:idx val="12"/>
          <c:order val="6"/>
          <c:tx>
            <c:strRef>
              <c:f>'Intermediate output'!$D$110</c:f>
              <c:strCache>
                <c:ptCount val="1"/>
                <c:pt idx="0">
                  <c:v>Electricity imports</c:v>
                </c:pt>
              </c:strCache>
            </c:strRef>
          </c:tx>
          <c:spPr>
            <a:solidFill>
              <a:schemeClr val="accent6">
                <a:lumMod val="60000"/>
                <a:lumOff val="40000"/>
              </a:schemeClr>
            </a:solidFill>
          </c:spPr>
          <c:val>
            <c:numRef>
              <c:f>'Intermediate output'!$H$110:$Q$110</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er>
        <c:dLbls>
          <c:showLegendKey val="0"/>
          <c:showVal val="0"/>
          <c:showCatName val="0"/>
          <c:showSerName val="0"/>
          <c:showPercent val="0"/>
          <c:showBubbleSize val="0"/>
        </c:dLbls>
        <c:axId val="434326616"/>
        <c:axId val="434329656"/>
      </c:areaChart>
      <c:lineChart>
        <c:grouping val="standard"/>
        <c:varyColors val="0"/>
        <c:ser>
          <c:idx val="10"/>
          <c:order val="4"/>
          <c:tx>
            <c:v>Domestic demand</c:v>
          </c:tx>
          <c:spPr>
            <a:ln w="57150">
              <a:solidFill>
                <a:srgbClr val="000000">
                  <a:alpha val="50196"/>
                </a:srgbClr>
              </a:solidFill>
            </a:ln>
          </c:spPr>
          <c:marker>
            <c:symbol val="none"/>
          </c:marker>
          <c:cat>
            <c:numRef>
              <c:f>'Intermediate output'!$H$95:$Q$95</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output'!$H$85:$Q$85</c:f>
              <c:numCache>
                <c:formatCode>#,##0.0_);\(#,##0.0\);"-"_);@</c:formatCode>
                <c:ptCount val="10"/>
                <c:pt idx="0">
                  <c:v>0.0</c:v>
                </c:pt>
                <c:pt idx="1">
                  <c:v>0.0</c:v>
                </c:pt>
                <c:pt idx="2">
                  <c:v>0.0</c:v>
                </c:pt>
                <c:pt idx="3">
                  <c:v>0.0</c:v>
                </c:pt>
                <c:pt idx="4">
                  <c:v>0.0</c:v>
                </c:pt>
                <c:pt idx="5">
                  <c:v>0.0</c:v>
                </c:pt>
                <c:pt idx="6">
                  <c:v>0.0</c:v>
                </c:pt>
                <c:pt idx="7">
                  <c:v>0.0</c:v>
                </c:pt>
                <c:pt idx="8">
                  <c:v>0.0</c:v>
                </c:pt>
                <c:pt idx="9">
                  <c:v>0.0</c:v>
                </c:pt>
              </c:numCache>
            </c:numRef>
          </c:val>
          <c:smooth val="0"/>
        </c:ser>
        <c:ser>
          <c:idx val="11"/>
          <c:order val="5"/>
          <c:tx>
            <c:v>Dummy</c:v>
          </c:tx>
          <c:spPr>
            <a:ln>
              <a:noFill/>
            </a:ln>
          </c:spPr>
          <c:marker>
            <c:symbol val="none"/>
          </c:marker>
          <c:cat>
            <c:numRef>
              <c:f>'Intermediate output'!$H$95:$Q$95</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output'!$H$86:$Q$86</c:f>
              <c:numCache>
                <c:formatCode>#,##0.0_);\(#,##0.0\);"-"_);@</c:formatCode>
                <c:ptCount val="10"/>
                <c:pt idx="0">
                  <c:v>0.0</c:v>
                </c:pt>
                <c:pt idx="1">
                  <c:v>0.0</c:v>
                </c:pt>
                <c:pt idx="2">
                  <c:v>0.0</c:v>
                </c:pt>
                <c:pt idx="3">
                  <c:v>0.0</c:v>
                </c:pt>
                <c:pt idx="4">
                  <c:v>0.0</c:v>
                </c:pt>
                <c:pt idx="5">
                  <c:v>0.0</c:v>
                </c:pt>
                <c:pt idx="6">
                  <c:v>0.0</c:v>
                </c:pt>
                <c:pt idx="7">
                  <c:v>0.0</c:v>
                </c:pt>
                <c:pt idx="8">
                  <c:v>0.0</c:v>
                </c:pt>
                <c:pt idx="9">
                  <c:v>261.962114117724</c:v>
                </c:pt>
              </c:numCache>
            </c:numRef>
          </c:val>
          <c:smooth val="0"/>
        </c:ser>
        <c:dLbls>
          <c:showLegendKey val="0"/>
          <c:showVal val="0"/>
          <c:showCatName val="0"/>
          <c:showSerName val="0"/>
          <c:showPercent val="0"/>
          <c:showBubbleSize val="0"/>
        </c:dLbls>
        <c:marker val="1"/>
        <c:smooth val="0"/>
        <c:axId val="434338504"/>
        <c:axId val="434335592"/>
      </c:lineChart>
      <c:catAx>
        <c:axId val="434326616"/>
        <c:scaling>
          <c:orientation val="minMax"/>
        </c:scaling>
        <c:delete val="0"/>
        <c:axPos val="b"/>
        <c:numFmt formatCode="General" sourceLinked="1"/>
        <c:majorTickMark val="out"/>
        <c:minorTickMark val="none"/>
        <c:tickLblPos val="nextTo"/>
        <c:txPr>
          <a:bodyPr/>
          <a:lstStyle/>
          <a:p>
            <a:pPr>
              <a:defRPr lang="en-US" sz="1200"/>
            </a:pPr>
            <a:endParaRPr lang="en-US"/>
          </a:p>
        </c:txPr>
        <c:crossAx val="434329656"/>
        <c:crosses val="autoZero"/>
        <c:auto val="1"/>
        <c:lblAlgn val="ctr"/>
        <c:lblOffset val="100"/>
        <c:noMultiLvlLbl val="0"/>
      </c:catAx>
      <c:valAx>
        <c:axId val="434329656"/>
        <c:scaling>
          <c:orientation val="minMax"/>
        </c:scaling>
        <c:delete val="0"/>
        <c:axPos val="l"/>
        <c:majorGridlines>
          <c:spPr>
            <a:ln>
              <a:solidFill>
                <a:schemeClr val="accent1">
                  <a:lumMod val="20000"/>
                  <a:lumOff val="80000"/>
                </a:schemeClr>
              </a:solidFill>
            </a:ln>
          </c:spPr>
        </c:majorGridlines>
        <c:title>
          <c:tx>
            <c:strRef>
              <c:f>'Intermediate output'!$D$4</c:f>
              <c:strCache>
                <c:ptCount val="1"/>
                <c:pt idx="0">
                  <c:v>TWh / year</c:v>
                </c:pt>
              </c:strCache>
            </c:strRef>
          </c:tx>
          <c:layout>
            <c:manualLayout>
              <c:xMode val="edge"/>
              <c:yMode val="edge"/>
              <c:x val="0.0"/>
              <c:y val="0.386545961002795"/>
            </c:manualLayout>
          </c:layout>
          <c:overlay val="0"/>
          <c:txPr>
            <a:bodyPr rot="-5400000" vert="horz"/>
            <a:lstStyle/>
            <a:p>
              <a:pPr>
                <a:defRPr lang="en-US" sz="1200"/>
              </a:pPr>
              <a:endParaRPr lang="en-US"/>
            </a:p>
          </c:txPr>
        </c:title>
        <c:numFmt formatCode="#,##0" sourceLinked="0"/>
        <c:majorTickMark val="out"/>
        <c:minorTickMark val="none"/>
        <c:tickLblPos val="nextTo"/>
        <c:spPr>
          <a:ln>
            <a:noFill/>
          </a:ln>
        </c:spPr>
        <c:txPr>
          <a:bodyPr/>
          <a:lstStyle/>
          <a:p>
            <a:pPr>
              <a:defRPr lang="en-US" sz="1200"/>
            </a:pPr>
            <a:endParaRPr lang="en-US"/>
          </a:p>
        </c:txPr>
        <c:crossAx val="434326616"/>
        <c:crosses val="autoZero"/>
        <c:crossBetween val="midCat"/>
      </c:valAx>
      <c:valAx>
        <c:axId val="434335592"/>
        <c:scaling>
          <c:orientation val="minMax"/>
        </c:scaling>
        <c:delete val="1"/>
        <c:axPos val="r"/>
        <c:numFmt formatCode="#,##0.0_);\(#,##0.0\);&quot;-&quot;_);@" sourceLinked="1"/>
        <c:majorTickMark val="out"/>
        <c:minorTickMark val="none"/>
        <c:tickLblPos val="none"/>
        <c:crossAx val="434338504"/>
        <c:crosses val="max"/>
        <c:crossBetween val="between"/>
      </c:valAx>
      <c:catAx>
        <c:axId val="434338504"/>
        <c:scaling>
          <c:orientation val="minMax"/>
        </c:scaling>
        <c:delete val="1"/>
        <c:axPos val="b"/>
        <c:numFmt formatCode="General" sourceLinked="1"/>
        <c:majorTickMark val="out"/>
        <c:minorTickMark val="none"/>
        <c:tickLblPos val="none"/>
        <c:crossAx val="434335592"/>
        <c:crosses val="autoZero"/>
        <c:auto val="1"/>
        <c:lblAlgn val="ctr"/>
        <c:lblOffset val="100"/>
        <c:noMultiLvlLbl val="0"/>
      </c:catAx>
      <c:spPr>
        <a:noFill/>
        <a:effectLst/>
      </c:spPr>
    </c:plotArea>
    <c:legend>
      <c:legendPos val="r"/>
      <c:legendEntry>
        <c:idx val="6"/>
        <c:delete val="1"/>
      </c:legendEntry>
      <c:layout>
        <c:manualLayout>
          <c:xMode val="edge"/>
          <c:yMode val="edge"/>
          <c:x val="0.752158758661601"/>
          <c:y val="0.102083910593886"/>
          <c:w val="0.247841220118719"/>
          <c:h val="0.839970897971011"/>
        </c:manualLayout>
      </c:layout>
      <c:overlay val="0"/>
      <c:txPr>
        <a:bodyPr/>
        <a:lstStyle/>
        <a:p>
          <a:pPr>
            <a:defRPr lang="en-US" sz="1200"/>
          </a:pPr>
          <a:endParaRPr lang="en-US"/>
        </a:p>
      </c:txPr>
    </c:legend>
    <c:plotVisOnly val="1"/>
    <c:dispBlanksAs val="zero"/>
    <c:showDLblsOverMax val="0"/>
  </c:chart>
  <c:spPr>
    <a:noFill/>
    <a:ln>
      <a:noFill/>
    </a:ln>
  </c:spPr>
  <c:txPr>
    <a:bodyPr/>
    <a:lstStyle/>
    <a:p>
      <a:pPr>
        <a:defRPr>
          <a:latin typeface="+mj-lt"/>
        </a:defRPr>
      </a:pPr>
      <a:endParaRPr lang="en-US"/>
    </a:p>
  </c:txPr>
  <c:printSettings>
    <c:headerFooter/>
    <c:pageMargins b="0.750000000000016" l="0.700000000000002" r="0.700000000000002" t="0.75000000000001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title>
      <c:tx>
        <c:rich>
          <a:bodyPr/>
          <a:lstStyle/>
          <a:p>
            <a:pPr>
              <a:defRPr lang="en-US"/>
            </a:pPr>
            <a:r>
              <a:rPr lang="en-GB"/>
              <a:t>Emissions (% of base year)</a:t>
            </a:r>
          </a:p>
        </c:rich>
      </c:tx>
      <c:layout>
        <c:manualLayout>
          <c:xMode val="edge"/>
          <c:yMode val="edge"/>
          <c:x val="0.269092923684014"/>
          <c:y val="0.0378176398464807"/>
        </c:manualLayout>
      </c:layout>
      <c:overlay val="0"/>
    </c:title>
    <c:autoTitleDeleted val="0"/>
    <c:plotArea>
      <c:layout>
        <c:manualLayout>
          <c:layoutTarget val="inner"/>
          <c:xMode val="edge"/>
          <c:yMode val="edge"/>
          <c:x val="0.109388716961062"/>
          <c:y val="0.123391752101238"/>
          <c:w val="0.621433302961441"/>
          <c:h val="0.781358640435946"/>
        </c:manualLayout>
      </c:layout>
      <c:areaChart>
        <c:grouping val="stacked"/>
        <c:varyColors val="0"/>
        <c:ser>
          <c:idx val="6"/>
          <c:order val="2"/>
          <c:tx>
            <c:strRef>
              <c:f>'Intermediate output'!$D$139</c:f>
              <c:strCache>
                <c:ptCount val="1"/>
                <c:pt idx="0">
                  <c:v>Fuel Combustion</c:v>
                </c:pt>
              </c:strCache>
            </c:strRef>
          </c:tx>
          <c:spPr>
            <a:solidFill>
              <a:schemeClr val="bg1">
                <a:lumMod val="75000"/>
              </a:schemeClr>
            </a:solidFill>
            <a:ln>
              <a:noFill/>
            </a:ln>
            <a:effectLst/>
          </c:spPr>
          <c:cat>
            <c:numRef>
              <c:f>'Intermediate output'!$H$136:$Q$136</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output'!$H$139:$Q$139</c:f>
              <c:numCache>
                <c:formatCode>0%;\ \(0%\);\ \-</c:formatCode>
                <c:ptCount val="10"/>
                <c:pt idx="0">
                  <c:v>0.0</c:v>
                </c:pt>
                <c:pt idx="1">
                  <c:v>0.0</c:v>
                </c:pt>
                <c:pt idx="2">
                  <c:v>0.0</c:v>
                </c:pt>
                <c:pt idx="3">
                  <c:v>0.0</c:v>
                </c:pt>
                <c:pt idx="4">
                  <c:v>0.0</c:v>
                </c:pt>
                <c:pt idx="5">
                  <c:v>0.0</c:v>
                </c:pt>
                <c:pt idx="6">
                  <c:v>0.0</c:v>
                </c:pt>
                <c:pt idx="7">
                  <c:v>0.0</c:v>
                </c:pt>
                <c:pt idx="8">
                  <c:v>0.0</c:v>
                </c:pt>
                <c:pt idx="9">
                  <c:v>0.0</c:v>
                </c:pt>
              </c:numCache>
            </c:numRef>
          </c:val>
        </c:ser>
        <c:ser>
          <c:idx val="7"/>
          <c:order val="3"/>
          <c:tx>
            <c:strRef>
              <c:f>'Intermediate output'!$D$140</c:f>
              <c:strCache>
                <c:ptCount val="1"/>
                <c:pt idx="0">
                  <c:v>Industrial Processes</c:v>
                </c:pt>
              </c:strCache>
            </c:strRef>
          </c:tx>
          <c:spPr>
            <a:solidFill>
              <a:schemeClr val="accent4"/>
            </a:solidFill>
            <a:ln>
              <a:noFill/>
            </a:ln>
          </c:spPr>
          <c:cat>
            <c:numRef>
              <c:f>'Intermediate output'!$H$136:$Q$136</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output'!$H$140:$Q$140</c:f>
              <c:numCache>
                <c:formatCode>0%;\ \(0%\);\ \-</c:formatCode>
                <c:ptCount val="10"/>
                <c:pt idx="0">
                  <c:v>0.0</c:v>
                </c:pt>
                <c:pt idx="1">
                  <c:v>0.0</c:v>
                </c:pt>
                <c:pt idx="2">
                  <c:v>0.0</c:v>
                </c:pt>
                <c:pt idx="3">
                  <c:v>0.0</c:v>
                </c:pt>
                <c:pt idx="4">
                  <c:v>0.0</c:v>
                </c:pt>
                <c:pt idx="5">
                  <c:v>0.0</c:v>
                </c:pt>
                <c:pt idx="6">
                  <c:v>0.0</c:v>
                </c:pt>
                <c:pt idx="7">
                  <c:v>0.0</c:v>
                </c:pt>
                <c:pt idx="8">
                  <c:v>0.0</c:v>
                </c:pt>
                <c:pt idx="9">
                  <c:v>0.0</c:v>
                </c:pt>
              </c:numCache>
            </c:numRef>
          </c:val>
        </c:ser>
        <c:ser>
          <c:idx val="8"/>
          <c:order val="4"/>
          <c:tx>
            <c:strRef>
              <c:f>'Intermediate output'!$D$142</c:f>
              <c:strCache>
                <c:ptCount val="1"/>
                <c:pt idx="0">
                  <c:v>Agriculture</c:v>
                </c:pt>
              </c:strCache>
            </c:strRef>
          </c:tx>
          <c:spPr>
            <a:solidFill>
              <a:schemeClr val="accent3"/>
            </a:solidFill>
            <a:ln>
              <a:noFill/>
            </a:ln>
          </c:spPr>
          <c:cat>
            <c:numRef>
              <c:f>'Intermediate output'!$H$136:$Q$136</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output'!$H$142:$Q$142</c:f>
              <c:numCache>
                <c:formatCode>0%;\ \(0%\);\ \-</c:formatCode>
                <c:ptCount val="10"/>
                <c:pt idx="0">
                  <c:v>0.0</c:v>
                </c:pt>
                <c:pt idx="1">
                  <c:v>0.0</c:v>
                </c:pt>
                <c:pt idx="2">
                  <c:v>0.0</c:v>
                </c:pt>
                <c:pt idx="3">
                  <c:v>0.0</c:v>
                </c:pt>
                <c:pt idx="4">
                  <c:v>0.0</c:v>
                </c:pt>
                <c:pt idx="5">
                  <c:v>0.0</c:v>
                </c:pt>
                <c:pt idx="6">
                  <c:v>0.0</c:v>
                </c:pt>
                <c:pt idx="7">
                  <c:v>0.0</c:v>
                </c:pt>
                <c:pt idx="8">
                  <c:v>0.0</c:v>
                </c:pt>
                <c:pt idx="9">
                  <c:v>0.0</c:v>
                </c:pt>
              </c:numCache>
            </c:numRef>
          </c:val>
        </c:ser>
        <c:ser>
          <c:idx val="9"/>
          <c:order val="5"/>
          <c:tx>
            <c:strRef>
              <c:f>'Intermediate output'!$D$143</c:f>
              <c:strCache>
                <c:ptCount val="1"/>
                <c:pt idx="0">
                  <c:v>Land Use, Land-Use Change and Forestry</c:v>
                </c:pt>
              </c:strCache>
            </c:strRef>
          </c:tx>
          <c:spPr>
            <a:solidFill>
              <a:schemeClr val="accent3">
                <a:lumMod val="50000"/>
              </a:schemeClr>
            </a:solidFill>
            <a:ln>
              <a:noFill/>
            </a:ln>
          </c:spPr>
          <c:cat>
            <c:numRef>
              <c:f>'Intermediate output'!$H$136:$Q$136</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output'!$H$143:$Q$143</c:f>
              <c:numCache>
                <c:formatCode>0%;\ \(0%\);\ \-</c:formatCode>
                <c:ptCount val="10"/>
                <c:pt idx="0">
                  <c:v>0.0</c:v>
                </c:pt>
                <c:pt idx="1">
                  <c:v>0.0</c:v>
                </c:pt>
                <c:pt idx="2">
                  <c:v>0.0</c:v>
                </c:pt>
                <c:pt idx="3">
                  <c:v>0.0</c:v>
                </c:pt>
                <c:pt idx="4">
                  <c:v>0.0</c:v>
                </c:pt>
                <c:pt idx="5">
                  <c:v>0.0</c:v>
                </c:pt>
                <c:pt idx="6">
                  <c:v>0.0</c:v>
                </c:pt>
                <c:pt idx="7">
                  <c:v>0.0</c:v>
                </c:pt>
                <c:pt idx="8">
                  <c:v>0.0</c:v>
                </c:pt>
                <c:pt idx="9">
                  <c:v>0.0</c:v>
                </c:pt>
              </c:numCache>
            </c:numRef>
          </c:val>
        </c:ser>
        <c:ser>
          <c:idx val="10"/>
          <c:order val="6"/>
          <c:tx>
            <c:strRef>
              <c:f>'Intermediate output'!$D$144</c:f>
              <c:strCache>
                <c:ptCount val="1"/>
                <c:pt idx="0">
                  <c:v>Waste</c:v>
                </c:pt>
              </c:strCache>
            </c:strRef>
          </c:tx>
          <c:spPr>
            <a:solidFill>
              <a:schemeClr val="accent6">
                <a:lumMod val="75000"/>
              </a:schemeClr>
            </a:solidFill>
            <a:ln>
              <a:noFill/>
            </a:ln>
          </c:spPr>
          <c:cat>
            <c:numRef>
              <c:f>'Intermediate output'!$H$136:$Q$136</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output'!$H$144:$Q$144</c:f>
              <c:numCache>
                <c:formatCode>0%;\ \(0%\);\ \-</c:formatCode>
                <c:ptCount val="10"/>
                <c:pt idx="0">
                  <c:v>0.0</c:v>
                </c:pt>
                <c:pt idx="1">
                  <c:v>0.0</c:v>
                </c:pt>
                <c:pt idx="2">
                  <c:v>0.0</c:v>
                </c:pt>
                <c:pt idx="3">
                  <c:v>0.0</c:v>
                </c:pt>
                <c:pt idx="4">
                  <c:v>0.0</c:v>
                </c:pt>
                <c:pt idx="5">
                  <c:v>0.0</c:v>
                </c:pt>
                <c:pt idx="6">
                  <c:v>0.0</c:v>
                </c:pt>
                <c:pt idx="7">
                  <c:v>0.0</c:v>
                </c:pt>
                <c:pt idx="8">
                  <c:v>0.0</c:v>
                </c:pt>
                <c:pt idx="9">
                  <c:v>0.0</c:v>
                </c:pt>
              </c:numCache>
            </c:numRef>
          </c:val>
        </c:ser>
        <c:ser>
          <c:idx val="12"/>
          <c:order val="7"/>
          <c:tx>
            <c:strRef>
              <c:f>'Intermediate output'!$D$146</c:f>
              <c:strCache>
                <c:ptCount val="1"/>
                <c:pt idx="0">
                  <c:v>International Aviation and Shipping</c:v>
                </c:pt>
              </c:strCache>
            </c:strRef>
          </c:tx>
          <c:spPr>
            <a:ln>
              <a:noFill/>
            </a:ln>
          </c:spPr>
          <c:cat>
            <c:numRef>
              <c:f>'Intermediate output'!$H$136:$Q$136</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output'!$H$146:$Q$146</c:f>
              <c:numCache>
                <c:formatCode>0%;\ \(0%\);\ \-</c:formatCode>
                <c:ptCount val="10"/>
                <c:pt idx="0">
                  <c:v>0.0</c:v>
                </c:pt>
                <c:pt idx="1">
                  <c:v>0.0</c:v>
                </c:pt>
                <c:pt idx="2">
                  <c:v>0.0</c:v>
                </c:pt>
                <c:pt idx="3">
                  <c:v>0.0</c:v>
                </c:pt>
                <c:pt idx="4">
                  <c:v>0.0</c:v>
                </c:pt>
                <c:pt idx="5">
                  <c:v>0.0</c:v>
                </c:pt>
                <c:pt idx="6">
                  <c:v>0.0</c:v>
                </c:pt>
                <c:pt idx="7">
                  <c:v>0.0</c:v>
                </c:pt>
                <c:pt idx="8">
                  <c:v>0.0</c:v>
                </c:pt>
                <c:pt idx="9">
                  <c:v>0.0</c:v>
                </c:pt>
              </c:numCache>
            </c:numRef>
          </c:val>
        </c:ser>
        <c:dLbls>
          <c:showLegendKey val="0"/>
          <c:showVal val="0"/>
          <c:showCatName val="0"/>
          <c:showSerName val="0"/>
          <c:showPercent val="0"/>
          <c:showBubbleSize val="0"/>
        </c:dLbls>
        <c:axId val="434422568"/>
        <c:axId val="434425656"/>
      </c:areaChart>
      <c:areaChart>
        <c:grouping val="stacked"/>
        <c:varyColors val="0"/>
        <c:ser>
          <c:idx val="13"/>
          <c:order val="0"/>
          <c:tx>
            <c:strRef>
              <c:f>'Intermediate output'!$D$147</c:f>
              <c:strCache>
                <c:ptCount val="1"/>
                <c:pt idx="0">
                  <c:v>Bioenergy credit</c:v>
                </c:pt>
              </c:strCache>
            </c:strRef>
          </c:tx>
          <c:spPr>
            <a:ln w="9525">
              <a:noFill/>
            </a:ln>
            <a:effectLst/>
          </c:spPr>
          <c:cat>
            <c:numRef>
              <c:f>'Intermediate output'!$H$136:$Q$136</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output'!$H$147:$Q$147</c:f>
              <c:numCache>
                <c:formatCode>0%;\ \(0%\);\ \-</c:formatCode>
                <c:ptCount val="10"/>
                <c:pt idx="0">
                  <c:v>0.0</c:v>
                </c:pt>
                <c:pt idx="1">
                  <c:v>0.0</c:v>
                </c:pt>
                <c:pt idx="2">
                  <c:v>0.0</c:v>
                </c:pt>
                <c:pt idx="3">
                  <c:v>0.0</c:v>
                </c:pt>
                <c:pt idx="4">
                  <c:v>0.0</c:v>
                </c:pt>
                <c:pt idx="5">
                  <c:v>0.0</c:v>
                </c:pt>
                <c:pt idx="6">
                  <c:v>0.0</c:v>
                </c:pt>
                <c:pt idx="7">
                  <c:v>0.0</c:v>
                </c:pt>
                <c:pt idx="8">
                  <c:v>0.0</c:v>
                </c:pt>
                <c:pt idx="9">
                  <c:v>0.0</c:v>
                </c:pt>
              </c:numCache>
            </c:numRef>
          </c:val>
        </c:ser>
        <c:ser>
          <c:idx val="11"/>
          <c:order val="1"/>
          <c:tx>
            <c:strRef>
              <c:f>'Intermediate output'!$D$148</c:f>
              <c:strCache>
                <c:ptCount val="1"/>
                <c:pt idx="0">
                  <c:v>Carbon capture</c:v>
                </c:pt>
              </c:strCache>
            </c:strRef>
          </c:tx>
          <c:spPr>
            <a:solidFill>
              <a:schemeClr val="accent2"/>
            </a:solidFill>
            <a:ln w="9525">
              <a:noFill/>
            </a:ln>
            <a:effectLst/>
          </c:spPr>
          <c:cat>
            <c:numRef>
              <c:f>'Intermediate output'!$H$136:$Q$136</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output'!$H$148:$Q$148</c:f>
              <c:numCache>
                <c:formatCode>0%;\ \(0%\);\ \-</c:formatCode>
                <c:ptCount val="10"/>
                <c:pt idx="0">
                  <c:v>0.0</c:v>
                </c:pt>
                <c:pt idx="1">
                  <c:v>0.0</c:v>
                </c:pt>
                <c:pt idx="2">
                  <c:v>0.0</c:v>
                </c:pt>
                <c:pt idx="3">
                  <c:v>0.0</c:v>
                </c:pt>
                <c:pt idx="4">
                  <c:v>0.0</c:v>
                </c:pt>
                <c:pt idx="5">
                  <c:v>0.0</c:v>
                </c:pt>
                <c:pt idx="6">
                  <c:v>0.0</c:v>
                </c:pt>
                <c:pt idx="7">
                  <c:v>0.0</c:v>
                </c:pt>
                <c:pt idx="8">
                  <c:v>0.0</c:v>
                </c:pt>
                <c:pt idx="9">
                  <c:v>0.0</c:v>
                </c:pt>
              </c:numCache>
            </c:numRef>
          </c:val>
        </c:ser>
        <c:dLbls>
          <c:showLegendKey val="0"/>
          <c:showVal val="0"/>
          <c:showCatName val="0"/>
          <c:showSerName val="0"/>
          <c:showPercent val="0"/>
          <c:showBubbleSize val="0"/>
        </c:dLbls>
        <c:axId val="434435112"/>
        <c:axId val="434432216"/>
      </c:areaChart>
      <c:lineChart>
        <c:grouping val="standard"/>
        <c:varyColors val="0"/>
        <c:ser>
          <c:idx val="0"/>
          <c:order val="8"/>
          <c:tx>
            <c:strRef>
              <c:f>'Intermediate output'!$D$149</c:f>
              <c:strCache>
                <c:ptCount val="1"/>
                <c:pt idx="0">
                  <c:v>Total</c:v>
                </c:pt>
              </c:strCache>
            </c:strRef>
          </c:tx>
          <c:spPr>
            <a:ln w="57150">
              <a:solidFill>
                <a:srgbClr val="000000">
                  <a:alpha val="80000"/>
                </a:srgbClr>
              </a:solidFill>
            </a:ln>
          </c:spPr>
          <c:marker>
            <c:symbol val="none"/>
          </c:marker>
          <c:cat>
            <c:numRef>
              <c:f>'Intermediate output'!$H$136:$Q$136</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output'!$H$149:$Q$149</c:f>
              <c:numCache>
                <c:formatCode>0%;\ \(0%\);\ \-</c:formatCode>
                <c:ptCount val="10"/>
                <c:pt idx="0">
                  <c:v>0.0</c:v>
                </c:pt>
                <c:pt idx="1">
                  <c:v>0.0</c:v>
                </c:pt>
                <c:pt idx="2">
                  <c:v>0.0</c:v>
                </c:pt>
                <c:pt idx="3">
                  <c:v>0.0</c:v>
                </c:pt>
                <c:pt idx="4">
                  <c:v>0.0</c:v>
                </c:pt>
                <c:pt idx="5">
                  <c:v>0.0</c:v>
                </c:pt>
                <c:pt idx="6">
                  <c:v>0.0</c:v>
                </c:pt>
                <c:pt idx="7">
                  <c:v>0.0</c:v>
                </c:pt>
                <c:pt idx="8">
                  <c:v>0.0</c:v>
                </c:pt>
                <c:pt idx="9">
                  <c:v>0.0</c:v>
                </c:pt>
              </c:numCache>
            </c:numRef>
          </c:val>
          <c:smooth val="0"/>
        </c:ser>
        <c:ser>
          <c:idx val="1"/>
          <c:order val="9"/>
          <c:tx>
            <c:strRef>
              <c:f>'Intermediate output'!$D$204</c:f>
              <c:strCache>
                <c:ptCount val="1"/>
                <c:pt idx="0">
                  <c:v>Target, for chart</c:v>
                </c:pt>
              </c:strCache>
            </c:strRef>
          </c:tx>
          <c:spPr>
            <a:ln w="12700">
              <a:solidFill>
                <a:schemeClr val="bg1"/>
              </a:solidFill>
              <a:prstDash val="dash"/>
            </a:ln>
          </c:spPr>
          <c:marker>
            <c:symbol val="none"/>
          </c:marker>
          <c:cat>
            <c:numRef>
              <c:f>'Intermediate output'!$H$136:$Q$136</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output'!$H$204:$Q$204</c:f>
              <c:numCache>
                <c:formatCode>0%;\ \(0%\);\ \-</c:formatCode>
                <c:ptCount val="10"/>
                <c:pt idx="0">
                  <c:v>0.2</c:v>
                </c:pt>
                <c:pt idx="1">
                  <c:v>0.2</c:v>
                </c:pt>
                <c:pt idx="2">
                  <c:v>0.2</c:v>
                </c:pt>
                <c:pt idx="3">
                  <c:v>0.2</c:v>
                </c:pt>
                <c:pt idx="4">
                  <c:v>0.2</c:v>
                </c:pt>
                <c:pt idx="5">
                  <c:v>0.2</c:v>
                </c:pt>
                <c:pt idx="6">
                  <c:v>0.2</c:v>
                </c:pt>
                <c:pt idx="7">
                  <c:v>0.2</c:v>
                </c:pt>
                <c:pt idx="8">
                  <c:v>0.2</c:v>
                </c:pt>
                <c:pt idx="9">
                  <c:v>0.2</c:v>
                </c:pt>
              </c:numCache>
            </c:numRef>
          </c:val>
          <c:smooth val="0"/>
        </c:ser>
        <c:ser>
          <c:idx val="2"/>
          <c:order val="10"/>
          <c:tx>
            <c:strRef>
              <c:f>'Intermediate output'!$D$205</c:f>
              <c:strCache>
                <c:ptCount val="1"/>
                <c:pt idx="0">
                  <c:v>Dummy, for chart</c:v>
                </c:pt>
              </c:strCache>
            </c:strRef>
          </c:tx>
          <c:spPr>
            <a:ln w="12700">
              <a:solidFill>
                <a:schemeClr val="tx1"/>
              </a:solidFill>
            </a:ln>
          </c:spPr>
          <c:marker>
            <c:symbol val="none"/>
          </c:marker>
          <c:cat>
            <c:numRef>
              <c:f>'Intermediate output'!$H$136:$Q$136</c:f>
              <c:numCache>
                <c:formatCode>General</c:formatCode>
                <c:ptCount val="10"/>
                <c:pt idx="0">
                  <c:v>2007.0</c:v>
                </c:pt>
                <c:pt idx="1">
                  <c:v>2010.0</c:v>
                </c:pt>
                <c:pt idx="2">
                  <c:v>2015.0</c:v>
                </c:pt>
                <c:pt idx="3">
                  <c:v>2020.0</c:v>
                </c:pt>
                <c:pt idx="4">
                  <c:v>2025.0</c:v>
                </c:pt>
                <c:pt idx="5">
                  <c:v>2030.0</c:v>
                </c:pt>
                <c:pt idx="6">
                  <c:v>2035.0</c:v>
                </c:pt>
                <c:pt idx="7">
                  <c:v>2040.0</c:v>
                </c:pt>
                <c:pt idx="8">
                  <c:v>2045.0</c:v>
                </c:pt>
                <c:pt idx="9">
                  <c:v>2050.0</c:v>
                </c:pt>
              </c:numCache>
            </c:numRef>
          </c:cat>
          <c:val>
            <c:numRef>
              <c:f>'Intermediate output'!$H$205:$Q$205</c:f>
              <c:numCache>
                <c:formatCode>0%;\ \(0%\);\ \-</c:formatCode>
                <c:ptCount val="10"/>
                <c:pt idx="0">
                  <c:v>0.0</c:v>
                </c:pt>
                <c:pt idx="1">
                  <c:v>0.0</c:v>
                </c:pt>
                <c:pt idx="2">
                  <c:v>0.0</c:v>
                </c:pt>
                <c:pt idx="3">
                  <c:v>0.0</c:v>
                </c:pt>
                <c:pt idx="4">
                  <c:v>0.0</c:v>
                </c:pt>
                <c:pt idx="5">
                  <c:v>0.0</c:v>
                </c:pt>
                <c:pt idx="6">
                  <c:v>0.0</c:v>
                </c:pt>
                <c:pt idx="7">
                  <c:v>0.0</c:v>
                </c:pt>
                <c:pt idx="8">
                  <c:v>0.0</c:v>
                </c:pt>
                <c:pt idx="9">
                  <c:v>0.0</c:v>
                </c:pt>
              </c:numCache>
            </c:numRef>
          </c:val>
          <c:smooth val="0"/>
        </c:ser>
        <c:dLbls>
          <c:showLegendKey val="0"/>
          <c:showVal val="0"/>
          <c:showCatName val="0"/>
          <c:showSerName val="0"/>
          <c:showPercent val="0"/>
          <c:showBubbleSize val="0"/>
        </c:dLbls>
        <c:marker val="1"/>
        <c:smooth val="0"/>
        <c:axId val="434435112"/>
        <c:axId val="434432216"/>
      </c:lineChart>
      <c:catAx>
        <c:axId val="434422568"/>
        <c:scaling>
          <c:orientation val="minMax"/>
        </c:scaling>
        <c:delete val="0"/>
        <c:axPos val="b"/>
        <c:numFmt formatCode="General" sourceLinked="1"/>
        <c:majorTickMark val="out"/>
        <c:minorTickMark val="none"/>
        <c:tickLblPos val="nextTo"/>
        <c:txPr>
          <a:bodyPr/>
          <a:lstStyle/>
          <a:p>
            <a:pPr>
              <a:defRPr lang="en-US" sz="1200"/>
            </a:pPr>
            <a:endParaRPr lang="en-US"/>
          </a:p>
        </c:txPr>
        <c:crossAx val="434425656"/>
        <c:crossesAt val="-0.5"/>
        <c:auto val="1"/>
        <c:lblAlgn val="ctr"/>
        <c:lblOffset val="100"/>
        <c:noMultiLvlLbl val="0"/>
      </c:catAx>
      <c:valAx>
        <c:axId val="434425656"/>
        <c:scaling>
          <c:orientation val="minMax"/>
          <c:max val="1.0"/>
          <c:min val="-0.5"/>
        </c:scaling>
        <c:delete val="0"/>
        <c:axPos val="l"/>
        <c:majorGridlines>
          <c:spPr>
            <a:ln>
              <a:solidFill>
                <a:schemeClr val="accent1">
                  <a:lumMod val="20000"/>
                  <a:lumOff val="80000"/>
                </a:schemeClr>
              </a:solidFill>
            </a:ln>
          </c:spPr>
        </c:majorGridlines>
        <c:title>
          <c:tx>
            <c:rich>
              <a:bodyPr rot="-5400000" vert="horz"/>
              <a:lstStyle/>
              <a:p>
                <a:pPr>
                  <a:defRPr lang="en-US" sz="1200"/>
                </a:pPr>
                <a:r>
                  <a:rPr lang="en-US" sz="1200"/>
                  <a:t>CO</a:t>
                </a:r>
                <a:r>
                  <a:rPr lang="en-US" sz="1200" baseline="-25000"/>
                  <a:t>2</a:t>
                </a:r>
                <a:r>
                  <a:rPr lang="en-US" sz="1200"/>
                  <a:t>e / year (% of 1990)</a:t>
                </a:r>
              </a:p>
            </c:rich>
          </c:tx>
          <c:layout>
            <c:manualLayout>
              <c:xMode val="edge"/>
              <c:yMode val="edge"/>
              <c:x val="0.0"/>
              <c:y val="0.384137580878326"/>
            </c:manualLayout>
          </c:layout>
          <c:overlay val="0"/>
        </c:title>
        <c:numFmt formatCode="0%" sourceLinked="0"/>
        <c:majorTickMark val="out"/>
        <c:minorTickMark val="none"/>
        <c:tickLblPos val="nextTo"/>
        <c:spPr>
          <a:ln>
            <a:noFill/>
          </a:ln>
        </c:spPr>
        <c:txPr>
          <a:bodyPr/>
          <a:lstStyle/>
          <a:p>
            <a:pPr>
              <a:defRPr lang="en-US" sz="1200"/>
            </a:pPr>
            <a:endParaRPr lang="en-US"/>
          </a:p>
        </c:txPr>
        <c:crossAx val="434422568"/>
        <c:crosses val="autoZero"/>
        <c:crossBetween val="midCat"/>
        <c:majorUnit val="0.25"/>
      </c:valAx>
      <c:valAx>
        <c:axId val="434432216"/>
        <c:scaling>
          <c:orientation val="minMax"/>
          <c:max val="1.0"/>
          <c:min val="-0.5"/>
        </c:scaling>
        <c:delete val="0"/>
        <c:axPos val="r"/>
        <c:numFmt formatCode="0%;\ \(0%\);\ \-" sourceLinked="1"/>
        <c:majorTickMark val="none"/>
        <c:minorTickMark val="none"/>
        <c:tickLblPos val="none"/>
        <c:spPr>
          <a:ln>
            <a:noFill/>
          </a:ln>
        </c:spPr>
        <c:txPr>
          <a:bodyPr/>
          <a:lstStyle/>
          <a:p>
            <a:pPr>
              <a:defRPr lang="en-US"/>
            </a:pPr>
            <a:endParaRPr lang="en-US"/>
          </a:p>
        </c:txPr>
        <c:crossAx val="434435112"/>
        <c:crosses val="max"/>
        <c:crossBetween val="between"/>
        <c:majorUnit val="0.25"/>
      </c:valAx>
      <c:catAx>
        <c:axId val="434435112"/>
        <c:scaling>
          <c:orientation val="minMax"/>
        </c:scaling>
        <c:delete val="1"/>
        <c:axPos val="b"/>
        <c:numFmt formatCode="General" sourceLinked="1"/>
        <c:majorTickMark val="out"/>
        <c:minorTickMark val="none"/>
        <c:tickLblPos val="none"/>
        <c:crossAx val="434432216"/>
        <c:crosses val="autoZero"/>
        <c:auto val="1"/>
        <c:lblAlgn val="ctr"/>
        <c:lblOffset val="100"/>
        <c:noMultiLvlLbl val="0"/>
      </c:catAx>
      <c:spPr>
        <a:noFill/>
      </c:spPr>
    </c:plotArea>
    <c:legend>
      <c:legendPos val="r"/>
      <c:legendEntry>
        <c:idx val="9"/>
        <c:delete val="1"/>
      </c:legendEntry>
      <c:legendEntry>
        <c:idx val="10"/>
        <c:delete val="1"/>
      </c:legendEntry>
      <c:layout>
        <c:manualLayout>
          <c:xMode val="edge"/>
          <c:yMode val="edge"/>
          <c:x val="0.7324997016353"/>
          <c:y val="0.176577843981022"/>
          <c:w val="0.267500298364719"/>
          <c:h val="0.729408166040614"/>
        </c:manualLayout>
      </c:layout>
      <c:overlay val="0"/>
      <c:txPr>
        <a:bodyPr/>
        <a:lstStyle/>
        <a:p>
          <a:pPr>
            <a:defRPr lang="en-US" sz="1200"/>
          </a:pPr>
          <a:endParaRPr lang="en-US"/>
        </a:p>
      </c:txPr>
    </c:legend>
    <c:plotVisOnly val="1"/>
    <c:dispBlanksAs val="zero"/>
    <c:showDLblsOverMax val="0"/>
  </c:chart>
  <c:spPr>
    <a:noFill/>
    <a:ln>
      <a:noFill/>
    </a:ln>
    <a:effectLst/>
  </c:spPr>
  <c:txPr>
    <a:bodyPr/>
    <a:lstStyle/>
    <a:p>
      <a:pPr>
        <a:defRPr>
          <a:latin typeface="+mj-lt"/>
        </a:defRPr>
      </a:pPr>
      <a:endParaRPr lang="en-US"/>
    </a:p>
  </c:txPr>
  <c:printSettings>
    <c:headerFooter/>
    <c:pageMargins b="0.750000000000016" l="0.700000000000002" r="0.700000000000002" t="0.75000000000001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tx>
            <c:strRef>
              <c:f>'Cost Charts'!$C$4</c:f>
              <c:strCache>
                <c:ptCount val="1"/>
                <c:pt idx="0">
                  <c:v>Low</c:v>
                </c:pt>
              </c:strCache>
            </c:strRef>
          </c:tx>
          <c:spPr>
            <a:solidFill>
              <a:schemeClr val="tx1"/>
            </a:solidFill>
          </c:spPr>
          <c:invertIfNegative val="0"/>
          <c:cat>
            <c:strRef>
              <c:f>'Cost Charts'!$B$5:$B$46</c:f>
              <c:strCache>
                <c:ptCount val="42"/>
                <c:pt idx="0">
                  <c:v>Total</c:v>
                </c:pt>
                <c:pt idx="1">
                  <c:v>Unabated thermal electricity generation</c:v>
                </c:pt>
                <c:pt idx="2">
                  <c:v>CCS power stations</c:v>
                </c:pt>
                <c:pt idx="3">
                  <c:v>Nuclear power</c:v>
                </c:pt>
                <c:pt idx="4">
                  <c:v>Onshore wind</c:v>
                </c:pt>
                <c:pt idx="5">
                  <c:v>Offshore wind</c:v>
                </c:pt>
                <c:pt idx="6">
                  <c:v>Hydroelectric</c:v>
                </c:pt>
                <c:pt idx="7">
                  <c:v>Wave and Tidal</c:v>
                </c:pt>
                <c:pt idx="8">
                  <c:v>Geothermal</c:v>
                </c:pt>
                <c:pt idx="9">
                  <c:v>Tidal [UNUSED - See III.c]</c:v>
                </c:pt>
                <c:pt idx="10">
                  <c:v>Distributed solar PV</c:v>
                </c:pt>
                <c:pt idx="11">
                  <c:v>Distributed solar thermal</c:v>
                </c:pt>
                <c:pt idx="12">
                  <c:v>Micro wind</c:v>
                </c:pt>
                <c:pt idx="13">
                  <c:v>Biomatter to fuel conversion</c:v>
                </c:pt>
                <c:pt idx="14">
                  <c:v>Bioenergy imports</c:v>
                </c:pt>
                <c:pt idx="15">
                  <c:v>Agriculture and land use</c:v>
                </c:pt>
                <c:pt idx="16">
                  <c:v>Waste arising</c:v>
                </c:pt>
                <c:pt idx="17">
                  <c:v>Marine algae</c:v>
                </c:pt>
                <c:pt idx="18">
                  <c:v>Electricity imports</c:v>
                </c:pt>
                <c:pt idx="19">
                  <c:v>Electricity exports</c:v>
                </c:pt>
                <c:pt idx="20">
                  <c:v>Electricity grid distribution</c:v>
                </c:pt>
                <c:pt idx="21">
                  <c:v>Storage, demand shifting, backup</c:v>
                </c:pt>
                <c:pt idx="22">
                  <c:v>Hydrogen Production</c:v>
                </c:pt>
                <c:pt idx="23">
                  <c:v>Domestic heating and cooling</c:v>
                </c:pt>
                <c:pt idx="24">
                  <c:v>Domestic hot water [UNUSED - See IX.a]</c:v>
                </c:pt>
                <c:pt idx="25">
                  <c:v>Commercial heating and cooling</c:v>
                </c:pt>
                <c:pt idx="26">
                  <c:v>Commercial hot water [UNUSED - See IX.c]</c:v>
                </c:pt>
                <c:pt idx="27">
                  <c:v>Domestic lighting, appliances, and cooking</c:v>
                </c:pt>
                <c:pt idx="28">
                  <c:v>Commercial lighting, appliances, and catering</c:v>
                </c:pt>
                <c:pt idx="29">
                  <c:v>Industrial processes</c:v>
                </c:pt>
                <c:pt idx="30">
                  <c:v>Domestic passenger transport</c:v>
                </c:pt>
                <c:pt idx="31">
                  <c:v>Domestic freight</c:v>
                </c:pt>
                <c:pt idx="32">
                  <c:v>International aviation</c:v>
                </c:pt>
                <c:pt idx="33">
                  <c:v>Domestic aviation [UNUSED - see XII.a]</c:v>
                </c:pt>
                <c:pt idx="34">
                  <c:v>International shipping (maritime bunkers)</c:v>
                </c:pt>
                <c:pt idx="35">
                  <c:v>National navigation [UNUSED - see XII.a]</c:v>
                </c:pt>
                <c:pt idx="36">
                  <c:v>Geosequestration</c:v>
                </c:pt>
                <c:pt idx="37">
                  <c:v>Petroleum refineries</c:v>
                </c:pt>
                <c:pt idx="38">
                  <c:v>Fossil fuels (UK produced)</c:v>
                </c:pt>
                <c:pt idx="39">
                  <c:v>Gas network</c:v>
                </c:pt>
                <c:pt idx="40">
                  <c:v>Fossil fuels (produced overseas)</c:v>
                </c:pt>
                <c:pt idx="41">
                  <c:v>District heating</c:v>
                </c:pt>
              </c:strCache>
            </c:strRef>
          </c:cat>
          <c:val>
            <c:numRef>
              <c:f>'Cost Charts'!$C$5:$C$46</c:f>
              <c:numCache>
                <c:formatCode>#,##0_);\(#,##0\);"-"_);@</c:formatCode>
                <c:ptCount val="42"/>
                <c:pt idx="0">
                  <c:v>194.5148757268627</c:v>
                </c:pt>
                <c:pt idx="1">
                  <c:v>0.0</c:v>
                </c:pt>
                <c:pt idx="2">
                  <c:v>9.267900846727181</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188.1860237724118</c:v>
                </c:pt>
                <c:pt idx="39">
                  <c:v>0.000512385998773165</c:v>
                </c:pt>
                <c:pt idx="40">
                  <c:v>-2.946889994022635</c:v>
                </c:pt>
                <c:pt idx="41">
                  <c:v>0.0</c:v>
                </c:pt>
              </c:numCache>
            </c:numRef>
          </c:val>
        </c:ser>
        <c:ser>
          <c:idx val="1"/>
          <c:order val="1"/>
          <c:tx>
            <c:strRef>
              <c:f>'Cost Charts'!$D$4</c:f>
              <c:strCache>
                <c:ptCount val="1"/>
                <c:pt idx="0">
                  <c:v>Range</c:v>
                </c:pt>
              </c:strCache>
            </c:strRef>
          </c:tx>
          <c:spPr>
            <a:solidFill>
              <a:schemeClr val="bg1">
                <a:lumMod val="50000"/>
              </a:schemeClr>
            </a:solidFill>
          </c:spPr>
          <c:invertIfNegative val="0"/>
          <c:cat>
            <c:strRef>
              <c:f>'Cost Charts'!$B$5:$B$46</c:f>
              <c:strCache>
                <c:ptCount val="42"/>
                <c:pt idx="0">
                  <c:v>Total</c:v>
                </c:pt>
                <c:pt idx="1">
                  <c:v>Unabated thermal electricity generation</c:v>
                </c:pt>
                <c:pt idx="2">
                  <c:v>CCS power stations</c:v>
                </c:pt>
                <c:pt idx="3">
                  <c:v>Nuclear power</c:v>
                </c:pt>
                <c:pt idx="4">
                  <c:v>Onshore wind</c:v>
                </c:pt>
                <c:pt idx="5">
                  <c:v>Offshore wind</c:v>
                </c:pt>
                <c:pt idx="6">
                  <c:v>Hydroelectric</c:v>
                </c:pt>
                <c:pt idx="7">
                  <c:v>Wave and Tidal</c:v>
                </c:pt>
                <c:pt idx="8">
                  <c:v>Geothermal</c:v>
                </c:pt>
                <c:pt idx="9">
                  <c:v>Tidal [UNUSED - See III.c]</c:v>
                </c:pt>
                <c:pt idx="10">
                  <c:v>Distributed solar PV</c:v>
                </c:pt>
                <c:pt idx="11">
                  <c:v>Distributed solar thermal</c:v>
                </c:pt>
                <c:pt idx="12">
                  <c:v>Micro wind</c:v>
                </c:pt>
                <c:pt idx="13">
                  <c:v>Biomatter to fuel conversion</c:v>
                </c:pt>
                <c:pt idx="14">
                  <c:v>Bioenergy imports</c:v>
                </c:pt>
                <c:pt idx="15">
                  <c:v>Agriculture and land use</c:v>
                </c:pt>
                <c:pt idx="16">
                  <c:v>Waste arising</c:v>
                </c:pt>
                <c:pt idx="17">
                  <c:v>Marine algae</c:v>
                </c:pt>
                <c:pt idx="18">
                  <c:v>Electricity imports</c:v>
                </c:pt>
                <c:pt idx="19">
                  <c:v>Electricity exports</c:v>
                </c:pt>
                <c:pt idx="20">
                  <c:v>Electricity grid distribution</c:v>
                </c:pt>
                <c:pt idx="21">
                  <c:v>Storage, demand shifting, backup</c:v>
                </c:pt>
                <c:pt idx="22">
                  <c:v>Hydrogen Production</c:v>
                </c:pt>
                <c:pt idx="23">
                  <c:v>Domestic heating and cooling</c:v>
                </c:pt>
                <c:pt idx="24">
                  <c:v>Domestic hot water [UNUSED - See IX.a]</c:v>
                </c:pt>
                <c:pt idx="25">
                  <c:v>Commercial heating and cooling</c:v>
                </c:pt>
                <c:pt idx="26">
                  <c:v>Commercial hot water [UNUSED - See IX.c]</c:v>
                </c:pt>
                <c:pt idx="27">
                  <c:v>Domestic lighting, appliances, and cooking</c:v>
                </c:pt>
                <c:pt idx="28">
                  <c:v>Commercial lighting, appliances, and catering</c:v>
                </c:pt>
                <c:pt idx="29">
                  <c:v>Industrial processes</c:v>
                </c:pt>
                <c:pt idx="30">
                  <c:v>Domestic passenger transport</c:v>
                </c:pt>
                <c:pt idx="31">
                  <c:v>Domestic freight</c:v>
                </c:pt>
                <c:pt idx="32">
                  <c:v>International aviation</c:v>
                </c:pt>
                <c:pt idx="33">
                  <c:v>Domestic aviation [UNUSED - see XII.a]</c:v>
                </c:pt>
                <c:pt idx="34">
                  <c:v>International shipping (maritime bunkers)</c:v>
                </c:pt>
                <c:pt idx="35">
                  <c:v>National navigation [UNUSED - see XII.a]</c:v>
                </c:pt>
                <c:pt idx="36">
                  <c:v>Geosequestration</c:v>
                </c:pt>
                <c:pt idx="37">
                  <c:v>Petroleum refineries</c:v>
                </c:pt>
                <c:pt idx="38">
                  <c:v>Fossil fuels (UK produced)</c:v>
                </c:pt>
                <c:pt idx="39">
                  <c:v>Gas network</c:v>
                </c:pt>
                <c:pt idx="40">
                  <c:v>Fossil fuels (produced overseas)</c:v>
                </c:pt>
                <c:pt idx="41">
                  <c:v>District heating</c:v>
                </c:pt>
              </c:strCache>
            </c:strRef>
          </c:cat>
          <c:val>
            <c:numRef>
              <c:f>'Cost Charts'!$D$5:$D$46</c:f>
              <c:numCache>
                <c:formatCode>#,##0_);\(#,##0\);"-"_);@</c:formatCode>
                <c:ptCount val="42"/>
                <c:pt idx="0">
                  <c:v>367.547541583683</c:v>
                </c:pt>
                <c:pt idx="1">
                  <c:v>0.0</c:v>
                </c:pt>
                <c:pt idx="2">
                  <c:v>33.97454271840034</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339.292103775506</c:v>
                </c:pt>
                <c:pt idx="39">
                  <c:v>0.0</c:v>
                </c:pt>
                <c:pt idx="40">
                  <c:v>-5.797643079584217</c:v>
                </c:pt>
                <c:pt idx="41">
                  <c:v>0.0</c:v>
                </c:pt>
              </c:numCache>
            </c:numRef>
          </c:val>
        </c:ser>
        <c:dLbls>
          <c:showLegendKey val="0"/>
          <c:showVal val="0"/>
          <c:showCatName val="0"/>
          <c:showSerName val="0"/>
          <c:showPercent val="0"/>
          <c:showBubbleSize val="0"/>
        </c:dLbls>
        <c:gapWidth val="150"/>
        <c:overlap val="100"/>
        <c:axId val="434504856"/>
        <c:axId val="434507768"/>
      </c:barChart>
      <c:catAx>
        <c:axId val="434504856"/>
        <c:scaling>
          <c:orientation val="maxMin"/>
        </c:scaling>
        <c:delete val="0"/>
        <c:axPos val="l"/>
        <c:majorTickMark val="out"/>
        <c:minorTickMark val="none"/>
        <c:tickLblPos val="nextTo"/>
        <c:crossAx val="434507768"/>
        <c:crosses val="autoZero"/>
        <c:auto val="1"/>
        <c:lblAlgn val="ctr"/>
        <c:lblOffset val="100"/>
        <c:noMultiLvlLbl val="0"/>
      </c:catAx>
      <c:valAx>
        <c:axId val="434507768"/>
        <c:scaling>
          <c:orientation val="minMax"/>
        </c:scaling>
        <c:delete val="0"/>
        <c:axPos val="t"/>
        <c:majorGridlines/>
        <c:numFmt formatCode="#,##0_);\(#,##0\);&quot;-&quot;_);@" sourceLinked="1"/>
        <c:majorTickMark val="out"/>
        <c:minorTickMark val="none"/>
        <c:tickLblPos val="nextTo"/>
        <c:crossAx val="434504856"/>
        <c:crosses val="autoZero"/>
        <c:crossBetween val="between"/>
      </c:valAx>
    </c:plotArea>
    <c:legend>
      <c:legendPos val="r"/>
      <c:layout>
        <c:manualLayout>
          <c:xMode val="edge"/>
          <c:yMode val="edge"/>
          <c:x val="0.862184615732215"/>
          <c:y val="0.0533632518733091"/>
          <c:w val="0.0823395353916485"/>
          <c:h val="0.0608037207784265"/>
        </c:manualLayout>
      </c:layout>
      <c:overlay val="0"/>
    </c:legend>
    <c:plotVisOnly val="1"/>
    <c:dispBlanksAs val="gap"/>
    <c:showDLblsOverMax val="0"/>
  </c:chart>
  <c:spPr>
    <a:noFill/>
    <a:ln>
      <a:noFill/>
    </a:ln>
  </c:spPr>
  <c:printSettings>
    <c:headerFooter/>
    <c:pageMargins b="0.750000000000011" l="0.700000000000001" r="0.700000000000001" t="0.750000000000011"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GB" sz="1200"/>
              <a:t>Capital / One</a:t>
            </a:r>
            <a:r>
              <a:rPr lang="en-GB" sz="1200" baseline="0"/>
              <a:t> off costs</a:t>
            </a:r>
            <a:endParaRPr lang="en-GB" sz="1200"/>
          </a:p>
        </c:rich>
      </c:tx>
      <c:layout/>
      <c:overlay val="0"/>
    </c:title>
    <c:autoTitleDeleted val="0"/>
    <c:plotArea>
      <c:layout/>
      <c:areaChart>
        <c:grouping val="standard"/>
        <c:varyColors val="0"/>
        <c:ser>
          <c:idx val="1"/>
          <c:order val="1"/>
          <c:tx>
            <c:strRef>
              <c:f>'Cost Charts'!$B$53</c:f>
              <c:strCache>
                <c:ptCount val="1"/>
                <c:pt idx="0">
                  <c:v>One off costs - high</c:v>
                </c:pt>
              </c:strCache>
            </c:strRef>
          </c:tx>
          <c:spPr>
            <a:solidFill>
              <a:schemeClr val="tx1">
                <a:lumMod val="50000"/>
                <a:lumOff val="50000"/>
              </a:schemeClr>
            </a:solidFill>
          </c:spPr>
          <c:cat>
            <c:numRef>
              <c:f>'Cost Charts'!$C$51:$K$51</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'Cost Charts'!$C$53:$K$53</c:f>
              <c:numCache>
                <c:formatCode>#,##0_);\(#,##0\);"-"_);@</c:formatCode>
                <c:ptCount val="9"/>
                <c:pt idx="0">
                  <c:v>0.0</c:v>
                </c:pt>
                <c:pt idx="1">
                  <c:v>7.702579858223642</c:v>
                </c:pt>
                <c:pt idx="2">
                  <c:v>11.04814076289572</c:v>
                </c:pt>
                <c:pt idx="3">
                  <c:v>27.03465777937408</c:v>
                </c:pt>
                <c:pt idx="4">
                  <c:v>55.51391877874731</c:v>
                </c:pt>
                <c:pt idx="5">
                  <c:v>71.32401288742128</c:v>
                </c:pt>
                <c:pt idx="6">
                  <c:v>69.80292943900522</c:v>
                </c:pt>
                <c:pt idx="7">
                  <c:v>68.41050581225565</c:v>
                </c:pt>
                <c:pt idx="8">
                  <c:v>67.90664903198508</c:v>
                </c:pt>
              </c:numCache>
            </c:numRef>
          </c:val>
        </c:ser>
        <c:ser>
          <c:idx val="0"/>
          <c:order val="0"/>
          <c:tx>
            <c:strRef>
              <c:f>'Cost Charts'!$B$52</c:f>
              <c:strCache>
                <c:ptCount val="1"/>
                <c:pt idx="0">
                  <c:v>One off costs - low</c:v>
                </c:pt>
              </c:strCache>
            </c:strRef>
          </c:tx>
          <c:spPr>
            <a:solidFill>
              <a:schemeClr val="tx1"/>
            </a:solidFill>
            <a:ln>
              <a:noFill/>
            </a:ln>
          </c:spPr>
          <c:cat>
            <c:numRef>
              <c:f>'Cost Charts'!$C$51:$K$51</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'Cost Charts'!$C$52:$K$52</c:f>
              <c:numCache>
                <c:formatCode>#,##0_);\(#,##0\);"-"_);@</c:formatCode>
                <c:ptCount val="9"/>
                <c:pt idx="0">
                  <c:v>0.0</c:v>
                </c:pt>
                <c:pt idx="1">
                  <c:v>1.725852144848437</c:v>
                </c:pt>
                <c:pt idx="2">
                  <c:v>2.207992602503215</c:v>
                </c:pt>
                <c:pt idx="3">
                  <c:v>5.75250963184152</c:v>
                </c:pt>
                <c:pt idx="4">
                  <c:v>11.81240595246793</c:v>
                </c:pt>
                <c:pt idx="5">
                  <c:v>15.17652172499514</c:v>
                </c:pt>
                <c:pt idx="6">
                  <c:v>14.85286136061192</c:v>
                </c:pt>
                <c:pt idx="7">
                  <c:v>14.55657759072482</c:v>
                </c:pt>
                <c:pt idx="8">
                  <c:v>14.35088503563706</c:v>
                </c:pt>
              </c:numCache>
            </c:numRef>
          </c:val>
        </c:ser>
        <c:dLbls>
          <c:showLegendKey val="0"/>
          <c:showVal val="0"/>
          <c:showCatName val="0"/>
          <c:showSerName val="0"/>
          <c:showPercent val="0"/>
          <c:showBubbleSize val="0"/>
        </c:dLbls>
        <c:axId val="434540344"/>
        <c:axId val="434543400"/>
      </c:areaChart>
      <c:catAx>
        <c:axId val="434540344"/>
        <c:scaling>
          <c:orientation val="minMax"/>
        </c:scaling>
        <c:delete val="0"/>
        <c:axPos val="b"/>
        <c:numFmt formatCode="General" sourceLinked="1"/>
        <c:majorTickMark val="out"/>
        <c:minorTickMark val="none"/>
        <c:tickLblPos val="nextTo"/>
        <c:crossAx val="434543400"/>
        <c:crosses val="autoZero"/>
        <c:auto val="1"/>
        <c:lblAlgn val="ctr"/>
        <c:lblOffset val="100"/>
        <c:noMultiLvlLbl val="0"/>
      </c:catAx>
      <c:valAx>
        <c:axId val="434543400"/>
        <c:scaling>
          <c:orientation val="minMax"/>
        </c:scaling>
        <c:delete val="0"/>
        <c:axPos val="l"/>
        <c:majorGridlines/>
        <c:numFmt formatCode="#,##0_);\(#,##0\);&quot;-&quot;_);@" sourceLinked="1"/>
        <c:majorTickMark val="out"/>
        <c:minorTickMark val="none"/>
        <c:tickLblPos val="nextTo"/>
        <c:crossAx val="434540344"/>
        <c:crosses val="autoZero"/>
        <c:crossBetween val="midCat"/>
      </c:valAx>
    </c:plotArea>
    <c:plotVisOnly val="1"/>
    <c:dispBlanksAs val="zero"/>
    <c:showDLblsOverMax val="0"/>
  </c:chart>
  <c:spPr>
    <a:noFill/>
    <a:ln>
      <a:noFill/>
    </a:ln>
  </c:spPr>
  <c:printSettings>
    <c:headerFooter/>
    <c:pageMargins b="0.75000000000001" l="0.700000000000001" r="0.700000000000001" t="0.75000000000001"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GB" sz="1200"/>
              <a:t>Operating / Annual costs</a:t>
            </a:r>
          </a:p>
        </c:rich>
      </c:tx>
      <c:layout/>
      <c:overlay val="0"/>
    </c:title>
    <c:autoTitleDeleted val="0"/>
    <c:plotArea>
      <c:layout/>
      <c:areaChart>
        <c:grouping val="standard"/>
        <c:varyColors val="0"/>
        <c:ser>
          <c:idx val="1"/>
          <c:order val="1"/>
          <c:tx>
            <c:strRef>
              <c:f>'Cost Charts'!$B$55</c:f>
              <c:strCache>
                <c:ptCount val="1"/>
                <c:pt idx="0">
                  <c:v>Operating costs - high</c:v>
                </c:pt>
              </c:strCache>
            </c:strRef>
          </c:tx>
          <c:spPr>
            <a:solidFill>
              <a:schemeClr val="tx1">
                <a:lumMod val="50000"/>
                <a:lumOff val="50000"/>
              </a:schemeClr>
            </a:solidFill>
          </c:spPr>
          <c:cat>
            <c:numRef>
              <c:f>'Cost Charts'!$C$51:$K$51</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'Cost Charts'!$C$55:$K$55</c:f>
              <c:numCache>
                <c:formatCode>#,##0_);\(#,##0\);"-"_);@</c:formatCode>
                <c:ptCount val="9"/>
                <c:pt idx="0">
                  <c:v>0.0</c:v>
                </c:pt>
                <c:pt idx="1">
                  <c:v>0.238405489381196</c:v>
                </c:pt>
                <c:pt idx="2">
                  <c:v>0.311776733223834</c:v>
                </c:pt>
                <c:pt idx="3">
                  <c:v>0.802356408230752</c:v>
                </c:pt>
                <c:pt idx="4">
                  <c:v>1.647586917564475</c:v>
                </c:pt>
                <c:pt idx="5">
                  <c:v>2.116811659610369</c:v>
                </c:pt>
                <c:pt idx="6">
                  <c:v>2.071667716518865</c:v>
                </c:pt>
                <c:pt idx="7">
                  <c:v>2.030342243527422</c:v>
                </c:pt>
                <c:pt idx="8">
                  <c:v>1.997064008146533</c:v>
                </c:pt>
              </c:numCache>
            </c:numRef>
          </c:val>
        </c:ser>
        <c:ser>
          <c:idx val="0"/>
          <c:order val="0"/>
          <c:tx>
            <c:strRef>
              <c:f>'Cost Charts'!$B$54</c:f>
              <c:strCache>
                <c:ptCount val="1"/>
                <c:pt idx="0">
                  <c:v>Operating costs - low</c:v>
                </c:pt>
              </c:strCache>
            </c:strRef>
          </c:tx>
          <c:spPr>
            <a:solidFill>
              <a:schemeClr val="tx1"/>
            </a:solidFill>
            <a:ln>
              <a:noFill/>
            </a:ln>
          </c:spPr>
          <c:cat>
            <c:numRef>
              <c:f>'Cost Charts'!$C$51:$K$51</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'Cost Charts'!$C$54:$K$54</c:f>
              <c:numCache>
                <c:formatCode>#,##0_);\(#,##0\);"-"_);@</c:formatCode>
                <c:ptCount val="9"/>
                <c:pt idx="0">
                  <c:v>0.0</c:v>
                </c:pt>
                <c:pt idx="1">
                  <c:v>0.0637535066696113</c:v>
                </c:pt>
                <c:pt idx="2">
                  <c:v>0.0860587268606718</c:v>
                </c:pt>
                <c:pt idx="3">
                  <c:v>0.217623562709319</c:v>
                </c:pt>
                <c:pt idx="4">
                  <c:v>0.446875891057292</c:v>
                </c:pt>
                <c:pt idx="5">
                  <c:v>0.574143971710573</c:v>
                </c:pt>
                <c:pt idx="6">
                  <c:v>0.561899555601299</c:v>
                </c:pt>
                <c:pt idx="7">
                  <c:v>0.550690825203201</c:v>
                </c:pt>
                <c:pt idx="8">
                  <c:v>0.545025452820022</c:v>
                </c:pt>
              </c:numCache>
            </c:numRef>
          </c:val>
        </c:ser>
        <c:dLbls>
          <c:showLegendKey val="0"/>
          <c:showVal val="0"/>
          <c:showCatName val="0"/>
          <c:showSerName val="0"/>
          <c:showPercent val="0"/>
          <c:showBubbleSize val="0"/>
        </c:dLbls>
        <c:axId val="434575128"/>
        <c:axId val="434578184"/>
      </c:areaChart>
      <c:catAx>
        <c:axId val="434575128"/>
        <c:scaling>
          <c:orientation val="minMax"/>
        </c:scaling>
        <c:delete val="0"/>
        <c:axPos val="b"/>
        <c:numFmt formatCode="General" sourceLinked="1"/>
        <c:majorTickMark val="out"/>
        <c:minorTickMark val="none"/>
        <c:tickLblPos val="nextTo"/>
        <c:crossAx val="434578184"/>
        <c:crosses val="autoZero"/>
        <c:auto val="1"/>
        <c:lblAlgn val="ctr"/>
        <c:lblOffset val="100"/>
        <c:noMultiLvlLbl val="0"/>
      </c:catAx>
      <c:valAx>
        <c:axId val="434578184"/>
        <c:scaling>
          <c:orientation val="minMax"/>
        </c:scaling>
        <c:delete val="0"/>
        <c:axPos val="l"/>
        <c:majorGridlines/>
        <c:numFmt formatCode="#,##0_);\(#,##0\);&quot;-&quot;_);@" sourceLinked="1"/>
        <c:majorTickMark val="out"/>
        <c:minorTickMark val="none"/>
        <c:tickLblPos val="nextTo"/>
        <c:crossAx val="434575128"/>
        <c:crosses val="autoZero"/>
        <c:crossBetween val="midCat"/>
      </c:valAx>
    </c:plotArea>
    <c:plotVisOnly val="1"/>
    <c:dispBlanksAs val="zero"/>
    <c:showDLblsOverMax val="0"/>
  </c:chart>
  <c:spPr>
    <a:noFill/>
    <a:ln>
      <a:noFill/>
    </a:ln>
  </c:spPr>
  <c:printSettings>
    <c:headerFooter/>
    <c:pageMargins b="0.75000000000001" l="0.700000000000001" r="0.700000000000001" t="0.75000000000001"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GB" sz="1200"/>
              <a:t>Fuel costs</a:t>
            </a:r>
          </a:p>
        </c:rich>
      </c:tx>
      <c:layout/>
      <c:overlay val="0"/>
    </c:title>
    <c:autoTitleDeleted val="0"/>
    <c:plotArea>
      <c:layout/>
      <c:areaChart>
        <c:grouping val="standard"/>
        <c:varyColors val="0"/>
        <c:ser>
          <c:idx val="1"/>
          <c:order val="1"/>
          <c:tx>
            <c:strRef>
              <c:f>'Cost Charts'!$B$57</c:f>
              <c:strCache>
                <c:ptCount val="1"/>
                <c:pt idx="0">
                  <c:v>Fuel costs - high</c:v>
                </c:pt>
              </c:strCache>
            </c:strRef>
          </c:tx>
          <c:spPr>
            <a:solidFill>
              <a:schemeClr val="tx1">
                <a:lumMod val="50000"/>
                <a:lumOff val="50000"/>
              </a:schemeClr>
            </a:solidFill>
          </c:spPr>
          <c:cat>
            <c:numRef>
              <c:f>'Cost Charts'!$C$51:$K$51</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'Cost Charts'!$C$57:$K$57</c:f>
              <c:numCache>
                <c:formatCode>#,##0_);\(#,##0\);"-"_);@</c:formatCode>
                <c:ptCount val="9"/>
                <c:pt idx="0">
                  <c:v>1244.804768744879</c:v>
                </c:pt>
                <c:pt idx="1">
                  <c:v>958.5010809144234</c:v>
                </c:pt>
                <c:pt idx="2">
                  <c:v>723.3070027967796</c:v>
                </c:pt>
                <c:pt idx="3">
                  <c:v>547.3185406928698</c:v>
                </c:pt>
                <c:pt idx="4">
                  <c:v>406.0873228266257</c:v>
                </c:pt>
                <c:pt idx="5">
                  <c:v>309.179665545975</c:v>
                </c:pt>
                <c:pt idx="6">
                  <c:v>236.4437285660005</c:v>
                </c:pt>
                <c:pt idx="7">
                  <c:v>181.5684800632348</c:v>
                </c:pt>
                <c:pt idx="8">
                  <c:v>61.39176011801079</c:v>
                </c:pt>
              </c:numCache>
            </c:numRef>
          </c:val>
        </c:ser>
        <c:ser>
          <c:idx val="0"/>
          <c:order val="0"/>
          <c:tx>
            <c:strRef>
              <c:f>'Cost Charts'!$B$56</c:f>
              <c:strCache>
                <c:ptCount val="1"/>
                <c:pt idx="0">
                  <c:v>Fuel costs - low</c:v>
                </c:pt>
              </c:strCache>
            </c:strRef>
          </c:tx>
          <c:spPr>
            <a:solidFill>
              <a:schemeClr val="tx1"/>
            </a:solidFill>
            <a:ln>
              <a:noFill/>
            </a:ln>
          </c:spPr>
          <c:cat>
            <c:numRef>
              <c:f>'Cost Charts'!$C$51:$K$51</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'Cost Charts'!$C$56:$K$56</c:f>
              <c:numCache>
                <c:formatCode>#,##0_);\(#,##0\);"-"_);@</c:formatCode>
                <c:ptCount val="9"/>
                <c:pt idx="0">
                  <c:v>442.6207885599554</c:v>
                </c:pt>
                <c:pt idx="1">
                  <c:v>342.0314136210976</c:v>
                </c:pt>
                <c:pt idx="2">
                  <c:v>258.3185168717318</c:v>
                </c:pt>
                <c:pt idx="3">
                  <c:v>195.6079094532477</c:v>
                </c:pt>
                <c:pt idx="4">
                  <c:v>144.9682459640218</c:v>
                </c:pt>
                <c:pt idx="5">
                  <c:v>110.4407413930719</c:v>
                </c:pt>
                <c:pt idx="6">
                  <c:v>84.5244632351465</c:v>
                </c:pt>
                <c:pt idx="7">
                  <c:v>64.97101257257482</c:v>
                </c:pt>
                <c:pt idx="8">
                  <c:v>23.66911233465477</c:v>
                </c:pt>
              </c:numCache>
            </c:numRef>
          </c:val>
        </c:ser>
        <c:dLbls>
          <c:showLegendKey val="0"/>
          <c:showVal val="0"/>
          <c:showCatName val="0"/>
          <c:showSerName val="0"/>
          <c:showPercent val="0"/>
          <c:showBubbleSize val="0"/>
        </c:dLbls>
        <c:axId val="434608504"/>
        <c:axId val="434611560"/>
      </c:areaChart>
      <c:catAx>
        <c:axId val="434608504"/>
        <c:scaling>
          <c:orientation val="minMax"/>
        </c:scaling>
        <c:delete val="0"/>
        <c:axPos val="b"/>
        <c:numFmt formatCode="General" sourceLinked="1"/>
        <c:majorTickMark val="out"/>
        <c:minorTickMark val="none"/>
        <c:tickLblPos val="nextTo"/>
        <c:crossAx val="434611560"/>
        <c:crosses val="autoZero"/>
        <c:auto val="1"/>
        <c:lblAlgn val="ctr"/>
        <c:lblOffset val="100"/>
        <c:noMultiLvlLbl val="0"/>
      </c:catAx>
      <c:valAx>
        <c:axId val="434611560"/>
        <c:scaling>
          <c:orientation val="minMax"/>
        </c:scaling>
        <c:delete val="0"/>
        <c:axPos val="l"/>
        <c:majorGridlines/>
        <c:numFmt formatCode="#,##0_);\(#,##0\);&quot;-&quot;_);@" sourceLinked="1"/>
        <c:majorTickMark val="out"/>
        <c:minorTickMark val="none"/>
        <c:tickLblPos val="nextTo"/>
        <c:crossAx val="434608504"/>
        <c:crosses val="autoZero"/>
        <c:crossBetween val="midCat"/>
      </c:valAx>
    </c:plotArea>
    <c:plotVisOnly val="1"/>
    <c:dispBlanksAs val="zero"/>
    <c:showDLblsOverMax val="0"/>
  </c:chart>
  <c:spPr>
    <a:noFill/>
    <a:ln>
      <a:noFill/>
    </a:ln>
  </c:spPr>
  <c:printSettings>
    <c:headerFooter/>
    <c:pageMargins b="0.75000000000001" l="0.700000000000001" r="0.700000000000001" t="0.75000000000001"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GB" sz="1200"/>
              <a:t>Total costs</a:t>
            </a:r>
          </a:p>
        </c:rich>
      </c:tx>
      <c:overlay val="0"/>
    </c:title>
    <c:autoTitleDeleted val="0"/>
    <c:plotArea>
      <c:layout/>
      <c:areaChart>
        <c:grouping val="standard"/>
        <c:varyColors val="0"/>
        <c:ser>
          <c:idx val="1"/>
          <c:order val="1"/>
          <c:tx>
            <c:strRef>
              <c:f>'Cost Charts'!$B$59</c:f>
              <c:strCache>
                <c:ptCount val="1"/>
                <c:pt idx="0">
                  <c:v>Total costs - high</c:v>
                </c:pt>
              </c:strCache>
            </c:strRef>
          </c:tx>
          <c:spPr>
            <a:solidFill>
              <a:schemeClr val="tx1">
                <a:lumMod val="50000"/>
                <a:lumOff val="50000"/>
              </a:schemeClr>
            </a:solidFill>
          </c:spPr>
          <c:cat>
            <c:numRef>
              <c:f>'Cost Charts'!$C$51:$K$51</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'Cost Charts'!$C$59:$K$59</c:f>
              <c:numCache>
                <c:formatCode>#,##0_);\(#,##0\);"-"_);@</c:formatCode>
                <c:ptCount val="9"/>
                <c:pt idx="0">
                  <c:v>1244.804768744879</c:v>
                </c:pt>
                <c:pt idx="1">
                  <c:v>966.4420662620282</c:v>
                </c:pt>
                <c:pt idx="2">
                  <c:v>734.666920292899</c:v>
                </c:pt>
                <c:pt idx="3">
                  <c:v>575.1555548804746</c:v>
                </c:pt>
                <c:pt idx="4">
                  <c:v>463.2488285229375</c:v>
                </c:pt>
                <c:pt idx="5">
                  <c:v>382.6204900930065</c:v>
                </c:pt>
                <c:pt idx="6">
                  <c:v>308.3183257215246</c:v>
                </c:pt>
                <c:pt idx="7">
                  <c:v>252.0093281190179</c:v>
                </c:pt>
                <c:pt idx="8">
                  <c:v>131.2954731581424</c:v>
                </c:pt>
              </c:numCache>
            </c:numRef>
          </c:val>
        </c:ser>
        <c:ser>
          <c:idx val="0"/>
          <c:order val="0"/>
          <c:tx>
            <c:strRef>
              <c:f>'Cost Charts'!$B$58</c:f>
              <c:strCache>
                <c:ptCount val="1"/>
                <c:pt idx="0">
                  <c:v>Total costs - low</c:v>
                </c:pt>
              </c:strCache>
            </c:strRef>
          </c:tx>
          <c:spPr>
            <a:solidFill>
              <a:schemeClr val="tx1"/>
            </a:solidFill>
            <a:ln>
              <a:noFill/>
            </a:ln>
          </c:spPr>
          <c:cat>
            <c:numRef>
              <c:f>'Cost Charts'!$C$51:$K$51</c:f>
              <c:numCache>
                <c:formatCode>General</c:formatCode>
                <c:ptCount val="9"/>
                <c:pt idx="0">
                  <c:v>2010.0</c:v>
                </c:pt>
                <c:pt idx="1">
                  <c:v>2015.0</c:v>
                </c:pt>
                <c:pt idx="2">
                  <c:v>2020.0</c:v>
                </c:pt>
                <c:pt idx="3">
                  <c:v>2025.0</c:v>
                </c:pt>
                <c:pt idx="4">
                  <c:v>2030.0</c:v>
                </c:pt>
                <c:pt idx="5">
                  <c:v>2035.0</c:v>
                </c:pt>
                <c:pt idx="6">
                  <c:v>2040.0</c:v>
                </c:pt>
                <c:pt idx="7">
                  <c:v>2045.0</c:v>
                </c:pt>
                <c:pt idx="8">
                  <c:v>2050.0</c:v>
                </c:pt>
              </c:numCache>
            </c:numRef>
          </c:cat>
          <c:val>
            <c:numRef>
              <c:f>'Cost Charts'!$C$58:$K$58</c:f>
              <c:numCache>
                <c:formatCode>#,##0_);\(#,##0\);"-"_);@</c:formatCode>
                <c:ptCount val="9"/>
                <c:pt idx="0">
                  <c:v>442.6207885599554</c:v>
                </c:pt>
                <c:pt idx="1">
                  <c:v>343.8210192726157</c:v>
                </c:pt>
                <c:pt idx="2">
                  <c:v>260.6125682010957</c:v>
                </c:pt>
                <c:pt idx="3">
                  <c:v>201.5780426477986</c:v>
                </c:pt>
                <c:pt idx="4">
                  <c:v>157.227527807547</c:v>
                </c:pt>
                <c:pt idx="5">
                  <c:v>126.1914070897776</c:v>
                </c:pt>
                <c:pt idx="6">
                  <c:v>99.93922415135972</c:v>
                </c:pt>
                <c:pt idx="7">
                  <c:v>80.07828098850284</c:v>
                </c:pt>
                <c:pt idx="8">
                  <c:v>38.56502282311185</c:v>
                </c:pt>
              </c:numCache>
            </c:numRef>
          </c:val>
        </c:ser>
        <c:dLbls>
          <c:showLegendKey val="0"/>
          <c:showVal val="0"/>
          <c:showCatName val="0"/>
          <c:showSerName val="0"/>
          <c:showPercent val="0"/>
          <c:showBubbleSize val="0"/>
        </c:dLbls>
        <c:axId val="434641928"/>
        <c:axId val="434644984"/>
      </c:areaChart>
      <c:catAx>
        <c:axId val="434641928"/>
        <c:scaling>
          <c:orientation val="minMax"/>
        </c:scaling>
        <c:delete val="0"/>
        <c:axPos val="b"/>
        <c:numFmt formatCode="General" sourceLinked="1"/>
        <c:majorTickMark val="out"/>
        <c:minorTickMark val="none"/>
        <c:tickLblPos val="nextTo"/>
        <c:crossAx val="434644984"/>
        <c:crosses val="autoZero"/>
        <c:auto val="1"/>
        <c:lblAlgn val="ctr"/>
        <c:lblOffset val="100"/>
        <c:noMultiLvlLbl val="0"/>
      </c:catAx>
      <c:valAx>
        <c:axId val="434644984"/>
        <c:scaling>
          <c:orientation val="minMax"/>
        </c:scaling>
        <c:delete val="0"/>
        <c:axPos val="l"/>
        <c:majorGridlines/>
        <c:numFmt formatCode="#,##0_);\(#,##0\);&quot;-&quot;_);@" sourceLinked="1"/>
        <c:majorTickMark val="out"/>
        <c:minorTickMark val="none"/>
        <c:tickLblPos val="nextTo"/>
        <c:crossAx val="434641928"/>
        <c:crosses val="autoZero"/>
        <c:crossBetween val="midCat"/>
      </c:valAx>
    </c:plotArea>
    <c:plotVisOnly val="1"/>
    <c:dispBlanksAs val="zero"/>
    <c:showDLblsOverMax val="0"/>
  </c:chart>
  <c:spPr>
    <a:noFill/>
    <a:ln>
      <a:noFill/>
    </a:ln>
  </c:spPr>
  <c:printSettings>
    <c:headerFooter/>
    <c:pageMargins b="0.75000000000001" l="0.700000000000001" r="0.700000000000001" t="0.75000000000001" header="0.3" footer="0.3"/>
    <c:pageSetup/>
  </c:printSettings>
</c:chartSpace>
</file>

<file path=xl/ctrlProps/ctrlProp1.xml><?xml version="1.0" encoding="utf-8"?>
<formControlPr xmlns="http://schemas.microsoft.com/office/spreadsheetml/2009/9/main" objectType="Radio" firstButton="1" fmlaLink="II.a.Scenario" lockText="1"/>
</file>

<file path=xl/ctrlProps/ctrlProp2.xml><?xml version="1.0" encoding="utf-8"?>
<formControlPr xmlns="http://schemas.microsoft.com/office/spreadsheetml/2009/9/main" objectType="Radio" checked="Checked"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ctrlProps/ctrlProp5.xml><?xml version="1.0" encoding="utf-8"?>
<formControlPr xmlns="http://schemas.microsoft.com/office/spreadsheetml/2009/9/main" objectType="Radio" checked="Checked" firstButton="1" fmlaLink="XII.c.Scenar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firstButton="1" fmlaLink="X.a.Scenario.Technology" lockText="1"/>
</file>

<file path=xl/ctrlProps/ctrlProp8.xml><?xml version="1.0" encoding="utf-8"?>
<formControlPr xmlns="http://schemas.microsoft.com/office/spreadsheetml/2009/9/main" objectType="Radio" checked="Checked" lockText="1"/>
</file>

<file path=xl/ctrlProps/ctrlProp9.xml><?xml version="1.0" encoding="utf-8"?>
<formControlPr xmlns="http://schemas.microsoft.com/office/spreadsheetml/2009/9/main" objectType="Radio" firstButton="1" fmlaLink="XI.a.Scenario.Efficiency" lockText="1"/>
</file>

<file path=xl/ctrlProps/ctrlProp10.xml><?xml version="1.0" encoding="utf-8"?>
<formControlPr xmlns="http://schemas.microsoft.com/office/spreadsheetml/2009/9/main" objectType="Radio" lockText="1"/>
</file>

<file path=xl/ctrlProps/ctrlProp11.xml><?xml version="1.0" encoding="utf-8"?>
<formControlPr xmlns="http://schemas.microsoft.com/office/spreadsheetml/2009/9/main" objectType="Radio" checked="Checked" lockText="1"/>
</file>

<file path=xl/ctrlProps/ctrlProp12.xml><?xml version="1.0" encoding="utf-8"?>
<formControlPr xmlns="http://schemas.microsoft.com/office/spreadsheetml/2009/9/main" objectType="Radio" checked="Checked" firstButton="1" fmlaLink="XI.a.Scenario.Output" lockText="1"/>
</file>

<file path=xl/ctrlProps/ctrlProp13.xml><?xml version="1.0" encoding="utf-8"?>
<formControlPr xmlns="http://schemas.microsoft.com/office/spreadsheetml/2009/9/main" objectType="Radio" lockText="1"/>
</file>

<file path=xl/ctrlProps/ctrlProp14.xml><?xml version="1.0" encoding="utf-8"?>
<formControlPr xmlns="http://schemas.microsoft.com/office/spreadsheetml/2009/9/main" objectType="Radio" lockText="1"/>
</file>

<file path=xl/ctrlProps/ctrlProp15.xml><?xml version="1.0" encoding="utf-8"?>
<formControlPr xmlns="http://schemas.microsoft.com/office/spreadsheetml/2009/9/main" objectType="Radio" firstButton="1" fmlaLink="X.b.Scenario.Technology" lockText="1"/>
</file>

<file path=xl/ctrlProps/ctrlProp16.xml><?xml version="1.0" encoding="utf-8"?>
<formControlPr xmlns="http://schemas.microsoft.com/office/spreadsheetml/2009/9/main" objectType="Radio" checked="Checked" lockText="1"/>
</file>

<file path=xl/ctrlProps/ctrlProp17.xml><?xml version="1.0" encoding="utf-8"?>
<formControlPr xmlns="http://schemas.microsoft.com/office/spreadsheetml/2009/9/main" objectType="Radio" firstButton="1" fmlaLink="I.b.2.Scenario" lockText="1"/>
</file>

<file path=xl/ctrlProps/ctrlProp18.xml><?xml version="1.0" encoding="utf-8"?>
<formControlPr xmlns="http://schemas.microsoft.com/office/spreadsheetml/2009/9/main" objectType="Radio" checked="Checked" lockText="1"/>
</file>

<file path=xl/ctrlProps/ctrlProp19.xml><?xml version="1.0" encoding="utf-8"?>
<formControlPr xmlns="http://schemas.microsoft.com/office/spreadsheetml/2009/9/main" objectType="Radio" lockText="1"/>
</file>

<file path=xl/ctrlProps/ctrlProp20.xml><?xml version="1.0" encoding="utf-8"?>
<formControlPr xmlns="http://schemas.microsoft.com/office/spreadsheetml/2009/9/main" objectType="Radio" lockText="1"/>
</file>

<file path=xl/ctrlProps/ctrlProp21.xml><?xml version="1.0" encoding="utf-8"?>
<formControlPr xmlns="http://schemas.microsoft.com/office/spreadsheetml/2009/9/main" objectType="Radio" firstButton="1" fmlaLink="I.b.1.Scenario" lockText="1"/>
</file>

<file path=xl/ctrlProps/ctrlProp22.xml><?xml version="1.0" encoding="utf-8"?>
<formControlPr xmlns="http://schemas.microsoft.com/office/spreadsheetml/2009/9/main" objectType="Radio" checked="Checked" lockText="1"/>
</file>

<file path=xl/ctrlProps/ctrlProp23.xml><?xml version="1.0" encoding="utf-8"?>
<formControlPr xmlns="http://schemas.microsoft.com/office/spreadsheetml/2009/9/main" objectType="Radio" lockText="1"/>
</file>

<file path=xl/ctrlProps/ctrlProp24.xml><?xml version="1.0" encoding="utf-8"?>
<formControlPr xmlns="http://schemas.microsoft.com/office/spreadsheetml/2009/9/main" objectType="Radio" lockText="1"/>
</file>

<file path=xl/ctrlProps/ctrlProp25.xml><?xml version="1.0" encoding="utf-8"?>
<formControlPr xmlns="http://schemas.microsoft.com/office/spreadsheetml/2009/9/main" objectType="GBox" noThreeD="1"/>
</file>

<file path=xl/ctrlProps/ctrlProp26.xml><?xml version="1.0" encoding="utf-8"?>
<formControlPr xmlns="http://schemas.microsoft.com/office/spreadsheetml/2009/9/main" objectType="GBox" noThreeD="1"/>
</file>

<file path=xl/ctrlProps/ctrlProp27.xml><?xml version="1.0" encoding="utf-8"?>
<formControlPr xmlns="http://schemas.microsoft.com/office/spreadsheetml/2009/9/main" objectType="GBox" noThreeD="1"/>
</file>

<file path=xl/ctrlProps/ctrlProp28.xml><?xml version="1.0" encoding="utf-8"?>
<formControlPr xmlns="http://schemas.microsoft.com/office/spreadsheetml/2009/9/main" objectType="GBox" noThreeD="1"/>
</file>

<file path=xl/ctrlProps/ctrlProp29.xml><?xml version="1.0" encoding="utf-8"?>
<formControlPr xmlns="http://schemas.microsoft.com/office/spreadsheetml/2009/9/main" objectType="GBox" noThreeD="1"/>
</file>

<file path=xl/ctrlProps/ctrlProp30.xml><?xml version="1.0" encoding="utf-8"?>
<formControlPr xmlns="http://schemas.microsoft.com/office/spreadsheetml/2009/9/main" objectType="GBox" noThreeD="1"/>
</file>

<file path=xl/ctrlProps/ctrlProp31.xml><?xml version="1.0" encoding="utf-8"?>
<formControlPr xmlns="http://schemas.microsoft.com/office/spreadsheetml/2009/9/main" objectType="GBox" noThreeD="1"/>
</file>

<file path=xl/ctrlProps/ctrlProp32.xml><?xml version="1.0" encoding="utf-8"?>
<formControlPr xmlns="http://schemas.microsoft.com/office/spreadsheetml/2009/9/main" objectType="GBox" noThreeD="1"/>
</file>

<file path=xl/ctrlProps/ctrlProp33.xml><?xml version="1.0" encoding="utf-8"?>
<formControlPr xmlns="http://schemas.microsoft.com/office/spreadsheetml/2009/9/main" objectType="GBox" noThreeD="1"/>
</file>

<file path=xl/ctrlProps/ctrlProp34.xml><?xml version="1.0" encoding="utf-8"?>
<formControlPr xmlns="http://schemas.microsoft.com/office/spreadsheetml/2009/9/main" objectType="GBox" noThreeD="1"/>
</file>

<file path=xl/ctrlProps/ctrlProp35.xml><?xml version="1.0" encoding="utf-8"?>
<formControlPr xmlns="http://schemas.microsoft.com/office/spreadsheetml/2009/9/main" objectType="GBox" noThreeD="1"/>
</file>

<file path=xl/ctrlProps/ctrlProp36.xml><?xml version="1.0" encoding="utf-8"?>
<formControlPr xmlns="http://schemas.microsoft.com/office/spreadsheetml/2009/9/main" objectType="GBox" noThreeD="1"/>
</file>

<file path=xl/ctrlProps/ctrlProp37.xml><?xml version="1.0" encoding="utf-8"?>
<formControlPr xmlns="http://schemas.microsoft.com/office/spreadsheetml/2009/9/main" objectType="GBox" noThreeD="1"/>
</file>

<file path=xl/ctrlProps/ctrlProp38.xml><?xml version="1.0" encoding="utf-8"?>
<formControlPr xmlns="http://schemas.microsoft.com/office/spreadsheetml/2009/9/main" objectType="GBox" noThreeD="1"/>
</file>

<file path=xl/ctrlProps/ctrlProp39.xml><?xml version="1.0" encoding="utf-8"?>
<formControlPr xmlns="http://schemas.microsoft.com/office/spreadsheetml/2009/9/main" objectType="GBox" noThreeD="1"/>
</file>

<file path=xl/ctrlProps/ctrlProp40.xml><?xml version="1.0" encoding="utf-8"?>
<formControlPr xmlns="http://schemas.microsoft.com/office/spreadsheetml/2009/9/main" objectType="GBox" noThreeD="1"/>
</file>

<file path=xl/ctrlProps/ctrlProp41.xml><?xml version="1.0" encoding="utf-8"?>
<formControlPr xmlns="http://schemas.microsoft.com/office/spreadsheetml/2009/9/main" objectType="GBox" noThreeD="1"/>
</file>

<file path=xl/ctrlProps/ctrlProp42.xml><?xml version="1.0" encoding="utf-8"?>
<formControlPr xmlns="http://schemas.microsoft.com/office/spreadsheetml/2009/9/main" objectType="GBox" noThreeD="1"/>
</file>

<file path=xl/ctrlProps/ctrlProp43.xml><?xml version="1.0" encoding="utf-8"?>
<formControlPr xmlns="http://schemas.microsoft.com/office/spreadsheetml/2009/9/main" objectType="GBox" noThreeD="1"/>
</file>

<file path=xl/ctrlProps/ctrlProp44.xml><?xml version="1.0" encoding="utf-8"?>
<formControlPr xmlns="http://schemas.microsoft.com/office/spreadsheetml/2009/9/main" objectType="GBox" noThreeD="1"/>
</file>

<file path=xl/ctrlProps/ctrlProp45.xml><?xml version="1.0" encoding="utf-8"?>
<formControlPr xmlns="http://schemas.microsoft.com/office/spreadsheetml/2009/9/main" objectType="GBox" noThreeD="1"/>
</file>

<file path=xl/ctrlProps/ctrlProp46.xml><?xml version="1.0" encoding="utf-8"?>
<formControlPr xmlns="http://schemas.microsoft.com/office/spreadsheetml/2009/9/main" objectType="GBox" noThreeD="1"/>
</file>

<file path=xl/ctrlProps/ctrlProp47.xml><?xml version="1.0" encoding="utf-8"?>
<formControlPr xmlns="http://schemas.microsoft.com/office/spreadsheetml/2009/9/main" objectType="GBox" noThreeD="1"/>
</file>

<file path=xl/ctrlProps/ctrlProp48.xml><?xml version="1.0" encoding="utf-8"?>
<formControlPr xmlns="http://schemas.microsoft.com/office/spreadsheetml/2009/9/main" objectType="GBox" noThreeD="1"/>
</file>

<file path=xl/ctrlProps/ctrlProp49.xml><?xml version="1.0" encoding="utf-8"?>
<formControlPr xmlns="http://schemas.microsoft.com/office/spreadsheetml/2009/9/main" objectType="GBox" noThreeD="1"/>
</file>

<file path=xl/ctrlProps/ctrlProp50.xml><?xml version="1.0" encoding="utf-8"?>
<formControlPr xmlns="http://schemas.microsoft.com/office/spreadsheetml/2009/9/main" objectType="GBox" noThreeD="1"/>
</file>

<file path=xl/ctrlProps/ctrlProp51.xml><?xml version="1.0" encoding="utf-8"?>
<formControlPr xmlns="http://schemas.microsoft.com/office/spreadsheetml/2009/9/main" objectType="GBox" noThreeD="1"/>
</file>

<file path=xl/ctrlProps/ctrlProp52.xml><?xml version="1.0" encoding="utf-8"?>
<formControlPr xmlns="http://schemas.microsoft.com/office/spreadsheetml/2009/9/main" objectType="GBox" noThreeD="1"/>
</file>

<file path=xl/ctrlProps/ctrlProp53.xml><?xml version="1.0" encoding="utf-8"?>
<formControlPr xmlns="http://schemas.microsoft.com/office/spreadsheetml/2009/9/main" objectType="GBox" noThreeD="1"/>
</file>

<file path=xl/ctrlProps/ctrlProp54.xml><?xml version="1.0" encoding="utf-8"?>
<formControlPr xmlns="http://schemas.microsoft.com/office/spreadsheetml/2009/9/main" objectType="GBox" noThreeD="1"/>
</file>

<file path=xl/ctrlProps/ctrlProp55.xml><?xml version="1.0" encoding="utf-8"?>
<formControlPr xmlns="http://schemas.microsoft.com/office/spreadsheetml/2009/9/main" objectType="GBox" noThreeD="1"/>
</file>

<file path=xl/ctrlProps/ctrlProp56.xml><?xml version="1.0" encoding="utf-8"?>
<formControlPr xmlns="http://schemas.microsoft.com/office/spreadsheetml/2009/9/main" objectType="GBox" noThreeD="1"/>
</file>

<file path=xl/ctrlProps/ctrlProp57.xml><?xml version="1.0" encoding="utf-8"?>
<formControlPr xmlns="http://schemas.microsoft.com/office/spreadsheetml/2009/9/main" objectType="GBox" noThreeD="1"/>
</file>

<file path=xl/ctrlProps/ctrlProp58.xml><?xml version="1.0" encoding="utf-8"?>
<formControlPr xmlns="http://schemas.microsoft.com/office/spreadsheetml/2009/9/main" objectType="GBox" noThreeD="1"/>
</file>

<file path=xl/ctrlProps/ctrlProp59.xml><?xml version="1.0" encoding="utf-8"?>
<formControlPr xmlns="http://schemas.microsoft.com/office/spreadsheetml/2009/9/main" objectType="GBox" noThreeD="1"/>
</file>

<file path=xl/ctrlProps/ctrlProp60.xml><?xml version="1.0" encoding="utf-8"?>
<formControlPr xmlns="http://schemas.microsoft.com/office/spreadsheetml/2009/9/main" objectType="GBox" noThreeD="1"/>
</file>

<file path=xl/ctrlProps/ctrlProp61.xml><?xml version="1.0" encoding="utf-8"?>
<formControlPr xmlns="http://schemas.microsoft.com/office/spreadsheetml/2009/9/main" objectType="GBox" noThreeD="1"/>
</file>

<file path=xl/ctrlProps/ctrlProp62.xml><?xml version="1.0" encoding="utf-8"?>
<formControlPr xmlns="http://schemas.microsoft.com/office/spreadsheetml/2009/9/main" objectType="GBox" noThreeD="1"/>
</file>

<file path=xl/ctrlProps/ctrlProp63.xml><?xml version="1.0" encoding="utf-8"?>
<formControlPr xmlns="http://schemas.microsoft.com/office/spreadsheetml/2009/9/main" objectType="GBox" noThreeD="1"/>
</file>

<file path=xl/ctrlProps/ctrlProp64.xml><?xml version="1.0" encoding="utf-8"?>
<formControlPr xmlns="http://schemas.microsoft.com/office/spreadsheetml/2009/9/main" objectType="Radio" firstButton="1" fmlaLink="VI.b.Scenario" lockText="1"/>
</file>

<file path=xl/ctrlProps/ctrlProp65.xml><?xml version="1.0" encoding="utf-8"?>
<formControlPr xmlns="http://schemas.microsoft.com/office/spreadsheetml/2009/9/main" objectType="Radio" lockText="1"/>
</file>

<file path=xl/ctrlProps/ctrlProp66.xml><?xml version="1.0" encoding="utf-8"?>
<formControlPr xmlns="http://schemas.microsoft.com/office/spreadsheetml/2009/9/main" objectType="Radio" checked="Checked" lockText="1"/>
</file>

<file path=xl/ctrlProps/ctrlProp67.xml><?xml version="1.0" encoding="utf-8"?>
<formControlPr xmlns="http://schemas.microsoft.com/office/spreadsheetml/2009/9/main" objectType="Radio" lockText="1"/>
</file>

<file path=xl/ctrlProps/ctrlProp68.xml><?xml version="1.0" encoding="utf-8"?>
<formControlPr xmlns="http://schemas.microsoft.com/office/spreadsheetml/2009/9/main" objectType="Radio" lockText="1"/>
</file>

<file path=xl/ctrlProps/ctrlProp69.xml><?xml version="1.0" encoding="utf-8"?>
<formControlPr xmlns="http://schemas.microsoft.com/office/spreadsheetml/2009/9/main" objectType="Radio" firstButton="1" fmlaLink="III.a.2.Scenario" lockText="1"/>
</file>

<file path=xl/ctrlProps/ctrlProp70.xml><?xml version="1.0" encoding="utf-8"?>
<formControlPr xmlns="http://schemas.microsoft.com/office/spreadsheetml/2009/9/main" objectType="Radio" checked="Checked" lockText="1"/>
</file>

<file path=xl/ctrlProps/ctrlProp71.xml><?xml version="1.0" encoding="utf-8"?>
<formControlPr xmlns="http://schemas.microsoft.com/office/spreadsheetml/2009/9/main" objectType="Radio" lockText="1"/>
</file>

<file path=xl/ctrlProps/ctrlProp72.xml><?xml version="1.0" encoding="utf-8"?>
<formControlPr xmlns="http://schemas.microsoft.com/office/spreadsheetml/2009/9/main" objectType="Radio" lockText="1"/>
</file>

<file path=xl/ctrlProps/ctrlProp73.xml><?xml version="1.0" encoding="utf-8"?>
<formControlPr xmlns="http://schemas.microsoft.com/office/spreadsheetml/2009/9/main" objectType="Radio" lockText="1"/>
</file>

<file path=xl/ctrlProps/ctrlProp74.xml><?xml version="1.0" encoding="utf-8"?>
<formControlPr xmlns="http://schemas.microsoft.com/office/spreadsheetml/2009/9/main" objectType="Radio" lockText="1"/>
</file>

<file path=xl/ctrlProps/ctrlProp75.xml><?xml version="1.0" encoding="utf-8"?>
<formControlPr xmlns="http://schemas.microsoft.com/office/spreadsheetml/2009/9/main" objectType="Radio" lockText="1"/>
</file>

<file path=xl/ctrlProps/ctrlProp76.xml><?xml version="1.0" encoding="utf-8"?>
<formControlPr xmlns="http://schemas.microsoft.com/office/spreadsheetml/2009/9/main" objectType="Radio" lockText="1"/>
</file>

<file path=xl/ctrlProps/ctrlProp77.xml><?xml version="1.0" encoding="utf-8"?>
<formControlPr xmlns="http://schemas.microsoft.com/office/spreadsheetml/2009/9/main" objectType="Radio" lockText="1"/>
</file>

<file path=xl/ctrlProps/ctrlProp78.xml><?xml version="1.0" encoding="utf-8"?>
<formControlPr xmlns="http://schemas.microsoft.com/office/spreadsheetml/2009/9/main" objectType="Radio" lockText="1"/>
</file>

<file path=xl/ctrlProps/ctrlProp79.xml><?xml version="1.0" encoding="utf-8"?>
<formControlPr xmlns="http://schemas.microsoft.com/office/spreadsheetml/2009/9/main" objectType="Radio" lockText="1"/>
</file>

<file path=xl/ctrlProps/ctrlProp80.xml><?xml version="1.0" encoding="utf-8"?>
<formControlPr xmlns="http://schemas.microsoft.com/office/spreadsheetml/2009/9/main" objectType="Radio" lockText="1"/>
</file>

<file path=xl/ctrlProps/ctrlProp81.xml><?xml version="1.0" encoding="utf-8"?>
<formControlPr xmlns="http://schemas.microsoft.com/office/spreadsheetml/2009/9/main" objectType="Radio" lockText="1"/>
</file>

<file path=xl/ctrlProps/ctrlProp82.xml><?xml version="1.0" encoding="utf-8"?>
<formControlPr xmlns="http://schemas.microsoft.com/office/spreadsheetml/2009/9/main" objectType="Radio" lockText="1"/>
</file>

<file path=xl/ctrlProps/ctrlProp83.xml><?xml version="1.0" encoding="utf-8"?>
<formControlPr xmlns="http://schemas.microsoft.com/office/spreadsheetml/2009/9/main" objectType="Radio" lockText="1"/>
</file>

<file path=xl/ctrlProps/ctrlProp84.xml><?xml version="1.0" encoding="utf-8"?>
<formControlPr xmlns="http://schemas.microsoft.com/office/spreadsheetml/2009/9/main" objectType="Radio" lockText="1"/>
</file>

<file path=xl/ctrlProps/ctrlProp85.xml><?xml version="1.0" encoding="utf-8"?>
<formControlPr xmlns="http://schemas.microsoft.com/office/spreadsheetml/2009/9/main" objectType="Radio" lockText="1"/>
</file>

<file path=xl/ctrlProps/ctrlProp86.xml><?xml version="1.0" encoding="utf-8"?>
<formControlPr xmlns="http://schemas.microsoft.com/office/spreadsheetml/2009/9/main" objectType="Radio" lockText="1"/>
</file>

<file path=xl/ctrlProps/ctrlProp87.xml><?xml version="1.0" encoding="utf-8"?>
<formControlPr xmlns="http://schemas.microsoft.com/office/spreadsheetml/2009/9/main" objectType="Radio" lockText="1"/>
</file>

<file path=xl/ctrlProps/ctrlProp88.xml><?xml version="1.0" encoding="utf-8"?>
<formControlPr xmlns="http://schemas.microsoft.com/office/spreadsheetml/2009/9/main" objectType="Radio" lockText="1"/>
</file>

<file path=xl/ctrlProps/ctrlProp89.xml><?xml version="1.0" encoding="utf-8"?>
<formControlPr xmlns="http://schemas.microsoft.com/office/spreadsheetml/2009/9/main" objectType="Radio" lockText="1"/>
</file>

<file path=xl/ctrlProps/ctrlProp90.xml><?xml version="1.0" encoding="utf-8"?>
<formControlPr xmlns="http://schemas.microsoft.com/office/spreadsheetml/2009/9/main" objectType="Radio" lockText="1"/>
</file>

<file path=xl/ctrlProps/ctrlProp91.xml><?xml version="1.0" encoding="utf-8"?>
<formControlPr xmlns="http://schemas.microsoft.com/office/spreadsheetml/2009/9/main" objectType="Radio" lockText="1"/>
</file>

<file path=xl/ctrlProps/ctrlProp92.xml><?xml version="1.0" encoding="utf-8"?>
<formControlPr xmlns="http://schemas.microsoft.com/office/spreadsheetml/2009/9/main" objectType="Radio" lockText="1"/>
</file>

<file path=xl/ctrlProps/ctrlProp93.xml><?xml version="1.0" encoding="utf-8"?>
<formControlPr xmlns="http://schemas.microsoft.com/office/spreadsheetml/2009/9/main" objectType="Radio" lockText="1"/>
</file>

<file path=xl/ctrlProps/ctrlProp94.xml><?xml version="1.0" encoding="utf-8"?>
<formControlPr xmlns="http://schemas.microsoft.com/office/spreadsheetml/2009/9/main" objectType="Radio" lockText="1"/>
</file>

<file path=xl/ctrlProps/ctrlProp95.xml><?xml version="1.0" encoding="utf-8"?>
<formControlPr xmlns="http://schemas.microsoft.com/office/spreadsheetml/2009/9/main" objectType="Radio" lockText="1"/>
</file>

<file path=xl/ctrlProps/ctrlProp96.xml><?xml version="1.0" encoding="utf-8"?>
<formControlPr xmlns="http://schemas.microsoft.com/office/spreadsheetml/2009/9/main" objectType="Radio" lockText="1"/>
</file>

<file path=xl/ctrlProps/ctrlProp97.xml><?xml version="1.0" encoding="utf-8"?>
<formControlPr xmlns="http://schemas.microsoft.com/office/spreadsheetml/2009/9/main" objectType="Radio" lockText="1"/>
</file>

<file path=xl/ctrlProps/ctrlProp98.xml><?xml version="1.0" encoding="utf-8"?>
<formControlPr xmlns="http://schemas.microsoft.com/office/spreadsheetml/2009/9/main" objectType="Radio" lockText="1"/>
</file>

<file path=xl/ctrlProps/ctrlProp99.xml><?xml version="1.0" encoding="utf-8"?>
<formControlPr xmlns="http://schemas.microsoft.com/office/spreadsheetml/2009/9/main" objectType="Radio" lockText="1"/>
</file>

<file path=xl/ctrlProps/ctrlProp100.xml><?xml version="1.0" encoding="utf-8"?>
<formControlPr xmlns="http://schemas.microsoft.com/office/spreadsheetml/2009/9/main" objectType="Radio" lockText="1"/>
</file>

<file path=xl/ctrlProps/ctrlProp101.xml><?xml version="1.0" encoding="utf-8"?>
<formControlPr xmlns="http://schemas.microsoft.com/office/spreadsheetml/2009/9/main" objectType="Radio" lockText="1"/>
</file>

<file path=xl/ctrlProps/ctrlProp102.xml><?xml version="1.0" encoding="utf-8"?>
<formControlPr xmlns="http://schemas.microsoft.com/office/spreadsheetml/2009/9/main" objectType="Radio" lockText="1"/>
</file>

<file path=xl/ctrlProps/ctrlProp103.xml><?xml version="1.0" encoding="utf-8"?>
<formControlPr xmlns="http://schemas.microsoft.com/office/spreadsheetml/2009/9/main" objectType="Radio" lockText="1"/>
</file>

<file path=xl/ctrlProps/ctrlProp104.xml><?xml version="1.0" encoding="utf-8"?>
<formControlPr xmlns="http://schemas.microsoft.com/office/spreadsheetml/2009/9/main" objectType="Radio" lockText="1"/>
</file>

<file path=xl/ctrlProps/ctrlProp105.xml><?xml version="1.0" encoding="utf-8"?>
<formControlPr xmlns="http://schemas.microsoft.com/office/spreadsheetml/2009/9/main" objectType="Radio" lockText="1"/>
</file>

<file path=xl/ctrlProps/ctrlProp106.xml><?xml version="1.0" encoding="utf-8"?>
<formControlPr xmlns="http://schemas.microsoft.com/office/spreadsheetml/2009/9/main" objectType="Radio" lockText="1"/>
</file>

<file path=xl/ctrlProps/ctrlProp107.xml><?xml version="1.0" encoding="utf-8"?>
<formControlPr xmlns="http://schemas.microsoft.com/office/spreadsheetml/2009/9/main" objectType="Radio" lockText="1"/>
</file>

<file path=xl/ctrlProps/ctrlProp108.xml><?xml version="1.0" encoding="utf-8"?>
<formControlPr xmlns="http://schemas.microsoft.com/office/spreadsheetml/2009/9/main" objectType="Radio" lockText="1"/>
</file>

<file path=xl/ctrlProps/ctrlProp109.xml><?xml version="1.0" encoding="utf-8"?>
<formControlPr xmlns="http://schemas.microsoft.com/office/spreadsheetml/2009/9/main" objectType="Radio" lockText="1"/>
</file>

<file path=xl/ctrlProps/ctrlProp110.xml><?xml version="1.0" encoding="utf-8"?>
<formControlPr xmlns="http://schemas.microsoft.com/office/spreadsheetml/2009/9/main" objectType="Radio" lockText="1"/>
</file>

<file path=xl/ctrlProps/ctrlProp111.xml><?xml version="1.0" encoding="utf-8"?>
<formControlPr xmlns="http://schemas.microsoft.com/office/spreadsheetml/2009/9/main" objectType="Radio" lockText="1"/>
</file>

<file path=xl/ctrlProps/ctrlProp112.xml><?xml version="1.0" encoding="utf-8"?>
<formControlPr xmlns="http://schemas.microsoft.com/office/spreadsheetml/2009/9/main" objectType="Radio" lockText="1"/>
</file>

<file path=xl/ctrlProps/ctrlProp113.xml><?xml version="1.0" encoding="utf-8"?>
<formControlPr xmlns="http://schemas.microsoft.com/office/spreadsheetml/2009/9/main" objectType="Radio" lockText="1"/>
</file>

<file path=xl/ctrlProps/ctrlProp114.xml><?xml version="1.0" encoding="utf-8"?>
<formControlPr xmlns="http://schemas.microsoft.com/office/spreadsheetml/2009/9/main" objectType="Radio" lockText="1"/>
</file>

<file path=xl/ctrlProps/ctrlProp115.xml><?xml version="1.0" encoding="utf-8"?>
<formControlPr xmlns="http://schemas.microsoft.com/office/spreadsheetml/2009/9/main" objectType="Radio" lockText="1"/>
</file>

<file path=xl/ctrlProps/ctrlProp116.xml><?xml version="1.0" encoding="utf-8"?>
<formControlPr xmlns="http://schemas.microsoft.com/office/spreadsheetml/2009/9/main" objectType="Radio" lockText="1"/>
</file>

<file path=xl/ctrlProps/ctrlProp117.xml><?xml version="1.0" encoding="utf-8"?>
<formControlPr xmlns="http://schemas.microsoft.com/office/spreadsheetml/2009/9/main" objectType="Radio" lockText="1"/>
</file>

<file path=xl/ctrlProps/ctrlProp118.xml><?xml version="1.0" encoding="utf-8"?>
<formControlPr xmlns="http://schemas.microsoft.com/office/spreadsheetml/2009/9/main" objectType="Radio" lockText="1"/>
</file>

<file path=xl/ctrlProps/ctrlProp119.xml><?xml version="1.0" encoding="utf-8"?>
<formControlPr xmlns="http://schemas.microsoft.com/office/spreadsheetml/2009/9/main" objectType="Radio" lockText="1"/>
</file>

<file path=xl/ctrlProps/ctrlProp120.xml><?xml version="1.0" encoding="utf-8"?>
<formControlPr xmlns="http://schemas.microsoft.com/office/spreadsheetml/2009/9/main" objectType="Radio" lockText="1"/>
</file>

<file path=xl/ctrlProps/ctrlProp121.xml><?xml version="1.0" encoding="utf-8"?>
<formControlPr xmlns="http://schemas.microsoft.com/office/spreadsheetml/2009/9/main" objectType="Radio" lockText="1"/>
</file>

<file path=xl/ctrlProps/ctrlProp122.xml><?xml version="1.0" encoding="utf-8"?>
<formControlPr xmlns="http://schemas.microsoft.com/office/spreadsheetml/2009/9/main" objectType="Radio" lockText="1"/>
</file>

<file path=xl/ctrlProps/ctrlProp123.xml><?xml version="1.0" encoding="utf-8"?>
<formControlPr xmlns="http://schemas.microsoft.com/office/spreadsheetml/2009/9/main" objectType="Radio" lockText="1"/>
</file>

<file path=xl/ctrlProps/ctrlProp124.xml><?xml version="1.0" encoding="utf-8"?>
<formControlPr xmlns="http://schemas.microsoft.com/office/spreadsheetml/2009/9/main" objectType="Radio" lockText="1"/>
</file>

<file path=xl/ctrlProps/ctrlProp125.xml><?xml version="1.0" encoding="utf-8"?>
<formControlPr xmlns="http://schemas.microsoft.com/office/spreadsheetml/2009/9/main" objectType="Radio" lockText="1"/>
</file>

<file path=xl/ctrlProps/ctrlProp126.xml><?xml version="1.0" encoding="utf-8"?>
<formControlPr xmlns="http://schemas.microsoft.com/office/spreadsheetml/2009/9/main" objectType="Radio" lockText="1"/>
</file>

<file path=xl/ctrlProps/ctrlProp127.xml><?xml version="1.0" encoding="utf-8"?>
<formControlPr xmlns="http://schemas.microsoft.com/office/spreadsheetml/2009/9/main" objectType="Radio" lockText="1"/>
</file>

<file path=xl/ctrlProps/ctrlProp128.xml><?xml version="1.0" encoding="utf-8"?>
<formControlPr xmlns="http://schemas.microsoft.com/office/spreadsheetml/2009/9/main" objectType="Radio" lockText="1"/>
</file>

<file path=xl/ctrlProps/ctrlProp129.xml><?xml version="1.0" encoding="utf-8"?>
<formControlPr xmlns="http://schemas.microsoft.com/office/spreadsheetml/2009/9/main" objectType="Radio" lockText="1"/>
</file>

<file path=xl/ctrlProps/ctrlProp130.xml><?xml version="1.0" encoding="utf-8"?>
<formControlPr xmlns="http://schemas.microsoft.com/office/spreadsheetml/2009/9/main" objectType="Radio" lockText="1"/>
</file>

<file path=xl/ctrlProps/ctrlProp131.xml><?xml version="1.0" encoding="utf-8"?>
<formControlPr xmlns="http://schemas.microsoft.com/office/spreadsheetml/2009/9/main" objectType="Radio" lockText="1"/>
</file>

<file path=xl/ctrlProps/ctrlProp132.xml><?xml version="1.0" encoding="utf-8"?>
<formControlPr xmlns="http://schemas.microsoft.com/office/spreadsheetml/2009/9/main" objectType="Radio" lockText="1"/>
</file>

<file path=xl/ctrlProps/ctrlProp133.xml><?xml version="1.0" encoding="utf-8"?>
<formControlPr xmlns="http://schemas.microsoft.com/office/spreadsheetml/2009/9/main" objectType="Radio" lockText="1"/>
</file>

<file path=xl/ctrlProps/ctrlProp134.xml><?xml version="1.0" encoding="utf-8"?>
<formControlPr xmlns="http://schemas.microsoft.com/office/spreadsheetml/2009/9/main" objectType="Radio" lockText="1"/>
</file>

<file path=xl/ctrlProps/ctrlProp135.xml><?xml version="1.0" encoding="utf-8"?>
<formControlPr xmlns="http://schemas.microsoft.com/office/spreadsheetml/2009/9/main" objectType="Radio" lockText="1"/>
</file>

<file path=xl/ctrlProps/ctrlProp136.xml><?xml version="1.0" encoding="utf-8"?>
<formControlPr xmlns="http://schemas.microsoft.com/office/spreadsheetml/2009/9/main" objectType="Radio" lockText="1"/>
</file>

<file path=xl/ctrlProps/ctrlProp137.xml><?xml version="1.0" encoding="utf-8"?>
<formControlPr xmlns="http://schemas.microsoft.com/office/spreadsheetml/2009/9/main" objectType="Radio" lockText="1"/>
</file>

<file path=xl/ctrlProps/ctrlProp138.xml><?xml version="1.0" encoding="utf-8"?>
<formControlPr xmlns="http://schemas.microsoft.com/office/spreadsheetml/2009/9/main" objectType="Radio" lockText="1"/>
</file>

<file path=xl/ctrlProps/ctrlProp139.xml><?xml version="1.0" encoding="utf-8"?>
<formControlPr xmlns="http://schemas.microsoft.com/office/spreadsheetml/2009/9/main" objectType="Radio" lockText="1"/>
</file>

<file path=xl/ctrlProps/ctrlProp140.xml><?xml version="1.0" encoding="utf-8"?>
<formControlPr xmlns="http://schemas.microsoft.com/office/spreadsheetml/2009/9/main" objectType="Radio" lockText="1"/>
</file>

<file path=xl/ctrlProps/ctrlProp141.xml><?xml version="1.0" encoding="utf-8"?>
<formControlPr xmlns="http://schemas.microsoft.com/office/spreadsheetml/2009/9/main" objectType="Radio" lockText="1"/>
</file>

<file path=xl/ctrlProps/ctrlProp142.xml><?xml version="1.0" encoding="utf-8"?>
<formControlPr xmlns="http://schemas.microsoft.com/office/spreadsheetml/2009/9/main" objectType="Radio" lockText="1"/>
</file>

<file path=xl/ctrlProps/ctrlProp143.xml><?xml version="1.0" encoding="utf-8"?>
<formControlPr xmlns="http://schemas.microsoft.com/office/spreadsheetml/2009/9/main" objectType="Radio" lockText="1"/>
</file>

<file path=xl/ctrlProps/ctrlProp144.xml><?xml version="1.0" encoding="utf-8"?>
<formControlPr xmlns="http://schemas.microsoft.com/office/spreadsheetml/2009/9/main" objectType="Radio" lockText="1"/>
</file>

<file path=xl/ctrlProps/ctrlProp145.xml><?xml version="1.0" encoding="utf-8"?>
<formControlPr xmlns="http://schemas.microsoft.com/office/spreadsheetml/2009/9/main" objectType="Radio" lockText="1"/>
</file>

<file path=xl/ctrlProps/ctrlProp146.xml><?xml version="1.0" encoding="utf-8"?>
<formControlPr xmlns="http://schemas.microsoft.com/office/spreadsheetml/2009/9/main" objectType="Radio" lockText="1"/>
</file>

<file path=xl/ctrlProps/ctrlProp147.xml><?xml version="1.0" encoding="utf-8"?>
<formControlPr xmlns="http://schemas.microsoft.com/office/spreadsheetml/2009/9/main" objectType="Radio" lockText="1"/>
</file>

<file path=xl/ctrlProps/ctrlProp148.xml><?xml version="1.0" encoding="utf-8"?>
<formControlPr xmlns="http://schemas.microsoft.com/office/spreadsheetml/2009/9/main" objectType="Radio" lockText="1"/>
</file>

<file path=xl/ctrlProps/ctrlProp149.xml><?xml version="1.0" encoding="utf-8"?>
<formControlPr xmlns="http://schemas.microsoft.com/office/spreadsheetml/2009/9/main" objectType="Radio" lockText="1"/>
</file>

<file path=xl/ctrlProps/ctrlProp150.xml><?xml version="1.0" encoding="utf-8"?>
<formControlPr xmlns="http://schemas.microsoft.com/office/spreadsheetml/2009/9/main" objectType="Radio" lockText="1"/>
</file>

<file path=xl/ctrlProps/ctrlProp151.xml><?xml version="1.0" encoding="utf-8"?>
<formControlPr xmlns="http://schemas.microsoft.com/office/spreadsheetml/2009/9/main" objectType="Radio" lockText="1"/>
</file>

<file path=xl/ctrlProps/ctrlProp152.xml><?xml version="1.0" encoding="utf-8"?>
<formControlPr xmlns="http://schemas.microsoft.com/office/spreadsheetml/2009/9/main" objectType="Radio" lockText="1"/>
</file>

<file path=xl/ctrlProps/ctrlProp153.xml><?xml version="1.0" encoding="utf-8"?>
<formControlPr xmlns="http://schemas.microsoft.com/office/spreadsheetml/2009/9/main" objectType="Radio" lockText="1"/>
</file>

<file path=xl/ctrlProps/ctrlProp154.xml><?xml version="1.0" encoding="utf-8"?>
<formControlPr xmlns="http://schemas.microsoft.com/office/spreadsheetml/2009/9/main" objectType="Radio" lockText="1"/>
</file>

<file path=xl/ctrlProps/ctrlProp155.xml><?xml version="1.0" encoding="utf-8"?>
<formControlPr xmlns="http://schemas.microsoft.com/office/spreadsheetml/2009/9/main" objectType="Radio" lockText="1"/>
</file>

<file path=xl/ctrlProps/ctrlProp156.xml><?xml version="1.0" encoding="utf-8"?>
<formControlPr xmlns="http://schemas.microsoft.com/office/spreadsheetml/2009/9/main" objectType="Radio" lockText="1"/>
</file>

<file path=xl/ctrlProps/ctrlProp157.xml><?xml version="1.0" encoding="utf-8"?>
<formControlPr xmlns="http://schemas.microsoft.com/office/spreadsheetml/2009/9/main" objectType="Radio" lockText="1"/>
</file>

<file path=xl/ctrlProps/ctrlProp158.xml><?xml version="1.0" encoding="utf-8"?>
<formControlPr xmlns="http://schemas.microsoft.com/office/spreadsheetml/2009/9/main" objectType="Radio" lockText="1"/>
</file>

<file path=xl/ctrlProps/ctrlProp159.xml><?xml version="1.0" encoding="utf-8"?>
<formControlPr xmlns="http://schemas.microsoft.com/office/spreadsheetml/2009/9/main" objectType="Radio" lockText="1"/>
</file>

<file path=xl/ctrlProps/ctrlProp160.xml><?xml version="1.0" encoding="utf-8"?>
<formControlPr xmlns="http://schemas.microsoft.com/office/spreadsheetml/2009/9/main" objectType="Radio" lockText="1"/>
</file>

<file path=xl/ctrlProps/ctrlProp161.xml><?xml version="1.0" encoding="utf-8"?>
<formControlPr xmlns="http://schemas.microsoft.com/office/spreadsheetml/2009/9/main" objectType="Radio" lockText="1"/>
</file>

<file path=xl/ctrlProps/ctrlProp162.xml><?xml version="1.0" encoding="utf-8"?>
<formControlPr xmlns="http://schemas.microsoft.com/office/spreadsheetml/2009/9/main" objectType="Radio" lockText="1"/>
</file>

<file path=xl/ctrlProps/ctrlProp163.xml><?xml version="1.0" encoding="utf-8"?>
<formControlPr xmlns="http://schemas.microsoft.com/office/spreadsheetml/2009/9/main" objectType="Radio" lockText="1"/>
</file>

<file path=xl/ctrlProps/ctrlProp164.xml><?xml version="1.0" encoding="utf-8"?>
<formControlPr xmlns="http://schemas.microsoft.com/office/spreadsheetml/2009/9/main" objectType="Radio" lockText="1"/>
</file>

<file path=xl/ctrlProps/ctrlProp165.xml><?xml version="1.0" encoding="utf-8"?>
<formControlPr xmlns="http://schemas.microsoft.com/office/spreadsheetml/2009/9/main" objectType="Radio" lockText="1"/>
</file>

<file path=xl/ctrlProps/ctrlProp166.xml><?xml version="1.0" encoding="utf-8"?>
<formControlPr xmlns="http://schemas.microsoft.com/office/spreadsheetml/2009/9/main" objectType="Radio" lockText="1"/>
</file>

<file path=xl/ctrlProps/ctrlProp167.xml><?xml version="1.0" encoding="utf-8"?>
<formControlPr xmlns="http://schemas.microsoft.com/office/spreadsheetml/2009/9/main" objectType="Radio" lockText="1"/>
</file>

<file path=xl/ctrlProps/ctrlProp168.xml><?xml version="1.0" encoding="utf-8"?>
<formControlPr xmlns="http://schemas.microsoft.com/office/spreadsheetml/2009/9/main" objectType="Radio" lockText="1"/>
</file>

<file path=xl/ctrlProps/ctrlProp169.xml><?xml version="1.0" encoding="utf-8"?>
<formControlPr xmlns="http://schemas.microsoft.com/office/spreadsheetml/2009/9/main" objectType="Radio" lockText="1"/>
</file>

<file path=xl/ctrlProps/ctrlProp170.xml><?xml version="1.0" encoding="utf-8"?>
<formControlPr xmlns="http://schemas.microsoft.com/office/spreadsheetml/2009/9/main" objectType="Radio" lockText="1"/>
</file>

<file path=xl/ctrlProps/ctrlProp171.xml><?xml version="1.0" encoding="utf-8"?>
<formControlPr xmlns="http://schemas.microsoft.com/office/spreadsheetml/2009/9/main" objectType="Radio" lockText="1"/>
</file>

<file path=xl/ctrlProps/ctrlProp172.xml><?xml version="1.0" encoding="utf-8"?>
<formControlPr xmlns="http://schemas.microsoft.com/office/spreadsheetml/2009/9/main" objectType="Radio" lockText="1"/>
</file>

<file path=xl/ctrlProps/ctrlProp173.xml><?xml version="1.0" encoding="utf-8"?>
<formControlPr xmlns="http://schemas.microsoft.com/office/spreadsheetml/2009/9/main" objectType="Radio" lockText="1"/>
</file>

<file path=xl/ctrlProps/ctrlProp174.xml><?xml version="1.0" encoding="utf-8"?>
<formControlPr xmlns="http://schemas.microsoft.com/office/spreadsheetml/2009/9/main" objectType="Radio" lockText="1"/>
</file>

<file path=xl/ctrlProps/ctrlProp175.xml><?xml version="1.0" encoding="utf-8"?>
<formControlPr xmlns="http://schemas.microsoft.com/office/spreadsheetml/2009/9/main" objectType="Radio" lockText="1"/>
</file>

<file path=xl/ctrlProps/ctrlProp176.xml><?xml version="1.0" encoding="utf-8"?>
<formControlPr xmlns="http://schemas.microsoft.com/office/spreadsheetml/2009/9/main" objectType="Radio" lockText="1"/>
</file>

<file path=xl/ctrlProps/ctrlProp177.xml><?xml version="1.0" encoding="utf-8"?>
<formControlPr xmlns="http://schemas.microsoft.com/office/spreadsheetml/2009/9/main" objectType="Radio" lockText="1"/>
</file>

<file path=xl/ctrlProps/ctrlProp178.xml><?xml version="1.0" encoding="utf-8"?>
<formControlPr xmlns="http://schemas.microsoft.com/office/spreadsheetml/2009/9/main" objectType="Radio" lockText="1"/>
</file>

<file path=xl/ctrlProps/ctrlProp179.xml><?xml version="1.0" encoding="utf-8"?>
<formControlPr xmlns="http://schemas.microsoft.com/office/spreadsheetml/2009/9/main" objectType="Radio" lockText="1"/>
</file>

<file path=xl/ctrlProps/ctrlProp180.xml><?xml version="1.0" encoding="utf-8"?>
<formControlPr xmlns="http://schemas.microsoft.com/office/spreadsheetml/2009/9/main" objectType="Radio" lockText="1"/>
</file>

<file path=xl/ctrlProps/ctrlProp181.xml><?xml version="1.0" encoding="utf-8"?>
<formControlPr xmlns="http://schemas.microsoft.com/office/spreadsheetml/2009/9/main" objectType="Radio" lockText="1"/>
</file>

<file path=xl/ctrlProps/ctrlProp182.xml><?xml version="1.0" encoding="utf-8"?>
<formControlPr xmlns="http://schemas.microsoft.com/office/spreadsheetml/2009/9/main" objectType="Radio" lockText="1"/>
</file>

<file path=xl/ctrlProps/ctrlProp183.xml><?xml version="1.0" encoding="utf-8"?>
<formControlPr xmlns="http://schemas.microsoft.com/office/spreadsheetml/2009/9/main" objectType="Radio" lockText="1"/>
</file>

<file path=xl/ctrlProps/ctrlProp184.xml><?xml version="1.0" encoding="utf-8"?>
<formControlPr xmlns="http://schemas.microsoft.com/office/spreadsheetml/2009/9/main" objectType="Radio" lockText="1"/>
</file>

<file path=xl/ctrlProps/ctrlProp185.xml><?xml version="1.0" encoding="utf-8"?>
<formControlPr xmlns="http://schemas.microsoft.com/office/spreadsheetml/2009/9/main" objectType="Radio" lockText="1"/>
</file>

<file path=xl/ctrlProps/ctrlProp186.xml><?xml version="1.0" encoding="utf-8"?>
<formControlPr xmlns="http://schemas.microsoft.com/office/spreadsheetml/2009/9/main" objectType="Radio" lockText="1"/>
</file>

<file path=xl/ctrlProps/ctrlProp187.xml><?xml version="1.0" encoding="utf-8"?>
<formControlPr xmlns="http://schemas.microsoft.com/office/spreadsheetml/2009/9/main" objectType="Radio" lockText="1"/>
</file>

<file path=xl/ctrlProps/ctrlProp188.xml><?xml version="1.0" encoding="utf-8"?>
<formControlPr xmlns="http://schemas.microsoft.com/office/spreadsheetml/2009/9/main" objectType="Radio" lockText="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4" Type="http://schemas.openxmlformats.org/officeDocument/2006/relationships/chart" Target="../charts/chart8.xml"/><Relationship Id="rId5" Type="http://schemas.openxmlformats.org/officeDocument/2006/relationships/chart" Target="../charts/chart9.xml"/><Relationship Id="rId1" Type="http://schemas.openxmlformats.org/officeDocument/2006/relationships/chart" Target="../charts/chart5.xml"/><Relationship Id="rId2"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18</xdr:col>
      <xdr:colOff>583387</xdr:colOff>
      <xdr:row>37</xdr:row>
      <xdr:rowOff>1</xdr:rowOff>
    </xdr:from>
    <xdr:to>
      <xdr:col>21</xdr:col>
      <xdr:colOff>238105</xdr:colOff>
      <xdr:row>38</xdr:row>
      <xdr:rowOff>-1</xdr:rowOff>
    </xdr:to>
    <xdr:sp macro="" textlink="">
      <xdr:nvSpPr>
        <xdr:cNvPr id="8" name="Flowchart: Manual Input 7"/>
        <xdr:cNvSpPr/>
      </xdr:nvSpPr>
      <xdr:spPr>
        <a:xfrm rot="5400000" flipH="1">
          <a:off x="10888246" y="7066361"/>
          <a:ext cx="202405" cy="785812"/>
        </a:xfrm>
        <a:prstGeom prst="flowChartManualInput">
          <a:avLst/>
        </a:prstGeom>
        <a:solidFill>
          <a:schemeClr val="accent1">
            <a:lumMod val="20000"/>
            <a:lumOff val="80000"/>
          </a:schemeClr>
        </a:solidFill>
        <a:ln w="12700">
          <a:solidFill>
            <a:sysClr val="windowText" lastClr="000000"/>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vert270" rtlCol="0" anchor="ctr"/>
        <a:lstStyle/>
        <a:p>
          <a:pPr algn="r"/>
          <a:r>
            <a:rPr lang="en-GB" sz="1000">
              <a:solidFill>
                <a:sysClr val="windowText" lastClr="000000"/>
              </a:solidFill>
              <a:latin typeface="Tahoma" pitchFamily="34" charset="0"/>
              <a:cs typeface="Tahoma" pitchFamily="34" charset="0"/>
            </a:rPr>
            <a:t>Glossary</a:t>
          </a:r>
        </a:p>
      </xdr:txBody>
    </xdr:sp>
    <xdr:clientData/>
  </xdr:twoCellAnchor>
  <xdr:twoCellAnchor editAs="oneCell">
    <xdr:from>
      <xdr:col>16</xdr:col>
      <xdr:colOff>273837</xdr:colOff>
      <xdr:row>37</xdr:row>
      <xdr:rowOff>4</xdr:rowOff>
    </xdr:from>
    <xdr:to>
      <xdr:col>18</xdr:col>
      <xdr:colOff>178588</xdr:colOff>
      <xdr:row>38</xdr:row>
      <xdr:rowOff>3</xdr:rowOff>
    </xdr:to>
    <xdr:sp macro="" textlink="">
      <xdr:nvSpPr>
        <xdr:cNvPr id="6" name="Flowchart: Manual Input 5"/>
        <xdr:cNvSpPr/>
      </xdr:nvSpPr>
      <xdr:spPr>
        <a:xfrm rot="5400000" flipH="1">
          <a:off x="9423791" y="6792519"/>
          <a:ext cx="202406" cy="1333501"/>
        </a:xfrm>
        <a:prstGeom prst="flowChartManualInput">
          <a:avLst/>
        </a:prstGeom>
        <a:solidFill>
          <a:schemeClr val="tx2">
            <a:lumMod val="75000"/>
          </a:schemeClr>
        </a:solidFill>
        <a:ln w="12700">
          <a:solidFill>
            <a:sysClr val="windowText" lastClr="000000"/>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vert270" rtlCol="0" anchor="ctr"/>
        <a:lstStyle/>
        <a:p>
          <a:pPr algn="r"/>
          <a:r>
            <a:rPr lang="en-GB" sz="1000">
              <a:solidFill>
                <a:schemeClr val="bg1"/>
              </a:solidFill>
              <a:latin typeface="Tahoma" pitchFamily="34" charset="0"/>
              <a:cs typeface="Tahoma" pitchFamily="34" charset="0"/>
            </a:rPr>
            <a:t>Instructions</a:t>
          </a:r>
        </a:p>
      </xdr:txBody>
    </xdr:sp>
    <xdr:clientData/>
  </xdr:twoCellAnchor>
  <xdr:twoCellAnchor editAs="oneCell">
    <xdr:from>
      <xdr:col>15</xdr:col>
      <xdr:colOff>95244</xdr:colOff>
      <xdr:row>37</xdr:row>
      <xdr:rowOff>4</xdr:rowOff>
    </xdr:from>
    <xdr:to>
      <xdr:col>16</xdr:col>
      <xdr:colOff>619120</xdr:colOff>
      <xdr:row>38</xdr:row>
      <xdr:rowOff>2</xdr:rowOff>
    </xdr:to>
    <xdr:sp macro="" textlink="">
      <xdr:nvSpPr>
        <xdr:cNvPr id="5" name="Flowchart: Manual Input 4"/>
        <xdr:cNvSpPr/>
      </xdr:nvSpPr>
      <xdr:spPr>
        <a:xfrm rot="5400000" flipH="1">
          <a:off x="8673698" y="7030644"/>
          <a:ext cx="202405" cy="857251"/>
        </a:xfrm>
        <a:prstGeom prst="flowChartManualInput">
          <a:avLst/>
        </a:prstGeom>
        <a:solidFill>
          <a:schemeClr val="accent1">
            <a:lumMod val="20000"/>
            <a:lumOff val="80000"/>
          </a:schemeClr>
        </a:solidFill>
        <a:ln w="12700">
          <a:solidFill>
            <a:sysClr val="windowText" lastClr="000000"/>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vert270" rtlCol="0" anchor="ctr"/>
        <a:lstStyle/>
        <a:p>
          <a:pPr algn="ctr"/>
          <a:r>
            <a:rPr lang="en-GB" sz="1000">
              <a:solidFill>
                <a:sysClr val="windowText" lastClr="000000"/>
              </a:solidFill>
              <a:latin typeface="Tahoma" pitchFamily="34" charset="0"/>
              <a:cs typeface="Tahoma" pitchFamily="34" charset="0"/>
            </a:rPr>
            <a:t>Contents</a:t>
          </a:r>
        </a:p>
      </xdr:txBody>
    </xdr:sp>
    <xdr:clientData/>
  </xdr:twoCellAnchor>
  <xdr:twoCellAnchor editAs="oneCell">
    <xdr:from>
      <xdr:col>17</xdr:col>
      <xdr:colOff>535764</xdr:colOff>
      <xdr:row>37</xdr:row>
      <xdr:rowOff>5</xdr:rowOff>
    </xdr:from>
    <xdr:to>
      <xdr:col>18</xdr:col>
      <xdr:colOff>714360</xdr:colOff>
      <xdr:row>38</xdr:row>
      <xdr:rowOff>3</xdr:rowOff>
    </xdr:to>
    <xdr:sp macro="" textlink="">
      <xdr:nvSpPr>
        <xdr:cNvPr id="7" name="Flowchart: Manual Input 6"/>
        <xdr:cNvSpPr/>
      </xdr:nvSpPr>
      <xdr:spPr>
        <a:xfrm rot="5400000" flipH="1">
          <a:off x="10233406" y="7066364"/>
          <a:ext cx="202405" cy="785814"/>
        </a:xfrm>
        <a:prstGeom prst="flowChartManualInput">
          <a:avLst/>
        </a:prstGeom>
        <a:solidFill>
          <a:schemeClr val="accent2">
            <a:lumMod val="75000"/>
          </a:schemeClr>
        </a:solidFill>
        <a:ln w="12700">
          <a:solidFill>
            <a:sysClr val="windowText" lastClr="000000"/>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vert270" rtlCol="0" anchor="ctr"/>
        <a:lstStyle/>
        <a:p>
          <a:pPr algn="ctr"/>
          <a:r>
            <a:rPr lang="en-GB" sz="1000">
              <a:solidFill>
                <a:schemeClr val="bg1"/>
              </a:solidFill>
              <a:latin typeface="Tahoma" pitchFamily="34" charset="0"/>
              <a:cs typeface="Tahoma" pitchFamily="34" charset="0"/>
            </a:rPr>
            <a:t>Control</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48</xdr:col>
      <xdr:colOff>34636</xdr:colOff>
      <xdr:row>22</xdr:row>
      <xdr:rowOff>49950</xdr:rowOff>
    </xdr:from>
    <xdr:to>
      <xdr:col>58</xdr:col>
      <xdr:colOff>519545</xdr:colOff>
      <xdr:row>34</xdr:row>
      <xdr:rowOff>36601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48</xdr:col>
      <xdr:colOff>0</xdr:colOff>
      <xdr:row>3</xdr:row>
      <xdr:rowOff>0</xdr:rowOff>
    </xdr:from>
    <xdr:to>
      <xdr:col>59</xdr:col>
      <xdr:colOff>0</xdr:colOff>
      <xdr:row>19</xdr:row>
      <xdr:rowOff>158099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48</xdr:col>
      <xdr:colOff>69273</xdr:colOff>
      <xdr:row>37</xdr:row>
      <xdr:rowOff>173181</xdr:rowOff>
    </xdr:from>
    <xdr:to>
      <xdr:col>58</xdr:col>
      <xdr:colOff>615830</xdr:colOff>
      <xdr:row>50</xdr:row>
      <xdr:rowOff>173180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60</xdr:col>
      <xdr:colOff>242453</xdr:colOff>
      <xdr:row>3</xdr:row>
      <xdr:rowOff>69273</xdr:rowOff>
    </xdr:from>
    <xdr:to>
      <xdr:col>70</xdr:col>
      <xdr:colOff>492847</xdr:colOff>
      <xdr:row>25</xdr:row>
      <xdr:rowOff>51955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61</xdr:col>
      <xdr:colOff>421984</xdr:colOff>
      <xdr:row>13</xdr:row>
      <xdr:rowOff>177991</xdr:rowOff>
    </xdr:from>
    <xdr:ext cx="663771" cy="311496"/>
    <xdr:sp macro="" textlink="">
      <xdr:nvSpPr>
        <xdr:cNvPr id="6" name="TextBox 5"/>
        <xdr:cNvSpPr txBox="1"/>
      </xdr:nvSpPr>
      <xdr:spPr>
        <a:xfrm>
          <a:off x="18848529" y="3936036"/>
          <a:ext cx="663771" cy="311496"/>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GB" sz="1400" b="1">
              <a:solidFill>
                <a:schemeClr val="bg1"/>
              </a:solidFill>
              <a:latin typeface="+mj-lt"/>
            </a:rPr>
            <a:t>Target</a:t>
          </a:r>
        </a:p>
      </xdr:txBody>
    </xdr:sp>
    <xdr:clientData/>
  </xdr:oneCellAnchor>
  <xdr:twoCellAnchor>
    <xdr:from>
      <xdr:col>28</xdr:col>
      <xdr:colOff>158751</xdr:colOff>
      <xdr:row>0</xdr:row>
      <xdr:rowOff>61732</xdr:rowOff>
    </xdr:from>
    <xdr:to>
      <xdr:col>29</xdr:col>
      <xdr:colOff>299861</xdr:colOff>
      <xdr:row>0</xdr:row>
      <xdr:rowOff>335135</xdr:rowOff>
    </xdr:to>
    <xdr:sp macro="" textlink="">
      <xdr:nvSpPr>
        <xdr:cNvPr id="7" name="Bent Arrow 6"/>
        <xdr:cNvSpPr/>
      </xdr:nvSpPr>
      <xdr:spPr>
        <a:xfrm rot="16200000">
          <a:off x="4230321" y="-63093"/>
          <a:ext cx="273403" cy="523053"/>
        </a:xfrm>
        <a:prstGeom prst="bentArrow">
          <a:avLst>
            <a:gd name="adj1" fmla="val 26725"/>
            <a:gd name="adj2" fmla="val 31899"/>
            <a:gd name="adj3" fmla="val 35348"/>
            <a:gd name="adj4" fmla="val 33402"/>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GB" sz="1100">
            <a:solidFill>
              <a:schemeClr val="tx1"/>
            </a:solidFill>
          </a:endParaRPr>
        </a:p>
      </xdr:txBody>
    </xdr:sp>
    <xdr:clientData/>
  </xdr:twoCellAnchor>
  <xdr:twoCellAnchor>
    <xdr:from>
      <xdr:col>37</xdr:col>
      <xdr:colOff>30535</xdr:colOff>
      <xdr:row>0</xdr:row>
      <xdr:rowOff>69271</xdr:rowOff>
    </xdr:from>
    <xdr:to>
      <xdr:col>49</xdr:col>
      <xdr:colOff>536864</xdr:colOff>
      <xdr:row>0</xdr:row>
      <xdr:rowOff>329042</xdr:rowOff>
    </xdr:to>
    <xdr:sp macro="" textlink="">
      <xdr:nvSpPr>
        <xdr:cNvPr id="9" name="Bent Arrow 8"/>
        <xdr:cNvSpPr/>
      </xdr:nvSpPr>
      <xdr:spPr>
        <a:xfrm rot="16200000">
          <a:off x="11211473" y="-149258"/>
          <a:ext cx="259771" cy="696829"/>
        </a:xfrm>
        <a:prstGeom prst="bentArrow">
          <a:avLst>
            <a:gd name="adj1" fmla="val 32077"/>
            <a:gd name="adj2" fmla="val 33847"/>
            <a:gd name="adj3" fmla="val 40924"/>
            <a:gd name="adj4" fmla="val 43750"/>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GB" sz="1100">
            <a:solidFill>
              <a:schemeClr val="tx1"/>
            </a:solidFill>
          </a:endParaRPr>
        </a:p>
      </xdr:txBody>
    </xdr:sp>
    <xdr:clientData/>
  </xdr:twoCellAnchor>
  <mc:AlternateContent xmlns:mc="http://schemas.openxmlformats.org/markup-compatibility/2006">
    <mc:Choice xmlns:a14="http://schemas.microsoft.com/office/drawing/2010/main" Requires="a14">
      <xdr:twoCellAnchor>
        <xdr:from>
          <xdr:col>28</xdr:col>
          <xdr:colOff>127000</xdr:colOff>
          <xdr:row>4</xdr:row>
          <xdr:rowOff>38100</xdr:rowOff>
        </xdr:from>
        <xdr:to>
          <xdr:col>29</xdr:col>
          <xdr:colOff>25400</xdr:colOff>
          <xdr:row>4</xdr:row>
          <xdr:rowOff>330200</xdr:rowOff>
        </xdr:to>
        <xdr:sp macro="" textlink="">
          <xdr:nvSpPr>
            <xdr:cNvPr id="13417" name="Option Button 105" hidden="1">
              <a:extLst>
                <a:ext uri="{63B3BB69-23CF-44E3-9099-C40C66FF867C}">
                  <a14:compatExt spid="_x0000_s13417"/>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29</xdr:col>
          <xdr:colOff>127000</xdr:colOff>
          <xdr:row>4</xdr:row>
          <xdr:rowOff>76200</xdr:rowOff>
        </xdr:from>
        <xdr:to>
          <xdr:col>30</xdr:col>
          <xdr:colOff>12700</xdr:colOff>
          <xdr:row>4</xdr:row>
          <xdr:rowOff>304800</xdr:rowOff>
        </xdr:to>
        <xdr:sp macro="" textlink="">
          <xdr:nvSpPr>
            <xdr:cNvPr id="13418" name="Option Button 106" hidden="1">
              <a:extLst>
                <a:ext uri="{63B3BB69-23CF-44E3-9099-C40C66FF867C}">
                  <a14:compatExt spid="_x0000_s13418"/>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30</xdr:col>
          <xdr:colOff>114300</xdr:colOff>
          <xdr:row>4</xdr:row>
          <xdr:rowOff>50800</xdr:rowOff>
        </xdr:from>
        <xdr:to>
          <xdr:col>31</xdr:col>
          <xdr:colOff>12700</xdr:colOff>
          <xdr:row>4</xdr:row>
          <xdr:rowOff>342900</xdr:rowOff>
        </xdr:to>
        <xdr:sp macro="" textlink="">
          <xdr:nvSpPr>
            <xdr:cNvPr id="13419" name="Option Button 107" hidden="1">
              <a:extLst>
                <a:ext uri="{63B3BB69-23CF-44E3-9099-C40C66FF867C}">
                  <a14:compatExt spid="_x0000_s13419"/>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31</xdr:col>
          <xdr:colOff>101600</xdr:colOff>
          <xdr:row>4</xdr:row>
          <xdr:rowOff>50800</xdr:rowOff>
        </xdr:from>
        <xdr:to>
          <xdr:col>32</xdr:col>
          <xdr:colOff>0</xdr:colOff>
          <xdr:row>4</xdr:row>
          <xdr:rowOff>342900</xdr:rowOff>
        </xdr:to>
        <xdr:sp macro="" textlink="">
          <xdr:nvSpPr>
            <xdr:cNvPr id="13420" name="Option Button 108" hidden="1">
              <a:extLst>
                <a:ext uri="{63B3BB69-23CF-44E3-9099-C40C66FF867C}">
                  <a14:compatExt spid="_x0000_s13420"/>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22</xdr:col>
          <xdr:colOff>12700</xdr:colOff>
          <xdr:row>8</xdr:row>
          <xdr:rowOff>38100</xdr:rowOff>
        </xdr:from>
        <xdr:to>
          <xdr:col>26</xdr:col>
          <xdr:colOff>63500</xdr:colOff>
          <xdr:row>9</xdr:row>
          <xdr:rowOff>0</xdr:rowOff>
        </xdr:to>
        <xdr:grpSp>
          <xdr:nvGrpSpPr>
            <xdr:cNvPr id="14142" name="Group 830"/>
            <xdr:cNvGrpSpPr>
              <a:grpSpLocks/>
            </xdr:cNvGrpSpPr>
          </xdr:nvGrpSpPr>
          <xdr:grpSpPr bwMode="auto">
            <a:xfrm>
              <a:off x="14465300" y="2235200"/>
              <a:ext cx="1422400" cy="228600"/>
              <a:chOff x="1519" y="124"/>
              <a:chExt cx="150" cy="24"/>
            </a:xfrm>
          </xdr:grpSpPr>
          <xdr:sp macro="" textlink="">
            <xdr:nvSpPr>
              <xdr:cNvPr id="14143" name="Option Button 831" hidden="1">
                <a:extLst>
                  <a:ext uri="{63B3BB69-23CF-44E3-9099-C40C66FF867C}">
                    <a14:compatExt spid="_x0000_s14143"/>
                  </a:ext>
                </a:extLst>
              </xdr:cNvPr>
              <xdr:cNvSpPr/>
            </xdr:nvSpPr>
            <xdr:spPr>
              <a:xfrm>
                <a:off x="1519" y="124"/>
                <a:ext cx="32" cy="23"/>
              </a:xfrm>
              <a:prstGeom prst="rect">
                <a:avLst/>
              </a:prstGeom>
            </xdr:spPr>
          </xdr:sp>
          <xdr:sp macro="" textlink="">
            <xdr:nvSpPr>
              <xdr:cNvPr id="14144" name="Option Button 832" hidden="1">
                <a:extLst>
                  <a:ext uri="{63B3BB69-23CF-44E3-9099-C40C66FF867C}">
                    <a14:compatExt spid="_x0000_s14144"/>
                  </a:ext>
                </a:extLst>
              </xdr:cNvPr>
              <xdr:cNvSpPr/>
            </xdr:nvSpPr>
            <xdr:spPr>
              <a:xfrm>
                <a:off x="1559" y="127"/>
                <a:ext cx="31" cy="18"/>
              </a:xfrm>
              <a:prstGeom prst="rect">
                <a:avLst/>
              </a:prstGeom>
            </xdr:spPr>
          </xdr:sp>
          <xdr:sp macro="" textlink="">
            <xdr:nvSpPr>
              <xdr:cNvPr id="14145" name="Option Button 833" hidden="1">
                <a:extLst>
                  <a:ext uri="{63B3BB69-23CF-44E3-9099-C40C66FF867C}">
                    <a14:compatExt spid="_x0000_s14145"/>
                  </a:ext>
                </a:extLst>
              </xdr:cNvPr>
              <xdr:cNvSpPr/>
            </xdr:nvSpPr>
            <xdr:spPr>
              <a:xfrm>
                <a:off x="1598" y="125"/>
                <a:ext cx="32" cy="23"/>
              </a:xfrm>
              <a:prstGeom prst="rect">
                <a:avLst/>
              </a:prstGeom>
            </xdr:spPr>
          </xdr:sp>
          <xdr:sp macro="" textlink="">
            <xdr:nvSpPr>
              <xdr:cNvPr id="14146" name="Option Button 834" hidden="1">
                <a:extLst>
                  <a:ext uri="{63B3BB69-23CF-44E3-9099-C40C66FF867C}">
                    <a14:compatExt spid="_x0000_s14146"/>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9</xdr:row>
          <xdr:rowOff>38100</xdr:rowOff>
        </xdr:from>
        <xdr:to>
          <xdr:col>26</xdr:col>
          <xdr:colOff>63500</xdr:colOff>
          <xdr:row>10</xdr:row>
          <xdr:rowOff>0</xdr:rowOff>
        </xdr:to>
        <xdr:grpSp>
          <xdr:nvGrpSpPr>
            <xdr:cNvPr id="14147" name="Group 835"/>
            <xdr:cNvGrpSpPr>
              <a:grpSpLocks/>
            </xdr:cNvGrpSpPr>
          </xdr:nvGrpSpPr>
          <xdr:grpSpPr bwMode="auto">
            <a:xfrm>
              <a:off x="14465300" y="2501900"/>
              <a:ext cx="1422400" cy="228600"/>
              <a:chOff x="1519" y="124"/>
              <a:chExt cx="150" cy="24"/>
            </a:xfrm>
          </xdr:grpSpPr>
          <xdr:sp macro="" textlink="">
            <xdr:nvSpPr>
              <xdr:cNvPr id="14148" name="Option Button 836" hidden="1">
                <a:extLst>
                  <a:ext uri="{63B3BB69-23CF-44E3-9099-C40C66FF867C}">
                    <a14:compatExt spid="_x0000_s14148"/>
                  </a:ext>
                </a:extLst>
              </xdr:cNvPr>
              <xdr:cNvSpPr/>
            </xdr:nvSpPr>
            <xdr:spPr>
              <a:xfrm>
                <a:off x="1519" y="124"/>
                <a:ext cx="32" cy="23"/>
              </a:xfrm>
              <a:prstGeom prst="rect">
                <a:avLst/>
              </a:prstGeom>
            </xdr:spPr>
          </xdr:sp>
          <xdr:sp macro="" textlink="">
            <xdr:nvSpPr>
              <xdr:cNvPr id="14149" name="Option Button 837" hidden="1">
                <a:extLst>
                  <a:ext uri="{63B3BB69-23CF-44E3-9099-C40C66FF867C}">
                    <a14:compatExt spid="_x0000_s14149"/>
                  </a:ext>
                </a:extLst>
              </xdr:cNvPr>
              <xdr:cNvSpPr/>
            </xdr:nvSpPr>
            <xdr:spPr>
              <a:xfrm>
                <a:off x="1559" y="127"/>
                <a:ext cx="31" cy="18"/>
              </a:xfrm>
              <a:prstGeom prst="rect">
                <a:avLst/>
              </a:prstGeom>
            </xdr:spPr>
          </xdr:sp>
          <xdr:sp macro="" textlink="">
            <xdr:nvSpPr>
              <xdr:cNvPr id="14150" name="Option Button 838" hidden="1">
                <a:extLst>
                  <a:ext uri="{63B3BB69-23CF-44E3-9099-C40C66FF867C}">
                    <a14:compatExt spid="_x0000_s14150"/>
                  </a:ext>
                </a:extLst>
              </xdr:cNvPr>
              <xdr:cNvSpPr/>
            </xdr:nvSpPr>
            <xdr:spPr>
              <a:xfrm>
                <a:off x="1598" y="125"/>
                <a:ext cx="32" cy="23"/>
              </a:xfrm>
              <a:prstGeom prst="rect">
                <a:avLst/>
              </a:prstGeom>
            </xdr:spPr>
          </xdr:sp>
          <xdr:sp macro="" textlink="">
            <xdr:nvSpPr>
              <xdr:cNvPr id="14151" name="Option Button 839" hidden="1">
                <a:extLst>
                  <a:ext uri="{63B3BB69-23CF-44E3-9099-C40C66FF867C}">
                    <a14:compatExt spid="_x0000_s14151"/>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10</xdr:row>
          <xdr:rowOff>38100</xdr:rowOff>
        </xdr:from>
        <xdr:to>
          <xdr:col>26</xdr:col>
          <xdr:colOff>63500</xdr:colOff>
          <xdr:row>11</xdr:row>
          <xdr:rowOff>0</xdr:rowOff>
        </xdr:to>
        <xdr:grpSp>
          <xdr:nvGrpSpPr>
            <xdr:cNvPr id="14152" name="Group 840"/>
            <xdr:cNvGrpSpPr>
              <a:grpSpLocks/>
            </xdr:cNvGrpSpPr>
          </xdr:nvGrpSpPr>
          <xdr:grpSpPr bwMode="auto">
            <a:xfrm>
              <a:off x="14465300" y="2768600"/>
              <a:ext cx="1422400" cy="228600"/>
              <a:chOff x="1519" y="124"/>
              <a:chExt cx="150" cy="24"/>
            </a:xfrm>
          </xdr:grpSpPr>
          <xdr:sp macro="" textlink="">
            <xdr:nvSpPr>
              <xdr:cNvPr id="14153" name="Option Button 841" hidden="1">
                <a:extLst>
                  <a:ext uri="{63B3BB69-23CF-44E3-9099-C40C66FF867C}">
                    <a14:compatExt spid="_x0000_s14153"/>
                  </a:ext>
                </a:extLst>
              </xdr:cNvPr>
              <xdr:cNvSpPr/>
            </xdr:nvSpPr>
            <xdr:spPr>
              <a:xfrm>
                <a:off x="1519" y="124"/>
                <a:ext cx="32" cy="23"/>
              </a:xfrm>
              <a:prstGeom prst="rect">
                <a:avLst/>
              </a:prstGeom>
            </xdr:spPr>
          </xdr:sp>
          <xdr:sp macro="" textlink="">
            <xdr:nvSpPr>
              <xdr:cNvPr id="14154" name="Option Button 842" hidden="1">
                <a:extLst>
                  <a:ext uri="{63B3BB69-23CF-44E3-9099-C40C66FF867C}">
                    <a14:compatExt spid="_x0000_s14154"/>
                  </a:ext>
                </a:extLst>
              </xdr:cNvPr>
              <xdr:cNvSpPr/>
            </xdr:nvSpPr>
            <xdr:spPr>
              <a:xfrm>
                <a:off x="1559" y="127"/>
                <a:ext cx="31" cy="18"/>
              </a:xfrm>
              <a:prstGeom prst="rect">
                <a:avLst/>
              </a:prstGeom>
            </xdr:spPr>
          </xdr:sp>
          <xdr:sp macro="" textlink="">
            <xdr:nvSpPr>
              <xdr:cNvPr id="14155" name="Option Button 843" hidden="1">
                <a:extLst>
                  <a:ext uri="{63B3BB69-23CF-44E3-9099-C40C66FF867C}">
                    <a14:compatExt spid="_x0000_s14155"/>
                  </a:ext>
                </a:extLst>
              </xdr:cNvPr>
              <xdr:cNvSpPr/>
            </xdr:nvSpPr>
            <xdr:spPr>
              <a:xfrm>
                <a:off x="1598" y="125"/>
                <a:ext cx="32" cy="23"/>
              </a:xfrm>
              <a:prstGeom prst="rect">
                <a:avLst/>
              </a:prstGeom>
            </xdr:spPr>
          </xdr:sp>
          <xdr:sp macro="" textlink="">
            <xdr:nvSpPr>
              <xdr:cNvPr id="14156" name="Option Button 844" hidden="1">
                <a:extLst>
                  <a:ext uri="{63B3BB69-23CF-44E3-9099-C40C66FF867C}">
                    <a14:compatExt spid="_x0000_s14156"/>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11</xdr:row>
          <xdr:rowOff>38100</xdr:rowOff>
        </xdr:from>
        <xdr:to>
          <xdr:col>26</xdr:col>
          <xdr:colOff>63500</xdr:colOff>
          <xdr:row>12</xdr:row>
          <xdr:rowOff>0</xdr:rowOff>
        </xdr:to>
        <xdr:grpSp>
          <xdr:nvGrpSpPr>
            <xdr:cNvPr id="14157" name="Group 845"/>
            <xdr:cNvGrpSpPr>
              <a:grpSpLocks/>
            </xdr:cNvGrpSpPr>
          </xdr:nvGrpSpPr>
          <xdr:grpSpPr bwMode="auto">
            <a:xfrm>
              <a:off x="14465300" y="3035300"/>
              <a:ext cx="1422400" cy="228600"/>
              <a:chOff x="1519" y="124"/>
              <a:chExt cx="150" cy="24"/>
            </a:xfrm>
          </xdr:grpSpPr>
          <xdr:sp macro="" textlink="">
            <xdr:nvSpPr>
              <xdr:cNvPr id="14158" name="Option Button 846" hidden="1">
                <a:extLst>
                  <a:ext uri="{63B3BB69-23CF-44E3-9099-C40C66FF867C}">
                    <a14:compatExt spid="_x0000_s14158"/>
                  </a:ext>
                </a:extLst>
              </xdr:cNvPr>
              <xdr:cNvSpPr/>
            </xdr:nvSpPr>
            <xdr:spPr>
              <a:xfrm>
                <a:off x="1519" y="124"/>
                <a:ext cx="32" cy="23"/>
              </a:xfrm>
              <a:prstGeom prst="rect">
                <a:avLst/>
              </a:prstGeom>
            </xdr:spPr>
          </xdr:sp>
          <xdr:sp macro="" textlink="">
            <xdr:nvSpPr>
              <xdr:cNvPr id="14159" name="Option Button 847" hidden="1">
                <a:extLst>
                  <a:ext uri="{63B3BB69-23CF-44E3-9099-C40C66FF867C}">
                    <a14:compatExt spid="_x0000_s14159"/>
                  </a:ext>
                </a:extLst>
              </xdr:cNvPr>
              <xdr:cNvSpPr/>
            </xdr:nvSpPr>
            <xdr:spPr>
              <a:xfrm>
                <a:off x="1559" y="127"/>
                <a:ext cx="31" cy="18"/>
              </a:xfrm>
              <a:prstGeom prst="rect">
                <a:avLst/>
              </a:prstGeom>
            </xdr:spPr>
          </xdr:sp>
          <xdr:sp macro="" textlink="">
            <xdr:nvSpPr>
              <xdr:cNvPr id="14160" name="Option Button 848" hidden="1">
                <a:extLst>
                  <a:ext uri="{63B3BB69-23CF-44E3-9099-C40C66FF867C}">
                    <a14:compatExt spid="_x0000_s14160"/>
                  </a:ext>
                </a:extLst>
              </xdr:cNvPr>
              <xdr:cNvSpPr/>
            </xdr:nvSpPr>
            <xdr:spPr>
              <a:xfrm>
                <a:off x="1598" y="125"/>
                <a:ext cx="32" cy="23"/>
              </a:xfrm>
              <a:prstGeom prst="rect">
                <a:avLst/>
              </a:prstGeom>
            </xdr:spPr>
          </xdr:sp>
          <xdr:sp macro="" textlink="">
            <xdr:nvSpPr>
              <xdr:cNvPr id="14161" name="Option Button 849" hidden="1">
                <a:extLst>
                  <a:ext uri="{63B3BB69-23CF-44E3-9099-C40C66FF867C}">
                    <a14:compatExt spid="_x0000_s14161"/>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12</xdr:row>
          <xdr:rowOff>38100</xdr:rowOff>
        </xdr:from>
        <xdr:to>
          <xdr:col>26</xdr:col>
          <xdr:colOff>63500</xdr:colOff>
          <xdr:row>13</xdr:row>
          <xdr:rowOff>0</xdr:rowOff>
        </xdr:to>
        <xdr:grpSp>
          <xdr:nvGrpSpPr>
            <xdr:cNvPr id="14162" name="Group 850"/>
            <xdr:cNvGrpSpPr>
              <a:grpSpLocks/>
            </xdr:cNvGrpSpPr>
          </xdr:nvGrpSpPr>
          <xdr:grpSpPr bwMode="auto">
            <a:xfrm>
              <a:off x="14465300" y="3302000"/>
              <a:ext cx="1422400" cy="228600"/>
              <a:chOff x="1519" y="124"/>
              <a:chExt cx="150" cy="24"/>
            </a:xfrm>
          </xdr:grpSpPr>
          <xdr:sp macro="" textlink="">
            <xdr:nvSpPr>
              <xdr:cNvPr id="14163" name="Option Button 851" hidden="1">
                <a:extLst>
                  <a:ext uri="{63B3BB69-23CF-44E3-9099-C40C66FF867C}">
                    <a14:compatExt spid="_x0000_s14163"/>
                  </a:ext>
                </a:extLst>
              </xdr:cNvPr>
              <xdr:cNvSpPr/>
            </xdr:nvSpPr>
            <xdr:spPr>
              <a:xfrm>
                <a:off x="1519" y="124"/>
                <a:ext cx="32" cy="23"/>
              </a:xfrm>
              <a:prstGeom prst="rect">
                <a:avLst/>
              </a:prstGeom>
            </xdr:spPr>
          </xdr:sp>
          <xdr:sp macro="" textlink="">
            <xdr:nvSpPr>
              <xdr:cNvPr id="14164" name="Option Button 852" hidden="1">
                <a:extLst>
                  <a:ext uri="{63B3BB69-23CF-44E3-9099-C40C66FF867C}">
                    <a14:compatExt spid="_x0000_s14164"/>
                  </a:ext>
                </a:extLst>
              </xdr:cNvPr>
              <xdr:cNvSpPr/>
            </xdr:nvSpPr>
            <xdr:spPr>
              <a:xfrm>
                <a:off x="1559" y="127"/>
                <a:ext cx="31" cy="18"/>
              </a:xfrm>
              <a:prstGeom prst="rect">
                <a:avLst/>
              </a:prstGeom>
            </xdr:spPr>
          </xdr:sp>
          <xdr:sp macro="" textlink="">
            <xdr:nvSpPr>
              <xdr:cNvPr id="14165" name="Option Button 853" hidden="1">
                <a:extLst>
                  <a:ext uri="{63B3BB69-23CF-44E3-9099-C40C66FF867C}">
                    <a14:compatExt spid="_x0000_s14165"/>
                  </a:ext>
                </a:extLst>
              </xdr:cNvPr>
              <xdr:cNvSpPr/>
            </xdr:nvSpPr>
            <xdr:spPr>
              <a:xfrm>
                <a:off x="1598" y="125"/>
                <a:ext cx="32" cy="23"/>
              </a:xfrm>
              <a:prstGeom prst="rect">
                <a:avLst/>
              </a:prstGeom>
            </xdr:spPr>
          </xdr:sp>
          <xdr:sp macro="" textlink="">
            <xdr:nvSpPr>
              <xdr:cNvPr id="14166" name="Option Button 854" hidden="1">
                <a:extLst>
                  <a:ext uri="{63B3BB69-23CF-44E3-9099-C40C66FF867C}">
                    <a14:compatExt spid="_x0000_s14166"/>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13</xdr:row>
          <xdr:rowOff>38100</xdr:rowOff>
        </xdr:from>
        <xdr:to>
          <xdr:col>26</xdr:col>
          <xdr:colOff>63500</xdr:colOff>
          <xdr:row>14</xdr:row>
          <xdr:rowOff>0</xdr:rowOff>
        </xdr:to>
        <xdr:grpSp>
          <xdr:nvGrpSpPr>
            <xdr:cNvPr id="14167" name="Group 855"/>
            <xdr:cNvGrpSpPr>
              <a:grpSpLocks/>
            </xdr:cNvGrpSpPr>
          </xdr:nvGrpSpPr>
          <xdr:grpSpPr bwMode="auto">
            <a:xfrm>
              <a:off x="14465300" y="3568700"/>
              <a:ext cx="1422400" cy="228600"/>
              <a:chOff x="1519" y="124"/>
              <a:chExt cx="150" cy="24"/>
            </a:xfrm>
          </xdr:grpSpPr>
          <xdr:sp macro="" textlink="">
            <xdr:nvSpPr>
              <xdr:cNvPr id="14168" name="Option Button 856" hidden="1">
                <a:extLst>
                  <a:ext uri="{63B3BB69-23CF-44E3-9099-C40C66FF867C}">
                    <a14:compatExt spid="_x0000_s14168"/>
                  </a:ext>
                </a:extLst>
              </xdr:cNvPr>
              <xdr:cNvSpPr/>
            </xdr:nvSpPr>
            <xdr:spPr>
              <a:xfrm>
                <a:off x="1519" y="124"/>
                <a:ext cx="32" cy="23"/>
              </a:xfrm>
              <a:prstGeom prst="rect">
                <a:avLst/>
              </a:prstGeom>
            </xdr:spPr>
          </xdr:sp>
          <xdr:sp macro="" textlink="">
            <xdr:nvSpPr>
              <xdr:cNvPr id="14169" name="Option Button 857" hidden="1">
                <a:extLst>
                  <a:ext uri="{63B3BB69-23CF-44E3-9099-C40C66FF867C}">
                    <a14:compatExt spid="_x0000_s14169"/>
                  </a:ext>
                </a:extLst>
              </xdr:cNvPr>
              <xdr:cNvSpPr/>
            </xdr:nvSpPr>
            <xdr:spPr>
              <a:xfrm>
                <a:off x="1559" y="127"/>
                <a:ext cx="31" cy="18"/>
              </a:xfrm>
              <a:prstGeom prst="rect">
                <a:avLst/>
              </a:prstGeom>
            </xdr:spPr>
          </xdr:sp>
          <xdr:sp macro="" textlink="">
            <xdr:nvSpPr>
              <xdr:cNvPr id="14170" name="Option Button 858" hidden="1">
                <a:extLst>
                  <a:ext uri="{63B3BB69-23CF-44E3-9099-C40C66FF867C}">
                    <a14:compatExt spid="_x0000_s14170"/>
                  </a:ext>
                </a:extLst>
              </xdr:cNvPr>
              <xdr:cNvSpPr/>
            </xdr:nvSpPr>
            <xdr:spPr>
              <a:xfrm>
                <a:off x="1598" y="125"/>
                <a:ext cx="32" cy="23"/>
              </a:xfrm>
              <a:prstGeom prst="rect">
                <a:avLst/>
              </a:prstGeom>
            </xdr:spPr>
          </xdr:sp>
          <xdr:sp macro="" textlink="">
            <xdr:nvSpPr>
              <xdr:cNvPr id="14171" name="Option Button 859" hidden="1">
                <a:extLst>
                  <a:ext uri="{63B3BB69-23CF-44E3-9099-C40C66FF867C}">
                    <a14:compatExt spid="_x0000_s14171"/>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14</xdr:row>
          <xdr:rowOff>38100</xdr:rowOff>
        </xdr:from>
        <xdr:to>
          <xdr:col>26</xdr:col>
          <xdr:colOff>63500</xdr:colOff>
          <xdr:row>15</xdr:row>
          <xdr:rowOff>0</xdr:rowOff>
        </xdr:to>
        <xdr:grpSp>
          <xdr:nvGrpSpPr>
            <xdr:cNvPr id="14172" name="Group 860"/>
            <xdr:cNvGrpSpPr>
              <a:grpSpLocks/>
            </xdr:cNvGrpSpPr>
          </xdr:nvGrpSpPr>
          <xdr:grpSpPr bwMode="auto">
            <a:xfrm>
              <a:off x="14465300" y="3835400"/>
              <a:ext cx="1422400" cy="228600"/>
              <a:chOff x="1519" y="124"/>
              <a:chExt cx="150" cy="24"/>
            </a:xfrm>
          </xdr:grpSpPr>
          <xdr:sp macro="" textlink="">
            <xdr:nvSpPr>
              <xdr:cNvPr id="14173" name="Option Button 861" hidden="1">
                <a:extLst>
                  <a:ext uri="{63B3BB69-23CF-44E3-9099-C40C66FF867C}">
                    <a14:compatExt spid="_x0000_s14173"/>
                  </a:ext>
                </a:extLst>
              </xdr:cNvPr>
              <xdr:cNvSpPr/>
            </xdr:nvSpPr>
            <xdr:spPr>
              <a:xfrm>
                <a:off x="1519" y="124"/>
                <a:ext cx="32" cy="23"/>
              </a:xfrm>
              <a:prstGeom prst="rect">
                <a:avLst/>
              </a:prstGeom>
            </xdr:spPr>
          </xdr:sp>
          <xdr:sp macro="" textlink="">
            <xdr:nvSpPr>
              <xdr:cNvPr id="14174" name="Option Button 862" hidden="1">
                <a:extLst>
                  <a:ext uri="{63B3BB69-23CF-44E3-9099-C40C66FF867C}">
                    <a14:compatExt spid="_x0000_s14174"/>
                  </a:ext>
                </a:extLst>
              </xdr:cNvPr>
              <xdr:cNvSpPr/>
            </xdr:nvSpPr>
            <xdr:spPr>
              <a:xfrm>
                <a:off x="1559" y="127"/>
                <a:ext cx="31" cy="18"/>
              </a:xfrm>
              <a:prstGeom prst="rect">
                <a:avLst/>
              </a:prstGeom>
            </xdr:spPr>
          </xdr:sp>
          <xdr:sp macro="" textlink="">
            <xdr:nvSpPr>
              <xdr:cNvPr id="14175" name="Option Button 863" hidden="1">
                <a:extLst>
                  <a:ext uri="{63B3BB69-23CF-44E3-9099-C40C66FF867C}">
                    <a14:compatExt spid="_x0000_s14175"/>
                  </a:ext>
                </a:extLst>
              </xdr:cNvPr>
              <xdr:cNvSpPr/>
            </xdr:nvSpPr>
            <xdr:spPr>
              <a:xfrm>
                <a:off x="1598" y="125"/>
                <a:ext cx="32" cy="23"/>
              </a:xfrm>
              <a:prstGeom prst="rect">
                <a:avLst/>
              </a:prstGeom>
            </xdr:spPr>
          </xdr:sp>
          <xdr:sp macro="" textlink="">
            <xdr:nvSpPr>
              <xdr:cNvPr id="14176" name="Option Button 864" hidden="1">
                <a:extLst>
                  <a:ext uri="{63B3BB69-23CF-44E3-9099-C40C66FF867C}">
                    <a14:compatExt spid="_x0000_s14176"/>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15</xdr:row>
          <xdr:rowOff>38100</xdr:rowOff>
        </xdr:from>
        <xdr:to>
          <xdr:col>26</xdr:col>
          <xdr:colOff>63500</xdr:colOff>
          <xdr:row>16</xdr:row>
          <xdr:rowOff>0</xdr:rowOff>
        </xdr:to>
        <xdr:grpSp>
          <xdr:nvGrpSpPr>
            <xdr:cNvPr id="14177" name="Group 865"/>
            <xdr:cNvGrpSpPr>
              <a:grpSpLocks/>
            </xdr:cNvGrpSpPr>
          </xdr:nvGrpSpPr>
          <xdr:grpSpPr bwMode="auto">
            <a:xfrm>
              <a:off x="14465300" y="4102100"/>
              <a:ext cx="1422400" cy="228600"/>
              <a:chOff x="1519" y="124"/>
              <a:chExt cx="150" cy="24"/>
            </a:xfrm>
          </xdr:grpSpPr>
          <xdr:sp macro="" textlink="">
            <xdr:nvSpPr>
              <xdr:cNvPr id="14178" name="Option Button 866" hidden="1">
                <a:extLst>
                  <a:ext uri="{63B3BB69-23CF-44E3-9099-C40C66FF867C}">
                    <a14:compatExt spid="_x0000_s14178"/>
                  </a:ext>
                </a:extLst>
              </xdr:cNvPr>
              <xdr:cNvSpPr/>
            </xdr:nvSpPr>
            <xdr:spPr>
              <a:xfrm>
                <a:off x="1519" y="124"/>
                <a:ext cx="32" cy="23"/>
              </a:xfrm>
              <a:prstGeom prst="rect">
                <a:avLst/>
              </a:prstGeom>
            </xdr:spPr>
          </xdr:sp>
          <xdr:sp macro="" textlink="">
            <xdr:nvSpPr>
              <xdr:cNvPr id="14179" name="Option Button 867" hidden="1">
                <a:extLst>
                  <a:ext uri="{63B3BB69-23CF-44E3-9099-C40C66FF867C}">
                    <a14:compatExt spid="_x0000_s14179"/>
                  </a:ext>
                </a:extLst>
              </xdr:cNvPr>
              <xdr:cNvSpPr/>
            </xdr:nvSpPr>
            <xdr:spPr>
              <a:xfrm>
                <a:off x="1559" y="127"/>
                <a:ext cx="31" cy="18"/>
              </a:xfrm>
              <a:prstGeom prst="rect">
                <a:avLst/>
              </a:prstGeom>
            </xdr:spPr>
          </xdr:sp>
          <xdr:sp macro="" textlink="">
            <xdr:nvSpPr>
              <xdr:cNvPr id="14180" name="Option Button 868" hidden="1">
                <a:extLst>
                  <a:ext uri="{63B3BB69-23CF-44E3-9099-C40C66FF867C}">
                    <a14:compatExt spid="_x0000_s14180"/>
                  </a:ext>
                </a:extLst>
              </xdr:cNvPr>
              <xdr:cNvSpPr/>
            </xdr:nvSpPr>
            <xdr:spPr>
              <a:xfrm>
                <a:off x="1598" y="125"/>
                <a:ext cx="32" cy="23"/>
              </a:xfrm>
              <a:prstGeom prst="rect">
                <a:avLst/>
              </a:prstGeom>
            </xdr:spPr>
          </xdr:sp>
          <xdr:sp macro="" textlink="">
            <xdr:nvSpPr>
              <xdr:cNvPr id="14181" name="Option Button 869" hidden="1">
                <a:extLst>
                  <a:ext uri="{63B3BB69-23CF-44E3-9099-C40C66FF867C}">
                    <a14:compatExt spid="_x0000_s14181"/>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16</xdr:row>
          <xdr:rowOff>38100</xdr:rowOff>
        </xdr:from>
        <xdr:to>
          <xdr:col>26</xdr:col>
          <xdr:colOff>63500</xdr:colOff>
          <xdr:row>17</xdr:row>
          <xdr:rowOff>0</xdr:rowOff>
        </xdr:to>
        <xdr:grpSp>
          <xdr:nvGrpSpPr>
            <xdr:cNvPr id="14182" name="Group 870"/>
            <xdr:cNvGrpSpPr>
              <a:grpSpLocks/>
            </xdr:cNvGrpSpPr>
          </xdr:nvGrpSpPr>
          <xdr:grpSpPr bwMode="auto">
            <a:xfrm>
              <a:off x="14465300" y="4368800"/>
              <a:ext cx="1422400" cy="228600"/>
              <a:chOff x="1519" y="124"/>
              <a:chExt cx="150" cy="24"/>
            </a:xfrm>
          </xdr:grpSpPr>
          <xdr:sp macro="" textlink="">
            <xdr:nvSpPr>
              <xdr:cNvPr id="14183" name="Option Button 871" hidden="1">
                <a:extLst>
                  <a:ext uri="{63B3BB69-23CF-44E3-9099-C40C66FF867C}">
                    <a14:compatExt spid="_x0000_s14183"/>
                  </a:ext>
                </a:extLst>
              </xdr:cNvPr>
              <xdr:cNvSpPr/>
            </xdr:nvSpPr>
            <xdr:spPr>
              <a:xfrm>
                <a:off x="1519" y="124"/>
                <a:ext cx="32" cy="23"/>
              </a:xfrm>
              <a:prstGeom prst="rect">
                <a:avLst/>
              </a:prstGeom>
            </xdr:spPr>
          </xdr:sp>
          <xdr:sp macro="" textlink="">
            <xdr:nvSpPr>
              <xdr:cNvPr id="14184" name="Option Button 872" hidden="1">
                <a:extLst>
                  <a:ext uri="{63B3BB69-23CF-44E3-9099-C40C66FF867C}">
                    <a14:compatExt spid="_x0000_s14184"/>
                  </a:ext>
                </a:extLst>
              </xdr:cNvPr>
              <xdr:cNvSpPr/>
            </xdr:nvSpPr>
            <xdr:spPr>
              <a:xfrm>
                <a:off x="1559" y="127"/>
                <a:ext cx="31" cy="18"/>
              </a:xfrm>
              <a:prstGeom prst="rect">
                <a:avLst/>
              </a:prstGeom>
            </xdr:spPr>
          </xdr:sp>
          <xdr:sp macro="" textlink="">
            <xdr:nvSpPr>
              <xdr:cNvPr id="14185" name="Option Button 873" hidden="1">
                <a:extLst>
                  <a:ext uri="{63B3BB69-23CF-44E3-9099-C40C66FF867C}">
                    <a14:compatExt spid="_x0000_s14185"/>
                  </a:ext>
                </a:extLst>
              </xdr:cNvPr>
              <xdr:cNvSpPr/>
            </xdr:nvSpPr>
            <xdr:spPr>
              <a:xfrm>
                <a:off x="1598" y="125"/>
                <a:ext cx="32" cy="23"/>
              </a:xfrm>
              <a:prstGeom prst="rect">
                <a:avLst/>
              </a:prstGeom>
            </xdr:spPr>
          </xdr:sp>
          <xdr:sp macro="" textlink="">
            <xdr:nvSpPr>
              <xdr:cNvPr id="14186" name="Option Button 874" hidden="1">
                <a:extLst>
                  <a:ext uri="{63B3BB69-23CF-44E3-9099-C40C66FF867C}">
                    <a14:compatExt spid="_x0000_s14186"/>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19</xdr:row>
          <xdr:rowOff>38100</xdr:rowOff>
        </xdr:from>
        <xdr:to>
          <xdr:col>26</xdr:col>
          <xdr:colOff>63500</xdr:colOff>
          <xdr:row>20</xdr:row>
          <xdr:rowOff>0</xdr:rowOff>
        </xdr:to>
        <xdr:grpSp>
          <xdr:nvGrpSpPr>
            <xdr:cNvPr id="14187" name="Group 875"/>
            <xdr:cNvGrpSpPr>
              <a:grpSpLocks/>
            </xdr:cNvGrpSpPr>
          </xdr:nvGrpSpPr>
          <xdr:grpSpPr bwMode="auto">
            <a:xfrm>
              <a:off x="14465300" y="5168900"/>
              <a:ext cx="1422400" cy="228600"/>
              <a:chOff x="1519" y="124"/>
              <a:chExt cx="150" cy="24"/>
            </a:xfrm>
          </xdr:grpSpPr>
          <xdr:sp macro="" textlink="">
            <xdr:nvSpPr>
              <xdr:cNvPr id="14188" name="Option Button 876" hidden="1">
                <a:extLst>
                  <a:ext uri="{63B3BB69-23CF-44E3-9099-C40C66FF867C}">
                    <a14:compatExt spid="_x0000_s14188"/>
                  </a:ext>
                </a:extLst>
              </xdr:cNvPr>
              <xdr:cNvSpPr/>
            </xdr:nvSpPr>
            <xdr:spPr>
              <a:xfrm>
                <a:off x="1519" y="124"/>
                <a:ext cx="32" cy="23"/>
              </a:xfrm>
              <a:prstGeom prst="rect">
                <a:avLst/>
              </a:prstGeom>
            </xdr:spPr>
          </xdr:sp>
          <xdr:sp macro="" textlink="">
            <xdr:nvSpPr>
              <xdr:cNvPr id="14189" name="Option Button 877" hidden="1">
                <a:extLst>
                  <a:ext uri="{63B3BB69-23CF-44E3-9099-C40C66FF867C}">
                    <a14:compatExt spid="_x0000_s14189"/>
                  </a:ext>
                </a:extLst>
              </xdr:cNvPr>
              <xdr:cNvSpPr/>
            </xdr:nvSpPr>
            <xdr:spPr>
              <a:xfrm>
                <a:off x="1559" y="127"/>
                <a:ext cx="31" cy="18"/>
              </a:xfrm>
              <a:prstGeom prst="rect">
                <a:avLst/>
              </a:prstGeom>
            </xdr:spPr>
          </xdr:sp>
          <xdr:sp macro="" textlink="">
            <xdr:nvSpPr>
              <xdr:cNvPr id="14190" name="Option Button 878" hidden="1">
                <a:extLst>
                  <a:ext uri="{63B3BB69-23CF-44E3-9099-C40C66FF867C}">
                    <a14:compatExt spid="_x0000_s14190"/>
                  </a:ext>
                </a:extLst>
              </xdr:cNvPr>
              <xdr:cNvSpPr/>
            </xdr:nvSpPr>
            <xdr:spPr>
              <a:xfrm>
                <a:off x="1598" y="125"/>
                <a:ext cx="32" cy="23"/>
              </a:xfrm>
              <a:prstGeom prst="rect">
                <a:avLst/>
              </a:prstGeom>
            </xdr:spPr>
          </xdr:sp>
          <xdr:sp macro="" textlink="">
            <xdr:nvSpPr>
              <xdr:cNvPr id="14191" name="Option Button 879" hidden="1">
                <a:extLst>
                  <a:ext uri="{63B3BB69-23CF-44E3-9099-C40C66FF867C}">
                    <a14:compatExt spid="_x0000_s14191"/>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20</xdr:row>
          <xdr:rowOff>38100</xdr:rowOff>
        </xdr:from>
        <xdr:to>
          <xdr:col>26</xdr:col>
          <xdr:colOff>63500</xdr:colOff>
          <xdr:row>21</xdr:row>
          <xdr:rowOff>0</xdr:rowOff>
        </xdr:to>
        <xdr:grpSp>
          <xdr:nvGrpSpPr>
            <xdr:cNvPr id="14192" name="Group 880"/>
            <xdr:cNvGrpSpPr>
              <a:grpSpLocks/>
            </xdr:cNvGrpSpPr>
          </xdr:nvGrpSpPr>
          <xdr:grpSpPr bwMode="auto">
            <a:xfrm>
              <a:off x="14465300" y="5435600"/>
              <a:ext cx="1422400" cy="228600"/>
              <a:chOff x="1519" y="124"/>
              <a:chExt cx="150" cy="24"/>
            </a:xfrm>
          </xdr:grpSpPr>
          <xdr:sp macro="" textlink="">
            <xdr:nvSpPr>
              <xdr:cNvPr id="14193" name="Option Button 881" hidden="1">
                <a:extLst>
                  <a:ext uri="{63B3BB69-23CF-44E3-9099-C40C66FF867C}">
                    <a14:compatExt spid="_x0000_s14193"/>
                  </a:ext>
                </a:extLst>
              </xdr:cNvPr>
              <xdr:cNvSpPr/>
            </xdr:nvSpPr>
            <xdr:spPr>
              <a:xfrm>
                <a:off x="1519" y="124"/>
                <a:ext cx="32" cy="23"/>
              </a:xfrm>
              <a:prstGeom prst="rect">
                <a:avLst/>
              </a:prstGeom>
            </xdr:spPr>
          </xdr:sp>
          <xdr:sp macro="" textlink="">
            <xdr:nvSpPr>
              <xdr:cNvPr id="14194" name="Option Button 882" hidden="1">
                <a:extLst>
                  <a:ext uri="{63B3BB69-23CF-44E3-9099-C40C66FF867C}">
                    <a14:compatExt spid="_x0000_s14194"/>
                  </a:ext>
                </a:extLst>
              </xdr:cNvPr>
              <xdr:cNvSpPr/>
            </xdr:nvSpPr>
            <xdr:spPr>
              <a:xfrm>
                <a:off x="1559" y="127"/>
                <a:ext cx="31" cy="18"/>
              </a:xfrm>
              <a:prstGeom prst="rect">
                <a:avLst/>
              </a:prstGeom>
            </xdr:spPr>
          </xdr:sp>
          <xdr:sp macro="" textlink="">
            <xdr:nvSpPr>
              <xdr:cNvPr id="14195" name="Option Button 883" hidden="1">
                <a:extLst>
                  <a:ext uri="{63B3BB69-23CF-44E3-9099-C40C66FF867C}">
                    <a14:compatExt spid="_x0000_s14195"/>
                  </a:ext>
                </a:extLst>
              </xdr:cNvPr>
              <xdr:cNvSpPr/>
            </xdr:nvSpPr>
            <xdr:spPr>
              <a:xfrm>
                <a:off x="1598" y="125"/>
                <a:ext cx="32" cy="23"/>
              </a:xfrm>
              <a:prstGeom prst="rect">
                <a:avLst/>
              </a:prstGeom>
            </xdr:spPr>
          </xdr:sp>
          <xdr:sp macro="" textlink="">
            <xdr:nvSpPr>
              <xdr:cNvPr id="14196" name="Option Button 884" hidden="1">
                <a:extLst>
                  <a:ext uri="{63B3BB69-23CF-44E3-9099-C40C66FF867C}">
                    <a14:compatExt spid="_x0000_s14196"/>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22</xdr:row>
          <xdr:rowOff>38100</xdr:rowOff>
        </xdr:from>
        <xdr:to>
          <xdr:col>26</xdr:col>
          <xdr:colOff>63500</xdr:colOff>
          <xdr:row>23</xdr:row>
          <xdr:rowOff>0</xdr:rowOff>
        </xdr:to>
        <xdr:grpSp>
          <xdr:nvGrpSpPr>
            <xdr:cNvPr id="14202" name="Group 890"/>
            <xdr:cNvGrpSpPr>
              <a:grpSpLocks/>
            </xdr:cNvGrpSpPr>
          </xdr:nvGrpSpPr>
          <xdr:grpSpPr bwMode="auto">
            <a:xfrm>
              <a:off x="14465300" y="5969000"/>
              <a:ext cx="1422400" cy="228600"/>
              <a:chOff x="1519" y="124"/>
              <a:chExt cx="150" cy="24"/>
            </a:xfrm>
          </xdr:grpSpPr>
          <xdr:sp macro="" textlink="">
            <xdr:nvSpPr>
              <xdr:cNvPr id="14203" name="Option Button 891" hidden="1">
                <a:extLst>
                  <a:ext uri="{63B3BB69-23CF-44E3-9099-C40C66FF867C}">
                    <a14:compatExt spid="_x0000_s14203"/>
                  </a:ext>
                </a:extLst>
              </xdr:cNvPr>
              <xdr:cNvSpPr/>
            </xdr:nvSpPr>
            <xdr:spPr>
              <a:xfrm>
                <a:off x="1519" y="124"/>
                <a:ext cx="32" cy="23"/>
              </a:xfrm>
              <a:prstGeom prst="rect">
                <a:avLst/>
              </a:prstGeom>
            </xdr:spPr>
          </xdr:sp>
          <xdr:sp macro="" textlink="">
            <xdr:nvSpPr>
              <xdr:cNvPr id="14204" name="Option Button 892" hidden="1">
                <a:extLst>
                  <a:ext uri="{63B3BB69-23CF-44E3-9099-C40C66FF867C}">
                    <a14:compatExt spid="_x0000_s14204"/>
                  </a:ext>
                </a:extLst>
              </xdr:cNvPr>
              <xdr:cNvSpPr/>
            </xdr:nvSpPr>
            <xdr:spPr>
              <a:xfrm>
                <a:off x="1559" y="127"/>
                <a:ext cx="31" cy="18"/>
              </a:xfrm>
              <a:prstGeom prst="rect">
                <a:avLst/>
              </a:prstGeom>
            </xdr:spPr>
          </xdr:sp>
          <xdr:sp macro="" textlink="">
            <xdr:nvSpPr>
              <xdr:cNvPr id="14205" name="Option Button 893" hidden="1">
                <a:extLst>
                  <a:ext uri="{63B3BB69-23CF-44E3-9099-C40C66FF867C}">
                    <a14:compatExt spid="_x0000_s14205"/>
                  </a:ext>
                </a:extLst>
              </xdr:cNvPr>
              <xdr:cNvSpPr/>
            </xdr:nvSpPr>
            <xdr:spPr>
              <a:xfrm>
                <a:off x="1598" y="125"/>
                <a:ext cx="32" cy="23"/>
              </a:xfrm>
              <a:prstGeom prst="rect">
                <a:avLst/>
              </a:prstGeom>
            </xdr:spPr>
          </xdr:sp>
          <xdr:sp macro="" textlink="">
            <xdr:nvSpPr>
              <xdr:cNvPr id="14206" name="Option Button 894" hidden="1">
                <a:extLst>
                  <a:ext uri="{63B3BB69-23CF-44E3-9099-C40C66FF867C}">
                    <a14:compatExt spid="_x0000_s14206"/>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26</xdr:col>
          <xdr:colOff>228600</xdr:colOff>
          <xdr:row>23</xdr:row>
          <xdr:rowOff>38100</xdr:rowOff>
        </xdr:from>
        <xdr:to>
          <xdr:col>30</xdr:col>
          <xdr:colOff>50800</xdr:colOff>
          <xdr:row>24</xdr:row>
          <xdr:rowOff>0</xdr:rowOff>
        </xdr:to>
        <xdr:grpSp>
          <xdr:nvGrpSpPr>
            <xdr:cNvPr id="14207" name="Group 895"/>
            <xdr:cNvGrpSpPr>
              <a:grpSpLocks/>
            </xdr:cNvGrpSpPr>
          </xdr:nvGrpSpPr>
          <xdr:grpSpPr bwMode="auto">
            <a:xfrm>
              <a:off x="16052800" y="6235700"/>
              <a:ext cx="1422400" cy="228600"/>
              <a:chOff x="1519" y="124"/>
              <a:chExt cx="150" cy="24"/>
            </a:xfrm>
          </xdr:grpSpPr>
          <xdr:sp macro="" textlink="">
            <xdr:nvSpPr>
              <xdr:cNvPr id="14208" name="Option Button 896" hidden="1">
                <a:extLst>
                  <a:ext uri="{63B3BB69-23CF-44E3-9099-C40C66FF867C}">
                    <a14:compatExt spid="_x0000_s14208"/>
                  </a:ext>
                </a:extLst>
              </xdr:cNvPr>
              <xdr:cNvSpPr/>
            </xdr:nvSpPr>
            <xdr:spPr>
              <a:xfrm>
                <a:off x="1519" y="124"/>
                <a:ext cx="32" cy="23"/>
              </a:xfrm>
              <a:prstGeom prst="rect">
                <a:avLst/>
              </a:prstGeom>
            </xdr:spPr>
          </xdr:sp>
          <xdr:sp macro="" textlink="">
            <xdr:nvSpPr>
              <xdr:cNvPr id="14209" name="Option Button 897" hidden="1">
                <a:extLst>
                  <a:ext uri="{63B3BB69-23CF-44E3-9099-C40C66FF867C}">
                    <a14:compatExt spid="_x0000_s14209"/>
                  </a:ext>
                </a:extLst>
              </xdr:cNvPr>
              <xdr:cNvSpPr/>
            </xdr:nvSpPr>
            <xdr:spPr>
              <a:xfrm>
                <a:off x="1559" y="127"/>
                <a:ext cx="31" cy="18"/>
              </a:xfrm>
              <a:prstGeom prst="rect">
                <a:avLst/>
              </a:prstGeom>
            </xdr:spPr>
          </xdr:sp>
          <xdr:sp macro="" textlink="">
            <xdr:nvSpPr>
              <xdr:cNvPr id="14210" name="Option Button 898" hidden="1">
                <a:extLst>
                  <a:ext uri="{63B3BB69-23CF-44E3-9099-C40C66FF867C}">
                    <a14:compatExt spid="_x0000_s14210"/>
                  </a:ext>
                </a:extLst>
              </xdr:cNvPr>
              <xdr:cNvSpPr/>
            </xdr:nvSpPr>
            <xdr:spPr>
              <a:xfrm>
                <a:off x="1598" y="125"/>
                <a:ext cx="32" cy="23"/>
              </a:xfrm>
              <a:prstGeom prst="rect">
                <a:avLst/>
              </a:prstGeom>
            </xdr:spPr>
          </xdr:sp>
          <xdr:sp macro="" textlink="">
            <xdr:nvSpPr>
              <xdr:cNvPr id="14211" name="Option Button 899" hidden="1">
                <a:extLst>
                  <a:ext uri="{63B3BB69-23CF-44E3-9099-C40C66FF867C}">
                    <a14:compatExt spid="_x0000_s14211"/>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24</xdr:row>
          <xdr:rowOff>38100</xdr:rowOff>
        </xdr:from>
        <xdr:to>
          <xdr:col>26</xdr:col>
          <xdr:colOff>63500</xdr:colOff>
          <xdr:row>25</xdr:row>
          <xdr:rowOff>0</xdr:rowOff>
        </xdr:to>
        <xdr:grpSp>
          <xdr:nvGrpSpPr>
            <xdr:cNvPr id="14212" name="Group 900"/>
            <xdr:cNvGrpSpPr>
              <a:grpSpLocks/>
            </xdr:cNvGrpSpPr>
          </xdr:nvGrpSpPr>
          <xdr:grpSpPr bwMode="auto">
            <a:xfrm>
              <a:off x="14465300" y="6502400"/>
              <a:ext cx="1422400" cy="228600"/>
              <a:chOff x="1519" y="124"/>
              <a:chExt cx="150" cy="24"/>
            </a:xfrm>
          </xdr:grpSpPr>
          <xdr:sp macro="" textlink="">
            <xdr:nvSpPr>
              <xdr:cNvPr id="14213" name="Option Button 901" hidden="1">
                <a:extLst>
                  <a:ext uri="{63B3BB69-23CF-44E3-9099-C40C66FF867C}">
                    <a14:compatExt spid="_x0000_s14213"/>
                  </a:ext>
                </a:extLst>
              </xdr:cNvPr>
              <xdr:cNvSpPr/>
            </xdr:nvSpPr>
            <xdr:spPr>
              <a:xfrm>
                <a:off x="1519" y="124"/>
                <a:ext cx="32" cy="23"/>
              </a:xfrm>
              <a:prstGeom prst="rect">
                <a:avLst/>
              </a:prstGeom>
            </xdr:spPr>
          </xdr:sp>
          <xdr:sp macro="" textlink="">
            <xdr:nvSpPr>
              <xdr:cNvPr id="14214" name="Option Button 902" hidden="1">
                <a:extLst>
                  <a:ext uri="{63B3BB69-23CF-44E3-9099-C40C66FF867C}">
                    <a14:compatExt spid="_x0000_s14214"/>
                  </a:ext>
                </a:extLst>
              </xdr:cNvPr>
              <xdr:cNvSpPr/>
            </xdr:nvSpPr>
            <xdr:spPr>
              <a:xfrm>
                <a:off x="1559" y="127"/>
                <a:ext cx="31" cy="18"/>
              </a:xfrm>
              <a:prstGeom prst="rect">
                <a:avLst/>
              </a:prstGeom>
            </xdr:spPr>
          </xdr:sp>
          <xdr:sp macro="" textlink="">
            <xdr:nvSpPr>
              <xdr:cNvPr id="14215" name="Option Button 903" hidden="1">
                <a:extLst>
                  <a:ext uri="{63B3BB69-23CF-44E3-9099-C40C66FF867C}">
                    <a14:compatExt spid="_x0000_s14215"/>
                  </a:ext>
                </a:extLst>
              </xdr:cNvPr>
              <xdr:cNvSpPr/>
            </xdr:nvSpPr>
            <xdr:spPr>
              <a:xfrm>
                <a:off x="1598" y="125"/>
                <a:ext cx="32" cy="23"/>
              </a:xfrm>
              <a:prstGeom prst="rect">
                <a:avLst/>
              </a:prstGeom>
            </xdr:spPr>
          </xdr:sp>
          <xdr:sp macro="" textlink="">
            <xdr:nvSpPr>
              <xdr:cNvPr id="14216" name="Option Button 904" hidden="1">
                <a:extLst>
                  <a:ext uri="{63B3BB69-23CF-44E3-9099-C40C66FF867C}">
                    <a14:compatExt spid="_x0000_s14216"/>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27</xdr:row>
          <xdr:rowOff>38100</xdr:rowOff>
        </xdr:from>
        <xdr:to>
          <xdr:col>26</xdr:col>
          <xdr:colOff>63500</xdr:colOff>
          <xdr:row>28</xdr:row>
          <xdr:rowOff>0</xdr:rowOff>
        </xdr:to>
        <xdr:grpSp>
          <xdr:nvGrpSpPr>
            <xdr:cNvPr id="14217" name="Group 905"/>
            <xdr:cNvGrpSpPr>
              <a:grpSpLocks/>
            </xdr:cNvGrpSpPr>
          </xdr:nvGrpSpPr>
          <xdr:grpSpPr bwMode="auto">
            <a:xfrm>
              <a:off x="14465300" y="7302500"/>
              <a:ext cx="1422400" cy="228600"/>
              <a:chOff x="1519" y="124"/>
              <a:chExt cx="150" cy="24"/>
            </a:xfrm>
          </xdr:grpSpPr>
          <xdr:sp macro="" textlink="">
            <xdr:nvSpPr>
              <xdr:cNvPr id="14218" name="Option Button 906" hidden="1">
                <a:extLst>
                  <a:ext uri="{63B3BB69-23CF-44E3-9099-C40C66FF867C}">
                    <a14:compatExt spid="_x0000_s14218"/>
                  </a:ext>
                </a:extLst>
              </xdr:cNvPr>
              <xdr:cNvSpPr/>
            </xdr:nvSpPr>
            <xdr:spPr>
              <a:xfrm>
                <a:off x="1519" y="124"/>
                <a:ext cx="32" cy="23"/>
              </a:xfrm>
              <a:prstGeom prst="rect">
                <a:avLst/>
              </a:prstGeom>
            </xdr:spPr>
          </xdr:sp>
          <xdr:sp macro="" textlink="">
            <xdr:nvSpPr>
              <xdr:cNvPr id="14219" name="Option Button 907" hidden="1">
                <a:extLst>
                  <a:ext uri="{63B3BB69-23CF-44E3-9099-C40C66FF867C}">
                    <a14:compatExt spid="_x0000_s14219"/>
                  </a:ext>
                </a:extLst>
              </xdr:cNvPr>
              <xdr:cNvSpPr/>
            </xdr:nvSpPr>
            <xdr:spPr>
              <a:xfrm>
                <a:off x="1559" y="127"/>
                <a:ext cx="31" cy="18"/>
              </a:xfrm>
              <a:prstGeom prst="rect">
                <a:avLst/>
              </a:prstGeom>
            </xdr:spPr>
          </xdr:sp>
          <xdr:sp macro="" textlink="">
            <xdr:nvSpPr>
              <xdr:cNvPr id="14220" name="Option Button 908" hidden="1">
                <a:extLst>
                  <a:ext uri="{63B3BB69-23CF-44E3-9099-C40C66FF867C}">
                    <a14:compatExt spid="_x0000_s14220"/>
                  </a:ext>
                </a:extLst>
              </xdr:cNvPr>
              <xdr:cNvSpPr/>
            </xdr:nvSpPr>
            <xdr:spPr>
              <a:xfrm>
                <a:off x="1598" y="125"/>
                <a:ext cx="32" cy="23"/>
              </a:xfrm>
              <a:prstGeom prst="rect">
                <a:avLst/>
              </a:prstGeom>
            </xdr:spPr>
          </xdr:sp>
          <xdr:sp macro="" textlink="">
            <xdr:nvSpPr>
              <xdr:cNvPr id="14221" name="Option Button 909" hidden="1">
                <a:extLst>
                  <a:ext uri="{63B3BB69-23CF-44E3-9099-C40C66FF867C}">
                    <a14:compatExt spid="_x0000_s14221"/>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28</xdr:row>
          <xdr:rowOff>38100</xdr:rowOff>
        </xdr:from>
        <xdr:to>
          <xdr:col>26</xdr:col>
          <xdr:colOff>63500</xdr:colOff>
          <xdr:row>29</xdr:row>
          <xdr:rowOff>0</xdr:rowOff>
        </xdr:to>
        <xdr:grpSp>
          <xdr:nvGrpSpPr>
            <xdr:cNvPr id="14222" name="Group 910"/>
            <xdr:cNvGrpSpPr>
              <a:grpSpLocks/>
            </xdr:cNvGrpSpPr>
          </xdr:nvGrpSpPr>
          <xdr:grpSpPr bwMode="auto">
            <a:xfrm>
              <a:off x="14465300" y="7569200"/>
              <a:ext cx="1422400" cy="228600"/>
              <a:chOff x="1519" y="124"/>
              <a:chExt cx="150" cy="24"/>
            </a:xfrm>
          </xdr:grpSpPr>
          <xdr:sp macro="" textlink="">
            <xdr:nvSpPr>
              <xdr:cNvPr id="14223" name="Option Button 911" hidden="1">
                <a:extLst>
                  <a:ext uri="{63B3BB69-23CF-44E3-9099-C40C66FF867C}">
                    <a14:compatExt spid="_x0000_s14223"/>
                  </a:ext>
                </a:extLst>
              </xdr:cNvPr>
              <xdr:cNvSpPr/>
            </xdr:nvSpPr>
            <xdr:spPr>
              <a:xfrm>
                <a:off x="1519" y="124"/>
                <a:ext cx="32" cy="23"/>
              </a:xfrm>
              <a:prstGeom prst="rect">
                <a:avLst/>
              </a:prstGeom>
            </xdr:spPr>
          </xdr:sp>
          <xdr:sp macro="" textlink="">
            <xdr:nvSpPr>
              <xdr:cNvPr id="14224" name="Option Button 912" hidden="1">
                <a:extLst>
                  <a:ext uri="{63B3BB69-23CF-44E3-9099-C40C66FF867C}">
                    <a14:compatExt spid="_x0000_s14224"/>
                  </a:ext>
                </a:extLst>
              </xdr:cNvPr>
              <xdr:cNvSpPr/>
            </xdr:nvSpPr>
            <xdr:spPr>
              <a:xfrm>
                <a:off x="1559" y="127"/>
                <a:ext cx="31" cy="18"/>
              </a:xfrm>
              <a:prstGeom prst="rect">
                <a:avLst/>
              </a:prstGeom>
            </xdr:spPr>
          </xdr:sp>
          <xdr:sp macro="" textlink="">
            <xdr:nvSpPr>
              <xdr:cNvPr id="14225" name="Option Button 913" hidden="1">
                <a:extLst>
                  <a:ext uri="{63B3BB69-23CF-44E3-9099-C40C66FF867C}">
                    <a14:compatExt spid="_x0000_s14225"/>
                  </a:ext>
                </a:extLst>
              </xdr:cNvPr>
              <xdr:cNvSpPr/>
            </xdr:nvSpPr>
            <xdr:spPr>
              <a:xfrm>
                <a:off x="1598" y="125"/>
                <a:ext cx="32" cy="23"/>
              </a:xfrm>
              <a:prstGeom prst="rect">
                <a:avLst/>
              </a:prstGeom>
            </xdr:spPr>
          </xdr:sp>
          <xdr:sp macro="" textlink="">
            <xdr:nvSpPr>
              <xdr:cNvPr id="14226" name="Option Button 914" hidden="1">
                <a:extLst>
                  <a:ext uri="{63B3BB69-23CF-44E3-9099-C40C66FF867C}">
                    <a14:compatExt spid="_x0000_s14226"/>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29</xdr:row>
          <xdr:rowOff>38100</xdr:rowOff>
        </xdr:from>
        <xdr:to>
          <xdr:col>26</xdr:col>
          <xdr:colOff>63500</xdr:colOff>
          <xdr:row>30</xdr:row>
          <xdr:rowOff>0</xdr:rowOff>
        </xdr:to>
        <xdr:grpSp>
          <xdr:nvGrpSpPr>
            <xdr:cNvPr id="14227" name="Group 915"/>
            <xdr:cNvGrpSpPr>
              <a:grpSpLocks/>
            </xdr:cNvGrpSpPr>
          </xdr:nvGrpSpPr>
          <xdr:grpSpPr bwMode="auto">
            <a:xfrm>
              <a:off x="14465300" y="7835900"/>
              <a:ext cx="1422400" cy="228600"/>
              <a:chOff x="1519" y="124"/>
              <a:chExt cx="150" cy="24"/>
            </a:xfrm>
          </xdr:grpSpPr>
          <xdr:sp macro="" textlink="">
            <xdr:nvSpPr>
              <xdr:cNvPr id="14228" name="Option Button 916" hidden="1">
                <a:extLst>
                  <a:ext uri="{63B3BB69-23CF-44E3-9099-C40C66FF867C}">
                    <a14:compatExt spid="_x0000_s14228"/>
                  </a:ext>
                </a:extLst>
              </xdr:cNvPr>
              <xdr:cNvSpPr/>
            </xdr:nvSpPr>
            <xdr:spPr>
              <a:xfrm>
                <a:off x="1519" y="124"/>
                <a:ext cx="32" cy="23"/>
              </a:xfrm>
              <a:prstGeom prst="rect">
                <a:avLst/>
              </a:prstGeom>
            </xdr:spPr>
          </xdr:sp>
          <xdr:sp macro="" textlink="">
            <xdr:nvSpPr>
              <xdr:cNvPr id="14229" name="Option Button 917" hidden="1">
                <a:extLst>
                  <a:ext uri="{63B3BB69-23CF-44E3-9099-C40C66FF867C}">
                    <a14:compatExt spid="_x0000_s14229"/>
                  </a:ext>
                </a:extLst>
              </xdr:cNvPr>
              <xdr:cNvSpPr/>
            </xdr:nvSpPr>
            <xdr:spPr>
              <a:xfrm>
                <a:off x="1559" y="127"/>
                <a:ext cx="31" cy="18"/>
              </a:xfrm>
              <a:prstGeom prst="rect">
                <a:avLst/>
              </a:prstGeom>
            </xdr:spPr>
          </xdr:sp>
          <xdr:sp macro="" textlink="">
            <xdr:nvSpPr>
              <xdr:cNvPr id="14230" name="Option Button 918" hidden="1">
                <a:extLst>
                  <a:ext uri="{63B3BB69-23CF-44E3-9099-C40C66FF867C}">
                    <a14:compatExt spid="_x0000_s14230"/>
                  </a:ext>
                </a:extLst>
              </xdr:cNvPr>
              <xdr:cNvSpPr/>
            </xdr:nvSpPr>
            <xdr:spPr>
              <a:xfrm>
                <a:off x="1598" y="125"/>
                <a:ext cx="32" cy="23"/>
              </a:xfrm>
              <a:prstGeom prst="rect">
                <a:avLst/>
              </a:prstGeom>
            </xdr:spPr>
          </xdr:sp>
          <xdr:sp macro="" textlink="">
            <xdr:nvSpPr>
              <xdr:cNvPr id="14231" name="Option Button 919" hidden="1">
                <a:extLst>
                  <a:ext uri="{63B3BB69-23CF-44E3-9099-C40C66FF867C}">
                    <a14:compatExt spid="_x0000_s14231"/>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28</xdr:col>
          <xdr:colOff>127000</xdr:colOff>
          <xdr:row>30</xdr:row>
          <xdr:rowOff>38100</xdr:rowOff>
        </xdr:from>
        <xdr:to>
          <xdr:col>29</xdr:col>
          <xdr:colOff>25400</xdr:colOff>
          <xdr:row>30</xdr:row>
          <xdr:rowOff>342900</xdr:rowOff>
        </xdr:to>
        <xdr:sp macro="" textlink="">
          <xdr:nvSpPr>
            <xdr:cNvPr id="14233" name="Option Button 921" hidden="1">
              <a:extLst>
                <a:ext uri="{63B3BB69-23CF-44E3-9099-C40C66FF867C}">
                  <a14:compatExt spid="_x0000_s14233"/>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29</xdr:col>
          <xdr:colOff>127000</xdr:colOff>
          <xdr:row>30</xdr:row>
          <xdr:rowOff>76200</xdr:rowOff>
        </xdr:from>
        <xdr:to>
          <xdr:col>30</xdr:col>
          <xdr:colOff>12700</xdr:colOff>
          <xdr:row>30</xdr:row>
          <xdr:rowOff>317500</xdr:rowOff>
        </xdr:to>
        <xdr:sp macro="" textlink="">
          <xdr:nvSpPr>
            <xdr:cNvPr id="14234" name="Option Button 922" hidden="1">
              <a:extLst>
                <a:ext uri="{63B3BB69-23CF-44E3-9099-C40C66FF867C}">
                  <a14:compatExt spid="_x0000_s14234"/>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228600</xdr:colOff>
          <xdr:row>31</xdr:row>
          <xdr:rowOff>38100</xdr:rowOff>
        </xdr:from>
        <xdr:to>
          <xdr:col>30</xdr:col>
          <xdr:colOff>50800</xdr:colOff>
          <xdr:row>32</xdr:row>
          <xdr:rowOff>0</xdr:rowOff>
        </xdr:to>
        <xdr:grpSp>
          <xdr:nvGrpSpPr>
            <xdr:cNvPr id="24620" name="Group 1068"/>
            <xdr:cNvGrpSpPr>
              <a:grpSpLocks/>
            </xdr:cNvGrpSpPr>
          </xdr:nvGrpSpPr>
          <xdr:grpSpPr bwMode="auto">
            <a:xfrm>
              <a:off x="16052800" y="8369300"/>
              <a:ext cx="1422400" cy="228600"/>
              <a:chOff x="1686" y="880"/>
              <a:chExt cx="150" cy="24"/>
            </a:xfrm>
          </xdr:grpSpPr>
          <xdr:sp macro="" textlink="">
            <xdr:nvSpPr>
              <xdr:cNvPr id="14238" name="Option Button 926" hidden="1">
                <a:extLst>
                  <a:ext uri="{63B3BB69-23CF-44E3-9099-C40C66FF867C}">
                    <a14:compatExt spid="_x0000_s14238"/>
                  </a:ext>
                </a:extLst>
              </xdr:cNvPr>
              <xdr:cNvSpPr/>
            </xdr:nvSpPr>
            <xdr:spPr>
              <a:xfrm>
                <a:off x="1686" y="880"/>
                <a:ext cx="32" cy="23"/>
              </a:xfrm>
              <a:prstGeom prst="rect">
                <a:avLst/>
              </a:prstGeom>
            </xdr:spPr>
          </xdr:sp>
          <xdr:sp macro="" textlink="">
            <xdr:nvSpPr>
              <xdr:cNvPr id="14239" name="Option Button 927" hidden="1">
                <a:extLst>
                  <a:ext uri="{63B3BB69-23CF-44E3-9099-C40C66FF867C}">
                    <a14:compatExt spid="_x0000_s14239"/>
                  </a:ext>
                </a:extLst>
              </xdr:cNvPr>
              <xdr:cNvSpPr/>
            </xdr:nvSpPr>
            <xdr:spPr>
              <a:xfrm>
                <a:off x="1726" y="883"/>
                <a:ext cx="31" cy="18"/>
              </a:xfrm>
              <a:prstGeom prst="rect">
                <a:avLst/>
              </a:prstGeom>
            </xdr:spPr>
          </xdr:sp>
          <xdr:sp macro="" textlink="">
            <xdr:nvSpPr>
              <xdr:cNvPr id="14240" name="Option Button 928" hidden="1">
                <a:extLst>
                  <a:ext uri="{63B3BB69-23CF-44E3-9099-C40C66FF867C}">
                    <a14:compatExt spid="_x0000_s14240"/>
                  </a:ext>
                </a:extLst>
              </xdr:cNvPr>
              <xdr:cNvSpPr/>
            </xdr:nvSpPr>
            <xdr:spPr>
              <a:xfrm>
                <a:off x="1765" y="881"/>
                <a:ext cx="32" cy="23"/>
              </a:xfrm>
              <a:prstGeom prst="rect">
                <a:avLst/>
              </a:prstGeom>
            </xdr:spPr>
          </xdr:sp>
          <xdr:sp macro="" textlink="">
            <xdr:nvSpPr>
              <xdr:cNvPr id="14241" name="Option Button 929" hidden="1">
                <a:extLst>
                  <a:ext uri="{63B3BB69-23CF-44E3-9099-C40C66FF867C}">
                    <a14:compatExt spid="_x0000_s14241"/>
                  </a:ext>
                </a:extLst>
              </xdr:cNvPr>
              <xdr:cNvSpPr/>
            </xdr:nvSpPr>
            <xdr:spPr>
              <a:xfrm>
                <a:off x="1804" y="881"/>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33</xdr:row>
          <xdr:rowOff>38100</xdr:rowOff>
        </xdr:from>
        <xdr:to>
          <xdr:col>26</xdr:col>
          <xdr:colOff>63500</xdr:colOff>
          <xdr:row>34</xdr:row>
          <xdr:rowOff>0</xdr:rowOff>
        </xdr:to>
        <xdr:grpSp>
          <xdr:nvGrpSpPr>
            <xdr:cNvPr id="14242" name="Group 930"/>
            <xdr:cNvGrpSpPr>
              <a:grpSpLocks/>
            </xdr:cNvGrpSpPr>
          </xdr:nvGrpSpPr>
          <xdr:grpSpPr bwMode="auto">
            <a:xfrm>
              <a:off x="14465300" y="8902700"/>
              <a:ext cx="1422400" cy="228600"/>
              <a:chOff x="1519" y="124"/>
              <a:chExt cx="150" cy="24"/>
            </a:xfrm>
          </xdr:grpSpPr>
          <xdr:sp macro="" textlink="">
            <xdr:nvSpPr>
              <xdr:cNvPr id="14243" name="Option Button 931" hidden="1">
                <a:extLst>
                  <a:ext uri="{63B3BB69-23CF-44E3-9099-C40C66FF867C}">
                    <a14:compatExt spid="_x0000_s14243"/>
                  </a:ext>
                </a:extLst>
              </xdr:cNvPr>
              <xdr:cNvSpPr/>
            </xdr:nvSpPr>
            <xdr:spPr>
              <a:xfrm>
                <a:off x="1519" y="124"/>
                <a:ext cx="32" cy="23"/>
              </a:xfrm>
              <a:prstGeom prst="rect">
                <a:avLst/>
              </a:prstGeom>
            </xdr:spPr>
          </xdr:sp>
          <xdr:sp macro="" textlink="">
            <xdr:nvSpPr>
              <xdr:cNvPr id="14244" name="Option Button 932" hidden="1">
                <a:extLst>
                  <a:ext uri="{63B3BB69-23CF-44E3-9099-C40C66FF867C}">
                    <a14:compatExt spid="_x0000_s14244"/>
                  </a:ext>
                </a:extLst>
              </xdr:cNvPr>
              <xdr:cNvSpPr/>
            </xdr:nvSpPr>
            <xdr:spPr>
              <a:xfrm>
                <a:off x="1559" y="127"/>
                <a:ext cx="31" cy="18"/>
              </a:xfrm>
              <a:prstGeom prst="rect">
                <a:avLst/>
              </a:prstGeom>
            </xdr:spPr>
          </xdr:sp>
          <xdr:sp macro="" textlink="">
            <xdr:nvSpPr>
              <xdr:cNvPr id="14245" name="Option Button 933" hidden="1">
                <a:extLst>
                  <a:ext uri="{63B3BB69-23CF-44E3-9099-C40C66FF867C}">
                    <a14:compatExt spid="_x0000_s14245"/>
                  </a:ext>
                </a:extLst>
              </xdr:cNvPr>
              <xdr:cNvSpPr/>
            </xdr:nvSpPr>
            <xdr:spPr>
              <a:xfrm>
                <a:off x="1598" y="125"/>
                <a:ext cx="32" cy="23"/>
              </a:xfrm>
              <a:prstGeom prst="rect">
                <a:avLst/>
              </a:prstGeom>
            </xdr:spPr>
          </xdr:sp>
          <xdr:sp macro="" textlink="">
            <xdr:nvSpPr>
              <xdr:cNvPr id="14246" name="Option Button 934" hidden="1">
                <a:extLst>
                  <a:ext uri="{63B3BB69-23CF-44E3-9099-C40C66FF867C}">
                    <a14:compatExt spid="_x0000_s14246"/>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34</xdr:row>
          <xdr:rowOff>38100</xdr:rowOff>
        </xdr:from>
        <xdr:to>
          <xdr:col>26</xdr:col>
          <xdr:colOff>63500</xdr:colOff>
          <xdr:row>35</xdr:row>
          <xdr:rowOff>0</xdr:rowOff>
        </xdr:to>
        <xdr:grpSp>
          <xdr:nvGrpSpPr>
            <xdr:cNvPr id="14247" name="Group 935"/>
            <xdr:cNvGrpSpPr>
              <a:grpSpLocks/>
            </xdr:cNvGrpSpPr>
          </xdr:nvGrpSpPr>
          <xdr:grpSpPr bwMode="auto">
            <a:xfrm>
              <a:off x="14465300" y="9169400"/>
              <a:ext cx="1422400" cy="228600"/>
              <a:chOff x="1519" y="124"/>
              <a:chExt cx="150" cy="24"/>
            </a:xfrm>
          </xdr:grpSpPr>
          <xdr:sp macro="" textlink="">
            <xdr:nvSpPr>
              <xdr:cNvPr id="14248" name="Option Button 936" hidden="1">
                <a:extLst>
                  <a:ext uri="{63B3BB69-23CF-44E3-9099-C40C66FF867C}">
                    <a14:compatExt spid="_x0000_s14248"/>
                  </a:ext>
                </a:extLst>
              </xdr:cNvPr>
              <xdr:cNvSpPr/>
            </xdr:nvSpPr>
            <xdr:spPr>
              <a:xfrm>
                <a:off x="1519" y="124"/>
                <a:ext cx="32" cy="23"/>
              </a:xfrm>
              <a:prstGeom prst="rect">
                <a:avLst/>
              </a:prstGeom>
            </xdr:spPr>
          </xdr:sp>
          <xdr:sp macro="" textlink="">
            <xdr:nvSpPr>
              <xdr:cNvPr id="14249" name="Option Button 937" hidden="1">
                <a:extLst>
                  <a:ext uri="{63B3BB69-23CF-44E3-9099-C40C66FF867C}">
                    <a14:compatExt spid="_x0000_s14249"/>
                  </a:ext>
                </a:extLst>
              </xdr:cNvPr>
              <xdr:cNvSpPr/>
            </xdr:nvSpPr>
            <xdr:spPr>
              <a:xfrm>
                <a:off x="1559" y="127"/>
                <a:ext cx="31" cy="18"/>
              </a:xfrm>
              <a:prstGeom prst="rect">
                <a:avLst/>
              </a:prstGeom>
            </xdr:spPr>
          </xdr:sp>
          <xdr:sp macro="" textlink="">
            <xdr:nvSpPr>
              <xdr:cNvPr id="14250" name="Option Button 938" hidden="1">
                <a:extLst>
                  <a:ext uri="{63B3BB69-23CF-44E3-9099-C40C66FF867C}">
                    <a14:compatExt spid="_x0000_s14250"/>
                  </a:ext>
                </a:extLst>
              </xdr:cNvPr>
              <xdr:cNvSpPr/>
            </xdr:nvSpPr>
            <xdr:spPr>
              <a:xfrm>
                <a:off x="1598" y="125"/>
                <a:ext cx="32" cy="23"/>
              </a:xfrm>
              <a:prstGeom prst="rect">
                <a:avLst/>
              </a:prstGeom>
            </xdr:spPr>
          </xdr:sp>
          <xdr:sp macro="" textlink="">
            <xdr:nvSpPr>
              <xdr:cNvPr id="14251" name="Option Button 939" hidden="1">
                <a:extLst>
                  <a:ext uri="{63B3BB69-23CF-44E3-9099-C40C66FF867C}">
                    <a14:compatExt spid="_x0000_s14251"/>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26</xdr:col>
          <xdr:colOff>228600</xdr:colOff>
          <xdr:row>35</xdr:row>
          <xdr:rowOff>38100</xdr:rowOff>
        </xdr:from>
        <xdr:to>
          <xdr:col>30</xdr:col>
          <xdr:colOff>50800</xdr:colOff>
          <xdr:row>36</xdr:row>
          <xdr:rowOff>0</xdr:rowOff>
        </xdr:to>
        <xdr:grpSp>
          <xdr:nvGrpSpPr>
            <xdr:cNvPr id="14252" name="Group 940"/>
            <xdr:cNvGrpSpPr>
              <a:grpSpLocks/>
            </xdr:cNvGrpSpPr>
          </xdr:nvGrpSpPr>
          <xdr:grpSpPr bwMode="auto">
            <a:xfrm>
              <a:off x="16052800" y="9436100"/>
              <a:ext cx="1422400" cy="228600"/>
              <a:chOff x="1519" y="124"/>
              <a:chExt cx="150" cy="24"/>
            </a:xfrm>
          </xdr:grpSpPr>
          <xdr:sp macro="" textlink="">
            <xdr:nvSpPr>
              <xdr:cNvPr id="14253" name="Option Button 941" hidden="1">
                <a:extLst>
                  <a:ext uri="{63B3BB69-23CF-44E3-9099-C40C66FF867C}">
                    <a14:compatExt spid="_x0000_s14253"/>
                  </a:ext>
                </a:extLst>
              </xdr:cNvPr>
              <xdr:cNvSpPr/>
            </xdr:nvSpPr>
            <xdr:spPr>
              <a:xfrm>
                <a:off x="1519" y="124"/>
                <a:ext cx="32" cy="23"/>
              </a:xfrm>
              <a:prstGeom prst="rect">
                <a:avLst/>
              </a:prstGeom>
            </xdr:spPr>
          </xdr:sp>
          <xdr:sp macro="" textlink="">
            <xdr:nvSpPr>
              <xdr:cNvPr id="14254" name="Option Button 942" hidden="1">
                <a:extLst>
                  <a:ext uri="{63B3BB69-23CF-44E3-9099-C40C66FF867C}">
                    <a14:compatExt spid="_x0000_s14254"/>
                  </a:ext>
                </a:extLst>
              </xdr:cNvPr>
              <xdr:cNvSpPr/>
            </xdr:nvSpPr>
            <xdr:spPr>
              <a:xfrm>
                <a:off x="1559" y="127"/>
                <a:ext cx="31" cy="18"/>
              </a:xfrm>
              <a:prstGeom prst="rect">
                <a:avLst/>
              </a:prstGeom>
            </xdr:spPr>
          </xdr:sp>
          <xdr:sp macro="" textlink="">
            <xdr:nvSpPr>
              <xdr:cNvPr id="14255" name="Option Button 943" hidden="1">
                <a:extLst>
                  <a:ext uri="{63B3BB69-23CF-44E3-9099-C40C66FF867C}">
                    <a14:compatExt spid="_x0000_s14255"/>
                  </a:ext>
                </a:extLst>
              </xdr:cNvPr>
              <xdr:cNvSpPr/>
            </xdr:nvSpPr>
            <xdr:spPr>
              <a:xfrm>
                <a:off x="1598" y="125"/>
                <a:ext cx="32" cy="23"/>
              </a:xfrm>
              <a:prstGeom prst="rect">
                <a:avLst/>
              </a:prstGeom>
            </xdr:spPr>
          </xdr:sp>
          <xdr:sp macro="" textlink="">
            <xdr:nvSpPr>
              <xdr:cNvPr id="14256" name="Option Button 944" hidden="1">
                <a:extLst>
                  <a:ext uri="{63B3BB69-23CF-44E3-9099-C40C66FF867C}">
                    <a14:compatExt spid="_x0000_s14256"/>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26</xdr:col>
          <xdr:colOff>228600</xdr:colOff>
          <xdr:row>36</xdr:row>
          <xdr:rowOff>38100</xdr:rowOff>
        </xdr:from>
        <xdr:to>
          <xdr:col>30</xdr:col>
          <xdr:colOff>50800</xdr:colOff>
          <xdr:row>37</xdr:row>
          <xdr:rowOff>0</xdr:rowOff>
        </xdr:to>
        <xdr:grpSp>
          <xdr:nvGrpSpPr>
            <xdr:cNvPr id="14257" name="Group 945"/>
            <xdr:cNvGrpSpPr>
              <a:grpSpLocks/>
            </xdr:cNvGrpSpPr>
          </xdr:nvGrpSpPr>
          <xdr:grpSpPr bwMode="auto">
            <a:xfrm>
              <a:off x="16052800" y="9702800"/>
              <a:ext cx="1422400" cy="228600"/>
              <a:chOff x="1519" y="124"/>
              <a:chExt cx="150" cy="24"/>
            </a:xfrm>
          </xdr:grpSpPr>
          <xdr:sp macro="" textlink="">
            <xdr:nvSpPr>
              <xdr:cNvPr id="14258" name="Option Button 946" hidden="1">
                <a:extLst>
                  <a:ext uri="{63B3BB69-23CF-44E3-9099-C40C66FF867C}">
                    <a14:compatExt spid="_x0000_s14258"/>
                  </a:ext>
                </a:extLst>
              </xdr:cNvPr>
              <xdr:cNvSpPr/>
            </xdr:nvSpPr>
            <xdr:spPr>
              <a:xfrm>
                <a:off x="1519" y="124"/>
                <a:ext cx="32" cy="23"/>
              </a:xfrm>
              <a:prstGeom prst="rect">
                <a:avLst/>
              </a:prstGeom>
            </xdr:spPr>
          </xdr:sp>
          <xdr:sp macro="" textlink="">
            <xdr:nvSpPr>
              <xdr:cNvPr id="14259" name="Option Button 947" hidden="1">
                <a:extLst>
                  <a:ext uri="{63B3BB69-23CF-44E3-9099-C40C66FF867C}">
                    <a14:compatExt spid="_x0000_s14259"/>
                  </a:ext>
                </a:extLst>
              </xdr:cNvPr>
              <xdr:cNvSpPr/>
            </xdr:nvSpPr>
            <xdr:spPr>
              <a:xfrm>
                <a:off x="1559" y="127"/>
                <a:ext cx="31" cy="18"/>
              </a:xfrm>
              <a:prstGeom prst="rect">
                <a:avLst/>
              </a:prstGeom>
            </xdr:spPr>
          </xdr:sp>
          <xdr:sp macro="" textlink="">
            <xdr:nvSpPr>
              <xdr:cNvPr id="14260" name="Option Button 948" hidden="1">
                <a:extLst>
                  <a:ext uri="{63B3BB69-23CF-44E3-9099-C40C66FF867C}">
                    <a14:compatExt spid="_x0000_s14260"/>
                  </a:ext>
                </a:extLst>
              </xdr:cNvPr>
              <xdr:cNvSpPr/>
            </xdr:nvSpPr>
            <xdr:spPr>
              <a:xfrm>
                <a:off x="1598" y="125"/>
                <a:ext cx="32" cy="23"/>
              </a:xfrm>
              <a:prstGeom prst="rect">
                <a:avLst/>
              </a:prstGeom>
            </xdr:spPr>
          </xdr:sp>
          <xdr:sp macro="" textlink="">
            <xdr:nvSpPr>
              <xdr:cNvPr id="14261" name="Option Button 949" hidden="1">
                <a:extLst>
                  <a:ext uri="{63B3BB69-23CF-44E3-9099-C40C66FF867C}">
                    <a14:compatExt spid="_x0000_s14261"/>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38</xdr:row>
          <xdr:rowOff>38100</xdr:rowOff>
        </xdr:from>
        <xdr:to>
          <xdr:col>26</xdr:col>
          <xdr:colOff>63500</xdr:colOff>
          <xdr:row>39</xdr:row>
          <xdr:rowOff>0</xdr:rowOff>
        </xdr:to>
        <xdr:grpSp>
          <xdr:nvGrpSpPr>
            <xdr:cNvPr id="14262" name="Group 950"/>
            <xdr:cNvGrpSpPr>
              <a:grpSpLocks/>
            </xdr:cNvGrpSpPr>
          </xdr:nvGrpSpPr>
          <xdr:grpSpPr bwMode="auto">
            <a:xfrm>
              <a:off x="14465300" y="10236200"/>
              <a:ext cx="1422400" cy="228600"/>
              <a:chOff x="1519" y="124"/>
              <a:chExt cx="150" cy="24"/>
            </a:xfrm>
          </xdr:grpSpPr>
          <xdr:sp macro="" textlink="">
            <xdr:nvSpPr>
              <xdr:cNvPr id="14263" name="Option Button 951" hidden="1">
                <a:extLst>
                  <a:ext uri="{63B3BB69-23CF-44E3-9099-C40C66FF867C}">
                    <a14:compatExt spid="_x0000_s14263"/>
                  </a:ext>
                </a:extLst>
              </xdr:cNvPr>
              <xdr:cNvSpPr/>
            </xdr:nvSpPr>
            <xdr:spPr>
              <a:xfrm>
                <a:off x="1519" y="124"/>
                <a:ext cx="32" cy="23"/>
              </a:xfrm>
              <a:prstGeom prst="rect">
                <a:avLst/>
              </a:prstGeom>
            </xdr:spPr>
          </xdr:sp>
          <xdr:sp macro="" textlink="">
            <xdr:nvSpPr>
              <xdr:cNvPr id="14264" name="Option Button 952" hidden="1">
                <a:extLst>
                  <a:ext uri="{63B3BB69-23CF-44E3-9099-C40C66FF867C}">
                    <a14:compatExt spid="_x0000_s14264"/>
                  </a:ext>
                </a:extLst>
              </xdr:cNvPr>
              <xdr:cNvSpPr/>
            </xdr:nvSpPr>
            <xdr:spPr>
              <a:xfrm>
                <a:off x="1559" y="127"/>
                <a:ext cx="31" cy="18"/>
              </a:xfrm>
              <a:prstGeom prst="rect">
                <a:avLst/>
              </a:prstGeom>
            </xdr:spPr>
          </xdr:sp>
          <xdr:sp macro="" textlink="">
            <xdr:nvSpPr>
              <xdr:cNvPr id="14265" name="Option Button 953" hidden="1">
                <a:extLst>
                  <a:ext uri="{63B3BB69-23CF-44E3-9099-C40C66FF867C}">
                    <a14:compatExt spid="_x0000_s14265"/>
                  </a:ext>
                </a:extLst>
              </xdr:cNvPr>
              <xdr:cNvSpPr/>
            </xdr:nvSpPr>
            <xdr:spPr>
              <a:xfrm>
                <a:off x="1598" y="125"/>
                <a:ext cx="32" cy="23"/>
              </a:xfrm>
              <a:prstGeom prst="rect">
                <a:avLst/>
              </a:prstGeom>
            </xdr:spPr>
          </xdr:sp>
          <xdr:sp macro="" textlink="">
            <xdr:nvSpPr>
              <xdr:cNvPr id="14266" name="Option Button 954" hidden="1">
                <a:extLst>
                  <a:ext uri="{63B3BB69-23CF-44E3-9099-C40C66FF867C}">
                    <a14:compatExt spid="_x0000_s14266"/>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33</xdr:col>
          <xdr:colOff>127000</xdr:colOff>
          <xdr:row>39</xdr:row>
          <xdr:rowOff>38100</xdr:rowOff>
        </xdr:from>
        <xdr:to>
          <xdr:col>34</xdr:col>
          <xdr:colOff>25400</xdr:colOff>
          <xdr:row>39</xdr:row>
          <xdr:rowOff>330200</xdr:rowOff>
        </xdr:to>
        <xdr:sp macro="" textlink="">
          <xdr:nvSpPr>
            <xdr:cNvPr id="14268" name="Option Button 956" hidden="1">
              <a:extLst>
                <a:ext uri="{63B3BB69-23CF-44E3-9099-C40C66FF867C}">
                  <a14:compatExt spid="_x0000_s14268"/>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34</xdr:col>
          <xdr:colOff>127000</xdr:colOff>
          <xdr:row>39</xdr:row>
          <xdr:rowOff>76200</xdr:rowOff>
        </xdr:from>
        <xdr:to>
          <xdr:col>35</xdr:col>
          <xdr:colOff>12700</xdr:colOff>
          <xdr:row>39</xdr:row>
          <xdr:rowOff>304800</xdr:rowOff>
        </xdr:to>
        <xdr:sp macro="" textlink="">
          <xdr:nvSpPr>
            <xdr:cNvPr id="14269" name="Option Button 957" hidden="1">
              <a:extLst>
                <a:ext uri="{63B3BB69-23CF-44E3-9099-C40C66FF867C}">
                  <a14:compatExt spid="_x0000_s14269"/>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28</xdr:col>
          <xdr:colOff>127000</xdr:colOff>
          <xdr:row>42</xdr:row>
          <xdr:rowOff>38100</xdr:rowOff>
        </xdr:from>
        <xdr:to>
          <xdr:col>29</xdr:col>
          <xdr:colOff>25400</xdr:colOff>
          <xdr:row>42</xdr:row>
          <xdr:rowOff>330200</xdr:rowOff>
        </xdr:to>
        <xdr:sp macro="" textlink="">
          <xdr:nvSpPr>
            <xdr:cNvPr id="14278" name="Option Button 966" hidden="1">
              <a:extLst>
                <a:ext uri="{63B3BB69-23CF-44E3-9099-C40C66FF867C}">
                  <a14:compatExt spid="_x0000_s14278"/>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29</xdr:col>
          <xdr:colOff>127000</xdr:colOff>
          <xdr:row>42</xdr:row>
          <xdr:rowOff>76200</xdr:rowOff>
        </xdr:from>
        <xdr:to>
          <xdr:col>30</xdr:col>
          <xdr:colOff>12700</xdr:colOff>
          <xdr:row>42</xdr:row>
          <xdr:rowOff>304800</xdr:rowOff>
        </xdr:to>
        <xdr:sp macro="" textlink="">
          <xdr:nvSpPr>
            <xdr:cNvPr id="14279" name="Option Button 967" hidden="1">
              <a:extLst>
                <a:ext uri="{63B3BB69-23CF-44E3-9099-C40C66FF867C}">
                  <a14:compatExt spid="_x0000_s14279"/>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30</xdr:col>
          <xdr:colOff>114300</xdr:colOff>
          <xdr:row>42</xdr:row>
          <xdr:rowOff>50800</xdr:rowOff>
        </xdr:from>
        <xdr:to>
          <xdr:col>31</xdr:col>
          <xdr:colOff>12700</xdr:colOff>
          <xdr:row>42</xdr:row>
          <xdr:rowOff>342900</xdr:rowOff>
        </xdr:to>
        <xdr:sp macro="" textlink="">
          <xdr:nvSpPr>
            <xdr:cNvPr id="14280" name="Option Button 968" hidden="1">
              <a:extLst>
                <a:ext uri="{63B3BB69-23CF-44E3-9099-C40C66FF867C}">
                  <a14:compatExt spid="_x0000_s14280"/>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33</xdr:col>
          <xdr:colOff>127000</xdr:colOff>
          <xdr:row>41</xdr:row>
          <xdr:rowOff>38100</xdr:rowOff>
        </xdr:from>
        <xdr:to>
          <xdr:col>34</xdr:col>
          <xdr:colOff>25400</xdr:colOff>
          <xdr:row>41</xdr:row>
          <xdr:rowOff>330200</xdr:rowOff>
        </xdr:to>
        <xdr:sp macro="" textlink="">
          <xdr:nvSpPr>
            <xdr:cNvPr id="14283" name="Option Button 971" hidden="1">
              <a:extLst>
                <a:ext uri="{63B3BB69-23CF-44E3-9099-C40C66FF867C}">
                  <a14:compatExt spid="_x0000_s14283"/>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34</xdr:col>
          <xdr:colOff>127000</xdr:colOff>
          <xdr:row>41</xdr:row>
          <xdr:rowOff>76200</xdr:rowOff>
        </xdr:from>
        <xdr:to>
          <xdr:col>35</xdr:col>
          <xdr:colOff>12700</xdr:colOff>
          <xdr:row>41</xdr:row>
          <xdr:rowOff>304800</xdr:rowOff>
        </xdr:to>
        <xdr:sp macro="" textlink="">
          <xdr:nvSpPr>
            <xdr:cNvPr id="14284" name="Option Button 972" hidden="1">
              <a:extLst>
                <a:ext uri="{63B3BB69-23CF-44E3-9099-C40C66FF867C}">
                  <a14:compatExt spid="_x0000_s14284"/>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35</xdr:col>
          <xdr:colOff>114300</xdr:colOff>
          <xdr:row>41</xdr:row>
          <xdr:rowOff>50800</xdr:rowOff>
        </xdr:from>
        <xdr:to>
          <xdr:col>36</xdr:col>
          <xdr:colOff>12700</xdr:colOff>
          <xdr:row>41</xdr:row>
          <xdr:rowOff>342900</xdr:rowOff>
        </xdr:to>
        <xdr:sp macro="" textlink="">
          <xdr:nvSpPr>
            <xdr:cNvPr id="14285" name="Option Button 973" hidden="1">
              <a:extLst>
                <a:ext uri="{63B3BB69-23CF-44E3-9099-C40C66FF867C}">
                  <a14:compatExt spid="_x0000_s14285"/>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22</xdr:col>
          <xdr:colOff>12700</xdr:colOff>
          <xdr:row>44</xdr:row>
          <xdr:rowOff>38100</xdr:rowOff>
        </xdr:from>
        <xdr:to>
          <xdr:col>26</xdr:col>
          <xdr:colOff>63500</xdr:colOff>
          <xdr:row>45</xdr:row>
          <xdr:rowOff>0</xdr:rowOff>
        </xdr:to>
        <xdr:grpSp>
          <xdr:nvGrpSpPr>
            <xdr:cNvPr id="14287" name="Group 975"/>
            <xdr:cNvGrpSpPr>
              <a:grpSpLocks/>
            </xdr:cNvGrpSpPr>
          </xdr:nvGrpSpPr>
          <xdr:grpSpPr bwMode="auto">
            <a:xfrm>
              <a:off x="14465300" y="11836400"/>
              <a:ext cx="1422400" cy="228600"/>
              <a:chOff x="1519" y="124"/>
              <a:chExt cx="150" cy="24"/>
            </a:xfrm>
          </xdr:grpSpPr>
          <xdr:sp macro="" textlink="">
            <xdr:nvSpPr>
              <xdr:cNvPr id="14288" name="Option Button 976" hidden="1">
                <a:extLst>
                  <a:ext uri="{63B3BB69-23CF-44E3-9099-C40C66FF867C}">
                    <a14:compatExt spid="_x0000_s14288"/>
                  </a:ext>
                </a:extLst>
              </xdr:cNvPr>
              <xdr:cNvSpPr/>
            </xdr:nvSpPr>
            <xdr:spPr>
              <a:xfrm>
                <a:off x="1519" y="124"/>
                <a:ext cx="32" cy="23"/>
              </a:xfrm>
              <a:prstGeom prst="rect">
                <a:avLst/>
              </a:prstGeom>
            </xdr:spPr>
          </xdr:sp>
          <xdr:sp macro="" textlink="">
            <xdr:nvSpPr>
              <xdr:cNvPr id="14289" name="Option Button 977" hidden="1">
                <a:extLst>
                  <a:ext uri="{63B3BB69-23CF-44E3-9099-C40C66FF867C}">
                    <a14:compatExt spid="_x0000_s14289"/>
                  </a:ext>
                </a:extLst>
              </xdr:cNvPr>
              <xdr:cNvSpPr/>
            </xdr:nvSpPr>
            <xdr:spPr>
              <a:xfrm>
                <a:off x="1559" y="127"/>
                <a:ext cx="31" cy="18"/>
              </a:xfrm>
              <a:prstGeom prst="rect">
                <a:avLst/>
              </a:prstGeom>
            </xdr:spPr>
          </xdr:sp>
          <xdr:sp macro="" textlink="">
            <xdr:nvSpPr>
              <xdr:cNvPr id="14290" name="Option Button 978" hidden="1">
                <a:extLst>
                  <a:ext uri="{63B3BB69-23CF-44E3-9099-C40C66FF867C}">
                    <a14:compatExt spid="_x0000_s14290"/>
                  </a:ext>
                </a:extLst>
              </xdr:cNvPr>
              <xdr:cNvSpPr/>
            </xdr:nvSpPr>
            <xdr:spPr>
              <a:xfrm>
                <a:off x="1598" y="125"/>
                <a:ext cx="32" cy="23"/>
              </a:xfrm>
              <a:prstGeom prst="rect">
                <a:avLst/>
              </a:prstGeom>
            </xdr:spPr>
          </xdr:sp>
          <xdr:sp macro="" textlink="">
            <xdr:nvSpPr>
              <xdr:cNvPr id="14291" name="Option Button 979" hidden="1">
                <a:extLst>
                  <a:ext uri="{63B3BB69-23CF-44E3-9099-C40C66FF867C}">
                    <a14:compatExt spid="_x0000_s14291"/>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26</xdr:col>
          <xdr:colOff>228600</xdr:colOff>
          <xdr:row>45</xdr:row>
          <xdr:rowOff>38100</xdr:rowOff>
        </xdr:from>
        <xdr:to>
          <xdr:col>30</xdr:col>
          <xdr:colOff>50800</xdr:colOff>
          <xdr:row>46</xdr:row>
          <xdr:rowOff>0</xdr:rowOff>
        </xdr:to>
        <xdr:grpSp>
          <xdr:nvGrpSpPr>
            <xdr:cNvPr id="14292" name="Group 980"/>
            <xdr:cNvGrpSpPr>
              <a:grpSpLocks/>
            </xdr:cNvGrpSpPr>
          </xdr:nvGrpSpPr>
          <xdr:grpSpPr bwMode="auto">
            <a:xfrm>
              <a:off x="16052800" y="12103100"/>
              <a:ext cx="1422400" cy="228600"/>
              <a:chOff x="1519" y="124"/>
              <a:chExt cx="150" cy="24"/>
            </a:xfrm>
          </xdr:grpSpPr>
          <xdr:sp macro="" textlink="">
            <xdr:nvSpPr>
              <xdr:cNvPr id="14293" name="Option Button 981" hidden="1">
                <a:extLst>
                  <a:ext uri="{63B3BB69-23CF-44E3-9099-C40C66FF867C}">
                    <a14:compatExt spid="_x0000_s14293"/>
                  </a:ext>
                </a:extLst>
              </xdr:cNvPr>
              <xdr:cNvSpPr/>
            </xdr:nvSpPr>
            <xdr:spPr>
              <a:xfrm>
                <a:off x="1519" y="124"/>
                <a:ext cx="32" cy="23"/>
              </a:xfrm>
              <a:prstGeom prst="rect">
                <a:avLst/>
              </a:prstGeom>
            </xdr:spPr>
          </xdr:sp>
          <xdr:sp macro="" textlink="">
            <xdr:nvSpPr>
              <xdr:cNvPr id="14294" name="Option Button 982" hidden="1">
                <a:extLst>
                  <a:ext uri="{63B3BB69-23CF-44E3-9099-C40C66FF867C}">
                    <a14:compatExt spid="_x0000_s14294"/>
                  </a:ext>
                </a:extLst>
              </xdr:cNvPr>
              <xdr:cNvSpPr/>
            </xdr:nvSpPr>
            <xdr:spPr>
              <a:xfrm>
                <a:off x="1559" y="127"/>
                <a:ext cx="31" cy="18"/>
              </a:xfrm>
              <a:prstGeom prst="rect">
                <a:avLst/>
              </a:prstGeom>
            </xdr:spPr>
          </xdr:sp>
          <xdr:sp macro="" textlink="">
            <xdr:nvSpPr>
              <xdr:cNvPr id="14295" name="Option Button 983" hidden="1">
                <a:extLst>
                  <a:ext uri="{63B3BB69-23CF-44E3-9099-C40C66FF867C}">
                    <a14:compatExt spid="_x0000_s14295"/>
                  </a:ext>
                </a:extLst>
              </xdr:cNvPr>
              <xdr:cNvSpPr/>
            </xdr:nvSpPr>
            <xdr:spPr>
              <a:xfrm>
                <a:off x="1598" y="125"/>
                <a:ext cx="32" cy="23"/>
              </a:xfrm>
              <a:prstGeom prst="rect">
                <a:avLst/>
              </a:prstGeom>
            </xdr:spPr>
          </xdr:sp>
          <xdr:sp macro="" textlink="">
            <xdr:nvSpPr>
              <xdr:cNvPr id="14296" name="Option Button 984" hidden="1">
                <a:extLst>
                  <a:ext uri="{63B3BB69-23CF-44E3-9099-C40C66FF867C}">
                    <a14:compatExt spid="_x0000_s14296"/>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26</xdr:col>
          <xdr:colOff>228600</xdr:colOff>
          <xdr:row>46</xdr:row>
          <xdr:rowOff>38100</xdr:rowOff>
        </xdr:from>
        <xdr:to>
          <xdr:col>30</xdr:col>
          <xdr:colOff>50800</xdr:colOff>
          <xdr:row>47</xdr:row>
          <xdr:rowOff>0</xdr:rowOff>
        </xdr:to>
        <xdr:grpSp>
          <xdr:nvGrpSpPr>
            <xdr:cNvPr id="14297" name="Group 985"/>
            <xdr:cNvGrpSpPr>
              <a:grpSpLocks/>
            </xdr:cNvGrpSpPr>
          </xdr:nvGrpSpPr>
          <xdr:grpSpPr bwMode="auto">
            <a:xfrm>
              <a:off x="16052800" y="12369800"/>
              <a:ext cx="1422400" cy="228600"/>
              <a:chOff x="1519" y="124"/>
              <a:chExt cx="150" cy="24"/>
            </a:xfrm>
          </xdr:grpSpPr>
          <xdr:sp macro="" textlink="">
            <xdr:nvSpPr>
              <xdr:cNvPr id="14298" name="Option Button 986" hidden="1">
                <a:extLst>
                  <a:ext uri="{63B3BB69-23CF-44E3-9099-C40C66FF867C}">
                    <a14:compatExt spid="_x0000_s14298"/>
                  </a:ext>
                </a:extLst>
              </xdr:cNvPr>
              <xdr:cNvSpPr/>
            </xdr:nvSpPr>
            <xdr:spPr>
              <a:xfrm>
                <a:off x="1519" y="124"/>
                <a:ext cx="32" cy="23"/>
              </a:xfrm>
              <a:prstGeom prst="rect">
                <a:avLst/>
              </a:prstGeom>
            </xdr:spPr>
          </xdr:sp>
          <xdr:sp macro="" textlink="">
            <xdr:nvSpPr>
              <xdr:cNvPr id="14299" name="Option Button 987" hidden="1">
                <a:extLst>
                  <a:ext uri="{63B3BB69-23CF-44E3-9099-C40C66FF867C}">
                    <a14:compatExt spid="_x0000_s14299"/>
                  </a:ext>
                </a:extLst>
              </xdr:cNvPr>
              <xdr:cNvSpPr/>
            </xdr:nvSpPr>
            <xdr:spPr>
              <a:xfrm>
                <a:off x="1559" y="127"/>
                <a:ext cx="31" cy="18"/>
              </a:xfrm>
              <a:prstGeom prst="rect">
                <a:avLst/>
              </a:prstGeom>
            </xdr:spPr>
          </xdr:sp>
          <xdr:sp macro="" textlink="">
            <xdr:nvSpPr>
              <xdr:cNvPr id="14300" name="Option Button 988" hidden="1">
                <a:extLst>
                  <a:ext uri="{63B3BB69-23CF-44E3-9099-C40C66FF867C}">
                    <a14:compatExt spid="_x0000_s14300"/>
                  </a:ext>
                </a:extLst>
              </xdr:cNvPr>
              <xdr:cNvSpPr/>
            </xdr:nvSpPr>
            <xdr:spPr>
              <a:xfrm>
                <a:off x="1598" y="125"/>
                <a:ext cx="32" cy="23"/>
              </a:xfrm>
              <a:prstGeom prst="rect">
                <a:avLst/>
              </a:prstGeom>
            </xdr:spPr>
          </xdr:sp>
          <xdr:sp macro="" textlink="">
            <xdr:nvSpPr>
              <xdr:cNvPr id="14301" name="Option Button 989" hidden="1">
                <a:extLst>
                  <a:ext uri="{63B3BB69-23CF-44E3-9099-C40C66FF867C}">
                    <a14:compatExt spid="_x0000_s14301"/>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48</xdr:row>
          <xdr:rowOff>38100</xdr:rowOff>
        </xdr:from>
        <xdr:to>
          <xdr:col>26</xdr:col>
          <xdr:colOff>63500</xdr:colOff>
          <xdr:row>49</xdr:row>
          <xdr:rowOff>0</xdr:rowOff>
        </xdr:to>
        <xdr:grpSp>
          <xdr:nvGrpSpPr>
            <xdr:cNvPr id="14302" name="Group 990"/>
            <xdr:cNvGrpSpPr>
              <a:grpSpLocks/>
            </xdr:cNvGrpSpPr>
          </xdr:nvGrpSpPr>
          <xdr:grpSpPr bwMode="auto">
            <a:xfrm>
              <a:off x="14465300" y="12903200"/>
              <a:ext cx="1422400" cy="228600"/>
              <a:chOff x="1519" y="124"/>
              <a:chExt cx="150" cy="24"/>
            </a:xfrm>
          </xdr:grpSpPr>
          <xdr:sp macro="" textlink="">
            <xdr:nvSpPr>
              <xdr:cNvPr id="14303" name="Option Button 991" hidden="1">
                <a:extLst>
                  <a:ext uri="{63B3BB69-23CF-44E3-9099-C40C66FF867C}">
                    <a14:compatExt spid="_x0000_s14303"/>
                  </a:ext>
                </a:extLst>
              </xdr:cNvPr>
              <xdr:cNvSpPr/>
            </xdr:nvSpPr>
            <xdr:spPr>
              <a:xfrm>
                <a:off x="1519" y="124"/>
                <a:ext cx="32" cy="23"/>
              </a:xfrm>
              <a:prstGeom prst="rect">
                <a:avLst/>
              </a:prstGeom>
            </xdr:spPr>
          </xdr:sp>
          <xdr:sp macro="" textlink="">
            <xdr:nvSpPr>
              <xdr:cNvPr id="14304" name="Option Button 992" hidden="1">
                <a:extLst>
                  <a:ext uri="{63B3BB69-23CF-44E3-9099-C40C66FF867C}">
                    <a14:compatExt spid="_x0000_s14304"/>
                  </a:ext>
                </a:extLst>
              </xdr:cNvPr>
              <xdr:cNvSpPr/>
            </xdr:nvSpPr>
            <xdr:spPr>
              <a:xfrm>
                <a:off x="1559" y="127"/>
                <a:ext cx="31" cy="18"/>
              </a:xfrm>
              <a:prstGeom prst="rect">
                <a:avLst/>
              </a:prstGeom>
            </xdr:spPr>
          </xdr:sp>
          <xdr:sp macro="" textlink="">
            <xdr:nvSpPr>
              <xdr:cNvPr id="14305" name="Option Button 993" hidden="1">
                <a:extLst>
                  <a:ext uri="{63B3BB69-23CF-44E3-9099-C40C66FF867C}">
                    <a14:compatExt spid="_x0000_s14305"/>
                  </a:ext>
                </a:extLst>
              </xdr:cNvPr>
              <xdr:cNvSpPr/>
            </xdr:nvSpPr>
            <xdr:spPr>
              <a:xfrm>
                <a:off x="1598" y="125"/>
                <a:ext cx="32" cy="23"/>
              </a:xfrm>
              <a:prstGeom prst="rect">
                <a:avLst/>
              </a:prstGeom>
            </xdr:spPr>
          </xdr:sp>
          <xdr:sp macro="" textlink="">
            <xdr:nvSpPr>
              <xdr:cNvPr id="14306" name="Option Button 994" hidden="1">
                <a:extLst>
                  <a:ext uri="{63B3BB69-23CF-44E3-9099-C40C66FF867C}">
                    <a14:compatExt spid="_x0000_s14306"/>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33</xdr:col>
          <xdr:colOff>127000</xdr:colOff>
          <xdr:row>49</xdr:row>
          <xdr:rowOff>38100</xdr:rowOff>
        </xdr:from>
        <xdr:to>
          <xdr:col>34</xdr:col>
          <xdr:colOff>25400</xdr:colOff>
          <xdr:row>49</xdr:row>
          <xdr:rowOff>330200</xdr:rowOff>
        </xdr:to>
        <xdr:sp macro="" textlink="">
          <xdr:nvSpPr>
            <xdr:cNvPr id="14308" name="Option Button 996" hidden="1">
              <a:extLst>
                <a:ext uri="{63B3BB69-23CF-44E3-9099-C40C66FF867C}">
                  <a14:compatExt spid="_x0000_s14308"/>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34</xdr:col>
          <xdr:colOff>127000</xdr:colOff>
          <xdr:row>49</xdr:row>
          <xdr:rowOff>76200</xdr:rowOff>
        </xdr:from>
        <xdr:to>
          <xdr:col>35</xdr:col>
          <xdr:colOff>12700</xdr:colOff>
          <xdr:row>49</xdr:row>
          <xdr:rowOff>304800</xdr:rowOff>
        </xdr:to>
        <xdr:sp macro="" textlink="">
          <xdr:nvSpPr>
            <xdr:cNvPr id="14309" name="Option Button 997" hidden="1">
              <a:extLst>
                <a:ext uri="{63B3BB69-23CF-44E3-9099-C40C66FF867C}">
                  <a14:compatExt spid="_x0000_s14309"/>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22</xdr:col>
          <xdr:colOff>12700</xdr:colOff>
          <xdr:row>51</xdr:row>
          <xdr:rowOff>50800</xdr:rowOff>
        </xdr:from>
        <xdr:to>
          <xdr:col>26</xdr:col>
          <xdr:colOff>63500</xdr:colOff>
          <xdr:row>52</xdr:row>
          <xdr:rowOff>12700</xdr:rowOff>
        </xdr:to>
        <xdr:grpSp>
          <xdr:nvGrpSpPr>
            <xdr:cNvPr id="14312" name="Group 1000"/>
            <xdr:cNvGrpSpPr>
              <a:grpSpLocks/>
            </xdr:cNvGrpSpPr>
          </xdr:nvGrpSpPr>
          <xdr:grpSpPr bwMode="auto">
            <a:xfrm>
              <a:off x="14465300" y="13703300"/>
              <a:ext cx="1422400" cy="228600"/>
              <a:chOff x="1519" y="124"/>
              <a:chExt cx="150" cy="24"/>
            </a:xfrm>
          </xdr:grpSpPr>
          <xdr:sp macro="" textlink="">
            <xdr:nvSpPr>
              <xdr:cNvPr id="14313" name="Option Button 1001" hidden="1">
                <a:extLst>
                  <a:ext uri="{63B3BB69-23CF-44E3-9099-C40C66FF867C}">
                    <a14:compatExt spid="_x0000_s14313"/>
                  </a:ext>
                </a:extLst>
              </xdr:cNvPr>
              <xdr:cNvSpPr/>
            </xdr:nvSpPr>
            <xdr:spPr>
              <a:xfrm>
                <a:off x="1519" y="124"/>
                <a:ext cx="32" cy="23"/>
              </a:xfrm>
              <a:prstGeom prst="rect">
                <a:avLst/>
              </a:prstGeom>
            </xdr:spPr>
          </xdr:sp>
          <xdr:sp macro="" textlink="">
            <xdr:nvSpPr>
              <xdr:cNvPr id="14314" name="Option Button 1002" hidden="1">
                <a:extLst>
                  <a:ext uri="{63B3BB69-23CF-44E3-9099-C40C66FF867C}">
                    <a14:compatExt spid="_x0000_s14314"/>
                  </a:ext>
                </a:extLst>
              </xdr:cNvPr>
              <xdr:cNvSpPr/>
            </xdr:nvSpPr>
            <xdr:spPr>
              <a:xfrm>
                <a:off x="1559" y="127"/>
                <a:ext cx="31" cy="18"/>
              </a:xfrm>
              <a:prstGeom prst="rect">
                <a:avLst/>
              </a:prstGeom>
            </xdr:spPr>
          </xdr:sp>
          <xdr:sp macro="" textlink="">
            <xdr:nvSpPr>
              <xdr:cNvPr id="14315" name="Option Button 1003" hidden="1">
                <a:extLst>
                  <a:ext uri="{63B3BB69-23CF-44E3-9099-C40C66FF867C}">
                    <a14:compatExt spid="_x0000_s14315"/>
                  </a:ext>
                </a:extLst>
              </xdr:cNvPr>
              <xdr:cNvSpPr/>
            </xdr:nvSpPr>
            <xdr:spPr>
              <a:xfrm>
                <a:off x="1598" y="125"/>
                <a:ext cx="32" cy="23"/>
              </a:xfrm>
              <a:prstGeom prst="rect">
                <a:avLst/>
              </a:prstGeom>
            </xdr:spPr>
          </xdr:sp>
          <xdr:sp macro="" textlink="">
            <xdr:nvSpPr>
              <xdr:cNvPr id="14316" name="Option Button 1004" hidden="1">
                <a:extLst>
                  <a:ext uri="{63B3BB69-23CF-44E3-9099-C40C66FF867C}">
                    <a14:compatExt spid="_x0000_s14316"/>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52</xdr:row>
          <xdr:rowOff>50800</xdr:rowOff>
        </xdr:from>
        <xdr:to>
          <xdr:col>26</xdr:col>
          <xdr:colOff>63500</xdr:colOff>
          <xdr:row>53</xdr:row>
          <xdr:rowOff>12700</xdr:rowOff>
        </xdr:to>
        <xdr:grpSp>
          <xdr:nvGrpSpPr>
            <xdr:cNvPr id="14317" name="Group 1005"/>
            <xdr:cNvGrpSpPr>
              <a:grpSpLocks/>
            </xdr:cNvGrpSpPr>
          </xdr:nvGrpSpPr>
          <xdr:grpSpPr bwMode="auto">
            <a:xfrm>
              <a:off x="14465300" y="13970000"/>
              <a:ext cx="1422400" cy="228600"/>
              <a:chOff x="1519" y="124"/>
              <a:chExt cx="150" cy="24"/>
            </a:xfrm>
          </xdr:grpSpPr>
          <xdr:sp macro="" textlink="">
            <xdr:nvSpPr>
              <xdr:cNvPr id="14318" name="Option Button 1006" hidden="1">
                <a:extLst>
                  <a:ext uri="{63B3BB69-23CF-44E3-9099-C40C66FF867C}">
                    <a14:compatExt spid="_x0000_s14318"/>
                  </a:ext>
                </a:extLst>
              </xdr:cNvPr>
              <xdr:cNvSpPr/>
            </xdr:nvSpPr>
            <xdr:spPr>
              <a:xfrm>
                <a:off x="1519" y="124"/>
                <a:ext cx="32" cy="23"/>
              </a:xfrm>
              <a:prstGeom prst="rect">
                <a:avLst/>
              </a:prstGeom>
            </xdr:spPr>
          </xdr:sp>
          <xdr:sp macro="" textlink="">
            <xdr:nvSpPr>
              <xdr:cNvPr id="14319" name="Option Button 1007" hidden="1">
                <a:extLst>
                  <a:ext uri="{63B3BB69-23CF-44E3-9099-C40C66FF867C}">
                    <a14:compatExt spid="_x0000_s14319"/>
                  </a:ext>
                </a:extLst>
              </xdr:cNvPr>
              <xdr:cNvSpPr/>
            </xdr:nvSpPr>
            <xdr:spPr>
              <a:xfrm>
                <a:off x="1559" y="127"/>
                <a:ext cx="31" cy="18"/>
              </a:xfrm>
              <a:prstGeom prst="rect">
                <a:avLst/>
              </a:prstGeom>
            </xdr:spPr>
          </xdr:sp>
          <xdr:sp macro="" textlink="">
            <xdr:nvSpPr>
              <xdr:cNvPr id="14320" name="Option Button 1008" hidden="1">
                <a:extLst>
                  <a:ext uri="{63B3BB69-23CF-44E3-9099-C40C66FF867C}">
                    <a14:compatExt spid="_x0000_s14320"/>
                  </a:ext>
                </a:extLst>
              </xdr:cNvPr>
              <xdr:cNvSpPr/>
            </xdr:nvSpPr>
            <xdr:spPr>
              <a:xfrm>
                <a:off x="1598" y="125"/>
                <a:ext cx="32" cy="23"/>
              </a:xfrm>
              <a:prstGeom prst="rect">
                <a:avLst/>
              </a:prstGeom>
            </xdr:spPr>
          </xdr:sp>
          <xdr:sp macro="" textlink="">
            <xdr:nvSpPr>
              <xdr:cNvPr id="14321" name="Option Button 1009" hidden="1">
                <a:extLst>
                  <a:ext uri="{63B3BB69-23CF-44E3-9099-C40C66FF867C}">
                    <a14:compatExt spid="_x0000_s14321"/>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xdr:from>
          <xdr:col>33</xdr:col>
          <xdr:colOff>127000</xdr:colOff>
          <xdr:row>7</xdr:row>
          <xdr:rowOff>38100</xdr:rowOff>
        </xdr:from>
        <xdr:to>
          <xdr:col>34</xdr:col>
          <xdr:colOff>25400</xdr:colOff>
          <xdr:row>7</xdr:row>
          <xdr:rowOff>330200</xdr:rowOff>
        </xdr:to>
        <xdr:sp macro="" textlink="">
          <xdr:nvSpPr>
            <xdr:cNvPr id="14328" name="Option Button 1016" hidden="1">
              <a:extLst>
                <a:ext uri="{63B3BB69-23CF-44E3-9099-C40C66FF867C}">
                  <a14:compatExt spid="_x0000_s14328"/>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34</xdr:col>
          <xdr:colOff>127000</xdr:colOff>
          <xdr:row>7</xdr:row>
          <xdr:rowOff>76200</xdr:rowOff>
        </xdr:from>
        <xdr:to>
          <xdr:col>35</xdr:col>
          <xdr:colOff>12700</xdr:colOff>
          <xdr:row>7</xdr:row>
          <xdr:rowOff>304800</xdr:rowOff>
        </xdr:to>
        <xdr:sp macro="" textlink="">
          <xdr:nvSpPr>
            <xdr:cNvPr id="14329" name="Option Button 1017" hidden="1">
              <a:extLst>
                <a:ext uri="{63B3BB69-23CF-44E3-9099-C40C66FF867C}">
                  <a14:compatExt spid="_x0000_s14329"/>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35</xdr:col>
          <xdr:colOff>114300</xdr:colOff>
          <xdr:row>7</xdr:row>
          <xdr:rowOff>50800</xdr:rowOff>
        </xdr:from>
        <xdr:to>
          <xdr:col>36</xdr:col>
          <xdr:colOff>12700</xdr:colOff>
          <xdr:row>7</xdr:row>
          <xdr:rowOff>342900</xdr:rowOff>
        </xdr:to>
        <xdr:sp macro="" textlink="">
          <xdr:nvSpPr>
            <xdr:cNvPr id="14330" name="Option Button 1018" hidden="1">
              <a:extLst>
                <a:ext uri="{63B3BB69-23CF-44E3-9099-C40C66FF867C}">
                  <a14:compatExt spid="_x0000_s14330"/>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36</xdr:col>
          <xdr:colOff>101600</xdr:colOff>
          <xdr:row>7</xdr:row>
          <xdr:rowOff>50800</xdr:rowOff>
        </xdr:from>
        <xdr:to>
          <xdr:col>37</xdr:col>
          <xdr:colOff>0</xdr:colOff>
          <xdr:row>7</xdr:row>
          <xdr:rowOff>342900</xdr:rowOff>
        </xdr:to>
        <xdr:sp macro="" textlink="">
          <xdr:nvSpPr>
            <xdr:cNvPr id="14331" name="Option Button 1019" hidden="1">
              <a:extLst>
                <a:ext uri="{63B3BB69-23CF-44E3-9099-C40C66FF867C}">
                  <a14:compatExt spid="_x0000_s14331"/>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28</xdr:col>
          <xdr:colOff>127000</xdr:colOff>
          <xdr:row>6</xdr:row>
          <xdr:rowOff>38100</xdr:rowOff>
        </xdr:from>
        <xdr:to>
          <xdr:col>29</xdr:col>
          <xdr:colOff>25400</xdr:colOff>
          <xdr:row>6</xdr:row>
          <xdr:rowOff>330200</xdr:rowOff>
        </xdr:to>
        <xdr:sp macro="" textlink="">
          <xdr:nvSpPr>
            <xdr:cNvPr id="14323" name="Option Button 1011" hidden="1">
              <a:extLst>
                <a:ext uri="{63B3BB69-23CF-44E3-9099-C40C66FF867C}">
                  <a14:compatExt spid="_x0000_s14323"/>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29</xdr:col>
          <xdr:colOff>127000</xdr:colOff>
          <xdr:row>6</xdr:row>
          <xdr:rowOff>76200</xdr:rowOff>
        </xdr:from>
        <xdr:to>
          <xdr:col>30</xdr:col>
          <xdr:colOff>12700</xdr:colOff>
          <xdr:row>6</xdr:row>
          <xdr:rowOff>304800</xdr:rowOff>
        </xdr:to>
        <xdr:sp macro="" textlink="">
          <xdr:nvSpPr>
            <xdr:cNvPr id="14324" name="Option Button 1012" hidden="1">
              <a:extLst>
                <a:ext uri="{63B3BB69-23CF-44E3-9099-C40C66FF867C}">
                  <a14:compatExt spid="_x0000_s14324"/>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30</xdr:col>
          <xdr:colOff>114300</xdr:colOff>
          <xdr:row>6</xdr:row>
          <xdr:rowOff>50800</xdr:rowOff>
        </xdr:from>
        <xdr:to>
          <xdr:col>31</xdr:col>
          <xdr:colOff>12700</xdr:colOff>
          <xdr:row>6</xdr:row>
          <xdr:rowOff>342900</xdr:rowOff>
        </xdr:to>
        <xdr:sp macro="" textlink="">
          <xdr:nvSpPr>
            <xdr:cNvPr id="14325" name="Option Button 1013" hidden="1">
              <a:extLst>
                <a:ext uri="{63B3BB69-23CF-44E3-9099-C40C66FF867C}">
                  <a14:compatExt spid="_x0000_s14325"/>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31</xdr:col>
          <xdr:colOff>101600</xdr:colOff>
          <xdr:row>6</xdr:row>
          <xdr:rowOff>50800</xdr:rowOff>
        </xdr:from>
        <xdr:to>
          <xdr:col>32</xdr:col>
          <xdr:colOff>0</xdr:colOff>
          <xdr:row>6</xdr:row>
          <xdr:rowOff>342900</xdr:rowOff>
        </xdr:to>
        <xdr:sp macro="" textlink="">
          <xdr:nvSpPr>
            <xdr:cNvPr id="14326" name="Option Button 1014" hidden="1">
              <a:extLst>
                <a:ext uri="{63B3BB69-23CF-44E3-9099-C40C66FF867C}">
                  <a14:compatExt spid="_x0000_s14326"/>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4</xdr:row>
          <xdr:rowOff>12700</xdr:rowOff>
        </xdr:from>
        <xdr:to>
          <xdr:col>32</xdr:col>
          <xdr:colOff>0</xdr:colOff>
          <xdr:row>4</xdr:row>
          <xdr:rowOff>342900</xdr:rowOff>
        </xdr:to>
        <xdr:sp macro="" textlink="">
          <xdr:nvSpPr>
            <xdr:cNvPr id="14332" name="Group Box 1020" hidden="1">
              <a:extLst>
                <a:ext uri="{63B3BB69-23CF-44E3-9099-C40C66FF867C}">
                  <a14:compatExt spid="_x0000_s143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6</xdr:row>
          <xdr:rowOff>12700</xdr:rowOff>
        </xdr:from>
        <xdr:to>
          <xdr:col>32</xdr:col>
          <xdr:colOff>0</xdr:colOff>
          <xdr:row>6</xdr:row>
          <xdr:rowOff>342900</xdr:rowOff>
        </xdr:to>
        <xdr:sp macro="" textlink="">
          <xdr:nvSpPr>
            <xdr:cNvPr id="14333" name="Group Box 1021" hidden="1">
              <a:extLst>
                <a:ext uri="{63B3BB69-23CF-44E3-9099-C40C66FF867C}">
                  <a14:compatExt spid="_x0000_s143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0</xdr:colOff>
          <xdr:row>7</xdr:row>
          <xdr:rowOff>12700</xdr:rowOff>
        </xdr:from>
        <xdr:to>
          <xdr:col>37</xdr:col>
          <xdr:colOff>0</xdr:colOff>
          <xdr:row>7</xdr:row>
          <xdr:rowOff>342900</xdr:rowOff>
        </xdr:to>
        <xdr:sp macro="" textlink="">
          <xdr:nvSpPr>
            <xdr:cNvPr id="14334" name="Group Box 1022" hidden="1">
              <a:extLst>
                <a:ext uri="{63B3BB69-23CF-44E3-9099-C40C66FF867C}">
                  <a14:compatExt spid="_x0000_s143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9</xdr:row>
          <xdr:rowOff>12700</xdr:rowOff>
        </xdr:from>
        <xdr:to>
          <xdr:col>32</xdr:col>
          <xdr:colOff>0</xdr:colOff>
          <xdr:row>9</xdr:row>
          <xdr:rowOff>342900</xdr:rowOff>
        </xdr:to>
        <xdr:sp macro="" textlink="">
          <xdr:nvSpPr>
            <xdr:cNvPr id="24576" name="Group Box 1024" hidden="1">
              <a:extLst>
                <a:ext uri="{63B3BB69-23CF-44E3-9099-C40C66FF867C}">
                  <a14:compatExt spid="_x0000_s245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10</xdr:row>
          <xdr:rowOff>12700</xdr:rowOff>
        </xdr:from>
        <xdr:to>
          <xdr:col>32</xdr:col>
          <xdr:colOff>0</xdr:colOff>
          <xdr:row>10</xdr:row>
          <xdr:rowOff>342900</xdr:rowOff>
        </xdr:to>
        <xdr:sp macro="" textlink="">
          <xdr:nvSpPr>
            <xdr:cNvPr id="24577" name="Group Box 1025" hidden="1">
              <a:extLst>
                <a:ext uri="{63B3BB69-23CF-44E3-9099-C40C66FF867C}">
                  <a14:compatExt spid="_x0000_s245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11</xdr:row>
          <xdr:rowOff>12700</xdr:rowOff>
        </xdr:from>
        <xdr:to>
          <xdr:col>32</xdr:col>
          <xdr:colOff>0</xdr:colOff>
          <xdr:row>11</xdr:row>
          <xdr:rowOff>342900</xdr:rowOff>
        </xdr:to>
        <xdr:sp macro="" textlink="">
          <xdr:nvSpPr>
            <xdr:cNvPr id="24578" name="Group Box 1026" hidden="1">
              <a:extLst>
                <a:ext uri="{63B3BB69-23CF-44E3-9099-C40C66FF867C}">
                  <a14:compatExt spid="_x0000_s245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12</xdr:row>
          <xdr:rowOff>12700</xdr:rowOff>
        </xdr:from>
        <xdr:to>
          <xdr:col>32</xdr:col>
          <xdr:colOff>0</xdr:colOff>
          <xdr:row>12</xdr:row>
          <xdr:rowOff>342900</xdr:rowOff>
        </xdr:to>
        <xdr:sp macro="" textlink="">
          <xdr:nvSpPr>
            <xdr:cNvPr id="24579" name="Group Box 1027" hidden="1">
              <a:extLst>
                <a:ext uri="{63B3BB69-23CF-44E3-9099-C40C66FF867C}">
                  <a14:compatExt spid="_x0000_s245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13</xdr:row>
          <xdr:rowOff>12700</xdr:rowOff>
        </xdr:from>
        <xdr:to>
          <xdr:col>32</xdr:col>
          <xdr:colOff>0</xdr:colOff>
          <xdr:row>13</xdr:row>
          <xdr:rowOff>342900</xdr:rowOff>
        </xdr:to>
        <xdr:sp macro="" textlink="">
          <xdr:nvSpPr>
            <xdr:cNvPr id="24580" name="Group Box 1028" hidden="1">
              <a:extLst>
                <a:ext uri="{63B3BB69-23CF-44E3-9099-C40C66FF867C}">
                  <a14:compatExt spid="_x0000_s245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14</xdr:row>
          <xdr:rowOff>12700</xdr:rowOff>
        </xdr:from>
        <xdr:to>
          <xdr:col>32</xdr:col>
          <xdr:colOff>0</xdr:colOff>
          <xdr:row>14</xdr:row>
          <xdr:rowOff>342900</xdr:rowOff>
        </xdr:to>
        <xdr:sp macro="" textlink="">
          <xdr:nvSpPr>
            <xdr:cNvPr id="24581" name="Group Box 1029" hidden="1">
              <a:extLst>
                <a:ext uri="{63B3BB69-23CF-44E3-9099-C40C66FF867C}">
                  <a14:compatExt spid="_x0000_s245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15</xdr:row>
          <xdr:rowOff>12700</xdr:rowOff>
        </xdr:from>
        <xdr:to>
          <xdr:col>32</xdr:col>
          <xdr:colOff>0</xdr:colOff>
          <xdr:row>15</xdr:row>
          <xdr:rowOff>342900</xdr:rowOff>
        </xdr:to>
        <xdr:sp macro="" textlink="">
          <xdr:nvSpPr>
            <xdr:cNvPr id="24582" name="Group Box 1030" hidden="1">
              <a:extLst>
                <a:ext uri="{63B3BB69-23CF-44E3-9099-C40C66FF867C}">
                  <a14:compatExt spid="_x0000_s245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16</xdr:row>
          <xdr:rowOff>12700</xdr:rowOff>
        </xdr:from>
        <xdr:to>
          <xdr:col>32</xdr:col>
          <xdr:colOff>0</xdr:colOff>
          <xdr:row>16</xdr:row>
          <xdr:rowOff>342900</xdr:rowOff>
        </xdr:to>
        <xdr:sp macro="" textlink="">
          <xdr:nvSpPr>
            <xdr:cNvPr id="24583" name="Group Box 1031" hidden="1">
              <a:extLst>
                <a:ext uri="{63B3BB69-23CF-44E3-9099-C40C66FF867C}">
                  <a14:compatExt spid="_x0000_s245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17</xdr:row>
          <xdr:rowOff>12700</xdr:rowOff>
        </xdr:from>
        <xdr:to>
          <xdr:col>32</xdr:col>
          <xdr:colOff>0</xdr:colOff>
          <xdr:row>17</xdr:row>
          <xdr:rowOff>342900</xdr:rowOff>
        </xdr:to>
        <xdr:sp macro="" textlink="">
          <xdr:nvSpPr>
            <xdr:cNvPr id="24584" name="Group Box 1032" hidden="1">
              <a:extLst>
                <a:ext uri="{63B3BB69-23CF-44E3-9099-C40C66FF867C}">
                  <a14:compatExt spid="_x0000_s245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19</xdr:row>
          <xdr:rowOff>12700</xdr:rowOff>
        </xdr:from>
        <xdr:to>
          <xdr:col>32</xdr:col>
          <xdr:colOff>0</xdr:colOff>
          <xdr:row>19</xdr:row>
          <xdr:rowOff>342900</xdr:rowOff>
        </xdr:to>
        <xdr:sp macro="" textlink="">
          <xdr:nvSpPr>
            <xdr:cNvPr id="24585" name="Group Box 1033" hidden="1">
              <a:extLst>
                <a:ext uri="{63B3BB69-23CF-44E3-9099-C40C66FF867C}">
                  <a14:compatExt spid="_x0000_s245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20</xdr:row>
          <xdr:rowOff>12700</xdr:rowOff>
        </xdr:from>
        <xdr:to>
          <xdr:col>32</xdr:col>
          <xdr:colOff>0</xdr:colOff>
          <xdr:row>20</xdr:row>
          <xdr:rowOff>342900</xdr:rowOff>
        </xdr:to>
        <xdr:sp macro="" textlink="">
          <xdr:nvSpPr>
            <xdr:cNvPr id="24586" name="Group Box 1034" hidden="1">
              <a:extLst>
                <a:ext uri="{63B3BB69-23CF-44E3-9099-C40C66FF867C}">
                  <a14:compatExt spid="_x0000_s245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0</xdr:colOff>
          <xdr:row>21</xdr:row>
          <xdr:rowOff>12700</xdr:rowOff>
        </xdr:from>
        <xdr:to>
          <xdr:col>36</xdr:col>
          <xdr:colOff>127000</xdr:colOff>
          <xdr:row>21</xdr:row>
          <xdr:rowOff>342900</xdr:rowOff>
        </xdr:to>
        <xdr:sp macro="" textlink="">
          <xdr:nvSpPr>
            <xdr:cNvPr id="24587" name="Group Box 1035" hidden="1">
              <a:extLst>
                <a:ext uri="{63B3BB69-23CF-44E3-9099-C40C66FF867C}">
                  <a14:compatExt spid="_x0000_s245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22</xdr:row>
          <xdr:rowOff>12700</xdr:rowOff>
        </xdr:from>
        <xdr:to>
          <xdr:col>32</xdr:col>
          <xdr:colOff>0</xdr:colOff>
          <xdr:row>22</xdr:row>
          <xdr:rowOff>342900</xdr:rowOff>
        </xdr:to>
        <xdr:sp macro="" textlink="">
          <xdr:nvSpPr>
            <xdr:cNvPr id="24588" name="Group Box 1036" hidden="1">
              <a:extLst>
                <a:ext uri="{63B3BB69-23CF-44E3-9099-C40C66FF867C}">
                  <a14:compatExt spid="_x0000_s245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0</xdr:colOff>
          <xdr:row>23</xdr:row>
          <xdr:rowOff>12700</xdr:rowOff>
        </xdr:from>
        <xdr:to>
          <xdr:col>37</xdr:col>
          <xdr:colOff>0</xdr:colOff>
          <xdr:row>23</xdr:row>
          <xdr:rowOff>342900</xdr:rowOff>
        </xdr:to>
        <xdr:sp macro="" textlink="">
          <xdr:nvSpPr>
            <xdr:cNvPr id="24589" name="Group Box 1037" hidden="1">
              <a:extLst>
                <a:ext uri="{63B3BB69-23CF-44E3-9099-C40C66FF867C}">
                  <a14:compatExt spid="_x0000_s245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24</xdr:row>
          <xdr:rowOff>12700</xdr:rowOff>
        </xdr:from>
        <xdr:to>
          <xdr:col>32</xdr:col>
          <xdr:colOff>0</xdr:colOff>
          <xdr:row>24</xdr:row>
          <xdr:rowOff>342900</xdr:rowOff>
        </xdr:to>
        <xdr:sp macro="" textlink="">
          <xdr:nvSpPr>
            <xdr:cNvPr id="24590" name="Group Box 1038" hidden="1">
              <a:extLst>
                <a:ext uri="{63B3BB69-23CF-44E3-9099-C40C66FF867C}">
                  <a14:compatExt spid="_x0000_s245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27</xdr:row>
          <xdr:rowOff>12700</xdr:rowOff>
        </xdr:from>
        <xdr:to>
          <xdr:col>32</xdr:col>
          <xdr:colOff>0</xdr:colOff>
          <xdr:row>27</xdr:row>
          <xdr:rowOff>342900</xdr:rowOff>
        </xdr:to>
        <xdr:sp macro="" textlink="">
          <xdr:nvSpPr>
            <xdr:cNvPr id="24591" name="Group Box 1039" hidden="1">
              <a:extLst>
                <a:ext uri="{63B3BB69-23CF-44E3-9099-C40C66FF867C}">
                  <a14:compatExt spid="_x0000_s245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28</xdr:row>
          <xdr:rowOff>12700</xdr:rowOff>
        </xdr:from>
        <xdr:to>
          <xdr:col>32</xdr:col>
          <xdr:colOff>0</xdr:colOff>
          <xdr:row>28</xdr:row>
          <xdr:rowOff>342900</xdr:rowOff>
        </xdr:to>
        <xdr:sp macro="" textlink="">
          <xdr:nvSpPr>
            <xdr:cNvPr id="24592" name="Group Box 1040" hidden="1">
              <a:extLst>
                <a:ext uri="{63B3BB69-23CF-44E3-9099-C40C66FF867C}">
                  <a14:compatExt spid="_x0000_s245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29</xdr:row>
          <xdr:rowOff>12700</xdr:rowOff>
        </xdr:from>
        <xdr:to>
          <xdr:col>32</xdr:col>
          <xdr:colOff>0</xdr:colOff>
          <xdr:row>29</xdr:row>
          <xdr:rowOff>342900</xdr:rowOff>
        </xdr:to>
        <xdr:sp macro="" textlink="">
          <xdr:nvSpPr>
            <xdr:cNvPr id="24593" name="Group Box 1041" hidden="1">
              <a:extLst>
                <a:ext uri="{63B3BB69-23CF-44E3-9099-C40C66FF867C}">
                  <a14:compatExt spid="_x0000_s245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30</xdr:row>
          <xdr:rowOff>12700</xdr:rowOff>
        </xdr:from>
        <xdr:to>
          <xdr:col>32</xdr:col>
          <xdr:colOff>0</xdr:colOff>
          <xdr:row>30</xdr:row>
          <xdr:rowOff>342900</xdr:rowOff>
        </xdr:to>
        <xdr:sp macro="" textlink="">
          <xdr:nvSpPr>
            <xdr:cNvPr id="24594" name="Group Box 1042" hidden="1">
              <a:extLst>
                <a:ext uri="{63B3BB69-23CF-44E3-9099-C40C66FF867C}">
                  <a14:compatExt spid="_x0000_s245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0</xdr:colOff>
          <xdr:row>31</xdr:row>
          <xdr:rowOff>12700</xdr:rowOff>
        </xdr:from>
        <xdr:to>
          <xdr:col>37</xdr:col>
          <xdr:colOff>0</xdr:colOff>
          <xdr:row>31</xdr:row>
          <xdr:rowOff>342900</xdr:rowOff>
        </xdr:to>
        <xdr:sp macro="" textlink="">
          <xdr:nvSpPr>
            <xdr:cNvPr id="24595" name="Group Box 1043" hidden="1">
              <a:extLst>
                <a:ext uri="{63B3BB69-23CF-44E3-9099-C40C66FF867C}">
                  <a14:compatExt spid="_x0000_s245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33</xdr:row>
          <xdr:rowOff>12700</xdr:rowOff>
        </xdr:from>
        <xdr:to>
          <xdr:col>32</xdr:col>
          <xdr:colOff>0</xdr:colOff>
          <xdr:row>33</xdr:row>
          <xdr:rowOff>342900</xdr:rowOff>
        </xdr:to>
        <xdr:sp macro="" textlink="">
          <xdr:nvSpPr>
            <xdr:cNvPr id="24596" name="Group Box 1044" hidden="1">
              <a:extLst>
                <a:ext uri="{63B3BB69-23CF-44E3-9099-C40C66FF867C}">
                  <a14:compatExt spid="_x0000_s245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34</xdr:row>
          <xdr:rowOff>12700</xdr:rowOff>
        </xdr:from>
        <xdr:to>
          <xdr:col>32</xdr:col>
          <xdr:colOff>0</xdr:colOff>
          <xdr:row>34</xdr:row>
          <xdr:rowOff>342900</xdr:rowOff>
        </xdr:to>
        <xdr:sp macro="" textlink="">
          <xdr:nvSpPr>
            <xdr:cNvPr id="24597" name="Group Box 1045" hidden="1">
              <a:extLst>
                <a:ext uri="{63B3BB69-23CF-44E3-9099-C40C66FF867C}">
                  <a14:compatExt spid="_x0000_s245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0</xdr:colOff>
          <xdr:row>35</xdr:row>
          <xdr:rowOff>12700</xdr:rowOff>
        </xdr:from>
        <xdr:to>
          <xdr:col>37</xdr:col>
          <xdr:colOff>0</xdr:colOff>
          <xdr:row>35</xdr:row>
          <xdr:rowOff>342900</xdr:rowOff>
        </xdr:to>
        <xdr:sp macro="" textlink="">
          <xdr:nvSpPr>
            <xdr:cNvPr id="24598" name="Group Box 1046" hidden="1">
              <a:extLst>
                <a:ext uri="{63B3BB69-23CF-44E3-9099-C40C66FF867C}">
                  <a14:compatExt spid="_x0000_s245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0</xdr:colOff>
          <xdr:row>36</xdr:row>
          <xdr:rowOff>12700</xdr:rowOff>
        </xdr:from>
        <xdr:to>
          <xdr:col>37</xdr:col>
          <xdr:colOff>0</xdr:colOff>
          <xdr:row>36</xdr:row>
          <xdr:rowOff>342900</xdr:rowOff>
        </xdr:to>
        <xdr:sp macro="" textlink="">
          <xdr:nvSpPr>
            <xdr:cNvPr id="24599" name="Group Box 1047" hidden="1">
              <a:extLst>
                <a:ext uri="{63B3BB69-23CF-44E3-9099-C40C66FF867C}">
                  <a14:compatExt spid="_x0000_s245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38</xdr:row>
          <xdr:rowOff>12700</xdr:rowOff>
        </xdr:from>
        <xdr:to>
          <xdr:col>32</xdr:col>
          <xdr:colOff>0</xdr:colOff>
          <xdr:row>38</xdr:row>
          <xdr:rowOff>342900</xdr:rowOff>
        </xdr:to>
        <xdr:sp macro="" textlink="">
          <xdr:nvSpPr>
            <xdr:cNvPr id="24600" name="Group Box 1048" hidden="1">
              <a:extLst>
                <a:ext uri="{63B3BB69-23CF-44E3-9099-C40C66FF867C}">
                  <a14:compatExt spid="_x0000_s246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0</xdr:colOff>
          <xdr:row>39</xdr:row>
          <xdr:rowOff>12700</xdr:rowOff>
        </xdr:from>
        <xdr:to>
          <xdr:col>35</xdr:col>
          <xdr:colOff>88900</xdr:colOff>
          <xdr:row>39</xdr:row>
          <xdr:rowOff>342900</xdr:rowOff>
        </xdr:to>
        <xdr:sp macro="" textlink="">
          <xdr:nvSpPr>
            <xdr:cNvPr id="24601" name="Group Box 1049" hidden="1">
              <a:extLst>
                <a:ext uri="{63B3BB69-23CF-44E3-9099-C40C66FF867C}">
                  <a14:compatExt spid="_x0000_s246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0</xdr:colOff>
          <xdr:row>41</xdr:row>
          <xdr:rowOff>12700</xdr:rowOff>
        </xdr:from>
        <xdr:to>
          <xdr:col>36</xdr:col>
          <xdr:colOff>88900</xdr:colOff>
          <xdr:row>41</xdr:row>
          <xdr:rowOff>342900</xdr:rowOff>
        </xdr:to>
        <xdr:sp macro="" textlink="">
          <xdr:nvSpPr>
            <xdr:cNvPr id="24602" name="Group Box 1050" hidden="1">
              <a:extLst>
                <a:ext uri="{63B3BB69-23CF-44E3-9099-C40C66FF867C}">
                  <a14:compatExt spid="_x0000_s246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42</xdr:row>
          <xdr:rowOff>12700</xdr:rowOff>
        </xdr:from>
        <xdr:to>
          <xdr:col>31</xdr:col>
          <xdr:colOff>139700</xdr:colOff>
          <xdr:row>42</xdr:row>
          <xdr:rowOff>342900</xdr:rowOff>
        </xdr:to>
        <xdr:sp macro="" textlink="">
          <xdr:nvSpPr>
            <xdr:cNvPr id="24603" name="Group Box 1051" hidden="1">
              <a:extLst>
                <a:ext uri="{63B3BB69-23CF-44E3-9099-C40C66FF867C}">
                  <a14:compatExt spid="_x0000_s246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0</xdr:colOff>
          <xdr:row>45</xdr:row>
          <xdr:rowOff>12700</xdr:rowOff>
        </xdr:from>
        <xdr:to>
          <xdr:col>37</xdr:col>
          <xdr:colOff>0</xdr:colOff>
          <xdr:row>45</xdr:row>
          <xdr:rowOff>342900</xdr:rowOff>
        </xdr:to>
        <xdr:sp macro="" textlink="">
          <xdr:nvSpPr>
            <xdr:cNvPr id="24604" name="Group Box 1052" hidden="1">
              <a:extLst>
                <a:ext uri="{63B3BB69-23CF-44E3-9099-C40C66FF867C}">
                  <a14:compatExt spid="_x0000_s246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44</xdr:row>
          <xdr:rowOff>12700</xdr:rowOff>
        </xdr:from>
        <xdr:to>
          <xdr:col>32</xdr:col>
          <xdr:colOff>0</xdr:colOff>
          <xdr:row>44</xdr:row>
          <xdr:rowOff>342900</xdr:rowOff>
        </xdr:to>
        <xdr:sp macro="" textlink="">
          <xdr:nvSpPr>
            <xdr:cNvPr id="24605" name="Group Box 1053" hidden="1">
              <a:extLst>
                <a:ext uri="{63B3BB69-23CF-44E3-9099-C40C66FF867C}">
                  <a14:compatExt spid="_x0000_s246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0</xdr:colOff>
          <xdr:row>46</xdr:row>
          <xdr:rowOff>12700</xdr:rowOff>
        </xdr:from>
        <xdr:to>
          <xdr:col>37</xdr:col>
          <xdr:colOff>0</xdr:colOff>
          <xdr:row>46</xdr:row>
          <xdr:rowOff>342900</xdr:rowOff>
        </xdr:to>
        <xdr:sp macro="" textlink="">
          <xdr:nvSpPr>
            <xdr:cNvPr id="24606" name="Group Box 1054" hidden="1">
              <a:extLst>
                <a:ext uri="{63B3BB69-23CF-44E3-9099-C40C66FF867C}">
                  <a14:compatExt spid="_x0000_s246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48</xdr:row>
          <xdr:rowOff>12700</xdr:rowOff>
        </xdr:from>
        <xdr:to>
          <xdr:col>32</xdr:col>
          <xdr:colOff>0</xdr:colOff>
          <xdr:row>48</xdr:row>
          <xdr:rowOff>342900</xdr:rowOff>
        </xdr:to>
        <xdr:sp macro="" textlink="">
          <xdr:nvSpPr>
            <xdr:cNvPr id="24607" name="Group Box 1055" hidden="1">
              <a:extLst>
                <a:ext uri="{63B3BB69-23CF-44E3-9099-C40C66FF867C}">
                  <a14:compatExt spid="_x0000_s246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0</xdr:colOff>
          <xdr:row>49</xdr:row>
          <xdr:rowOff>12700</xdr:rowOff>
        </xdr:from>
        <xdr:to>
          <xdr:col>35</xdr:col>
          <xdr:colOff>88900</xdr:colOff>
          <xdr:row>49</xdr:row>
          <xdr:rowOff>342900</xdr:rowOff>
        </xdr:to>
        <xdr:sp macro="" textlink="">
          <xdr:nvSpPr>
            <xdr:cNvPr id="24608" name="Group Box 1056" hidden="1">
              <a:extLst>
                <a:ext uri="{63B3BB69-23CF-44E3-9099-C40C66FF867C}">
                  <a14:compatExt spid="_x0000_s246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51</xdr:row>
          <xdr:rowOff>12700</xdr:rowOff>
        </xdr:from>
        <xdr:to>
          <xdr:col>32</xdr:col>
          <xdr:colOff>0</xdr:colOff>
          <xdr:row>51</xdr:row>
          <xdr:rowOff>342900</xdr:rowOff>
        </xdr:to>
        <xdr:sp macro="" textlink="">
          <xdr:nvSpPr>
            <xdr:cNvPr id="24609" name="Group Box 1057" hidden="1">
              <a:extLst>
                <a:ext uri="{63B3BB69-23CF-44E3-9099-C40C66FF867C}">
                  <a14:compatExt spid="_x0000_s246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52</xdr:row>
          <xdr:rowOff>12700</xdr:rowOff>
        </xdr:from>
        <xdr:to>
          <xdr:col>32</xdr:col>
          <xdr:colOff>0</xdr:colOff>
          <xdr:row>52</xdr:row>
          <xdr:rowOff>342900</xdr:rowOff>
        </xdr:to>
        <xdr:sp macro="" textlink="">
          <xdr:nvSpPr>
            <xdr:cNvPr id="24610" name="Group Box 1058" hidden="1">
              <a:extLst>
                <a:ext uri="{63B3BB69-23CF-44E3-9099-C40C66FF867C}">
                  <a14:compatExt spid="_x0000_s246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22</xdr:col>
          <xdr:colOff>12700</xdr:colOff>
          <xdr:row>17</xdr:row>
          <xdr:rowOff>38100</xdr:rowOff>
        </xdr:from>
        <xdr:to>
          <xdr:col>26</xdr:col>
          <xdr:colOff>63500</xdr:colOff>
          <xdr:row>18</xdr:row>
          <xdr:rowOff>0</xdr:rowOff>
        </xdr:to>
        <xdr:grpSp>
          <xdr:nvGrpSpPr>
            <xdr:cNvPr id="24611" name="Group 1059"/>
            <xdr:cNvGrpSpPr>
              <a:grpSpLocks/>
            </xdr:cNvGrpSpPr>
          </xdr:nvGrpSpPr>
          <xdr:grpSpPr bwMode="auto">
            <a:xfrm>
              <a:off x="14465300" y="4635500"/>
              <a:ext cx="1422400" cy="228600"/>
              <a:chOff x="1519" y="124"/>
              <a:chExt cx="150" cy="24"/>
            </a:xfrm>
          </xdr:grpSpPr>
          <xdr:sp macro="" textlink="">
            <xdr:nvSpPr>
              <xdr:cNvPr id="24612" name="Option Button 1060" hidden="1">
                <a:extLst>
                  <a:ext uri="{63B3BB69-23CF-44E3-9099-C40C66FF867C}">
                    <a14:compatExt spid="_x0000_s24612"/>
                  </a:ext>
                </a:extLst>
              </xdr:cNvPr>
              <xdr:cNvSpPr/>
            </xdr:nvSpPr>
            <xdr:spPr>
              <a:xfrm>
                <a:off x="1519" y="124"/>
                <a:ext cx="32" cy="23"/>
              </a:xfrm>
              <a:prstGeom prst="rect">
                <a:avLst/>
              </a:prstGeom>
            </xdr:spPr>
          </xdr:sp>
          <xdr:sp macro="" textlink="">
            <xdr:nvSpPr>
              <xdr:cNvPr id="24613" name="Option Button 1061" hidden="1">
                <a:extLst>
                  <a:ext uri="{63B3BB69-23CF-44E3-9099-C40C66FF867C}">
                    <a14:compatExt spid="_x0000_s24613"/>
                  </a:ext>
                </a:extLst>
              </xdr:cNvPr>
              <xdr:cNvSpPr/>
            </xdr:nvSpPr>
            <xdr:spPr>
              <a:xfrm>
                <a:off x="1559" y="127"/>
                <a:ext cx="31" cy="18"/>
              </a:xfrm>
              <a:prstGeom prst="rect">
                <a:avLst/>
              </a:prstGeom>
            </xdr:spPr>
          </xdr:sp>
          <xdr:sp macro="" textlink="">
            <xdr:nvSpPr>
              <xdr:cNvPr id="24614" name="Option Button 1062" hidden="1">
                <a:extLst>
                  <a:ext uri="{63B3BB69-23CF-44E3-9099-C40C66FF867C}">
                    <a14:compatExt spid="_x0000_s24614"/>
                  </a:ext>
                </a:extLst>
              </xdr:cNvPr>
              <xdr:cNvSpPr/>
            </xdr:nvSpPr>
            <xdr:spPr>
              <a:xfrm>
                <a:off x="1598" y="125"/>
                <a:ext cx="32" cy="23"/>
              </a:xfrm>
              <a:prstGeom prst="rect">
                <a:avLst/>
              </a:prstGeom>
            </xdr:spPr>
          </xdr:sp>
          <xdr:sp macro="" textlink="">
            <xdr:nvSpPr>
              <xdr:cNvPr id="24615" name="Option Button 1063" hidden="1">
                <a:extLst>
                  <a:ext uri="{63B3BB69-23CF-44E3-9099-C40C66FF867C}">
                    <a14:compatExt spid="_x0000_s24615"/>
                  </a:ext>
                </a:extLst>
              </xdr:cNvPr>
              <xdr:cNvSpPr/>
            </xdr:nvSpPr>
            <xdr:spPr>
              <a:xfrm>
                <a:off x="1637" y="125"/>
                <a:ext cx="32" cy="23"/>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8</xdr:row>
          <xdr:rowOff>12700</xdr:rowOff>
        </xdr:from>
        <xdr:to>
          <xdr:col>32</xdr:col>
          <xdr:colOff>0</xdr:colOff>
          <xdr:row>8</xdr:row>
          <xdr:rowOff>342900</xdr:rowOff>
        </xdr:to>
        <xdr:sp macro="" textlink="">
          <xdr:nvSpPr>
            <xdr:cNvPr id="24616" name="Group Box 1064" hidden="1">
              <a:extLst>
                <a:ext uri="{63B3BB69-23CF-44E3-9099-C40C66FF867C}">
                  <a14:compatExt spid="_x0000_s246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33</xdr:col>
          <xdr:colOff>127000</xdr:colOff>
          <xdr:row>21</xdr:row>
          <xdr:rowOff>38100</xdr:rowOff>
        </xdr:from>
        <xdr:to>
          <xdr:col>34</xdr:col>
          <xdr:colOff>25400</xdr:colOff>
          <xdr:row>21</xdr:row>
          <xdr:rowOff>330200</xdr:rowOff>
        </xdr:to>
        <xdr:sp macro="" textlink="">
          <xdr:nvSpPr>
            <xdr:cNvPr id="14198" name="Option Button 886" hidden="1">
              <a:extLst>
                <a:ext uri="{63B3BB69-23CF-44E3-9099-C40C66FF867C}">
                  <a14:compatExt spid="_x0000_s14198"/>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34</xdr:col>
          <xdr:colOff>127000</xdr:colOff>
          <xdr:row>21</xdr:row>
          <xdr:rowOff>76200</xdr:rowOff>
        </xdr:from>
        <xdr:to>
          <xdr:col>35</xdr:col>
          <xdr:colOff>12700</xdr:colOff>
          <xdr:row>21</xdr:row>
          <xdr:rowOff>304800</xdr:rowOff>
        </xdr:to>
        <xdr:sp macro="" textlink="">
          <xdr:nvSpPr>
            <xdr:cNvPr id="14199" name="Option Button 887" hidden="1">
              <a:extLst>
                <a:ext uri="{63B3BB69-23CF-44E3-9099-C40C66FF867C}">
                  <a14:compatExt spid="_x0000_s14199"/>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35</xdr:col>
          <xdr:colOff>127000</xdr:colOff>
          <xdr:row>21</xdr:row>
          <xdr:rowOff>76200</xdr:rowOff>
        </xdr:from>
        <xdr:to>
          <xdr:col>36</xdr:col>
          <xdr:colOff>12700</xdr:colOff>
          <xdr:row>21</xdr:row>
          <xdr:rowOff>304800</xdr:rowOff>
        </xdr:to>
        <xdr:sp macro="" textlink="">
          <xdr:nvSpPr>
            <xdr:cNvPr id="24626" name="Option Button 1074" hidden="1">
              <a:extLst>
                <a:ext uri="{63B3BB69-23CF-44E3-9099-C40C66FF867C}">
                  <a14:compatExt spid="_x0000_s24626"/>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30</xdr:col>
          <xdr:colOff>114300</xdr:colOff>
          <xdr:row>30</xdr:row>
          <xdr:rowOff>38100</xdr:rowOff>
        </xdr:from>
        <xdr:to>
          <xdr:col>31</xdr:col>
          <xdr:colOff>12700</xdr:colOff>
          <xdr:row>30</xdr:row>
          <xdr:rowOff>342900</xdr:rowOff>
        </xdr:to>
        <xdr:sp macro="" textlink="">
          <xdr:nvSpPr>
            <xdr:cNvPr id="24627" name="Option Button 1075" hidden="1">
              <a:extLst>
                <a:ext uri="{63B3BB69-23CF-44E3-9099-C40C66FF867C}">
                  <a14:compatExt spid="_x0000_s24627"/>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31</xdr:col>
          <xdr:colOff>101600</xdr:colOff>
          <xdr:row>30</xdr:row>
          <xdr:rowOff>38100</xdr:rowOff>
        </xdr:from>
        <xdr:to>
          <xdr:col>32</xdr:col>
          <xdr:colOff>0</xdr:colOff>
          <xdr:row>30</xdr:row>
          <xdr:rowOff>330200</xdr:rowOff>
        </xdr:to>
        <xdr:sp macro="" textlink="">
          <xdr:nvSpPr>
            <xdr:cNvPr id="24630" name="Option Button 1078" hidden="1">
              <a:extLst>
                <a:ext uri="{63B3BB69-23CF-44E3-9099-C40C66FF867C}">
                  <a14:compatExt spid="_x0000_s24630"/>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5</xdr:col>
      <xdr:colOff>104774</xdr:colOff>
      <xdr:row>1</xdr:row>
      <xdr:rowOff>47625</xdr:rowOff>
    </xdr:from>
    <xdr:to>
      <xdr:col>16</xdr:col>
      <xdr:colOff>38099</xdr:colOff>
      <xdr:row>46</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323850</xdr:colOff>
      <xdr:row>18</xdr:row>
      <xdr:rowOff>19050</xdr:rowOff>
    </xdr:from>
    <xdr:to>
      <xdr:col>23</xdr:col>
      <xdr:colOff>19050</xdr:colOff>
      <xdr:row>36</xdr:row>
      <xdr:rowOff>9525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428625</xdr:colOff>
      <xdr:row>36</xdr:row>
      <xdr:rowOff>66675</xdr:rowOff>
    </xdr:from>
    <xdr:to>
      <xdr:col>23</xdr:col>
      <xdr:colOff>123825</xdr:colOff>
      <xdr:row>52</xdr:row>
      <xdr:rowOff>57150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457200</xdr:colOff>
      <xdr:row>52</xdr:row>
      <xdr:rowOff>28575</xdr:rowOff>
    </xdr:from>
    <xdr:to>
      <xdr:col>23</xdr:col>
      <xdr:colOff>152400</xdr:colOff>
      <xdr:row>69</xdr:row>
      <xdr:rowOff>19050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295275</xdr:colOff>
      <xdr:row>1</xdr:row>
      <xdr:rowOff>47625</xdr:rowOff>
    </xdr:from>
    <xdr:to>
      <xdr:col>22</xdr:col>
      <xdr:colOff>600075</xdr:colOff>
      <xdr:row>18</xdr:row>
      <xdr:rowOff>38100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pplication%20Data/Desktop/070311%20March%20Calculator%202011%20-%20COSTS%20-%20Decmial%20point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pplication%20Data/Desktop/110208%20-%20CCS%20add%20-%20costs%20AG.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10208%20-%20CCS%20add%20-%20costs%20AG.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Application%20Data/Desktop/D11%20669823%20%20070311%20March%20Calculator%202011%20-%20COSTS%20-%20Geosequestratio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Application%20Data/Desktop/Copy%20of%20D11%20669823%20%20070311%20March%20Calculator%202011%20-%20COSTS%20-%20Gas%20distribution.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WINNT/Profiles/tcounsel/LOCALS~1/Temp/TRIM/TEMP/CONTEXT.4116/110208%20-%20CCS%20add%20-%20costs%20AG.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WINNT/Profiles/tcounsel/Local%20Settings/Temporary%20Internet%20Files/Content.Outlook/XNG4HC4C/2050%20Calculator%20-%20Imported%20fuel%20cost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ntents"/>
      <sheetName val="Instructions"/>
      <sheetName val="CHANGELOG"/>
      <sheetName val="Glossary"/>
      <sheetName val="Control"/>
      <sheetName val="Preferences"/>
      <sheetName val="Cost Charts"/>
      <sheetName val="Costs"/>
      <sheetName val="Global cost assumptions"/>
      <sheetName val="Intermediate output"/>
      <sheetName val="Conversions"/>
      <sheetName val="Global assumptions"/>
      <sheetName val="Constants"/>
      <sheetName val="Combustion Emissions Factors"/>
      <sheetName val="{Workstreams}"/>
      <sheetName val="{Modules}"/>
      <sheetName val="{Energy vectors}"/>
      <sheetName val="{Emissions}"/>
      <sheetName val="I.a"/>
      <sheetName val="I.b"/>
      <sheetName val="II.a"/>
      <sheetName val="III.a.1"/>
      <sheetName val="III.a.2"/>
      <sheetName val="III.b"/>
      <sheetName val="III.c"/>
      <sheetName val="III.d"/>
      <sheetName val="IV.a"/>
      <sheetName val="IV.b"/>
      <sheetName val="IV.c"/>
      <sheetName val="V.a"/>
      <sheetName val="V.b"/>
      <sheetName val="VI.a"/>
      <sheetName val="VI.b"/>
      <sheetName val="VI.c"/>
      <sheetName val="VII.a"/>
      <sheetName val="VII.b"/>
      <sheetName val="VII.c"/>
      <sheetName val="VII.c (1 day)"/>
      <sheetName val="VIII.a"/>
      <sheetName val="IX.a"/>
      <sheetName val="IX.c"/>
      <sheetName val="X.a"/>
      <sheetName val="X.b"/>
      <sheetName val="XI.a"/>
      <sheetName val="XII.a"/>
      <sheetName val="XII.b"/>
      <sheetName val="XII.c"/>
      <sheetName val="XII.e"/>
      <sheetName val="XIII.a"/>
      <sheetName val="XIV.a"/>
      <sheetName val="XV.a"/>
      <sheetName val="XV.b"/>
      <sheetName val="XVI.a"/>
      <sheetName val="XVI.b"/>
      <sheetName val="XVII.a"/>
      <sheetName val="2007 (Actual, frozen)"/>
      <sheetName val="2007 (Consistent)"/>
      <sheetName val="2007"/>
      <sheetName val="2010"/>
      <sheetName val="2015"/>
      <sheetName val="2020"/>
      <sheetName val="2025"/>
      <sheetName val="2030"/>
      <sheetName val="2035"/>
      <sheetName val="2040"/>
      <sheetName val="2045"/>
      <sheetName val="2050"/>
      <sheetName val="DUKES 09 (1.2)"/>
      <sheetName val="DUKES 09 (1.9)"/>
      <sheetName val="DUKES 09 (2.5)"/>
      <sheetName val="DUKES 09 (5.1)"/>
      <sheetName val="DUKES 09 (5.6)"/>
      <sheetName val="DUKES 09 (7.2)"/>
      <sheetName val="DUKES 09 (7.4)"/>
      <sheetName val="DUKES 09 (A.1)"/>
      <sheetName val="DECC Energy Cons. (1.14)"/>
      <sheetName val="DECC Energy Cons. (4.1)"/>
      <sheetName val="070311 March Calculator 2011 -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row r="88">
          <cell r="U88">
            <v>125.93794534209844</v>
          </cell>
        </row>
      </sheetData>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row r="9">
          <cell r="K9">
            <v>8612.8860000000022</v>
          </cell>
        </row>
      </sheetData>
      <sheetData sheetId="71"/>
      <sheetData sheetId="72"/>
      <sheetData sheetId="73"/>
      <sheetData sheetId="74"/>
      <sheetData sheetId="75"/>
      <sheetData sheetId="76"/>
      <sheetData sheetId="77"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ntents"/>
      <sheetName val="Instructions"/>
      <sheetName val="Control"/>
      <sheetName val="Glossary"/>
      <sheetName val="Preferences"/>
      <sheetName val="CHANGELOG"/>
      <sheetName val="Intermediate output"/>
      <sheetName val="Costs"/>
      <sheetName val="Global cost assumptions"/>
      <sheetName val="All vectors"/>
      <sheetName val="Conversions"/>
      <sheetName val="Global assumptions"/>
      <sheetName val="Constants"/>
      <sheetName val="Combustion Emissions Factors"/>
      <sheetName val="{Workstreams}"/>
      <sheetName val="{Modules}"/>
      <sheetName val="{Energy vectors}"/>
      <sheetName val="{Emissions}"/>
      <sheetName val="I.a"/>
      <sheetName val="I.b"/>
      <sheetName val="II.a"/>
      <sheetName val="III.a.1"/>
      <sheetName val="III.a.2"/>
      <sheetName val="III.c"/>
      <sheetName val="III.b"/>
      <sheetName val="III.d"/>
      <sheetName val="IV.a"/>
      <sheetName val="IV.b"/>
      <sheetName val="IV.c"/>
      <sheetName val="V.a"/>
      <sheetName val="V.b"/>
      <sheetName val="VI.a"/>
      <sheetName val="VI.b"/>
      <sheetName val="VI.c"/>
      <sheetName val="VII.a"/>
      <sheetName val="VII.b"/>
      <sheetName val="VII.c"/>
      <sheetName val="VII.c (1 day)"/>
      <sheetName val="VIII.a"/>
      <sheetName val="IX.a"/>
      <sheetName val="IX.c"/>
      <sheetName val="X.a"/>
      <sheetName val="X.b"/>
      <sheetName val="XI.a"/>
      <sheetName val="XII.a"/>
      <sheetName val="XII.b"/>
      <sheetName val="XII.c"/>
      <sheetName val="XII.e"/>
      <sheetName val="XIII.a"/>
      <sheetName val="XIV.a"/>
      <sheetName val="XV.a"/>
      <sheetName val="XV.b"/>
      <sheetName val="XVI.a"/>
      <sheetName val="XVII.a"/>
      <sheetName val="2007 (Actual, frozen)"/>
      <sheetName val="2007 (Consistent)"/>
      <sheetName val="2007"/>
      <sheetName val="2010"/>
      <sheetName val="2015"/>
      <sheetName val="2020"/>
      <sheetName val="2025"/>
      <sheetName val="2030"/>
      <sheetName val="2035"/>
      <sheetName val="2040"/>
      <sheetName val="2045"/>
      <sheetName val="2050"/>
      <sheetName val="DUKES 09 (1.2)"/>
      <sheetName val="DUKES 09 (1.9)"/>
      <sheetName val="DUKES 09 (2.5)"/>
      <sheetName val="DUKES 09 (5.1)"/>
      <sheetName val="DUKES 09 (5.6)"/>
      <sheetName val="DUKES 09 (7.2)"/>
      <sheetName val="DUKES 09 (7.4)"/>
      <sheetName val="DUKES 09 (A.1)"/>
      <sheetName val="DECC Energy Cons. (1.14)"/>
      <sheetName val="DECC Energy Cons. (4.1)"/>
      <sheetName val="110208 - CCS add - costs AG"/>
      <sheetName val="110208 - CCS add - costs AG.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refreshError="1"/>
      <sheetData sheetId="77"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Contents"/>
      <sheetName val="Instructions"/>
      <sheetName val="Control"/>
      <sheetName val="Glossary"/>
      <sheetName val="Preferences"/>
      <sheetName val="CHANGELOG"/>
      <sheetName val="Intermediate output"/>
      <sheetName val="Costs"/>
      <sheetName val="Global cost assumptions"/>
      <sheetName val="All vectors"/>
      <sheetName val="Conversions"/>
      <sheetName val="Global assumptions"/>
      <sheetName val="Constants"/>
      <sheetName val="Combustion Emissions Factors"/>
      <sheetName val="{Workstreams}"/>
      <sheetName val="{Modules}"/>
      <sheetName val="{Energy vectors}"/>
      <sheetName val="{Emissions}"/>
      <sheetName val="I.a"/>
      <sheetName val="I.b"/>
      <sheetName val="II.a"/>
      <sheetName val="III.a.1"/>
      <sheetName val="III.a.2"/>
      <sheetName val="III.c"/>
      <sheetName val="III.b"/>
      <sheetName val="III.d"/>
      <sheetName val="IV.a"/>
      <sheetName val="IV.b"/>
      <sheetName val="IV.c"/>
      <sheetName val="V.a"/>
      <sheetName val="V.b"/>
      <sheetName val="VI.a"/>
      <sheetName val="VI.b"/>
      <sheetName val="VI.c"/>
      <sheetName val="VII.a"/>
      <sheetName val="VII.b"/>
      <sheetName val="VII.c"/>
      <sheetName val="VII.c (1 day)"/>
      <sheetName val="VIII.a"/>
      <sheetName val="IX.a"/>
      <sheetName val="IX.c"/>
      <sheetName val="X.a"/>
      <sheetName val="X.b"/>
      <sheetName val="XI.a"/>
      <sheetName val="XII.a"/>
      <sheetName val="XII.b"/>
      <sheetName val="XII.c"/>
      <sheetName val="XII.e"/>
      <sheetName val="XIII.a"/>
      <sheetName val="XIV.a"/>
      <sheetName val="XV.a"/>
      <sheetName val="XV.b"/>
      <sheetName val="XVI.a"/>
      <sheetName val="XVII.a"/>
      <sheetName val="2007 (Actual, frozen)"/>
      <sheetName val="2007 (Consistent)"/>
      <sheetName val="2007"/>
      <sheetName val="2010"/>
      <sheetName val="2015"/>
      <sheetName val="2020"/>
      <sheetName val="2025"/>
      <sheetName val="2030"/>
      <sheetName val="2035"/>
      <sheetName val="2040"/>
      <sheetName val="2045"/>
      <sheetName val="2050"/>
      <sheetName val="DUKES 09 (1.2)"/>
      <sheetName val="DUKES 09 (1.9)"/>
      <sheetName val="DUKES 09 (2.5)"/>
      <sheetName val="DUKES 09 (5.1)"/>
      <sheetName val="DUKES 09 (5.6)"/>
      <sheetName val="DUKES 09 (7.2)"/>
      <sheetName val="DUKES 09 (7.4)"/>
      <sheetName val="DUKES 09 (A.1)"/>
      <sheetName val="DECC Energy Cons. (1.14)"/>
      <sheetName val="DECC Energy Cons. (4.1)"/>
      <sheetName val="110208 - CCS add - costs AG"/>
      <sheetName val="110208 - CCS add - costs AG.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refreshError="1"/>
      <sheetData sheetId="77"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Contents"/>
      <sheetName val="Instructions"/>
      <sheetName val="CHANGELOG"/>
      <sheetName val="Glossary"/>
      <sheetName val="Control"/>
      <sheetName val="Preferences"/>
      <sheetName val="Cost Charts"/>
      <sheetName val="Costs"/>
      <sheetName val="Global cost assumptions"/>
      <sheetName val="Intermediate output"/>
      <sheetName val="Conversions"/>
      <sheetName val="Global assumptions"/>
      <sheetName val="Constants"/>
      <sheetName val="Combustion Emissions Factors"/>
      <sheetName val="{Workstreams}"/>
      <sheetName val="{Modules}"/>
      <sheetName val="{Energy vectors}"/>
      <sheetName val="{Emissions}"/>
      <sheetName val="I.a"/>
      <sheetName val="I.b"/>
      <sheetName val="II.a"/>
      <sheetName val="III.a.1"/>
      <sheetName val="III.a.2"/>
      <sheetName val="III.b"/>
      <sheetName val="III.c"/>
      <sheetName val="III.d"/>
      <sheetName val="IV.a"/>
      <sheetName val="IV.b"/>
      <sheetName val="IV.c"/>
      <sheetName val="V.a"/>
      <sheetName val="V.b"/>
      <sheetName val="VI.a"/>
      <sheetName val="VI.b"/>
      <sheetName val="VI.c"/>
      <sheetName val="VII.a"/>
      <sheetName val="VII.b"/>
      <sheetName val="VII.c"/>
      <sheetName val="VII.c (1 day)"/>
      <sheetName val="VIII.a"/>
      <sheetName val="IX.a"/>
      <sheetName val="IX.c"/>
      <sheetName val="X.a"/>
      <sheetName val="X.b"/>
      <sheetName val="XI.a"/>
      <sheetName val="XII.a"/>
      <sheetName val="XII.b"/>
      <sheetName val="XII.c"/>
      <sheetName val="XII.e"/>
      <sheetName val="XIII.a"/>
      <sheetName val="XIV.a"/>
      <sheetName val="XV.a"/>
      <sheetName val="XV.b"/>
      <sheetName val="XVI.a"/>
      <sheetName val="XVI.b"/>
      <sheetName val="XVII.a"/>
      <sheetName val="2007 (Actual, frozen)"/>
      <sheetName val="2007 (Consistent)"/>
      <sheetName val="2007"/>
      <sheetName val="2010"/>
      <sheetName val="2015"/>
      <sheetName val="2020"/>
      <sheetName val="2025"/>
      <sheetName val="2030"/>
      <sheetName val="2035"/>
      <sheetName val="2040"/>
      <sheetName val="2045"/>
      <sheetName val="2050"/>
      <sheetName val="DUKES 09 (1.2)"/>
      <sheetName val="DUKES 09 (1.9)"/>
      <sheetName val="DUKES 09 (2.5)"/>
      <sheetName val="DUKES 09 (5.1)"/>
      <sheetName val="DUKES 09 (5.6)"/>
      <sheetName val="DUKES 09 (7.2)"/>
      <sheetName val="DUKES 09 (7.4)"/>
      <sheetName val="DUKES 09 (A.1)"/>
      <sheetName val="DECC Energy Cons. (1.14)"/>
      <sheetName val="DECC Energy Cons. (4.1)"/>
      <sheetName val="D11 669823  070311 March Calcul"/>
    </sheetNames>
    <sheetDataSet>
      <sheetData sheetId="0" refreshError="1"/>
      <sheetData sheetId="1" refreshError="1"/>
      <sheetData sheetId="2" refreshError="1"/>
      <sheetData sheetId="3" refreshError="1"/>
      <sheetData sheetId="4">
        <row r="5">
          <cell r="AB5">
            <v>2</v>
          </cell>
        </row>
      </sheetData>
      <sheetData sheetId="5">
        <row r="3">
          <cell r="C3" t="str">
            <v>TWh</v>
          </cell>
        </row>
      </sheetData>
      <sheetData sheetId="6" refreshError="1"/>
      <sheetData sheetId="7" refreshError="1"/>
      <sheetData sheetId="8">
        <row r="4">
          <cell r="H4">
            <v>3.5000000000000003E-2</v>
          </cell>
        </row>
      </sheetData>
      <sheetData sheetId="9">
        <row r="128">
          <cell r="H128">
            <v>2037.5072</v>
          </cell>
        </row>
      </sheetData>
      <sheetData sheetId="10">
        <row r="5">
          <cell r="B5" t="str">
            <v>PJ</v>
          </cell>
        </row>
      </sheetData>
      <sheetData sheetId="11">
        <row r="5">
          <cell r="I5">
            <v>100</v>
          </cell>
        </row>
      </sheetData>
      <sheetData sheetId="12">
        <row r="6">
          <cell r="C6">
            <v>7.2500000000000004E-9</v>
          </cell>
        </row>
      </sheetData>
      <sheetData sheetId="13" refreshError="1"/>
      <sheetData sheetId="14"/>
      <sheetData sheetId="15"/>
      <sheetData sheetId="16"/>
      <sheetData sheetId="17"/>
      <sheetData sheetId="18">
        <row r="87">
          <cell r="F87">
            <v>2</v>
          </cell>
        </row>
      </sheetData>
      <sheetData sheetId="19">
        <row r="94">
          <cell r="F94">
            <v>1.2</v>
          </cell>
        </row>
      </sheetData>
      <sheetData sheetId="20">
        <row r="74">
          <cell r="F74">
            <v>3</v>
          </cell>
        </row>
      </sheetData>
      <sheetData sheetId="21">
        <row r="47">
          <cell r="F47">
            <v>2.5000000000000001E-3</v>
          </cell>
        </row>
      </sheetData>
      <sheetData sheetId="22">
        <row r="52">
          <cell r="F52">
            <v>5.7999999999999996E-3</v>
          </cell>
        </row>
      </sheetData>
      <sheetData sheetId="23">
        <row r="39">
          <cell r="F39">
            <v>0.1</v>
          </cell>
        </row>
      </sheetData>
      <sheetData sheetId="24">
        <row r="75">
          <cell r="F75">
            <v>1.5E-3</v>
          </cell>
        </row>
      </sheetData>
      <sheetData sheetId="25">
        <row r="36">
          <cell r="F36">
            <v>0.01</v>
          </cell>
        </row>
      </sheetData>
      <sheetData sheetId="26">
        <row r="38">
          <cell r="E38">
            <v>2.4999999999999998E-6</v>
          </cell>
        </row>
      </sheetData>
      <sheetData sheetId="27">
        <row r="39">
          <cell r="E39">
            <v>2.4999999999999998E-6</v>
          </cell>
        </row>
      </sheetData>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Contents"/>
      <sheetName val="Instructions"/>
      <sheetName val="CHANGELOG"/>
      <sheetName val="Glossary"/>
      <sheetName val="Control"/>
      <sheetName val="Preferences"/>
      <sheetName val="Cost Charts"/>
      <sheetName val="Costs"/>
      <sheetName val="Global cost assumptions"/>
      <sheetName val="Intermediate output"/>
      <sheetName val="Conversions"/>
      <sheetName val="Global assumptions"/>
      <sheetName val="Constants"/>
      <sheetName val="Combustion Emissions Factors"/>
      <sheetName val="{Workstreams}"/>
      <sheetName val="{Modules}"/>
      <sheetName val="{Energy vectors}"/>
      <sheetName val="{Emissions}"/>
      <sheetName val="I.a"/>
      <sheetName val="I.b"/>
      <sheetName val="II.a"/>
      <sheetName val="III.a.1"/>
      <sheetName val="III.a.2"/>
      <sheetName val="III.b"/>
      <sheetName val="III.c"/>
      <sheetName val="IV.a"/>
      <sheetName val="III.d"/>
      <sheetName val="IV.b"/>
      <sheetName val="IV.c"/>
      <sheetName val="V.a"/>
      <sheetName val="V.b"/>
      <sheetName val="VI.a"/>
      <sheetName val="VI.b"/>
      <sheetName val="VI.c"/>
      <sheetName val="VII.a"/>
      <sheetName val="VII.b"/>
      <sheetName val="VII.c"/>
      <sheetName val="VII.c (1 day)"/>
      <sheetName val="VIII.a"/>
      <sheetName val="IX.a"/>
      <sheetName val="IX.c"/>
      <sheetName val="X.a"/>
      <sheetName val="XI.a"/>
      <sheetName val="X.b"/>
      <sheetName val="XII.a"/>
      <sheetName val="XII.b"/>
      <sheetName val="XII.c"/>
      <sheetName val="XII.e"/>
      <sheetName val="XIII.a"/>
      <sheetName val="XIV.a"/>
      <sheetName val="XV.a"/>
      <sheetName val="XV.b"/>
      <sheetName val="XVI.a"/>
      <sheetName val="XVI.b"/>
      <sheetName val="XVII.a"/>
      <sheetName val="2007 (Actual, frozen)"/>
      <sheetName val="2007 (Consistent)"/>
      <sheetName val="2007"/>
      <sheetName val="2010"/>
      <sheetName val="2015"/>
      <sheetName val="2020"/>
      <sheetName val="2025"/>
      <sheetName val="2030"/>
      <sheetName val="2035"/>
      <sheetName val="2040"/>
      <sheetName val="2045"/>
      <sheetName val="2050"/>
      <sheetName val="DUKES 09 (1.2)"/>
      <sheetName val="DUKES 09 (1.9)"/>
      <sheetName val="DUKES 09 (2.5)"/>
      <sheetName val="DUKES 09 (5.1)"/>
      <sheetName val="DUKES 09 (5.6)"/>
      <sheetName val="DUKES 09 (7.2)"/>
      <sheetName val="DUKES 09 (7.4)"/>
      <sheetName val="DUKES 09 (A.1)"/>
      <sheetName val="DECC Energy Cons. (1.14)"/>
      <sheetName val="DECC Energy Cons. (4.1)"/>
      <sheetName val="Copy of D11 669823  070311 Mar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row r="141">
          <cell r="W141">
            <v>1047.089858423868</v>
          </cell>
        </row>
      </sheetData>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Contents"/>
      <sheetName val="Instructions"/>
      <sheetName val="Control"/>
      <sheetName val="Glossary"/>
      <sheetName val="Preferences"/>
      <sheetName val="CHANGELOG"/>
      <sheetName val="Intermediate output"/>
      <sheetName val="Costs"/>
      <sheetName val="Global cost assumptions"/>
      <sheetName val="All vectors"/>
      <sheetName val="Conversions"/>
      <sheetName val="Global assumptions"/>
      <sheetName val="Constants"/>
      <sheetName val="Combustion Emissions Factors"/>
      <sheetName val="{Workstreams}"/>
      <sheetName val="{Modules}"/>
      <sheetName val="{Energy vectors}"/>
      <sheetName val="{Emissions}"/>
      <sheetName val="I.a"/>
      <sheetName val="I.b"/>
      <sheetName val="II.a"/>
      <sheetName val="III.a.1"/>
      <sheetName val="III.a.2"/>
      <sheetName val="III.c"/>
      <sheetName val="III.b"/>
      <sheetName val="III.d"/>
      <sheetName val="IV.a"/>
      <sheetName val="IV.b"/>
      <sheetName val="IV.c"/>
      <sheetName val="V.a"/>
      <sheetName val="V.b"/>
      <sheetName val="VI.a"/>
      <sheetName val="VI.b"/>
      <sheetName val="VI.c"/>
      <sheetName val="VII.a"/>
      <sheetName val="VII.b"/>
      <sheetName val="VII.c"/>
      <sheetName val="VII.c (1 day)"/>
      <sheetName val="VIII.a"/>
      <sheetName val="IX.a"/>
      <sheetName val="IX.c"/>
      <sheetName val="X.a"/>
      <sheetName val="X.b"/>
      <sheetName val="XI.a"/>
      <sheetName val="XII.a"/>
      <sheetName val="XII.b"/>
      <sheetName val="XII.c"/>
      <sheetName val="XII.e"/>
      <sheetName val="XIII.a"/>
      <sheetName val="XIV.a"/>
      <sheetName val="XV.a"/>
      <sheetName val="XV.b"/>
      <sheetName val="XVI.a"/>
      <sheetName val="XVII.a"/>
      <sheetName val="2007 (Actual, frozen)"/>
      <sheetName val="2007 (Consistent)"/>
      <sheetName val="2007"/>
      <sheetName val="2010"/>
      <sheetName val="2015"/>
      <sheetName val="2020"/>
      <sheetName val="2025"/>
      <sheetName val="2030"/>
      <sheetName val="2035"/>
      <sheetName val="2040"/>
      <sheetName val="2045"/>
      <sheetName val="2050"/>
      <sheetName val="DUKES 09 (1.2)"/>
      <sheetName val="DUKES 09 (1.9)"/>
      <sheetName val="DUKES 09 (2.5)"/>
      <sheetName val="DUKES 09 (5.1)"/>
      <sheetName val="DUKES 09 (5.6)"/>
      <sheetName val="DUKES 09 (7.2)"/>
      <sheetName val="DUKES 09 (7.4)"/>
      <sheetName val="DUKES 09 (A.1)"/>
      <sheetName val="DECC Energy Cons. (1.14)"/>
      <sheetName val="DECC Energy Cons. (4.1)"/>
      <sheetName val="110208 - CCS add - costs AG"/>
      <sheetName val="\WINNT\Profiles\tcounsel\LOCA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refreshError="1"/>
      <sheetData sheetId="77"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Contents"/>
      <sheetName val="Instructions"/>
      <sheetName val="Control"/>
      <sheetName val="Glossary"/>
      <sheetName val="Preferences"/>
      <sheetName val="CHANGELOG"/>
      <sheetName val="All vectors"/>
      <sheetName val="Intermediate output"/>
      <sheetName val="Conversions"/>
      <sheetName val="Global assumptions"/>
      <sheetName val="Constants"/>
      <sheetName val="Combustion Emissions Factors"/>
      <sheetName val="{Workstreams}"/>
      <sheetName val="{Modules}"/>
      <sheetName val="{Energy vectors}"/>
      <sheetName val="{Emissions}"/>
      <sheetName val="I.a"/>
      <sheetName val="I.b"/>
      <sheetName val="II.a"/>
      <sheetName val="III.a.1"/>
      <sheetName val="III.a.2"/>
      <sheetName val="III.c"/>
      <sheetName val="III.b"/>
      <sheetName val="III.d"/>
      <sheetName val="IV.a"/>
      <sheetName val="IV.b"/>
      <sheetName val="IV.c"/>
      <sheetName val="V.a"/>
      <sheetName val="V.b"/>
      <sheetName val="VI.a"/>
      <sheetName val="VI.b"/>
      <sheetName val="VI.c"/>
      <sheetName val="VII.a"/>
      <sheetName val="VII.b"/>
      <sheetName val="VII.c"/>
      <sheetName val="VII.c (1 day)"/>
      <sheetName val="VIII.a"/>
      <sheetName val="IX.a"/>
      <sheetName val="IX.c"/>
      <sheetName val="X.a"/>
      <sheetName val="X.b"/>
      <sheetName val="XI.a"/>
      <sheetName val="XII.a"/>
      <sheetName val="XII.b"/>
      <sheetName val="XII.c"/>
      <sheetName val="XII.e"/>
      <sheetName val="XIII.a"/>
      <sheetName val="XIV.a"/>
      <sheetName val="XV.a"/>
      <sheetName val="XV.b"/>
      <sheetName val="XVI.a"/>
      <sheetName val="XVI.b"/>
      <sheetName val="XVII.a"/>
      <sheetName val="2007 (Actual, frozen)"/>
      <sheetName val="2007 (Consistent)"/>
      <sheetName val="2007"/>
      <sheetName val="2010"/>
      <sheetName val="2015"/>
      <sheetName val="2020"/>
      <sheetName val="2025"/>
      <sheetName val="2030"/>
      <sheetName val="2035"/>
      <sheetName val="2040"/>
      <sheetName val="2045"/>
      <sheetName val="2050"/>
      <sheetName val="DUKES 09 (1.2)"/>
      <sheetName val="DUKES 09 (1.9)"/>
      <sheetName val="DUKES 09 (2.5)"/>
      <sheetName val="DUKES 09 (5.1)"/>
      <sheetName val="DUKES 09 (5.6)"/>
      <sheetName val="DUKES 09 (7.2)"/>
      <sheetName val="DUKES 09 (7.4)"/>
      <sheetName val="DUKES 09 (A.1)"/>
      <sheetName val="DECC Energy Cons. (1.14)"/>
      <sheetName val="DECC Energy Cons. (4.1)"/>
      <sheetName val="2050 Calculator - Imported fuel"/>
      <sheetName val="\WINNT\Profiles\tcounsel\Local "/>
    </sheetNames>
    <sheetDataSet>
      <sheetData sheetId="0" refreshError="1"/>
      <sheetData sheetId="1" refreshError="1"/>
      <sheetData sheetId="2">
        <row r="5">
          <cell r="AB5">
            <v>2</v>
          </cell>
        </row>
      </sheetData>
      <sheetData sheetId="3" refreshError="1"/>
      <sheetData sheetId="4">
        <row r="3">
          <cell r="C3" t="str">
            <v>TWh</v>
          </cell>
        </row>
      </sheetData>
      <sheetData sheetId="5" refreshError="1"/>
      <sheetData sheetId="6" refreshError="1"/>
      <sheetData sheetId="7" refreshError="1"/>
      <sheetData sheetId="8">
        <row r="5">
          <cell r="B5" t="str">
            <v>PJ</v>
          </cell>
        </row>
      </sheetData>
      <sheetData sheetId="9">
        <row r="5">
          <cell r="I5">
            <v>100</v>
          </cell>
        </row>
      </sheetData>
      <sheetData sheetId="10">
        <row r="6">
          <cell r="C6">
            <v>7.2500000000000004E-9</v>
          </cell>
        </row>
      </sheetData>
      <sheetData sheetId="11" refreshError="1"/>
      <sheetData sheetId="12"/>
      <sheetData sheetId="13"/>
      <sheetData sheetId="14"/>
      <sheetData sheetId="15"/>
      <sheetData sheetId="16">
        <row r="174">
          <cell r="F174">
            <v>28.137999999999998</v>
          </cell>
        </row>
      </sheetData>
      <sheetData sheetId="17">
        <row r="172">
          <cell r="F172">
            <v>0</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tables/table1.xml><?xml version="1.0" encoding="utf-8"?>
<table xmlns="http://schemas.openxmlformats.org/spreadsheetml/2006/main" id="30" name="Changelog" displayName="Changelog" ref="B2:E27" totalsRowShown="0" headerRowDxfId="952">
  <autoFilter ref="B2:E27"/>
  <tableColumns count="4">
    <tableColumn id="1" name="Version"/>
    <tableColumn id="2" name="Release date" dataDxfId="951"/>
    <tableColumn id="3" name="Responsible"/>
    <tableColumn id="4" name="Changes since last version"/>
  </tableColumns>
  <tableStyleInfo name="TableStyleMedium11" showFirstColumn="0" showLastColumn="0" showRowStripes="1" showColumnStripes="0"/>
</table>
</file>

<file path=xl/tables/table2.xml><?xml version="1.0" encoding="utf-8"?>
<table xmlns="http://schemas.openxmlformats.org/spreadsheetml/2006/main" id="96" name="CostVectors" displayName="CostVectors" ref="C4:E12" totalsRowShown="0" headerRowBorderDxfId="946" tableBorderDxfId="945">
  <autoFilter ref="C4:E12"/>
  <sortState ref="C5:E10">
    <sortCondition ref="C4:C10"/>
  </sortState>
  <tableColumns count="3">
    <tableColumn id="1" name="Code" dataDxfId="944"/>
    <tableColumn id="2" name="Description" dataDxfId="943"/>
    <tableColumn id="3" name="Comment" dataDxfId="942"/>
  </tableColumns>
  <tableStyleInfo name="EnergyCalcTables" showFirstColumn="0" showLastColumn="0" showRowStripes="1" showColumnStripes="0"/>
</table>
</file>

<file path=xl/tables/table3.xml><?xml version="1.0" encoding="utf-8"?>
<table xmlns="http://schemas.openxmlformats.org/spreadsheetml/2006/main" id="16" name="Global.Assumptions" displayName="Global.Assumptions" ref="B4:E14" totalsRowShown="0" headerRowDxfId="941" dataDxfId="940">
  <autoFilter ref="B4:E14"/>
  <tableColumns count="4">
    <tableColumn id="1" name="Year" dataDxfId="939"/>
    <tableColumn id="2" name="Population" dataDxfId="938" dataCellStyle="Comma"/>
    <tableColumn id="3" name="Households" dataDxfId="937" dataCellStyle="Comma">
      <calculatedColumnFormula>Global.Assumptions[[#This Row],[Population]]/25751000</calculatedColumnFormula>
    </tableColumn>
    <tableColumn id="4" name="GDP (2005 £m)" dataDxfId="936"/>
  </tableColumns>
  <tableStyleInfo name="EnergyCalcTables" showFirstColumn="0" showLastColumn="0" showRowStripes="0" showColumnStripes="0"/>
</table>
</file>

<file path=xl/tables/table4.xml><?xml version="1.0" encoding="utf-8"?>
<table xmlns="http://schemas.openxmlformats.org/spreadsheetml/2006/main" id="33" name="EF" displayName="EF" ref="B4:H50" totalsRowShown="0" headerRowDxfId="935" dataDxfId="934">
  <autoFilter ref="B4:H50"/>
  <tableColumns count="7">
    <tableColumn id="1" name="Vector" dataDxfId="933"/>
    <tableColumn id="6" name="Description" dataDxfId="932">
      <calculatedColumnFormula>INDEX(Vectors[Description], MATCH(EF[Vector], Vectors[Code], 0))</calculatedColumnFormula>
    </tableColumn>
    <tableColumn id="2" name="CO2" dataDxfId="931" dataCellStyle="Comma"/>
    <tableColumn id="3" name="CH4" dataDxfId="930" dataCellStyle="Comma"/>
    <tableColumn id="4" name="N2O" dataDxfId="929" dataCellStyle="Comma"/>
    <tableColumn id="7" name="CO2e" dataDxfId="928" dataCellStyle="Comma">
      <calculatedColumnFormula>SUM(EF[[#This Row],[CO2]:[N2O]])</calculatedColumnFormula>
    </tableColumn>
    <tableColumn id="5" name="Comments" dataDxfId="927"/>
  </tableColumns>
  <tableStyleInfo name="TableStyleMedium12" showFirstColumn="0" showLastColumn="0" showRowStripes="1" showColumnStripes="0"/>
</table>
</file>

<file path=xl/tables/table5.xml><?xml version="1.0" encoding="utf-8"?>
<table xmlns="http://schemas.openxmlformats.org/spreadsheetml/2006/main" id="2" name="Workstreams" displayName="Workstreams" ref="B4:C22" totalsRowShown="0" headerRowDxfId="926" dataDxfId="925">
  <autoFilter ref="B4:C22"/>
  <tableColumns count="2">
    <tableColumn id="1" name="Code" dataDxfId="924"/>
    <tableColumn id="2" name="Workstream" dataDxfId="923"/>
  </tableColumns>
  <tableStyleInfo name="TableStyleMedium9" showFirstColumn="0" showLastColumn="0" showRowStripes="1" showColumnStripes="0"/>
</table>
</file>

<file path=xl/tables/table6.xml><?xml version="1.0" encoding="utf-8"?>
<table xmlns="http://schemas.openxmlformats.org/spreadsheetml/2006/main" id="5" name="Modules" displayName="Modules" ref="B4:F51" totalsRowShown="0" headerRowDxfId="922" dataDxfId="921">
  <autoFilter ref="B4:F51"/>
  <sortState ref="B4:I19">
    <sortCondition ref="B3:B19"/>
  </sortState>
  <tableColumns count="5">
    <tableColumn id="1" name="Code" dataDxfId="920"/>
    <tableColumn id="2" name="Module" dataDxfId="919"/>
    <tableColumn id="7" name="WS Code" dataDxfId="918">
      <calculatedColumnFormula>LEFT(Modules[Code], FIND(".", Modules[Code])-1)</calculatedColumnFormula>
    </tableColumn>
    <tableColumn id="6" name="Workstream" dataDxfId="917">
      <calculatedColumnFormula>INDEX(Workstreams[Workstream], MATCH(Modules[WS Code], Workstreams[Code], 0))</calculatedColumnFormula>
    </tableColumn>
    <tableColumn id="3" name="Comments" dataDxfId="916"/>
  </tableColumns>
  <tableStyleInfo name="TableStyleMedium9" showFirstColumn="0" showLastColumn="0" showRowStripes="1" showColumnStripes="0"/>
</table>
</file>

<file path=xl/tables/table7.xml><?xml version="1.0" encoding="utf-8"?>
<table xmlns="http://schemas.openxmlformats.org/spreadsheetml/2006/main" id="1" name="Vectors" displayName="Vectors" ref="B4:F65" totalsRowShown="0" headerRowDxfId="915" dataDxfId="914">
  <autoFilter ref="B4:F65"/>
  <sortState ref="B5:F51">
    <sortCondition ref="B4:B51"/>
  </sortState>
  <tableColumns count="5">
    <tableColumn id="1" name="Category" dataDxfId="913"/>
    <tableColumn id="2" name="Subcategory" dataDxfId="912"/>
    <tableColumn id="3" name="Code" dataDxfId="911"/>
    <tableColumn id="4" name="Description" dataDxfId="910"/>
    <tableColumn id="5" name="Comment" dataDxfId="909"/>
  </tableColumns>
  <tableStyleInfo name="TableStyleMedium10" showFirstColumn="0" showLastColumn="0" showRowStripes="1" showColumnStripes="0"/>
</table>
</file>

<file path=xl/tables/table8.xml><?xml version="1.0" encoding="utf-8"?>
<table xmlns="http://schemas.openxmlformats.org/spreadsheetml/2006/main" id="31" name="IPCC" displayName="IPCC" ref="B4:D15" totalsRowShown="0" headerRowDxfId="908" dataDxfId="907">
  <autoFilter ref="B4:D15"/>
  <tableColumns count="3">
    <tableColumn id="1" name="Sector_code" dataDxfId="906"/>
    <tableColumn id="2" name="Sector_description" dataDxfId="905"/>
    <tableColumn id="3" name="Comment" dataDxfId="904"/>
  </tableColumns>
  <tableStyleInfo name="TableStyleMedium11" showFirstColumn="0" showLastColumn="0" showRowStripes="1" showColumnStripes="0"/>
</table>
</file>

<file path=xl/tables/table9.xml><?xml version="1.0" encoding="utf-8"?>
<table xmlns="http://schemas.openxmlformats.org/spreadsheetml/2006/main" id="32" name="GHG" displayName="GHG" ref="B20:D24" totalsRowShown="0" headerRowDxfId="903" dataDxfId="902">
  <autoFilter ref="B20:D24"/>
  <tableColumns count="3">
    <tableColumn id="1" name="GHG_code" dataDxfId="901"/>
    <tableColumn id="2" name="GHG_description" dataDxfId="900"/>
    <tableColumn id="3" name="Comment" dataDxfId="899"/>
  </tableColumns>
  <tableStyleInfo name="TableStyleMedium11" showFirstColumn="0" showLastColumn="0" showRowStripes="1" showColumnStripes="0"/>
</table>
</file>

<file path=xl/tables/table10.xml><?xml version="1.0" encoding="utf-8"?>
<table xmlns="http://schemas.openxmlformats.org/spreadsheetml/2006/main" id="165" name="I.a.Inputs" displayName="I.a.Inputs" ref="C14:O16" totalsRowShown="0" headerRowDxfId="898" dataDxfId="897">
  <autoFilter ref="C14:O16"/>
  <tableColumns count="13">
    <tableColumn id="1" name="Vector" dataDxfId="896"/>
    <tableColumn id="2" name="Name" dataDxfId="895">
      <calculatedColumnFormula>INDEX([1]!Vectors[Description], MATCH(I.a.Inputs[Vector], [1]!Vectors[Code], 0))</calculatedColumnFormula>
    </tableColumn>
    <tableColumn id="3" name="Notes" dataDxfId="894"/>
    <tableColumn id="4" name="2007" dataDxfId="893" dataCellStyle="Comma">
      <calculatedColumnFormula>INDEX(INDIRECT("'"&amp;I.a.Inputs[#Headers]&amp;"'!Year.Matrix"), MATCH("Subtotal."&amp;$A$2, INDIRECT("'"&amp;I.a.Inputs[#Headers]&amp;"'!Year.Modules"), 0), MATCH(I.a.Inputs[Vector], INDIRECT("'"&amp;I.a.Inputs[#Headers]&amp;"'!Year.Vectors"), 0))</calculatedColumnFormula>
    </tableColumn>
    <tableColumn id="5" name="2010" dataDxfId="892" dataCellStyle="Comma">
      <calculatedColumnFormula>INDEX(INDIRECT("'"&amp;I.a.Inputs[#Headers]&amp;"'!Year.Matrix"), MATCH("Subtotal."&amp;$A$2, INDIRECT("'"&amp;I.a.Inputs[#Headers]&amp;"'!Year.Modules"), 0), MATCH(I.a.Inputs[Vector], INDIRECT("'"&amp;I.a.Inputs[#Headers]&amp;"'!Year.Vectors"), 0))</calculatedColumnFormula>
    </tableColumn>
    <tableColumn id="6" name="2015" dataDxfId="891" dataCellStyle="Comma">
      <calculatedColumnFormula>INDEX(INDIRECT("'"&amp;I.a.Inputs[#Headers]&amp;"'!Year.Matrix"), MATCH("Subtotal."&amp;$A$2, INDIRECT("'"&amp;I.a.Inputs[#Headers]&amp;"'!Year.Modules"), 0), MATCH(I.a.Inputs[Vector], INDIRECT("'"&amp;I.a.Inputs[#Headers]&amp;"'!Year.Vectors"), 0))</calculatedColumnFormula>
    </tableColumn>
    <tableColumn id="7" name="2020" dataDxfId="890" dataCellStyle="Comma">
      <calculatedColumnFormula>INDEX(INDIRECT("'"&amp;I.a.Inputs[#Headers]&amp;"'!Year.Matrix"), MATCH("Subtotal."&amp;$A$2, INDIRECT("'"&amp;I.a.Inputs[#Headers]&amp;"'!Year.Modules"), 0), MATCH(I.a.Inputs[Vector], INDIRECT("'"&amp;I.a.Inputs[#Headers]&amp;"'!Year.Vectors"), 0))</calculatedColumnFormula>
    </tableColumn>
    <tableColumn id="15" name="2025" dataDxfId="889" dataCellStyle="Comma">
      <calculatedColumnFormula>INDEX(INDIRECT("'"&amp;I.a.Inputs[#Headers]&amp;"'!Year.Matrix"), MATCH("Subtotal."&amp;$A$2, INDIRECT("'"&amp;I.a.Inputs[#Headers]&amp;"'!Year.Modules"), 0), MATCH(I.a.Inputs[Vector], INDIRECT("'"&amp;I.a.Inputs[#Headers]&amp;"'!Year.Vectors"), 0))</calculatedColumnFormula>
    </tableColumn>
    <tableColumn id="16" name="2030" dataDxfId="888" dataCellStyle="Comma">
      <calculatedColumnFormula>INDEX(INDIRECT("'"&amp;I.a.Inputs[#Headers]&amp;"'!Year.Matrix"), MATCH("Subtotal."&amp;$A$2, INDIRECT("'"&amp;I.a.Inputs[#Headers]&amp;"'!Year.Modules"), 0), MATCH(I.a.Inputs[Vector], INDIRECT("'"&amp;I.a.Inputs[#Headers]&amp;"'!Year.Vectors"), 0))</calculatedColumnFormula>
    </tableColumn>
    <tableColumn id="17" name="2035" dataDxfId="887" dataCellStyle="Comma">
      <calculatedColumnFormula>INDEX(INDIRECT("'"&amp;I.a.Inputs[#Headers]&amp;"'!Year.Matrix"), MATCH("Subtotal."&amp;$A$2, INDIRECT("'"&amp;I.a.Inputs[#Headers]&amp;"'!Year.Modules"), 0), MATCH(I.a.Inputs[Vector], INDIRECT("'"&amp;I.a.Inputs[#Headers]&amp;"'!Year.Vectors"), 0))</calculatedColumnFormula>
    </tableColumn>
    <tableColumn id="18" name="2040" dataDxfId="886" dataCellStyle="Comma">
      <calculatedColumnFormula>INDEX(INDIRECT("'"&amp;I.a.Inputs[#Headers]&amp;"'!Year.Matrix"), MATCH("Subtotal."&amp;$A$2, INDIRECT("'"&amp;I.a.Inputs[#Headers]&amp;"'!Year.Modules"), 0), MATCH(I.a.Inputs[Vector], INDIRECT("'"&amp;I.a.Inputs[#Headers]&amp;"'!Year.Vectors"), 0))</calculatedColumnFormula>
    </tableColumn>
    <tableColumn id="19" name="2045" dataDxfId="885" dataCellStyle="Comma">
      <calculatedColumnFormula>INDEX(INDIRECT("'"&amp;I.a.Inputs[#Headers]&amp;"'!Year.Matrix"), MATCH("Subtotal."&amp;$A$2, INDIRECT("'"&amp;I.a.Inputs[#Headers]&amp;"'!Year.Modules"), 0), MATCH(I.a.Inputs[Vector], INDIRECT("'"&amp;I.a.Inputs[#Headers]&amp;"'!Year.Vectors"), 0))</calculatedColumnFormula>
    </tableColumn>
    <tableColumn id="20" name="2050" dataDxfId="884" dataCellStyle="Comma">
      <calculatedColumnFormula>INDEX(INDIRECT("'"&amp;I.a.Inputs[#Headers]&amp;"'!Year.Matrix"), MATCH("Subtotal."&amp;$A$2, INDIRECT("'"&amp;I.a.Inputs[#Headers]&amp;"'!Year.Modules"), 0), MATCH(I.a.Inputs[Vector], INDIRECT("'"&amp;I.a.Inputs[#Headers]&amp;"'!Year.Vectors"), 0))</calculatedColumnFormula>
    </tableColumn>
  </tableColumns>
  <tableStyleInfo name="EnergyCalcTables" showFirstColumn="0" showLastColumn="0" showRowStripes="1" showColumnStripes="0"/>
</table>
</file>

<file path=xl/tables/table11.xml><?xml version="1.0" encoding="utf-8"?>
<table xmlns="http://schemas.openxmlformats.org/spreadsheetml/2006/main" id="166" name="I.a.Outputs" displayName="I.a.Outputs" ref="C254:O261" totalsRowCount="1" headerRowDxfId="883" dataDxfId="882">
  <autoFilter ref="C254:O260"/>
  <tableColumns count="13">
    <tableColumn id="1" name="Vector" totalsRowLabel="Total" dataDxfId="881" totalsRowDxfId="880"/>
    <tableColumn id="2" name="Name" dataDxfId="879" totalsRowDxfId="878">
      <calculatedColumnFormula>INDEX([1]!Vectors[Description], MATCH(I.a.Outputs[Vector], [1]!Vectors[Code], 0))</calculatedColumnFormula>
    </tableColumn>
    <tableColumn id="3" name="Notes" dataDxfId="877" totalsRowDxfId="876"/>
    <tableColumn id="4" name="2007" totalsRowFunction="sum" dataDxfId="875" totalsRowDxfId="874" dataCellStyle="Comma">
      <calculatedColumnFormula>F$193+F$203</calculatedColumnFormula>
    </tableColumn>
    <tableColumn id="5" name="2010" totalsRowFunction="sum" dataDxfId="873" totalsRowDxfId="872" dataCellStyle="Comma"/>
    <tableColumn id="6" name="2015" totalsRowFunction="sum" dataDxfId="871" totalsRowDxfId="870" dataCellStyle="Comma"/>
    <tableColumn id="7" name="2020" totalsRowFunction="sum" dataDxfId="869" totalsRowDxfId="868" dataCellStyle="Comma"/>
    <tableColumn id="8" name="2025" totalsRowFunction="sum" dataDxfId="867" totalsRowDxfId="866" dataCellStyle="Comma"/>
    <tableColumn id="9" name="2030" totalsRowFunction="sum" dataDxfId="865" totalsRowDxfId="864" dataCellStyle="Comma"/>
    <tableColumn id="10" name="2035" totalsRowFunction="sum" dataDxfId="863" totalsRowDxfId="862" dataCellStyle="Comma"/>
    <tableColumn id="11" name="2040" totalsRowFunction="sum" dataDxfId="861" totalsRowDxfId="860" dataCellStyle="Comma"/>
    <tableColumn id="12" name="2045" totalsRowFunction="sum" dataDxfId="859" totalsRowDxfId="858" dataCellStyle="Comma"/>
    <tableColumn id="13" name="2050" totalsRowFunction="sum" dataDxfId="857" totalsRowDxfId="856" dataCellStyle="Comma"/>
  </tableColumns>
  <tableStyleInfo name="EnergyCalcTables" showFirstColumn="0" showLastColumn="0" showRowStripes="1" showColumnStripes="0"/>
</table>
</file>

<file path=xl/tables/table12.xml><?xml version="1.0" encoding="utf-8"?>
<table xmlns="http://schemas.openxmlformats.org/spreadsheetml/2006/main" id="167" name="I.a.Emissions" displayName="I.a.Emissions" ref="C268:O272" totalsRowCount="1" headerRowDxfId="855" dataDxfId="853" headerRowBorderDxfId="854" tableBorderDxfId="852" dataCellStyle="Comma">
  <autoFilter ref="C268:O271"/>
  <tableColumns count="13">
    <tableColumn id="1" name="GHG" totalsRowLabel="Total" dataDxfId="851" totalsRowDxfId="850"/>
    <tableColumn id="2" name="IPCC Sector" dataDxfId="849" totalsRowDxfId="848"/>
    <tableColumn id="3" name="Notes" dataDxfId="847" totalsRowDxfId="846"/>
    <tableColumn id="4" name="2007" totalsRowFunction="sum" dataDxfId="845" totalsRowDxfId="844" dataCellStyle="Comma"/>
    <tableColumn id="5" name="2010" totalsRowFunction="sum" dataDxfId="843" totalsRowDxfId="842" dataCellStyle="Comma"/>
    <tableColumn id="6" name="2015" totalsRowFunction="sum" dataDxfId="841" totalsRowDxfId="840" dataCellStyle="Comma"/>
    <tableColumn id="7" name="2020" totalsRowFunction="sum" dataDxfId="839" totalsRowDxfId="838" dataCellStyle="Comma"/>
    <tableColumn id="8" name="2025" totalsRowFunction="sum" dataDxfId="837" totalsRowDxfId="836" dataCellStyle="Comma"/>
    <tableColumn id="9" name="2030" totalsRowFunction="sum" dataDxfId="835" totalsRowDxfId="834" dataCellStyle="Comma"/>
    <tableColumn id="10" name="2035" totalsRowFunction="sum" dataDxfId="833" totalsRowDxfId="832" dataCellStyle="Comma"/>
    <tableColumn id="11" name="2040" totalsRowFunction="sum" dataDxfId="831" totalsRowDxfId="830" dataCellStyle="Comma"/>
    <tableColumn id="12" name="2045" totalsRowFunction="sum" dataDxfId="829" totalsRowDxfId="828" dataCellStyle="Comma"/>
    <tableColumn id="13" name="2050" totalsRowFunction="sum" dataDxfId="827" totalsRowDxfId="826" dataCellStyle="Comma"/>
  </tableColumns>
  <tableStyleInfo name="EnergyCalcTables" showFirstColumn="0" showLastColumn="0" showRowStripes="1" showColumnStripes="0"/>
</table>
</file>

<file path=xl/tables/table13.xml><?xml version="1.0" encoding="utf-8"?>
<table xmlns="http://schemas.openxmlformats.org/spreadsheetml/2006/main" id="168" name="I.a.Info" displayName="I.a.Info" ref="C301:O303" totalsRowShown="0" headerRowDxfId="825" dataDxfId="823" totalsRowDxfId="821" headerRowBorderDxfId="824" tableBorderDxfId="822" dataCellStyle="Comma">
  <autoFilter ref="C301:O303"/>
  <tableColumns count="13">
    <tableColumn id="1" name="Vector" dataDxfId="820" totalsRowDxfId="819"/>
    <tableColumn id="2" name="Information type" dataDxfId="818" totalsRowDxfId="817">
      <calculatedColumnFormula>INDEX([1]!Vectors[Description], MATCH(I.a.Info[Vector], [1]!Vectors[Code], 0))</calculatedColumnFormula>
    </tableColumn>
    <tableColumn id="3" name="Notes" dataDxfId="816" totalsRowDxfId="815">
      <calculatedColumnFormula>INDEX([1]!Vectors[Comment], MATCH(I.a.Info[Information type], [1]!Vectors[Description], 0))</calculatedColumnFormula>
    </tableColumn>
    <tableColumn id="4" name="2007" dataDxfId="814" totalsRowDxfId="813" dataCellStyle="Comma">
      <calculatedColumnFormula>SUM(F$216:F$218)</calculatedColumnFormula>
    </tableColumn>
    <tableColumn id="5" name="2010" dataDxfId="812" totalsRowDxfId="811" dataCellStyle="Comma"/>
    <tableColumn id="6" name="2015" dataDxfId="810" totalsRowDxfId="809" dataCellStyle="Comma"/>
    <tableColumn id="7" name="2020" dataDxfId="808" totalsRowDxfId="807" dataCellStyle="Comma"/>
    <tableColumn id="8" name="2025" dataDxfId="806" totalsRowDxfId="805" dataCellStyle="Comma"/>
    <tableColumn id="9" name="2030" dataDxfId="804" totalsRowDxfId="803" dataCellStyle="Comma"/>
    <tableColumn id="10" name="2035" dataDxfId="802" totalsRowDxfId="801" dataCellStyle="Comma"/>
    <tableColumn id="11" name="2040" dataDxfId="800" totalsRowDxfId="799" dataCellStyle="Comma"/>
    <tableColumn id="12" name="2045" dataDxfId="798" totalsRowDxfId="797" dataCellStyle="Comma"/>
    <tableColumn id="13" name="2050" dataDxfId="796" totalsRowDxfId="795" dataCellStyle="Comma"/>
  </tableColumns>
  <tableStyleInfo name="EnergyCalcTables" showFirstColumn="0" showLastColumn="0" showRowStripes="1" showColumnStripes="0"/>
</table>
</file>

<file path=xl/tables/table14.xml><?xml version="1.0" encoding="utf-8"?>
<table xmlns="http://schemas.openxmlformats.org/spreadsheetml/2006/main" id="169" name="I.a.Costs" displayName="I.a.Costs" ref="C310:O316" headerRowDxfId="794" dataDxfId="792" headerRowBorderDxfId="793" tableBorderDxfId="791" dataCellStyle="Comma">
  <autoFilter ref="C310:O316"/>
  <tableColumns count="13">
    <tableColumn id="1" name="Vector" totalsRowLabel="Total" dataDxfId="790" totalsRowDxfId="789"/>
    <tableColumn id="2" name="Name" dataDxfId="788" totalsRowDxfId="787">
      <calculatedColumnFormula>INDEX([2]!CostVectors[Description], MATCH(C311, [2]!CostVectors[Code], 0))</calculatedColumnFormula>
    </tableColumn>
    <tableColumn id="3" name="Notes" dataDxfId="786" totalsRowDxfId="785"/>
    <tableColumn id="4" name="2007" dataDxfId="784" totalsRowDxfId="783" dataCellStyle="Comma"/>
    <tableColumn id="5" name="2010" totalsRowFunction="custom" dataDxfId="782" totalsRowDxfId="781" dataCellStyle="Comma">
      <totalsRowFormula>SUM(I.a.Costs[2010])</totalsRowFormula>
    </tableColumn>
    <tableColumn id="6" name="2015" totalsRowFunction="custom" dataDxfId="780" totalsRowDxfId="779" dataCellStyle="Comma">
      <totalsRowFormula>SUM(I.a.Costs[2015])</totalsRowFormula>
    </tableColumn>
    <tableColumn id="7" name="2020" totalsRowFunction="sum" dataDxfId="778" totalsRowDxfId="777" dataCellStyle="Comma"/>
    <tableColumn id="8" name="2025" totalsRowFunction="sum" dataDxfId="776" totalsRowDxfId="775" dataCellStyle="Comma"/>
    <tableColumn id="9" name="2030" totalsRowFunction="sum" dataDxfId="774" totalsRowDxfId="773" dataCellStyle="Comma"/>
    <tableColumn id="10" name="2035" totalsRowFunction="sum" dataDxfId="772" totalsRowDxfId="771" dataCellStyle="Comma"/>
    <tableColumn id="11" name="2040" totalsRowFunction="sum" dataDxfId="770" totalsRowDxfId="769" dataCellStyle="Comma"/>
    <tableColumn id="12" name="2045" totalsRowFunction="sum" dataDxfId="768" totalsRowDxfId="767" dataCellStyle="Comma"/>
    <tableColumn id="13" name="2050" totalsRowFunction="sum" dataDxfId="766" totalsRowDxfId="765" dataCellStyle="Comma"/>
  </tableColumns>
  <tableStyleInfo name="EnergyCalcTables" showFirstColumn="0" showLastColumn="0" showRowStripes="1" showColumnStripes="0"/>
</table>
</file>

<file path=xl/tables/table15.xml><?xml version="1.0" encoding="utf-8"?>
<table xmlns="http://schemas.openxmlformats.org/spreadsheetml/2006/main" id="97" name="I.a.Gas.Info" displayName="I.a.Gas.Info" ref="C294:O297" totalsRowShown="0" headerRowDxfId="764" dataDxfId="762" totalsRowDxfId="760" headerRowBorderDxfId="763" tableBorderDxfId="761" dataCellStyle="Comma">
  <autoFilter ref="C294:O297"/>
  <tableColumns count="13">
    <tableColumn id="1" name="Vector" dataDxfId="759" totalsRowDxfId="758"/>
    <tableColumn id="2" name="Information type" dataDxfId="757" totalsRowDxfId="756">
      <calculatedColumnFormula>INDEX([1]!Vectors[Description], MATCH(I.a.Gas.Info[Vector], [1]!Vectors[Code], 0))</calculatedColumnFormula>
    </tableColumn>
    <tableColumn id="3" name="Notes" dataDxfId="755" totalsRowDxfId="754">
      <calculatedColumnFormula>INDEX([1]!Vectors[Comment], MATCH(I.a.Gas.Info[Information type], [1]!Vectors[Description], 0))</calculatedColumnFormula>
    </tableColumn>
    <tableColumn id="4" name="2007" dataDxfId="753" totalsRowDxfId="752" dataCellStyle="Comma">
      <calculatedColumnFormula>SUM(F$216:F$218)</calculatedColumnFormula>
    </tableColumn>
    <tableColumn id="5" name="2010" dataDxfId="751" totalsRowDxfId="750" dataCellStyle="Comma"/>
    <tableColumn id="6" name="2015" dataDxfId="749" totalsRowDxfId="748" dataCellStyle="Comma"/>
    <tableColumn id="7" name="2020" dataDxfId="747" totalsRowDxfId="746" dataCellStyle="Comma"/>
    <tableColumn id="8" name="2025" dataDxfId="745" totalsRowDxfId="744" dataCellStyle="Comma"/>
    <tableColumn id="9" name="2030" dataDxfId="743" totalsRowDxfId="742" dataCellStyle="Comma"/>
    <tableColumn id="10" name="2035" dataDxfId="741" totalsRowDxfId="740" dataCellStyle="Comma"/>
    <tableColumn id="11" name="2040" dataDxfId="739" totalsRowDxfId="738" dataCellStyle="Comma"/>
    <tableColumn id="12" name="2045" dataDxfId="737" totalsRowDxfId="736" dataCellStyle="Comma"/>
    <tableColumn id="13" name="2050" dataDxfId="735" totalsRowDxfId="734" dataCellStyle="Comma"/>
  </tableColumns>
  <tableStyleInfo name="EnergyCalcTables" showFirstColumn="0" showLastColumn="0" showRowStripes="1" showColumnStripes="0"/>
</table>
</file>

<file path=xl/tables/table16.xml><?xml version="1.0" encoding="utf-8"?>
<table xmlns="http://schemas.openxmlformats.org/spreadsheetml/2006/main" id="99" name="I.a.Solid.Info" displayName="I.a.Solid.Info" ref="C287:O290" totalsRowShown="0" headerRowDxfId="733" dataDxfId="731" totalsRowDxfId="729" headerRowBorderDxfId="732" tableBorderDxfId="730" dataCellStyle="Comma">
  <autoFilter ref="C287:O290"/>
  <tableColumns count="13">
    <tableColumn id="1" name="Vector" dataDxfId="728" totalsRowDxfId="727"/>
    <tableColumn id="2" name="Information type" dataDxfId="726" totalsRowDxfId="725">
      <calculatedColumnFormula>INDEX([1]!Vectors[Description], MATCH(I.a.Solid.Info[Vector], [1]!Vectors[Code], 0))</calculatedColumnFormula>
    </tableColumn>
    <tableColumn id="3" name="Notes" dataDxfId="724" totalsRowDxfId="723">
      <calculatedColumnFormula>INDEX([1]!Vectors[Comment], MATCH(I.a.Solid.Info[Information type], [1]!Vectors[Description], 0))</calculatedColumnFormula>
    </tableColumn>
    <tableColumn id="4" name="2007" dataDxfId="722" totalsRowDxfId="721" dataCellStyle="Comma">
      <calculatedColumnFormula>SUM(F$216:F$218)</calculatedColumnFormula>
    </tableColumn>
    <tableColumn id="5" name="2010" dataDxfId="720" totalsRowDxfId="719" dataCellStyle="Comma"/>
    <tableColumn id="6" name="2015" dataDxfId="718" totalsRowDxfId="717" dataCellStyle="Comma"/>
    <tableColumn id="7" name="2020" dataDxfId="716" totalsRowDxfId="715" dataCellStyle="Comma"/>
    <tableColumn id="8" name="2025" dataDxfId="714" totalsRowDxfId="713" dataCellStyle="Comma"/>
    <tableColumn id="9" name="2030" dataDxfId="712" totalsRowDxfId="711" dataCellStyle="Comma"/>
    <tableColumn id="10" name="2035" dataDxfId="710" totalsRowDxfId="709" dataCellStyle="Comma"/>
    <tableColumn id="11" name="2040" dataDxfId="708" totalsRowDxfId="707" dataCellStyle="Comma"/>
    <tableColumn id="12" name="2045" dataDxfId="706" totalsRowDxfId="705" dataCellStyle="Comma"/>
    <tableColumn id="13" name="2050" dataDxfId="704" totalsRowDxfId="703" dataCellStyle="Comma"/>
  </tableColumns>
  <tableStyleInfo name="EnergyCalcTables" showFirstColumn="0" showLastColumn="0" showRowStripes="1" showColumnStripes="0"/>
</table>
</file>

<file path=xl/tables/table17.xml><?xml version="1.0" encoding="utf-8"?>
<table xmlns="http://schemas.openxmlformats.org/spreadsheetml/2006/main" id="103" name="I.a.Liquid.Info" displayName="I.a.Liquid.Info" ref="C280:O283" totalsRowShown="0" headerRowDxfId="702" dataDxfId="700" totalsRowDxfId="698" headerRowBorderDxfId="701" tableBorderDxfId="699" dataCellStyle="Comma">
  <autoFilter ref="C280:O283"/>
  <tableColumns count="13">
    <tableColumn id="1" name="Vector" dataDxfId="697" totalsRowDxfId="696"/>
    <tableColumn id="2" name="Information type" dataDxfId="695" totalsRowDxfId="694">
      <calculatedColumnFormula>INDEX([1]!Vectors[Description], MATCH(I.a.Liquid.Info[Vector], [1]!Vectors[Code], 0))</calculatedColumnFormula>
    </tableColumn>
    <tableColumn id="3" name="Notes" dataDxfId="693" totalsRowDxfId="692">
      <calculatedColumnFormula>INDEX([1]!Vectors[Comment], MATCH(I.a.Liquid.Info[Information type], [1]!Vectors[Description], 0))</calculatedColumnFormula>
    </tableColumn>
    <tableColumn id="4" name="2007" dataDxfId="691" totalsRowDxfId="690" dataCellStyle="Comma">
      <calculatedColumnFormula>SUM(F$216:F$218)</calculatedColumnFormula>
    </tableColumn>
    <tableColumn id="5" name="2010" dataDxfId="689" totalsRowDxfId="688" dataCellStyle="Comma"/>
    <tableColumn id="6" name="2015" dataDxfId="687" totalsRowDxfId="686" dataCellStyle="Comma"/>
    <tableColumn id="7" name="2020" dataDxfId="685" totalsRowDxfId="684" dataCellStyle="Comma"/>
    <tableColumn id="8" name="2025" dataDxfId="683" totalsRowDxfId="682" dataCellStyle="Comma"/>
    <tableColumn id="9" name="2030" dataDxfId="681" totalsRowDxfId="680" dataCellStyle="Comma"/>
    <tableColumn id="10" name="2035" dataDxfId="679" totalsRowDxfId="678" dataCellStyle="Comma"/>
    <tableColumn id="11" name="2040" dataDxfId="677" totalsRowDxfId="676" dataCellStyle="Comma"/>
    <tableColumn id="12" name="2045" dataDxfId="675" totalsRowDxfId="674" dataCellStyle="Comma"/>
    <tableColumn id="13" name="2050" dataDxfId="673" totalsRowDxfId="672" dataCellStyle="Comma"/>
  </tableColumns>
  <tableStyleInfo name="EnergyCalcTables" showFirstColumn="0" showLastColumn="0" showRowStripes="1" showColumnStripes="0"/>
</table>
</file>

<file path=xl/tables/table18.xml><?xml version="1.0" encoding="utf-8"?>
<table xmlns="http://schemas.openxmlformats.org/spreadsheetml/2006/main" id="171" name="I.b.Outputs" displayName="I.b.Outputs" ref="C251:O257" totalsRowCount="1" headerRowDxfId="671" dataDxfId="670">
  <autoFilter ref="C251:O256"/>
  <tableColumns count="13">
    <tableColumn id="1" name="Vector" totalsRowLabel="Total" dataDxfId="669" totalsRowDxfId="668"/>
    <tableColumn id="2" name="Name" dataDxfId="667" totalsRowDxfId="666">
      <calculatedColumnFormula>INDEX([1]!Vectors[Description], MATCH(I.b.Outputs[Vector], [1]!Vectors[Code], 0))</calculatedColumnFormula>
    </tableColumn>
    <tableColumn id="3" name="Notes" dataDxfId="665" totalsRowDxfId="664"/>
    <tableColumn id="4" name="2007" totalsRowFunction="sum" dataDxfId="663" totalsRowDxfId="662" dataCellStyle="Comma">
      <calculatedColumnFormula>#REF!+#REF!</calculatedColumnFormula>
    </tableColumn>
    <tableColumn id="5" name="2010" totalsRowFunction="sum" dataDxfId="661" totalsRowDxfId="660" dataCellStyle="Comma"/>
    <tableColumn id="6" name="2015" totalsRowFunction="sum" dataDxfId="659" totalsRowDxfId="658" dataCellStyle="Comma"/>
    <tableColumn id="7" name="2020" totalsRowFunction="sum" dataDxfId="657" totalsRowDxfId="656" dataCellStyle="Comma"/>
    <tableColumn id="8" name="2025" totalsRowFunction="sum" dataDxfId="655" totalsRowDxfId="654" dataCellStyle="Comma"/>
    <tableColumn id="9" name="2030" totalsRowFunction="sum" dataDxfId="653" totalsRowDxfId="652" dataCellStyle="Comma"/>
    <tableColumn id="10" name="2035" totalsRowFunction="sum" dataDxfId="651" totalsRowDxfId="650" dataCellStyle="Comma"/>
    <tableColumn id="11" name="2040" totalsRowFunction="sum" dataDxfId="649" totalsRowDxfId="648" dataCellStyle="Comma"/>
    <tableColumn id="12" name="2045" totalsRowFunction="sum" dataDxfId="647" totalsRowDxfId="646" dataCellStyle="Comma"/>
    <tableColumn id="13" name="2050" totalsRowFunction="sum" dataDxfId="645" totalsRowDxfId="644" dataCellStyle="Comma"/>
  </tableColumns>
  <tableStyleInfo name="EnergyCalcTables" showFirstColumn="0" showLastColumn="0" showRowStripes="1" showColumnStripes="0"/>
</table>
</file>

<file path=xl/tables/table19.xml><?xml version="1.0" encoding="utf-8"?>
<table xmlns="http://schemas.openxmlformats.org/spreadsheetml/2006/main" id="172" name="I.b.Emissions" displayName="I.b.Emissions" ref="C264:O269" totalsRowCount="1" headerRowDxfId="643" dataDxfId="642" totalsRowDxfId="641">
  <autoFilter ref="C264:O268"/>
  <tableColumns count="13">
    <tableColumn id="1" name="GHG" totalsRowLabel="Total" dataDxfId="640" totalsRowDxfId="639"/>
    <tableColumn id="2" name="IPCC Sector" dataDxfId="638" totalsRowDxfId="637">
      <calculatedColumnFormula>INDEX([1]!Vectors[Description], MATCH(I.b.Emissions[GHG], [1]!Vectors[Code], 0))</calculatedColumnFormula>
    </tableColumn>
    <tableColumn id="3" name="Notes" dataDxfId="636" totalsRowDxfId="635">
      <calculatedColumnFormula>INDEX([1]!IPCC[Sector_description], MATCH(I.b.Emissions[IPCC Sector], [1]!IPCC[Sector_code], 0))</calculatedColumnFormula>
    </tableColumn>
    <tableColumn id="4" name="2007" totalsRowFunction="sum" dataDxfId="634" totalsRowDxfId="633" dataCellStyle="Comma"/>
    <tableColumn id="5" name="2010" totalsRowFunction="sum" dataDxfId="632" totalsRowDxfId="631" dataCellStyle="Comma"/>
    <tableColumn id="6" name="2015" totalsRowFunction="sum" dataDxfId="630" totalsRowDxfId="629" dataCellStyle="Comma"/>
    <tableColumn id="7" name="2020" totalsRowFunction="sum" dataDxfId="628" totalsRowDxfId="627" dataCellStyle="Comma"/>
    <tableColumn id="8" name="2025" totalsRowFunction="sum" dataDxfId="626" totalsRowDxfId="625" dataCellStyle="Comma"/>
    <tableColumn id="9" name="2030" totalsRowFunction="sum" dataDxfId="624" totalsRowDxfId="623" dataCellStyle="Comma"/>
    <tableColumn id="10" name="2035" totalsRowFunction="sum" dataDxfId="622" totalsRowDxfId="621" dataCellStyle="Comma"/>
    <tableColumn id="11" name="2040" totalsRowFunction="sum" dataDxfId="620" totalsRowDxfId="619" dataCellStyle="Comma"/>
    <tableColumn id="12" name="2045" totalsRowFunction="sum" dataDxfId="618" totalsRowDxfId="617" dataCellStyle="Comma"/>
    <tableColumn id="13" name="2050" totalsRowFunction="sum" dataDxfId="616" totalsRowDxfId="615" dataCellStyle="Comma"/>
  </tableColumns>
  <tableStyleInfo name="EnergyCalcTables" showFirstColumn="0" showLastColumn="0" showRowStripes="1" showColumnStripes="0"/>
</table>
</file>

<file path=xl/tables/table20.xml><?xml version="1.0" encoding="utf-8"?>
<table xmlns="http://schemas.openxmlformats.org/spreadsheetml/2006/main" id="173" name="I.b.Info" displayName="I.b.Info" ref="C276:O279" totalsRowShown="0" headerRowDxfId="614" dataDxfId="612" totalsRowDxfId="610" headerRowBorderDxfId="613" tableBorderDxfId="611" dataCellStyle="Comma">
  <autoFilter ref="C276:O279"/>
  <tableColumns count="13">
    <tableColumn id="1" name="Vector" dataDxfId="609" totalsRowDxfId="608"/>
    <tableColumn id="2" name="Information type" dataDxfId="607" totalsRowDxfId="606">
      <calculatedColumnFormula>INDEX([1]!Vectors[Description], MATCH(I.b.Info[Vector], [1]!Vectors[Code], 0))</calculatedColumnFormula>
    </tableColumn>
    <tableColumn id="3" name="Notes" dataDxfId="605" totalsRowDxfId="604">
      <calculatedColumnFormula>INDEX([1]!Vectors[Comment], MATCH(I.b.Info[Information type], [1]!Vectors[Description], 0))</calculatedColumnFormula>
    </tableColumn>
    <tableColumn id="4" name="2007" dataDxfId="603" totalsRowDxfId="602" dataCellStyle="Comma">
      <calculatedColumnFormula>F140</calculatedColumnFormula>
    </tableColumn>
    <tableColumn id="5" name="2010" dataDxfId="601" totalsRowDxfId="600" dataCellStyle="Comma"/>
    <tableColumn id="6" name="2015" dataDxfId="599" totalsRowDxfId="598" dataCellStyle="Comma"/>
    <tableColumn id="7" name="2020" dataDxfId="597" totalsRowDxfId="596" dataCellStyle="Comma"/>
    <tableColumn id="8" name="2025" dataDxfId="595" totalsRowDxfId="594" dataCellStyle="Comma"/>
    <tableColumn id="9" name="2030" dataDxfId="593" totalsRowDxfId="592" dataCellStyle="Comma"/>
    <tableColumn id="10" name="2035" dataDxfId="591" totalsRowDxfId="590" dataCellStyle="Comma"/>
    <tableColumn id="11" name="2040" dataDxfId="589" totalsRowDxfId="588" dataCellStyle="Comma"/>
    <tableColumn id="12" name="2045" dataDxfId="587" totalsRowDxfId="586" dataCellStyle="Comma"/>
    <tableColumn id="13" name="2050" dataDxfId="585" totalsRowDxfId="584" dataCellStyle="Comma"/>
  </tableColumns>
  <tableStyleInfo name="EnergyCalcTables" showFirstColumn="0" showLastColumn="0" showRowStripes="1" showColumnStripes="0"/>
</table>
</file>

<file path=xl/tables/table21.xml><?xml version="1.0" encoding="utf-8"?>
<table xmlns="http://schemas.openxmlformats.org/spreadsheetml/2006/main" id="174" name="I.b.Costs" displayName="I.b.Costs" ref="C286:O292" headerRowDxfId="583" dataDxfId="581" headerRowBorderDxfId="582" tableBorderDxfId="580" dataCellStyle="Comma">
  <autoFilter ref="C286:O292"/>
  <tableColumns count="13">
    <tableColumn id="1" name="Vector" totalsRowLabel="Total" dataDxfId="579" totalsRowDxfId="578"/>
    <tableColumn id="2" name="Name" dataDxfId="577" totalsRowDxfId="576">
      <calculatedColumnFormula>INDEX([2]!CostVectors[Description], MATCH(C287, [2]!CostVectors[Code], 0))</calculatedColumnFormula>
    </tableColumn>
    <tableColumn id="3" name="Notes" dataDxfId="575" totalsRowDxfId="574"/>
    <tableColumn id="4" name="2007" dataDxfId="573" totalsRowDxfId="572" dataCellStyle="Comma"/>
    <tableColumn id="5" name="2010" totalsRowFunction="custom" dataDxfId="571" totalsRowDxfId="570" dataCellStyle="Comma">
      <totalsRowFormula>SUM(I.b.Costs[2010])</totalsRowFormula>
    </tableColumn>
    <tableColumn id="6" name="2015" totalsRowFunction="custom" dataDxfId="569" totalsRowDxfId="568" dataCellStyle="Comma">
      <totalsRowFormula>SUM(I.b.Costs[2015])</totalsRowFormula>
    </tableColumn>
    <tableColumn id="7" name="2020" totalsRowFunction="sum" dataDxfId="567" totalsRowDxfId="566" dataCellStyle="Comma"/>
    <tableColumn id="8" name="2025" totalsRowFunction="sum" dataDxfId="565" totalsRowDxfId="564" dataCellStyle="Comma"/>
    <tableColumn id="9" name="2030" totalsRowFunction="sum" dataDxfId="563" totalsRowDxfId="562" dataCellStyle="Comma"/>
    <tableColumn id="10" name="2035" totalsRowFunction="sum" dataDxfId="561" totalsRowDxfId="560" dataCellStyle="Comma"/>
    <tableColumn id="11" name="2040" totalsRowFunction="sum" dataDxfId="559" totalsRowDxfId="558" dataCellStyle="Comma"/>
    <tableColumn id="12" name="2045" totalsRowFunction="sum" dataDxfId="557" totalsRowDxfId="556" dataCellStyle="Comma"/>
    <tableColumn id="13" name="2050" totalsRowFunction="sum" dataDxfId="555" totalsRowDxfId="554" dataCellStyle="Comma"/>
  </tableColumns>
  <tableStyleInfo name="EnergyCalcTables" showFirstColumn="0" showLastColumn="0" showRowStripes="1" showColumnStripes="0"/>
</table>
</file>

<file path=xl/tables/table22.xml><?xml version="1.0" encoding="utf-8"?>
<table xmlns="http://schemas.openxmlformats.org/spreadsheetml/2006/main" id="27" name="XV.b.Outputs" displayName="XV.b.Outputs" ref="C131:O142" totalsRowCount="1" headerRowDxfId="553" dataDxfId="552">
  <autoFilter ref="C131:O141"/>
  <tableColumns count="13">
    <tableColumn id="1" name="Vector" totalsRowLabel="Total" dataDxfId="551" totalsRowDxfId="550"/>
    <tableColumn id="2" name="Name" dataDxfId="549" totalsRowDxfId="548">
      <calculatedColumnFormula>INDEX(Vectors[Description], MATCH(XV.b.Outputs[Vector], Vectors[Code], 0))</calculatedColumnFormula>
    </tableColumn>
    <tableColumn id="3" name="Notes" dataDxfId="547" totalsRowDxfId="546"/>
    <tableColumn id="4" name="2007" totalsRowFunction="sum" dataDxfId="545" totalsRowDxfId="544" dataCellStyle="Comma"/>
    <tableColumn id="5" name="2010" totalsRowFunction="sum" dataDxfId="543" totalsRowDxfId="542" dataCellStyle="Comma"/>
    <tableColumn id="6" name="2015" totalsRowFunction="sum" dataDxfId="541" totalsRowDxfId="540" dataCellStyle="Comma"/>
    <tableColumn id="7" name="2020" totalsRowFunction="sum" dataDxfId="539" totalsRowDxfId="538" dataCellStyle="Comma"/>
    <tableColumn id="8" name="2025" totalsRowFunction="sum" dataDxfId="537" totalsRowDxfId="536" dataCellStyle="Comma"/>
    <tableColumn id="9" name="2030" totalsRowFunction="sum" dataDxfId="535" totalsRowDxfId="534" dataCellStyle="Comma"/>
    <tableColumn id="10" name="2035" totalsRowFunction="sum" dataDxfId="533" totalsRowDxfId="532" dataCellStyle="Comma"/>
    <tableColumn id="11" name="2040" totalsRowFunction="sum" dataDxfId="531" totalsRowDxfId="530" dataCellStyle="Comma"/>
    <tableColumn id="12" name="2045" totalsRowFunction="sum" dataDxfId="529" totalsRowDxfId="528" dataCellStyle="Comma"/>
    <tableColumn id="13" name="2050" totalsRowFunction="sum" dataDxfId="527" totalsRowDxfId="526" dataCellStyle="Comma"/>
  </tableColumns>
  <tableStyleInfo name="EnergyCalcTables" showFirstColumn="0" showLastColumn="0" showRowStripes="1" showColumnStripes="0"/>
</table>
</file>

<file path=xl/tables/table23.xml><?xml version="1.0" encoding="utf-8"?>
<table xmlns="http://schemas.openxmlformats.org/spreadsheetml/2006/main" id="47" name="XV.b.Emissions" displayName="XV.b.Emissions" ref="C149:O155" totalsRowCount="1" headerRowDxfId="525" dataDxfId="523" headerRowBorderDxfId="524" tableBorderDxfId="522" dataCellStyle="Comma">
  <autoFilter ref="C149:O154"/>
  <tableColumns count="13">
    <tableColumn id="1" name="GHG" totalsRowLabel="Total" dataDxfId="521" totalsRowDxfId="520"/>
    <tableColumn id="2" name="IPCC Sector" dataDxfId="519" totalsRowDxfId="518"/>
    <tableColumn id="3" name="Notes" dataDxfId="517" totalsRowDxfId="516">
      <calculatedColumnFormula>INDEX(IPCC[Sector_description], MATCH(XV.b.Emissions[IPCC Sector], IPCC[Sector_code], 0))</calculatedColumnFormula>
    </tableColumn>
    <tableColumn id="4" name="2007" totalsRowFunction="sum" dataDxfId="515" totalsRowDxfId="514" dataCellStyle="Comma"/>
    <tableColumn id="5" name="2010" totalsRowFunction="sum" dataDxfId="513" totalsRowDxfId="512" dataCellStyle="Comma"/>
    <tableColumn id="6" name="2015" totalsRowFunction="sum" dataDxfId="511" totalsRowDxfId="510" dataCellStyle="Comma"/>
    <tableColumn id="7" name="2020" totalsRowFunction="sum" dataDxfId="509" totalsRowDxfId="508" dataCellStyle="Comma"/>
    <tableColumn id="8" name="2025" totalsRowFunction="sum" dataDxfId="507" totalsRowDxfId="506" dataCellStyle="Comma"/>
    <tableColumn id="9" name="2030" totalsRowFunction="sum" dataDxfId="505" totalsRowDxfId="504" dataCellStyle="Comma"/>
    <tableColumn id="10" name="2035" totalsRowFunction="sum" dataDxfId="503" totalsRowDxfId="502" dataCellStyle="Comma"/>
    <tableColumn id="11" name="2040" totalsRowFunction="sum" dataDxfId="501" totalsRowDxfId="500" dataCellStyle="Comma"/>
    <tableColumn id="12" name="2045" totalsRowFunction="sum" dataDxfId="499" totalsRowDxfId="498" dataCellStyle="Comma"/>
    <tableColumn id="13" name="2050" totalsRowFunction="sum" dataDxfId="497" totalsRowDxfId="496" dataCellStyle="Comma"/>
  </tableColumns>
  <tableStyleInfo name="EnergyCalcTables" showFirstColumn="0" showLastColumn="0" showRowStripes="1" showColumnStripes="0"/>
</table>
</file>

<file path=xl/tables/table24.xml><?xml version="1.0" encoding="utf-8"?>
<table xmlns="http://schemas.openxmlformats.org/spreadsheetml/2006/main" id="115" name="XV.b.info" displayName="XV.b.info" ref="C163:O165" totalsRowShown="0" headerRowDxfId="495" dataDxfId="493" totalsRowDxfId="491" headerRowBorderDxfId="494" tableBorderDxfId="492" dataCellStyle="Comma">
  <autoFilter ref="C163:O165"/>
  <tableColumns count="13">
    <tableColumn id="1" name="Vector" dataDxfId="490" totalsRowDxfId="489"/>
    <tableColumn id="2" name="Information type" dataDxfId="488" totalsRowDxfId="487">
      <calculatedColumnFormula>INDEX(Vectors[Description], MATCH(XV.b.info[Vector], Vectors[Code], 0))</calculatedColumnFormula>
    </tableColumn>
    <tableColumn id="3" name="Notes" dataDxfId="486" totalsRowDxfId="485">
      <calculatedColumnFormula>INDEX(Vectors[Comment], MATCH(XV.b.info[Information type], Vectors[Description], 0))</calculatedColumnFormula>
    </tableColumn>
    <tableColumn id="4" name="2007" dataDxfId="484" totalsRowDxfId="483" dataCellStyle="Comma"/>
    <tableColumn id="5" name="2010" dataDxfId="482" totalsRowDxfId="481" dataCellStyle="Comma"/>
    <tableColumn id="6" name="2015" dataDxfId="480" totalsRowDxfId="479" dataCellStyle="Comma"/>
    <tableColumn id="7" name="2020" dataDxfId="478" totalsRowDxfId="477" dataCellStyle="Comma"/>
    <tableColumn id="8" name="2025" dataDxfId="476" totalsRowDxfId="475" dataCellStyle="Comma"/>
    <tableColumn id="9" name="2030" dataDxfId="474" totalsRowDxfId="473" dataCellStyle="Comma"/>
    <tableColumn id="10" name="2035" dataDxfId="472" totalsRowDxfId="471" dataCellStyle="Comma"/>
    <tableColumn id="11" name="2040" dataDxfId="470" totalsRowDxfId="469" dataCellStyle="Comma"/>
    <tableColumn id="12" name="2045" dataDxfId="468" totalsRowDxfId="467" dataCellStyle="Comma"/>
    <tableColumn id="13" name="2050" dataDxfId="466" totalsRowDxfId="465" dataCellStyle="Comma"/>
  </tableColumns>
  <tableStyleInfo name="EnergyCalcTables" showFirstColumn="0" showLastColumn="0" showRowStripes="1" showColumnStripes="0"/>
</table>
</file>

<file path=xl/tables/table25.xml><?xml version="1.0" encoding="utf-8"?>
<table xmlns="http://schemas.openxmlformats.org/spreadsheetml/2006/main" id="150" name="XV.b.Costs" displayName="XV.b.Costs" ref="C172:O174" headerRowDxfId="464" dataDxfId="462" headerRowBorderDxfId="463" tableBorderDxfId="461" dataCellStyle="Comma">
  <autoFilter ref="C172:O174"/>
  <tableColumns count="13">
    <tableColumn id="1" name="Vector" totalsRowLabel="Total" dataDxfId="460" totalsRowDxfId="459"/>
    <tableColumn id="2" name="Name" dataDxfId="458" totalsRowDxfId="457">
      <calculatedColumnFormula>INDEX(CostVectors[Description], MATCH(C173, CostVectors[Code], 0))</calculatedColumnFormula>
    </tableColumn>
    <tableColumn id="3" name="Notes" dataDxfId="456" totalsRowDxfId="455"/>
    <tableColumn id="4" name="2007" dataDxfId="454" totalsRowDxfId="453" dataCellStyle="Comma"/>
    <tableColumn id="5" name="2010" totalsRowFunction="custom" dataDxfId="452" totalsRowDxfId="451" dataCellStyle="Comma">
      <totalsRowFormula>SUM(XV.b.Costs[2010])</totalsRowFormula>
    </tableColumn>
    <tableColumn id="6" name="2015" totalsRowFunction="custom" dataDxfId="450" totalsRowDxfId="449" dataCellStyle="Comma">
      <totalsRowFormula>SUM(XV.b.Costs[2015])</totalsRowFormula>
    </tableColumn>
    <tableColumn id="7" name="2020" totalsRowFunction="sum" dataDxfId="448" totalsRowDxfId="447" dataCellStyle="Comma"/>
    <tableColumn id="8" name="2025" totalsRowFunction="sum" dataDxfId="446" totalsRowDxfId="445" dataCellStyle="Comma"/>
    <tableColumn id="9" name="2030" totalsRowFunction="sum" dataDxfId="444" totalsRowDxfId="443" dataCellStyle="Comma"/>
    <tableColumn id="10" name="2035" totalsRowFunction="sum" dataDxfId="442" totalsRowDxfId="441" dataCellStyle="Comma"/>
    <tableColumn id="11" name="2040" totalsRowFunction="sum" dataDxfId="440" totalsRowDxfId="439" dataCellStyle="Comma"/>
    <tableColumn id="12" name="2045" totalsRowFunction="sum" dataDxfId="438" totalsRowDxfId="437" dataCellStyle="Comma"/>
    <tableColumn id="13" name="2050" totalsRowFunction="sum" dataDxfId="436" totalsRowDxfId="435" dataCellStyle="Comma"/>
  </tableColumns>
  <tableStyleInfo name="EnergyCalcTables" showFirstColumn="0" showLastColumn="0" showRowStripes="1" showColumnStripes="0"/>
</table>
</file>

<file path=xl/tables/table26.xml><?xml version="1.0" encoding="utf-8"?>
<table xmlns="http://schemas.openxmlformats.org/spreadsheetml/2006/main" id="48" name="XVI.a.Inputs" displayName="XVI.a.Inputs" ref="C8:O11" totalsRowShown="0" headerRowDxfId="434" dataDxfId="433">
  <autoFilter ref="C8:O11"/>
  <tableColumns count="13">
    <tableColumn id="1" name="Vector" dataDxfId="432"/>
    <tableColumn id="2" name="Name" dataDxfId="431">
      <calculatedColumnFormula>INDEX([5]!Vectors[Description], MATCH(XVI.a.Inputs[Vector], [5]!Vectors[Code], 0))</calculatedColumnFormula>
    </tableColumn>
    <tableColumn id="3" name="Notes" dataDxfId="430"/>
    <tableColumn id="4" name="2007" dataDxfId="429" dataCellStyle="Comma">
      <calculatedColumnFormula>INDEX(INDIRECT("'"&amp;XVI.a.Inputs[#Headers]&amp;"'!Year.Matrix"), MATCH("Subtotal."&amp;$A$2, INDIRECT("'"&amp;XVI.a.Inputs[#Headers]&amp;"'!Year.Modules"), 0), MATCH(XVI.a.Inputs[Vector], INDIRECT("'"&amp;XVI.a.Inputs[#Headers]&amp;"'!Year.Vectors"), 0))</calculatedColumnFormula>
    </tableColumn>
    <tableColumn id="5" name="2010" dataDxfId="428" dataCellStyle="Comma">
      <calculatedColumnFormula>INDEX(INDIRECT("'"&amp;XVI.a.Inputs[#Headers]&amp;"'!Year.Matrix"), MATCH("Subtotal."&amp;$A$2, INDIRECT("'"&amp;XVI.a.Inputs[#Headers]&amp;"'!Year.Modules"), 0), MATCH(XVI.a.Inputs[Vector], INDIRECT("'"&amp;XVI.a.Inputs[#Headers]&amp;"'!Year.Vectors"), 0))</calculatedColumnFormula>
    </tableColumn>
    <tableColumn id="6" name="2015" dataDxfId="427" dataCellStyle="Comma">
      <calculatedColumnFormula>INDEX(INDIRECT("'"&amp;XVI.a.Inputs[#Headers]&amp;"'!Year.Matrix"), MATCH("Subtotal."&amp;$A$2, INDIRECT("'"&amp;XVI.a.Inputs[#Headers]&amp;"'!Year.Modules"), 0), MATCH(XVI.a.Inputs[Vector], INDIRECT("'"&amp;XVI.a.Inputs[#Headers]&amp;"'!Year.Vectors"), 0))</calculatedColumnFormula>
    </tableColumn>
    <tableColumn id="7" name="2020" dataDxfId="426" dataCellStyle="Comma">
      <calculatedColumnFormula>INDEX(INDIRECT("'"&amp;XVI.a.Inputs[#Headers]&amp;"'!Year.Matrix"), MATCH("Subtotal."&amp;$A$2, INDIRECT("'"&amp;XVI.a.Inputs[#Headers]&amp;"'!Year.Modules"), 0), MATCH(XVI.a.Inputs[Vector], INDIRECT("'"&amp;XVI.a.Inputs[#Headers]&amp;"'!Year.Vectors"), 0))</calculatedColumnFormula>
    </tableColumn>
    <tableColumn id="15" name="2025" dataDxfId="425" dataCellStyle="Comma">
      <calculatedColumnFormula>INDEX(INDIRECT("'"&amp;XVI.a.Inputs[#Headers]&amp;"'!Year.Matrix"), MATCH("Subtotal."&amp;$A$2, INDIRECT("'"&amp;XVI.a.Inputs[#Headers]&amp;"'!Year.Modules"), 0), MATCH(XVI.a.Inputs[Vector], INDIRECT("'"&amp;XVI.a.Inputs[#Headers]&amp;"'!Year.Vectors"), 0))</calculatedColumnFormula>
    </tableColumn>
    <tableColumn id="16" name="2030" dataDxfId="424" dataCellStyle="Comma">
      <calculatedColumnFormula>INDEX(INDIRECT("'"&amp;XVI.a.Inputs[#Headers]&amp;"'!Year.Matrix"), MATCH("Subtotal."&amp;$A$2, INDIRECT("'"&amp;XVI.a.Inputs[#Headers]&amp;"'!Year.Modules"), 0), MATCH(XVI.a.Inputs[Vector], INDIRECT("'"&amp;XVI.a.Inputs[#Headers]&amp;"'!Year.Vectors"), 0))</calculatedColumnFormula>
    </tableColumn>
    <tableColumn id="17" name="2035" dataDxfId="423" dataCellStyle="Comma">
      <calculatedColumnFormula>INDEX(INDIRECT("'"&amp;XVI.a.Inputs[#Headers]&amp;"'!Year.Matrix"), MATCH("Subtotal."&amp;$A$2, INDIRECT("'"&amp;XVI.a.Inputs[#Headers]&amp;"'!Year.Modules"), 0), MATCH(XVI.a.Inputs[Vector], INDIRECT("'"&amp;XVI.a.Inputs[#Headers]&amp;"'!Year.Vectors"), 0))</calculatedColumnFormula>
    </tableColumn>
    <tableColumn id="18" name="2040" dataDxfId="422" dataCellStyle="Comma">
      <calculatedColumnFormula>INDEX(INDIRECT("'"&amp;XVI.a.Inputs[#Headers]&amp;"'!Year.Matrix"), MATCH("Subtotal."&amp;$A$2, INDIRECT("'"&amp;XVI.a.Inputs[#Headers]&amp;"'!Year.Modules"), 0), MATCH(XVI.a.Inputs[Vector], INDIRECT("'"&amp;XVI.a.Inputs[#Headers]&amp;"'!Year.Vectors"), 0))</calculatedColumnFormula>
    </tableColumn>
    <tableColumn id="19" name="2045" dataDxfId="421" dataCellStyle="Comma">
      <calculatedColumnFormula>INDEX(INDIRECT("'"&amp;XVI.a.Inputs[#Headers]&amp;"'!Year.Matrix"), MATCH("Subtotal."&amp;$A$2, INDIRECT("'"&amp;XVI.a.Inputs[#Headers]&amp;"'!Year.Modules"), 0), MATCH(XVI.a.Inputs[Vector], INDIRECT("'"&amp;XVI.a.Inputs[#Headers]&amp;"'!Year.Vectors"), 0))</calculatedColumnFormula>
    </tableColumn>
    <tableColumn id="20" name="2050" dataDxfId="420" dataCellStyle="Comma">
      <calculatedColumnFormula>INDEX(INDIRECT("'"&amp;XVI.a.Inputs[#Headers]&amp;"'!Year.Matrix"), MATCH("Subtotal."&amp;$A$2, INDIRECT("'"&amp;XVI.a.Inputs[#Headers]&amp;"'!Year.Modules"), 0), MATCH(XVI.a.Inputs[Vector], INDIRECT("'"&amp;XVI.a.Inputs[#Headers]&amp;"'!Year.Vectors"), 0))</calculatedColumnFormula>
    </tableColumn>
  </tableColumns>
  <tableStyleInfo name="EnergyCalcTables" showFirstColumn="0" showLastColumn="0" showRowStripes="1" showColumnStripes="0"/>
</table>
</file>

<file path=xl/tables/table27.xml><?xml version="1.0" encoding="utf-8"?>
<table xmlns="http://schemas.openxmlformats.org/spreadsheetml/2006/main" id="49" name="XVI.a.Outputs" displayName="XVI.a.Outputs" ref="C88:O96" totalsRowCount="1" headerRowDxfId="419" dataDxfId="418">
  <autoFilter ref="C88:O95"/>
  <tableColumns count="13">
    <tableColumn id="1" name="Vector" totalsRowLabel="Total" dataDxfId="417" totalsRowDxfId="416"/>
    <tableColumn id="2" name="Name" dataDxfId="415" totalsRowDxfId="414">
      <calculatedColumnFormula>INDEX([5]!Vectors[Description], MATCH(XVI.a.Outputs[Vector], [5]!Vectors[Code], 0))</calculatedColumnFormula>
    </tableColumn>
    <tableColumn id="3" name="Notes" dataDxfId="413" totalsRowDxfId="412"/>
    <tableColumn id="4" name="2007" totalsRowFunction="sum" dataDxfId="411" totalsRowDxfId="410" dataCellStyle="Comma">
      <calculatedColumnFormula>F$51+#REF!</calculatedColumnFormula>
    </tableColumn>
    <tableColumn id="5" name="2010" totalsRowFunction="sum" dataDxfId="409" totalsRowDxfId="408" dataCellStyle="Comma"/>
    <tableColumn id="6" name="2015" totalsRowFunction="sum" dataDxfId="407" totalsRowDxfId="406" dataCellStyle="Comma"/>
    <tableColumn id="7" name="2020" totalsRowFunction="sum" dataDxfId="405" totalsRowDxfId="404" dataCellStyle="Comma"/>
    <tableColumn id="8" name="2025" totalsRowFunction="sum" dataDxfId="403" totalsRowDxfId="402" dataCellStyle="Comma"/>
    <tableColumn id="9" name="2030" totalsRowFunction="sum" dataDxfId="401" totalsRowDxfId="400" dataCellStyle="Comma"/>
    <tableColumn id="10" name="2035" totalsRowFunction="sum" dataDxfId="399" totalsRowDxfId="398" dataCellStyle="Comma"/>
    <tableColumn id="11" name="2040" totalsRowFunction="sum" dataDxfId="397" totalsRowDxfId="396" dataCellStyle="Comma"/>
    <tableColumn id="12" name="2045" totalsRowFunction="sum" dataDxfId="395" totalsRowDxfId="394" dataCellStyle="Comma"/>
    <tableColumn id="13" name="2050" totalsRowFunction="sum" dataDxfId="393" totalsRowDxfId="392" dataCellStyle="Comma"/>
  </tableColumns>
  <tableStyleInfo name="EnergyCalcTables" showFirstColumn="0" showLastColumn="0" showRowStripes="1" showColumnStripes="0"/>
</table>
</file>

<file path=xl/tables/table28.xml><?xml version="1.0" encoding="utf-8"?>
<table xmlns="http://schemas.openxmlformats.org/spreadsheetml/2006/main" id="50" name="XVI.a.Emissions" displayName="XVI.a.Emissions" ref="C103:O105" totalsRowCount="1" headerRowDxfId="391" dataDxfId="389" headerRowBorderDxfId="390" tableBorderDxfId="388" dataCellStyle="Comma">
  <autoFilter ref="C103:O104"/>
  <tableColumns count="13">
    <tableColumn id="1" name="GHG" totalsRowLabel="Total" dataDxfId="387" totalsRowDxfId="386"/>
    <tableColumn id="2" name="IPCC Sector" dataDxfId="385" totalsRowDxfId="384"/>
    <tableColumn id="3" name="Notes" dataDxfId="383" totalsRowDxfId="382">
      <calculatedColumnFormula>INDEX(IPCC[Sector_description], MATCH(XVI.a.Emissions[IPCC Sector], IPCC[Sector_code], 0))</calculatedColumnFormula>
    </tableColumn>
    <tableColumn id="4" name="2007" totalsRowFunction="sum" dataDxfId="381" totalsRowDxfId="380" dataCellStyle="Comma">
      <calculatedColumnFormula>F$60</calculatedColumnFormula>
    </tableColumn>
    <tableColumn id="5" name="2010" totalsRowFunction="sum" dataDxfId="379" totalsRowDxfId="378" dataCellStyle="Comma">
      <calculatedColumnFormula>G$60</calculatedColumnFormula>
    </tableColumn>
    <tableColumn id="6" name="2015" totalsRowFunction="sum" dataDxfId="377" totalsRowDxfId="376" dataCellStyle="Comma">
      <calculatedColumnFormula>H$60</calculatedColumnFormula>
    </tableColumn>
    <tableColumn id="7" name="2020" totalsRowFunction="sum" dataDxfId="375" totalsRowDxfId="374" dataCellStyle="Comma">
      <calculatedColumnFormula>I$60</calculatedColumnFormula>
    </tableColumn>
    <tableColumn id="8" name="2025" totalsRowFunction="sum" dataDxfId="373" totalsRowDxfId="372" dataCellStyle="Comma">
      <calculatedColumnFormula>J$60</calculatedColumnFormula>
    </tableColumn>
    <tableColumn id="9" name="2030" totalsRowFunction="sum" dataDxfId="371" totalsRowDxfId="370" dataCellStyle="Comma">
      <calculatedColumnFormula>K$60</calculatedColumnFormula>
    </tableColumn>
    <tableColumn id="10" name="2035" totalsRowFunction="sum" dataDxfId="369" totalsRowDxfId="368" dataCellStyle="Comma">
      <calculatedColumnFormula>L$60</calculatedColumnFormula>
    </tableColumn>
    <tableColumn id="11" name="2040" totalsRowFunction="sum" dataDxfId="367" totalsRowDxfId="366" dataCellStyle="Comma">
      <calculatedColumnFormula>M$60</calculatedColumnFormula>
    </tableColumn>
    <tableColumn id="12" name="2045" totalsRowFunction="sum" dataDxfId="365" totalsRowDxfId="364" dataCellStyle="Comma">
      <calculatedColumnFormula>N$60</calculatedColumnFormula>
    </tableColumn>
    <tableColumn id="13" name="2050" totalsRowFunction="sum" dataDxfId="363" totalsRowDxfId="362" dataCellStyle="Comma">
      <calculatedColumnFormula>O$60</calculatedColumnFormula>
    </tableColumn>
  </tableColumns>
  <tableStyleInfo name="EnergyCalcTables" showFirstColumn="0" showLastColumn="0" showRowStripes="1" showColumnStripes="0"/>
</table>
</file>

<file path=xl/tables/table29.xml><?xml version="1.0" encoding="utf-8"?>
<table xmlns="http://schemas.openxmlformats.org/spreadsheetml/2006/main" id="94" name="XVI.a.info" displayName="XVI.a.info" ref="C112:O114" totalsRowShown="0" headerRowDxfId="361" dataDxfId="359" totalsRowDxfId="357" headerRowBorderDxfId="360" tableBorderDxfId="358" dataCellStyle="Comma">
  <autoFilter ref="C112:O114"/>
  <tableColumns count="13">
    <tableColumn id="1" name="Vector" dataDxfId="356" totalsRowDxfId="355"/>
    <tableColumn id="2" name="Information type" dataDxfId="354" totalsRowDxfId="353">
      <calculatedColumnFormula>INDEX([5]!Vectors[Description], MATCH(XVI.a.info[Vector], [5]!Vectors[Code], 0))</calculatedColumnFormula>
    </tableColumn>
    <tableColumn id="3" name="Notes" dataDxfId="352" totalsRowDxfId="351">
      <calculatedColumnFormula>INDEX([5]!Vectors[Comment], MATCH(XVI.a.info[Information type], [5]!Vectors[Description], 0))</calculatedColumnFormula>
    </tableColumn>
    <tableColumn id="4" name="2007" dataDxfId="350" totalsRowDxfId="349" dataCellStyle="Comma"/>
    <tableColumn id="5" name="2010" dataDxfId="348" totalsRowDxfId="347" dataCellStyle="Comma"/>
    <tableColumn id="6" name="2015" dataDxfId="346" totalsRowDxfId="345" dataCellStyle="Comma"/>
    <tableColumn id="7" name="2020" dataDxfId="344" totalsRowDxfId="343" dataCellStyle="Comma"/>
    <tableColumn id="8" name="2025" dataDxfId="342" totalsRowDxfId="341" dataCellStyle="Comma"/>
    <tableColumn id="9" name="2030" dataDxfId="340" totalsRowDxfId="339" dataCellStyle="Comma"/>
    <tableColumn id="10" name="2035" dataDxfId="338" totalsRowDxfId="337" dataCellStyle="Comma"/>
    <tableColumn id="11" name="2040" dataDxfId="336" totalsRowDxfId="335" dataCellStyle="Comma"/>
    <tableColumn id="12" name="2045" dataDxfId="334" totalsRowDxfId="333" dataCellStyle="Comma"/>
    <tableColumn id="13" name="2050" dataDxfId="332" totalsRowDxfId="331" dataCellStyle="Comma"/>
  </tableColumns>
  <tableStyleInfo name="EnergyCalcTables" showFirstColumn="0" showLastColumn="0" showRowStripes="1" showColumnStripes="0"/>
</table>
</file>

<file path=xl/tables/table30.xml><?xml version="1.0" encoding="utf-8"?>
<table xmlns="http://schemas.openxmlformats.org/spreadsheetml/2006/main" id="95" name="XVI.a.Costs" displayName="XVI.a.Costs" ref="C121:O127" headerRowDxfId="330" dataDxfId="328" headerRowBorderDxfId="329" tableBorderDxfId="327" dataCellStyle="Comma">
  <autoFilter ref="C121:O127"/>
  <tableColumns count="13">
    <tableColumn id="1" name="Vector" totalsRowLabel="Total" dataDxfId="326" totalsRowDxfId="325"/>
    <tableColumn id="2" name="Name" dataDxfId="324" totalsRowDxfId="323">
      <calculatedColumnFormula>INDEX([6]!CostVectors[Description], MATCH(C122, [6]!CostVectors[Code], 0))</calculatedColumnFormula>
    </tableColumn>
    <tableColumn id="3" name="Notes" dataDxfId="322" totalsRowDxfId="321"/>
    <tableColumn id="4" name="2007" dataDxfId="320" totalsRowDxfId="319" dataCellStyle="Comma"/>
    <tableColumn id="5" name="2010" totalsRowFunction="custom" dataDxfId="318" totalsRowDxfId="317" dataCellStyle="Comma">
      <totalsRowFormula>SUM(XVI.a.Costs[2010])</totalsRowFormula>
    </tableColumn>
    <tableColumn id="6" name="2015" totalsRowFunction="custom" dataDxfId="316" totalsRowDxfId="315" dataCellStyle="Comma">
      <totalsRowFormula>SUM(XVI.a.Costs[2015])</totalsRowFormula>
    </tableColumn>
    <tableColumn id="7" name="2020" totalsRowFunction="sum" dataDxfId="314" totalsRowDxfId="313" dataCellStyle="Comma"/>
    <tableColumn id="8" name="2025" totalsRowFunction="sum" dataDxfId="312" totalsRowDxfId="311" dataCellStyle="Comma"/>
    <tableColumn id="9" name="2030" totalsRowFunction="sum" dataDxfId="310" totalsRowDxfId="309" dataCellStyle="Comma"/>
    <tableColumn id="10" name="2035" totalsRowFunction="sum" dataDxfId="308" totalsRowDxfId="307" dataCellStyle="Comma"/>
    <tableColumn id="11" name="2040" totalsRowFunction="sum" dataDxfId="306" totalsRowDxfId="305" dataCellStyle="Comma"/>
    <tableColumn id="12" name="2045" totalsRowFunction="sum" dataDxfId="304" totalsRowDxfId="303" dataCellStyle="Comma"/>
    <tableColumn id="13" name="2050" totalsRowFunction="sum" dataDxfId="302" totalsRowDxfId="301" dataCellStyle="Comma"/>
  </tableColumns>
  <tableStyleInfo name="EnergyCalcTables" showFirstColumn="0" showLastColumn="0" showRowStripes="1" showColumnStripes="0"/>
</table>
</file>

<file path=xl/tables/table31.xml><?xml version="1.0" encoding="utf-8"?>
<table xmlns="http://schemas.openxmlformats.org/spreadsheetml/2006/main" id="146" name="XVI.a.Inputs" displayName="XVI.a.Inputs_1" ref="C8:O11" totalsRowShown="0" headerRowDxfId="300" dataDxfId="299">
  <autoFilter ref="C8:O11"/>
  <tableColumns count="13">
    <tableColumn id="1" name="Vector" dataDxfId="298"/>
    <tableColumn id="2" name="Name" dataDxfId="297">
      <calculatedColumnFormula>INDEX([7]!Vectors[Description], MATCH(XVI.a.Inputs_1[Vector], [7]!Vectors[Code], 0))</calculatedColumnFormula>
    </tableColumn>
    <tableColumn id="3" name="Notes" dataDxfId="296"/>
    <tableColumn id="4" name="2007" dataDxfId="295" dataCellStyle="ofwhich">
      <calculatedColumnFormula>INDEX(INDIRECT("'"&amp;F$8&amp;"'!Year.NetBalance"), MATCH($C9, INDIRECT("'"&amp;F$8&amp;"'!Year.Vectors"), 0))</calculatedColumnFormula>
    </tableColumn>
    <tableColumn id="5" name="2010" dataDxfId="294" dataCellStyle="ofwhich">
      <calculatedColumnFormula>INDEX(INDIRECT("'"&amp;G$8&amp;"'!Year.NetBalance"), MATCH($C9, INDIRECT("'"&amp;G$8&amp;"'!Year.Vectors"), 0))</calculatedColumnFormula>
    </tableColumn>
    <tableColumn id="6" name="2015" dataDxfId="293" dataCellStyle="ofwhich">
      <calculatedColumnFormula>INDEX(INDIRECT("'"&amp;H$8&amp;"'!Year.NetBalance"), MATCH($C9, INDIRECT("'"&amp;H$8&amp;"'!Year.Vectors"), 0))</calculatedColumnFormula>
    </tableColumn>
    <tableColumn id="7" name="2020" dataDxfId="292" dataCellStyle="ofwhich">
      <calculatedColumnFormula>INDEX(INDIRECT("'"&amp;I$8&amp;"'!Year.NetBalance"), MATCH($C9, INDIRECT("'"&amp;I$8&amp;"'!Year.Vectors"), 0))</calculatedColumnFormula>
    </tableColumn>
    <tableColumn id="15" name="2025" dataDxfId="291" dataCellStyle="ofwhich">
      <calculatedColumnFormula>INDEX(INDIRECT("'"&amp;J$8&amp;"'!Year.NetBalance"), MATCH($C9, INDIRECT("'"&amp;J$8&amp;"'!Year.Vectors"), 0))</calculatedColumnFormula>
    </tableColumn>
    <tableColumn id="16" name="2030" dataDxfId="290" dataCellStyle="ofwhich">
      <calculatedColumnFormula>INDEX(INDIRECT("'"&amp;K$8&amp;"'!Year.NetBalance"), MATCH($C9, INDIRECT("'"&amp;K$8&amp;"'!Year.Vectors"), 0))</calculatedColumnFormula>
    </tableColumn>
    <tableColumn id="17" name="2035" dataDxfId="289" dataCellStyle="ofwhich">
      <calculatedColumnFormula>INDEX(INDIRECT("'"&amp;L$8&amp;"'!Year.NetBalance"), MATCH($C9, INDIRECT("'"&amp;L$8&amp;"'!Year.Vectors"), 0))</calculatedColumnFormula>
    </tableColumn>
    <tableColumn id="18" name="2040" dataDxfId="288" dataCellStyle="ofwhich">
      <calculatedColumnFormula>INDEX(INDIRECT("'"&amp;M$8&amp;"'!Year.NetBalance"), MATCH($C9, INDIRECT("'"&amp;M$8&amp;"'!Year.Vectors"), 0))</calculatedColumnFormula>
    </tableColumn>
    <tableColumn id="19" name="2045" dataDxfId="287" dataCellStyle="ofwhich">
      <calculatedColumnFormula>INDEX(INDIRECT("'"&amp;N$8&amp;"'!Year.NetBalance"), MATCH($C9, INDIRECT("'"&amp;N$8&amp;"'!Year.Vectors"), 0))</calculatedColumnFormula>
    </tableColumn>
    <tableColumn id="20" name="2050" dataDxfId="286" dataCellStyle="ofwhich">
      <calculatedColumnFormula>INDEX(INDIRECT("'"&amp;O$8&amp;"'!Year.NetBalance"), MATCH($C9, INDIRECT("'"&amp;O$8&amp;"'!Year.Vectors"), 0))</calculatedColumnFormula>
    </tableColumn>
  </tableColumns>
  <tableStyleInfo name="EnergyCalcTables" showFirstColumn="0" showLastColumn="0" showRowStripes="1" showColumnStripes="0"/>
</table>
</file>

<file path=xl/tables/table32.xml><?xml version="1.0" encoding="utf-8"?>
<table xmlns="http://schemas.openxmlformats.org/spreadsheetml/2006/main" id="147" name="XVI.b.Outputs" displayName="XVI.b.Outputs" ref="C52:O54" insertRow="1" totalsRowCount="1" headerRowDxfId="285" dataDxfId="284">
  <autoFilter ref="C52:O53"/>
  <tableColumns count="13">
    <tableColumn id="1" name="Vector" totalsRowLabel="Total" dataDxfId="283" totalsRowDxfId="282"/>
    <tableColumn id="2" name="Name" dataDxfId="281" totalsRowDxfId="280">
      <calculatedColumnFormula>INDEX([7]!Vectors[Description], MATCH(XVI.b.Outputs[Vector], [7]!Vectors[Code], 0))</calculatedColumnFormula>
    </tableColumn>
    <tableColumn id="3" name="Notes" dataDxfId="279" totalsRowDxfId="278"/>
    <tableColumn id="4" name="2007" totalsRowFunction="sum" dataDxfId="277" totalsRowDxfId="276" dataCellStyle="Comma">
      <calculatedColumnFormula>#REF!+#REF!</calculatedColumnFormula>
    </tableColumn>
    <tableColumn id="5" name="2010" totalsRowFunction="sum" dataDxfId="275" totalsRowDxfId="274" dataCellStyle="Comma"/>
    <tableColumn id="6" name="2015" totalsRowFunction="sum" dataDxfId="273" totalsRowDxfId="272" dataCellStyle="Comma"/>
    <tableColumn id="7" name="2020" totalsRowFunction="sum" dataDxfId="271" totalsRowDxfId="270" dataCellStyle="Comma"/>
    <tableColumn id="8" name="2025" totalsRowFunction="sum" dataDxfId="269" totalsRowDxfId="268" dataCellStyle="Comma"/>
    <tableColumn id="9" name="2030" totalsRowFunction="sum" dataDxfId="267" totalsRowDxfId="266" dataCellStyle="Comma"/>
    <tableColumn id="10" name="2035" totalsRowFunction="sum" dataDxfId="265" totalsRowDxfId="264" dataCellStyle="Comma"/>
    <tableColumn id="11" name="2040" totalsRowFunction="sum" dataDxfId="263" totalsRowDxfId="262" dataCellStyle="Comma"/>
    <tableColumn id="12" name="2045" totalsRowFunction="sum" dataDxfId="261" totalsRowDxfId="260" dataCellStyle="Comma"/>
    <tableColumn id="13" name="2050" totalsRowFunction="sum" dataDxfId="259" totalsRowDxfId="258" dataCellStyle="Comma"/>
  </tableColumns>
  <tableStyleInfo name="EnergyCalcTables" showFirstColumn="0" showLastColumn="0" showRowStripes="1" showColumnStripes="0"/>
</table>
</file>

<file path=xl/tables/table33.xml><?xml version="1.0" encoding="utf-8"?>
<table xmlns="http://schemas.openxmlformats.org/spreadsheetml/2006/main" id="148" name="XVI.b.Emissions" displayName="XVI.b.Emissions" ref="C61:O63" insertRow="1" totalsRowCount="1" headerRowDxfId="257" dataDxfId="255" headerRowBorderDxfId="256" tableBorderDxfId="254" dataCellStyle="Comma">
  <autoFilter ref="C61:O62"/>
  <tableColumns count="13">
    <tableColumn id="1" name="GHG" totalsRowLabel="Total" dataDxfId="253" totalsRowDxfId="252"/>
    <tableColumn id="2" name="IPCC Sector" dataDxfId="251" totalsRowDxfId="250"/>
    <tableColumn id="3" name="Notes" dataDxfId="249" totalsRowDxfId="248">
      <calculatedColumnFormula>INDEX([7]!IPCC[Sector_description], MATCH(XVI.b.Emissions[IPCC Sector], [7]!IPCC[Sector_code], 0))</calculatedColumnFormula>
    </tableColumn>
    <tableColumn id="4" name="2007" totalsRowFunction="sum" dataDxfId="247" totalsRowDxfId="246" dataCellStyle="Comma">
      <calculatedColumnFormula>F$38</calculatedColumnFormula>
    </tableColumn>
    <tableColumn id="5" name="2010" totalsRowFunction="sum" dataDxfId="245" totalsRowDxfId="244" dataCellStyle="Comma">
      <calculatedColumnFormula>G$38</calculatedColumnFormula>
    </tableColumn>
    <tableColumn id="6" name="2015" totalsRowFunction="sum" dataDxfId="243" totalsRowDxfId="242" dataCellStyle="Comma">
      <calculatedColumnFormula>H$38</calculatedColumnFormula>
    </tableColumn>
    <tableColumn id="7" name="2020" totalsRowFunction="sum" dataDxfId="241" totalsRowDxfId="240" dataCellStyle="Comma">
      <calculatedColumnFormula>I$38</calculatedColumnFormula>
    </tableColumn>
    <tableColumn id="8" name="2025" totalsRowFunction="sum" dataDxfId="239" totalsRowDxfId="238" dataCellStyle="Comma">
      <calculatedColumnFormula>J$38</calculatedColumnFormula>
    </tableColumn>
    <tableColumn id="9" name="2030" totalsRowFunction="sum" dataDxfId="237" totalsRowDxfId="236" dataCellStyle="Comma">
      <calculatedColumnFormula>K$38</calculatedColumnFormula>
    </tableColumn>
    <tableColumn id="10" name="2035" totalsRowFunction="sum" dataDxfId="235" totalsRowDxfId="234" dataCellStyle="Comma">
      <calculatedColumnFormula>L$38</calculatedColumnFormula>
    </tableColumn>
    <tableColumn id="11" name="2040" totalsRowFunction="sum" dataDxfId="233" totalsRowDxfId="232" dataCellStyle="Comma">
      <calculatedColumnFormula>M$38</calculatedColumnFormula>
    </tableColumn>
    <tableColumn id="12" name="2045" totalsRowFunction="sum" dataDxfId="231" totalsRowDxfId="230" dataCellStyle="Comma">
      <calculatedColumnFormula>N$38</calculatedColumnFormula>
    </tableColumn>
    <tableColumn id="13" name="2050" totalsRowFunction="sum" dataDxfId="229" totalsRowDxfId="228" dataCellStyle="Comma">
      <calculatedColumnFormula>O$38</calculatedColumnFormula>
    </tableColumn>
  </tableColumns>
  <tableStyleInfo name="EnergyCalcTables" showFirstColumn="0" showLastColumn="0" showRowStripes="1" showColumnStripes="0"/>
</table>
</file>

<file path=xl/tables/table34.xml><?xml version="1.0" encoding="utf-8"?>
<table xmlns="http://schemas.openxmlformats.org/spreadsheetml/2006/main" id="149" name="XVI.b.info" displayName="XVI.b.info" ref="C70:O71" insertRow="1" totalsRowShown="0" headerRowDxfId="227" dataDxfId="225" totalsRowDxfId="223" headerRowBorderDxfId="226" tableBorderDxfId="224" dataCellStyle="Comma">
  <autoFilter ref="C70:O71"/>
  <tableColumns count="13">
    <tableColumn id="1" name="Vector" dataDxfId="222" totalsRowDxfId="221"/>
    <tableColumn id="2" name="Information type" dataDxfId="220" totalsRowDxfId="219">
      <calculatedColumnFormula>INDEX([7]!Vectors[Description], MATCH(XVI.b.info[Vector], [7]!Vectors[Code], 0))</calculatedColumnFormula>
    </tableColumn>
    <tableColumn id="3" name="Notes" dataDxfId="218" totalsRowDxfId="217">
      <calculatedColumnFormula>INDEX([7]!Vectors[Comment], MATCH(XVI.b.info[Information type], [7]!Vectors[Description], 0))</calculatedColumnFormula>
    </tableColumn>
    <tableColumn id="4" name="2007" dataDxfId="216" totalsRowDxfId="215" dataCellStyle="Comma"/>
    <tableColumn id="5" name="2010" dataDxfId="214" totalsRowDxfId="213" dataCellStyle="Comma"/>
    <tableColumn id="6" name="2015" dataDxfId="212" totalsRowDxfId="211" dataCellStyle="Comma"/>
    <tableColumn id="7" name="2020" dataDxfId="210" totalsRowDxfId="209" dataCellStyle="Comma"/>
    <tableColumn id="8" name="2025" dataDxfId="208" totalsRowDxfId="207" dataCellStyle="Comma"/>
    <tableColumn id="9" name="2030" dataDxfId="206" totalsRowDxfId="205" dataCellStyle="Comma"/>
    <tableColumn id="10" name="2035" dataDxfId="204" totalsRowDxfId="203" dataCellStyle="Comma"/>
    <tableColumn id="11" name="2040" dataDxfId="202" totalsRowDxfId="201" dataCellStyle="Comma"/>
    <tableColumn id="12" name="2045" dataDxfId="200" totalsRowDxfId="199" dataCellStyle="Comma"/>
    <tableColumn id="13" name="2050" dataDxfId="198" totalsRowDxfId="197" dataCellStyle="Comma"/>
  </tableColumns>
  <tableStyleInfo name="EnergyCalcTables" showFirstColumn="0" showLastColumn="0" showRowStripes="1" showColumnStripes="0"/>
</table>
</file>

<file path=xl/tables/table35.xml><?xml version="1.0" encoding="utf-8"?>
<table xmlns="http://schemas.openxmlformats.org/spreadsheetml/2006/main" id="143" name="XVI.b.Costs" displayName="XVI.b.Costs" ref="C78:O80" headerRowDxfId="196" dataDxfId="194" headerRowBorderDxfId="195" tableBorderDxfId="193" dataCellStyle="Comma">
  <autoFilter ref="C78:O80"/>
  <tableColumns count="13">
    <tableColumn id="1" name="Vector" totalsRowLabel="Total" dataDxfId="192" totalsRowDxfId="191"/>
    <tableColumn id="2" name="Name" dataDxfId="190" totalsRowDxfId="189">
      <calculatedColumnFormula>INDEX([3]!CostVectors[Description], MATCH(C79, [3]!CostVectors[Code], 0))</calculatedColumnFormula>
    </tableColumn>
    <tableColumn id="3" name="Notes" dataDxfId="188" totalsRowDxfId="187"/>
    <tableColumn id="4" name="2007" dataDxfId="186" totalsRowDxfId="185" dataCellStyle="Comma"/>
    <tableColumn id="5" name="2010" totalsRowFunction="custom" dataDxfId="184" totalsRowDxfId="183" dataCellStyle="Comma">
      <totalsRowFormula>SUM(XVI.b.Costs[2010])</totalsRowFormula>
    </tableColumn>
    <tableColumn id="6" name="2015" totalsRowFunction="custom" dataDxfId="182" totalsRowDxfId="181" dataCellStyle="Comma">
      <totalsRowFormula>SUM(XVI.b.Costs[2015])</totalsRowFormula>
    </tableColumn>
    <tableColumn id="7" name="2020" totalsRowFunction="sum" dataDxfId="180" totalsRowDxfId="179" dataCellStyle="Comma"/>
    <tableColumn id="8" name="2025" totalsRowFunction="sum" dataDxfId="178" totalsRowDxfId="177" dataCellStyle="Comma"/>
    <tableColumn id="9" name="2030" totalsRowFunction="sum" dataDxfId="176" totalsRowDxfId="175" dataCellStyle="Comma"/>
    <tableColumn id="10" name="2035" totalsRowFunction="sum" dataDxfId="174" totalsRowDxfId="173" dataCellStyle="Comma"/>
    <tableColumn id="11" name="2040" totalsRowFunction="sum" dataDxfId="172" totalsRowDxfId="171" dataCellStyle="Comma"/>
    <tableColumn id="12" name="2045" totalsRowFunction="sum" dataDxfId="170" totalsRowDxfId="169" dataCellStyle="Comma"/>
    <tableColumn id="13" name="2050" totalsRowFunction="sum" dataDxfId="168" totalsRowDxfId="167" dataCellStyle="Comma"/>
  </tableColumns>
  <tableStyleInfo name="EnergyCalcTables" showFirstColumn="0" showLastColumn="0" showRowStripes="1" showColumnStripes="0"/>
</table>
</file>

<file path=xl/tables/table36.xml><?xml version="1.0" encoding="utf-8"?>
<table xmlns="http://schemas.openxmlformats.org/spreadsheetml/2006/main" id="98" name="Table" displayName="Table" ref="C14:O15" totalsRowShown="0" headerRowDxfId="166" dataDxfId="164" headerRowBorderDxfId="165" tableBorderDxfId="163" dataCellStyle="ofwhich">
  <autoFilter ref="C14:O15"/>
  <tableColumns count="13">
    <tableColumn id="1" name="Vector" dataDxfId="162"/>
    <tableColumn id="2" name="Name" dataDxfId="161">
      <calculatedColumnFormula>INDEX(Vectors[Description], MATCH(Table[Vector], Vectors[Code], 0))</calculatedColumnFormula>
    </tableColumn>
    <tableColumn id="3" name="Notes" dataDxfId="160"/>
    <tableColumn id="4" name="2007" dataDxfId="159" dataCellStyle="ofwhich">
      <calculatedColumnFormula>INDEX(INDIRECT("'"&amp;F$8&amp;"'!Year.NetBalance"), MATCH($C15, INDIRECT("'"&amp;F$8&amp;"'!Year.Vectors"), 0))</calculatedColumnFormula>
    </tableColumn>
    <tableColumn id="5" name="2010" dataDxfId="158" dataCellStyle="ofwhich">
      <calculatedColumnFormula>INDEX(INDIRECT("'"&amp;G$8&amp;"'!Year.NetBalance"), MATCH($C15, INDIRECT("'"&amp;G$8&amp;"'!Year.Vectors"), 0))</calculatedColumnFormula>
    </tableColumn>
    <tableColumn id="6" name="2015" dataDxfId="157" dataCellStyle="ofwhich">
      <calculatedColumnFormula>INDEX(INDIRECT("'"&amp;H$8&amp;"'!Year.NetBalance"), MATCH($C15, INDIRECT("'"&amp;H$8&amp;"'!Year.Vectors"), 0))</calculatedColumnFormula>
    </tableColumn>
    <tableColumn id="7" name="2020" dataDxfId="156" dataCellStyle="ofwhich">
      <calculatedColumnFormula>INDEX(INDIRECT("'"&amp;I$8&amp;"'!Year.NetBalance"), MATCH($C15, INDIRECT("'"&amp;I$8&amp;"'!Year.Vectors"), 0))</calculatedColumnFormula>
    </tableColumn>
    <tableColumn id="8" name="2025" dataDxfId="155" dataCellStyle="ofwhich">
      <calculatedColumnFormula>INDEX(INDIRECT("'"&amp;J$8&amp;"'!Year.NetBalance"), MATCH($C15, INDIRECT("'"&amp;J$8&amp;"'!Year.Vectors"), 0))</calculatedColumnFormula>
    </tableColumn>
    <tableColumn id="9" name="2030" dataDxfId="154" dataCellStyle="ofwhich">
      <calculatedColumnFormula>INDEX(INDIRECT("'"&amp;K$8&amp;"'!Year.NetBalance"), MATCH($C15, INDIRECT("'"&amp;K$8&amp;"'!Year.Vectors"), 0))</calculatedColumnFormula>
    </tableColumn>
    <tableColumn id="10" name="2035" dataDxfId="153" dataCellStyle="ofwhich">
      <calculatedColumnFormula>INDEX(INDIRECT("'"&amp;L$8&amp;"'!Year.NetBalance"), MATCH($C15, INDIRECT("'"&amp;L$8&amp;"'!Year.Vectors"), 0))</calculatedColumnFormula>
    </tableColumn>
    <tableColumn id="11" name="2040" dataDxfId="152" dataCellStyle="ofwhich">
      <calculatedColumnFormula>INDEX(INDIRECT("'"&amp;M$8&amp;"'!Year.NetBalance"), MATCH($C15, INDIRECT("'"&amp;M$8&amp;"'!Year.Vectors"), 0))</calculatedColumnFormula>
    </tableColumn>
    <tableColumn id="12" name="2045" dataDxfId="151" dataCellStyle="ofwhich">
      <calculatedColumnFormula>INDEX(INDIRECT("'"&amp;N$8&amp;"'!Year.NetBalance"), MATCH($C15, INDIRECT("'"&amp;N$8&amp;"'!Year.Vectors"), 0))</calculatedColumnFormula>
    </tableColumn>
    <tableColumn id="13" name="2050" dataDxfId="150" dataCellStyle="ofwhich">
      <calculatedColumnFormula>INDEX(INDIRECT("'"&amp;O$8&amp;"'!Year.NetBalance"), MATCH($C15, INDIRECT("'"&amp;O$8&amp;"'!Year.Vectors"), 0))</calculatedColumnFormula>
    </tableColumn>
  </tableColumns>
  <tableStyleInfo name="EnergyCalcTables" showFirstColumn="0" showLastColumn="0" showRowStripes="1" showColumnStripes="0"/>
</table>
</file>

<file path=xl/tables/table37.xml><?xml version="1.0" encoding="utf-8"?>
<table xmlns="http://schemas.openxmlformats.org/spreadsheetml/2006/main" id="56" name="XVII.a.Inputs" displayName="XVII.a.Inputs" ref="C8:O9" totalsRowShown="0" headerRowDxfId="149" dataDxfId="148">
  <autoFilter ref="C8:O9"/>
  <tableColumns count="13">
    <tableColumn id="1" name="Vector" dataDxfId="147"/>
    <tableColumn id="2" name="Name" dataDxfId="146">
      <calculatedColumnFormula>INDEX(Vectors[Description], MATCH(XVII.a.Inputs[Vector], Vectors[Code], 0))</calculatedColumnFormula>
    </tableColumn>
    <tableColumn id="3" name="Notes" dataDxfId="145"/>
    <tableColumn id="4" name="2007" dataDxfId="144" dataCellStyle="Comma">
      <calculatedColumnFormula>INDEX(INDIRECT("'"&amp;XVII.a.Inputs[#Headers]&amp;"'!Year.Matrix"), MATCH("Subtotal."&amp;$A$2, INDIRECT("'"&amp;XVII.a.Inputs[#Headers]&amp;"'!Year.Modules"), 0), MATCH(XVII.a.Inputs[Vector], INDIRECT("'"&amp;XVII.a.Inputs[#Headers]&amp;"'!Year.Vectors"), 0))</calculatedColumnFormula>
    </tableColumn>
    <tableColumn id="5" name="2010" dataDxfId="143" dataCellStyle="Comma">
      <calculatedColumnFormula>INDEX(INDIRECT("'"&amp;XVII.a.Inputs[#Headers]&amp;"'!Year.Matrix"), MATCH("Subtotal."&amp;$A$2, INDIRECT("'"&amp;XVII.a.Inputs[#Headers]&amp;"'!Year.Modules"), 0), MATCH(XVII.a.Inputs[Vector], INDIRECT("'"&amp;XVII.a.Inputs[#Headers]&amp;"'!Year.Vectors"), 0))</calculatedColumnFormula>
    </tableColumn>
    <tableColumn id="6" name="2015" dataDxfId="142" dataCellStyle="Comma">
      <calculatedColumnFormula>INDEX(INDIRECT("'"&amp;XVII.a.Inputs[#Headers]&amp;"'!Year.Matrix"), MATCH("Subtotal."&amp;$A$2, INDIRECT("'"&amp;XVII.a.Inputs[#Headers]&amp;"'!Year.Modules"), 0), MATCH(XVII.a.Inputs[Vector], INDIRECT("'"&amp;XVII.a.Inputs[#Headers]&amp;"'!Year.Vectors"), 0))</calculatedColumnFormula>
    </tableColumn>
    <tableColumn id="7" name="2020" dataDxfId="141" dataCellStyle="Comma">
      <calculatedColumnFormula>INDEX(INDIRECT("'"&amp;XVII.a.Inputs[#Headers]&amp;"'!Year.Matrix"), MATCH("Subtotal."&amp;$A$2, INDIRECT("'"&amp;XVII.a.Inputs[#Headers]&amp;"'!Year.Modules"), 0), MATCH(XVII.a.Inputs[Vector], INDIRECT("'"&amp;XVII.a.Inputs[#Headers]&amp;"'!Year.Vectors"), 0))</calculatedColumnFormula>
    </tableColumn>
    <tableColumn id="15" name="2025" dataDxfId="140" dataCellStyle="Comma">
      <calculatedColumnFormula>INDEX(INDIRECT("'"&amp;XVII.a.Inputs[#Headers]&amp;"'!Year.Matrix"), MATCH("Subtotal."&amp;$A$2, INDIRECT("'"&amp;XVII.a.Inputs[#Headers]&amp;"'!Year.Modules"), 0), MATCH(XVII.a.Inputs[Vector], INDIRECT("'"&amp;XVII.a.Inputs[#Headers]&amp;"'!Year.Vectors"), 0))</calculatedColumnFormula>
    </tableColumn>
    <tableColumn id="16" name="2030" dataDxfId="139" dataCellStyle="Comma">
      <calculatedColumnFormula>INDEX(INDIRECT("'"&amp;XVII.a.Inputs[#Headers]&amp;"'!Year.Matrix"), MATCH("Subtotal."&amp;$A$2, INDIRECT("'"&amp;XVII.a.Inputs[#Headers]&amp;"'!Year.Modules"), 0), MATCH(XVII.a.Inputs[Vector], INDIRECT("'"&amp;XVII.a.Inputs[#Headers]&amp;"'!Year.Vectors"), 0))</calculatedColumnFormula>
    </tableColumn>
    <tableColumn id="17" name="2035" dataDxfId="138" dataCellStyle="Comma">
      <calculatedColumnFormula>INDEX(INDIRECT("'"&amp;XVII.a.Inputs[#Headers]&amp;"'!Year.Matrix"), MATCH("Subtotal."&amp;$A$2, INDIRECT("'"&amp;XVII.a.Inputs[#Headers]&amp;"'!Year.Modules"), 0), MATCH(XVII.a.Inputs[Vector], INDIRECT("'"&amp;XVII.a.Inputs[#Headers]&amp;"'!Year.Vectors"), 0))</calculatedColumnFormula>
    </tableColumn>
    <tableColumn id="18" name="2040" dataDxfId="137" dataCellStyle="Comma">
      <calculatedColumnFormula>INDEX(INDIRECT("'"&amp;XVII.a.Inputs[#Headers]&amp;"'!Year.Matrix"), MATCH("Subtotal."&amp;$A$2, INDIRECT("'"&amp;XVII.a.Inputs[#Headers]&amp;"'!Year.Modules"), 0), MATCH(XVII.a.Inputs[Vector], INDIRECT("'"&amp;XVII.a.Inputs[#Headers]&amp;"'!Year.Vectors"), 0))</calculatedColumnFormula>
    </tableColumn>
    <tableColumn id="19" name="2045" dataDxfId="136" dataCellStyle="Comma">
      <calculatedColumnFormula>INDEX(INDIRECT("'"&amp;XVII.a.Inputs[#Headers]&amp;"'!Year.Matrix"), MATCH("Subtotal."&amp;$A$2, INDIRECT("'"&amp;XVII.a.Inputs[#Headers]&amp;"'!Year.Modules"), 0), MATCH(XVII.a.Inputs[Vector], INDIRECT("'"&amp;XVII.a.Inputs[#Headers]&amp;"'!Year.Vectors"), 0))</calculatedColumnFormula>
    </tableColumn>
    <tableColumn id="20" name="2050" dataDxfId="135" dataCellStyle="Comma">
      <calculatedColumnFormula>INDEX(INDIRECT("'"&amp;XVII.a.Inputs[#Headers]&amp;"'!Year.Matrix"), MATCH("Subtotal."&amp;$A$2, INDIRECT("'"&amp;XVII.a.Inputs[#Headers]&amp;"'!Year.Modules"), 0), MATCH(XVII.a.Inputs[Vector], INDIRECT("'"&amp;XVII.a.Inputs[#Headers]&amp;"'!Year.Vectors"), 0))</calculatedColumnFormula>
    </tableColumn>
  </tableColumns>
  <tableStyleInfo name="EnergyCalcTables" showFirstColumn="0" showLastColumn="0" showRowStripes="1" showColumnStripes="0"/>
</table>
</file>

<file path=xl/tables/table38.xml><?xml version="1.0" encoding="utf-8"?>
<table xmlns="http://schemas.openxmlformats.org/spreadsheetml/2006/main" id="57" name="XVII.a.Outputs" displayName="XVII.a.Outputs" ref="C65:O69" totalsRowCount="1" headerRowDxfId="134" dataDxfId="133">
  <autoFilter ref="C65:O68"/>
  <tableColumns count="13">
    <tableColumn id="1" name="Vector" totalsRowLabel="Total" dataDxfId="132" totalsRowDxfId="131"/>
    <tableColumn id="2" name="Name" dataDxfId="130" totalsRowDxfId="129">
      <calculatedColumnFormula>INDEX([4]!Vectors[Description], MATCH(XVII.a.Outputs[Vector], [4]!Vectors[Code], 0))</calculatedColumnFormula>
    </tableColumn>
    <tableColumn id="3" name="Notes" dataDxfId="128" totalsRowDxfId="127"/>
    <tableColumn id="4" name="2007" totalsRowFunction="sum" dataDxfId="126" totalsRowDxfId="125" dataCellStyle="Comma">
      <calculatedColumnFormula>F$41+#REF!</calculatedColumnFormula>
    </tableColumn>
    <tableColumn id="5" name="2010" totalsRowFunction="sum" dataDxfId="124" totalsRowDxfId="123" dataCellStyle="Comma"/>
    <tableColumn id="6" name="2015" totalsRowFunction="sum" dataDxfId="122" totalsRowDxfId="121" dataCellStyle="Comma"/>
    <tableColumn id="7" name="2020" totalsRowFunction="sum" dataDxfId="120" totalsRowDxfId="119" dataCellStyle="Comma"/>
    <tableColumn id="8" name="2025" totalsRowFunction="sum" dataDxfId="118" totalsRowDxfId="117" dataCellStyle="Comma"/>
    <tableColumn id="9" name="2030" totalsRowFunction="sum" dataDxfId="116" totalsRowDxfId="115" dataCellStyle="Comma"/>
    <tableColumn id="10" name="2035" totalsRowFunction="sum" dataDxfId="114" totalsRowDxfId="113" dataCellStyle="Comma"/>
    <tableColumn id="11" name="2040" totalsRowFunction="sum" dataDxfId="112" totalsRowDxfId="111" dataCellStyle="Comma"/>
    <tableColumn id="12" name="2045" totalsRowFunction="sum" dataDxfId="110" totalsRowDxfId="109" dataCellStyle="Comma"/>
    <tableColumn id="13" name="2050" totalsRowFunction="sum" dataDxfId="108" totalsRowDxfId="107" dataCellStyle="Comma"/>
  </tableColumns>
  <tableStyleInfo name="EnergyCalcTables" showFirstColumn="0" showLastColumn="0" showRowStripes="1" showColumnStripes="0"/>
</table>
</file>

<file path=xl/tables/table39.xml><?xml version="1.0" encoding="utf-8"?>
<table xmlns="http://schemas.openxmlformats.org/spreadsheetml/2006/main" id="84" name="XVII.a.info" displayName="XVII.a.info" ref="C76:O78" totalsRowShown="0" headerRowDxfId="106" dataDxfId="104" totalsRowDxfId="102" headerRowBorderDxfId="105" tableBorderDxfId="103" dataCellStyle="Comma">
  <autoFilter ref="C76:O78"/>
  <tableColumns count="13">
    <tableColumn id="1" name="Vector" dataDxfId="101" totalsRowDxfId="100"/>
    <tableColumn id="2" name="Information type" dataDxfId="99" totalsRowDxfId="98">
      <calculatedColumnFormula>INDEX([4]!Vectors[Description], MATCH(XVII.a.info[Vector], [4]!Vectors[Code], 0))</calculatedColumnFormula>
    </tableColumn>
    <tableColumn id="3" name="Notes" dataDxfId="97" totalsRowDxfId="96">
      <calculatedColumnFormula>INDEX([4]!Vectors[Comment], MATCH(XVII.a.info[Information type], [4]!Vectors[Description], 0))</calculatedColumnFormula>
    </tableColumn>
    <tableColumn id="4" name="2007" dataDxfId="95" totalsRowDxfId="94" dataCellStyle="Comma">
      <calculatedColumnFormula>F9</calculatedColumnFormula>
    </tableColumn>
    <tableColumn id="5" name="2010" dataDxfId="93" totalsRowDxfId="92" dataCellStyle="Comma"/>
    <tableColumn id="6" name="2015" dataDxfId="91" totalsRowDxfId="90" dataCellStyle="Comma"/>
    <tableColumn id="7" name="2020" dataDxfId="89" totalsRowDxfId="88" dataCellStyle="Comma"/>
    <tableColumn id="8" name="2025" dataDxfId="87" totalsRowDxfId="86" dataCellStyle="Comma"/>
    <tableColumn id="9" name="2030" dataDxfId="85" totalsRowDxfId="84" dataCellStyle="Comma"/>
    <tableColumn id="10" name="2035" dataDxfId="83" totalsRowDxfId="82" dataCellStyle="Comma"/>
    <tableColumn id="11" name="2040" dataDxfId="81" totalsRowDxfId="80" dataCellStyle="Comma"/>
    <tableColumn id="12" name="2045" dataDxfId="79" totalsRowDxfId="78" dataCellStyle="Comma"/>
    <tableColumn id="13" name="2050" dataDxfId="77" totalsRowDxfId="76" dataCellStyle="Comma"/>
  </tableColumns>
  <tableStyleInfo name="EnergyCalcTables" showFirstColumn="0" showLastColumn="0" showRowStripes="1" showColumnStripes="0"/>
</table>
</file>

<file path=xl/tables/table40.xml><?xml version="1.0" encoding="utf-8"?>
<table xmlns="http://schemas.openxmlformats.org/spreadsheetml/2006/main" id="86" name="XVII.a.Costs" displayName="XVII.a.Costs" ref="C85:O89" headerRowDxfId="75" dataDxfId="73" headerRowBorderDxfId="74" tableBorderDxfId="72">
  <autoFilter ref="C85:O89"/>
  <tableColumns count="13">
    <tableColumn id="1" name="Vector" totalsRowLabel="Total" dataDxfId="71" totalsRowDxfId="70"/>
    <tableColumn id="2" name="Name" dataDxfId="69" totalsRowDxfId="68">
      <calculatedColumnFormula>INDEX([4]!CostVectors[Description], MATCH(C86, [4]!CostVectors[Code], 0))</calculatedColumnFormula>
    </tableColumn>
    <tableColumn id="3" name="Notes" dataDxfId="67" totalsRowDxfId="66"/>
    <tableColumn id="4" name="2007" dataDxfId="65" totalsRowDxfId="64" dataCellStyle="Comma"/>
    <tableColumn id="5" name="2010" totalsRowFunction="custom" dataDxfId="63" totalsRowDxfId="62" dataCellStyle="Comma">
      <totalsRowFormula>SUM(XVII.a.Costs[2010])</totalsRowFormula>
    </tableColumn>
    <tableColumn id="6" name="2015" totalsRowFunction="custom" dataDxfId="61" totalsRowDxfId="60" dataCellStyle="Comma">
      <totalsRowFormula>SUM(XVII.a.Costs[2015])</totalsRowFormula>
    </tableColumn>
    <tableColumn id="7" name="2020" totalsRowFunction="sum" dataDxfId="59" totalsRowDxfId="58" dataCellStyle="Comma"/>
    <tableColumn id="8" name="2025" totalsRowFunction="sum" dataDxfId="57" totalsRowDxfId="56" dataCellStyle="Comma"/>
    <tableColumn id="9" name="2030" totalsRowFunction="sum" dataDxfId="55" totalsRowDxfId="54" dataCellStyle="Comma"/>
    <tableColumn id="10" name="2035" totalsRowFunction="sum" dataDxfId="53" totalsRowDxfId="52" dataCellStyle="Comma"/>
    <tableColumn id="11" name="2040" totalsRowFunction="sum" dataDxfId="51" totalsRowDxfId="50" dataCellStyle="Comma"/>
    <tableColumn id="12" name="2045" totalsRowFunction="sum" dataDxfId="49" totalsRowDxfId="48" dataCellStyle="Comma"/>
    <tableColumn id="13" name="2050" totalsRowFunction="sum" dataDxfId="47" totalsRowDxfId="46" dataCellStyle="Comma"/>
  </tableColumns>
  <tableStyleInfo name="EnergyCalcTables" showFirstColumn="0" showLastColumn="0" showRowStripes="1" showColumnStripes="0"/>
</table>
</file>

<file path=xl/tables/table41.xml><?xml version="1.0" encoding="utf-8"?>
<table xmlns="http://schemas.openxmlformats.org/spreadsheetml/2006/main" id="82" name="XVII.a.Inputs83" displayName="XVII.a.Inputs83" ref="C8:O9" totalsRowShown="0" headerRowDxfId="45" dataDxfId="44" dataCellStyle="ofwhich">
  <autoFilter ref="C8:O9"/>
  <tableColumns count="13">
    <tableColumn id="1" name="Vector" dataDxfId="43"/>
    <tableColumn id="2" name="Name" dataDxfId="42">
      <calculatedColumnFormula>INDEX(IPCC[Sector_description], MATCH($C9, IPCC[Sector_code], 0))</calculatedColumnFormula>
    </tableColumn>
    <tableColumn id="3" name="Notes" dataDxfId="41"/>
    <tableColumn id="4" name="2007" dataDxfId="40" dataCellStyle="ofwhich">
      <calculatedColumnFormula>SUMIFS(INDIRECT("'"&amp;F$8&amp;"'!Year.Emissions"), INDIRECT("'"&amp;F$8&amp;"'!Year.IPCC"), $C9)</calculatedColumnFormula>
    </tableColumn>
    <tableColumn id="5" name="2010" dataDxfId="39" dataCellStyle="ofwhich">
      <calculatedColumnFormula>SUMIFS(INDIRECT("'"&amp;G$8&amp;"'!Year.Emissions"), INDIRECT("'"&amp;G$8&amp;"'!Year.IPCC"), $C9)</calculatedColumnFormula>
    </tableColumn>
    <tableColumn id="6" name="2015" dataDxfId="38" dataCellStyle="ofwhich">
      <calculatedColumnFormula>SUMIFS(INDIRECT("'"&amp;H$8&amp;"'!Year.Emissions"), INDIRECT("'"&amp;H$8&amp;"'!Year.IPCC"), $C9)</calculatedColumnFormula>
    </tableColumn>
    <tableColumn id="7" name="2020" dataDxfId="37" dataCellStyle="ofwhich">
      <calculatedColumnFormula>SUMIFS(INDIRECT("'"&amp;I$8&amp;"'!Year.Emissions"), INDIRECT("'"&amp;I$8&amp;"'!Year.IPCC"), $C9)</calculatedColumnFormula>
    </tableColumn>
    <tableColumn id="15" name="2025" dataDxfId="36" dataCellStyle="ofwhich">
      <calculatedColumnFormula>SUMIFS(INDIRECT("'"&amp;J$8&amp;"'!Year.Emissions"), INDIRECT("'"&amp;J$8&amp;"'!Year.IPCC"), $C9)</calculatedColumnFormula>
    </tableColumn>
    <tableColumn id="16" name="2030" dataDxfId="35" dataCellStyle="ofwhich">
      <calculatedColumnFormula>SUMIFS(INDIRECT("'"&amp;K$8&amp;"'!Year.Emissions"), INDIRECT("'"&amp;K$8&amp;"'!Year.IPCC"), $C9)</calculatedColumnFormula>
    </tableColumn>
    <tableColumn id="17" name="2035" dataDxfId="34" dataCellStyle="ofwhich">
      <calculatedColumnFormula>SUMIFS(INDIRECT("'"&amp;L$8&amp;"'!Year.Emissions"), INDIRECT("'"&amp;L$8&amp;"'!Year.IPCC"), $C9)</calculatedColumnFormula>
    </tableColumn>
    <tableColumn id="18" name="2040" dataDxfId="33" dataCellStyle="ofwhich">
      <calculatedColumnFormula>SUMIFS(INDIRECT("'"&amp;M$8&amp;"'!Year.Emissions"), INDIRECT("'"&amp;M$8&amp;"'!Year.IPCC"), $C9)</calculatedColumnFormula>
    </tableColumn>
    <tableColumn id="19" name="2045" dataDxfId="32" dataCellStyle="ofwhich">
      <calculatedColumnFormula>SUMIFS(INDIRECT("'"&amp;N$8&amp;"'!Year.Emissions"), INDIRECT("'"&amp;N$8&amp;"'!Year.IPCC"), $C9)</calculatedColumnFormula>
    </tableColumn>
    <tableColumn id="20" name="2050" dataDxfId="31" dataCellStyle="ofwhich">
      <calculatedColumnFormula>SUMIFS(INDIRECT("'"&amp;O$8&amp;"'!Year.Emissions"), INDIRECT("'"&amp;O$8&amp;"'!Year.IPCC"), $C9)</calculatedColumnFormula>
    </tableColumn>
  </tableColumns>
  <tableStyleInfo name="EnergyCalcTables" showFirstColumn="0" showLastColumn="0" showRowStripes="1" showColumnStripes="0"/>
</table>
</file>

<file path=xl/tables/table42.xml><?xml version="1.0" encoding="utf-8"?>
<table xmlns="http://schemas.openxmlformats.org/spreadsheetml/2006/main" id="118" name="XVIII.Costs" displayName="XVIII.Costs" ref="C58:O62" headerRowDxfId="30" dataDxfId="28" headerRowBorderDxfId="29" tableBorderDxfId="27">
  <autoFilter ref="C58:O62"/>
  <tableColumns count="13">
    <tableColumn id="1" name="Vector" totalsRowLabel="Total" dataDxfId="26" totalsRowDxfId="25"/>
    <tableColumn id="2" name="Name" dataDxfId="24" totalsRowDxfId="23">
      <calculatedColumnFormula>INDEX(CostVectors[Description], MATCH(C59, CostVectors[Code], 0))</calculatedColumnFormula>
    </tableColumn>
    <tableColumn id="3" name="Notes" dataDxfId="22" totalsRowDxfId="21"/>
    <tableColumn id="4" name="2007" dataDxfId="20" totalsRowDxfId="19" dataCellStyle="Comma"/>
    <tableColumn id="5" name="2010" totalsRowFunction="custom" dataDxfId="18" totalsRowDxfId="17" dataCellStyle="Comma">
      <totalsRowFormula>SUM(XVIII.Costs[2010])</totalsRowFormula>
    </tableColumn>
    <tableColumn id="6" name="2015" totalsRowFunction="custom" dataDxfId="16" totalsRowDxfId="15" dataCellStyle="Comma">
      <totalsRowFormula>SUM(XVIII.Costs[2015])</totalsRowFormula>
    </tableColumn>
    <tableColumn id="7" name="2020" totalsRowFunction="sum" dataDxfId="14" totalsRowDxfId="13" dataCellStyle="Comma"/>
    <tableColumn id="8" name="2025" totalsRowFunction="sum" dataDxfId="12" totalsRowDxfId="11" dataCellStyle="Comma"/>
    <tableColumn id="9" name="2030" totalsRowFunction="sum" dataDxfId="10" totalsRowDxfId="9" dataCellStyle="Comma"/>
    <tableColumn id="10" name="2035" totalsRowFunction="sum" dataDxfId="8" totalsRowDxfId="7" dataCellStyle="Comma"/>
    <tableColumn id="11" name="2040" totalsRowFunction="sum" dataDxfId="6" totalsRowDxfId="5" dataCellStyle="Comma"/>
    <tableColumn id="12" name="2045" totalsRowFunction="sum" dataDxfId="4" totalsRowDxfId="3" dataCellStyle="Comma"/>
    <tableColumn id="13" name="2050" totalsRowFunction="sum" dataDxfId="2" totalsRowDxfId="1" dataCellStyle="Comma"/>
  </tableColumns>
  <tableStyleInfo name="EnergyCalcTables"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
      <a:majorFont>
        <a:latin typeface="Calibri"/>
        <a:ea typeface=""/>
        <a:cs typeface=""/>
        <a:font script="Jpan" typeface="HGｺﾞｼｯｸM"/>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Cambria"/>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42" Type="http://schemas.openxmlformats.org/officeDocument/2006/relationships/ctrlProp" Target="../ctrlProps/ctrlProp140.xml"/><Relationship Id="rId143" Type="http://schemas.openxmlformats.org/officeDocument/2006/relationships/ctrlProp" Target="../ctrlProps/ctrlProp141.xml"/><Relationship Id="rId144" Type="http://schemas.openxmlformats.org/officeDocument/2006/relationships/ctrlProp" Target="../ctrlProps/ctrlProp142.xml"/><Relationship Id="rId145" Type="http://schemas.openxmlformats.org/officeDocument/2006/relationships/ctrlProp" Target="../ctrlProps/ctrlProp143.xml"/><Relationship Id="rId146" Type="http://schemas.openxmlformats.org/officeDocument/2006/relationships/ctrlProp" Target="../ctrlProps/ctrlProp144.xml"/><Relationship Id="rId147" Type="http://schemas.openxmlformats.org/officeDocument/2006/relationships/ctrlProp" Target="../ctrlProps/ctrlProp145.xml"/><Relationship Id="rId148" Type="http://schemas.openxmlformats.org/officeDocument/2006/relationships/ctrlProp" Target="../ctrlProps/ctrlProp146.xml"/><Relationship Id="rId149" Type="http://schemas.openxmlformats.org/officeDocument/2006/relationships/ctrlProp" Target="../ctrlProps/ctrlProp147.xml"/><Relationship Id="rId180" Type="http://schemas.openxmlformats.org/officeDocument/2006/relationships/ctrlProp" Target="../ctrlProps/ctrlProp178.xml"/><Relationship Id="rId181" Type="http://schemas.openxmlformats.org/officeDocument/2006/relationships/ctrlProp" Target="../ctrlProps/ctrlProp179.xml"/><Relationship Id="rId182" Type="http://schemas.openxmlformats.org/officeDocument/2006/relationships/ctrlProp" Target="../ctrlProps/ctrlProp180.xml"/><Relationship Id="rId40" Type="http://schemas.openxmlformats.org/officeDocument/2006/relationships/ctrlProp" Target="../ctrlProps/ctrlProp38.xml"/><Relationship Id="rId41" Type="http://schemas.openxmlformats.org/officeDocument/2006/relationships/ctrlProp" Target="../ctrlProps/ctrlProp39.xml"/><Relationship Id="rId42" Type="http://schemas.openxmlformats.org/officeDocument/2006/relationships/ctrlProp" Target="../ctrlProps/ctrlProp40.xml"/><Relationship Id="rId43" Type="http://schemas.openxmlformats.org/officeDocument/2006/relationships/ctrlProp" Target="../ctrlProps/ctrlProp41.xml"/><Relationship Id="rId44" Type="http://schemas.openxmlformats.org/officeDocument/2006/relationships/ctrlProp" Target="../ctrlProps/ctrlProp42.xml"/><Relationship Id="rId45" Type="http://schemas.openxmlformats.org/officeDocument/2006/relationships/ctrlProp" Target="../ctrlProps/ctrlProp43.xml"/><Relationship Id="rId46" Type="http://schemas.openxmlformats.org/officeDocument/2006/relationships/ctrlProp" Target="../ctrlProps/ctrlProp44.xml"/><Relationship Id="rId47" Type="http://schemas.openxmlformats.org/officeDocument/2006/relationships/ctrlProp" Target="../ctrlProps/ctrlProp45.xml"/><Relationship Id="rId48" Type="http://schemas.openxmlformats.org/officeDocument/2006/relationships/ctrlProp" Target="../ctrlProps/ctrlProp46.xml"/><Relationship Id="rId49" Type="http://schemas.openxmlformats.org/officeDocument/2006/relationships/ctrlProp" Target="../ctrlProps/ctrlProp47.xml"/><Relationship Id="rId183" Type="http://schemas.openxmlformats.org/officeDocument/2006/relationships/ctrlProp" Target="../ctrlProps/ctrlProp181.xml"/><Relationship Id="rId184" Type="http://schemas.openxmlformats.org/officeDocument/2006/relationships/ctrlProp" Target="../ctrlProps/ctrlProp182.xml"/><Relationship Id="rId185" Type="http://schemas.openxmlformats.org/officeDocument/2006/relationships/ctrlProp" Target="../ctrlProps/ctrlProp183.xml"/><Relationship Id="rId186" Type="http://schemas.openxmlformats.org/officeDocument/2006/relationships/ctrlProp" Target="../ctrlProps/ctrlProp184.xml"/><Relationship Id="rId187" Type="http://schemas.openxmlformats.org/officeDocument/2006/relationships/ctrlProp" Target="../ctrlProps/ctrlProp185.xml"/><Relationship Id="rId188" Type="http://schemas.openxmlformats.org/officeDocument/2006/relationships/ctrlProp" Target="../ctrlProps/ctrlProp186.xml"/><Relationship Id="rId189" Type="http://schemas.openxmlformats.org/officeDocument/2006/relationships/ctrlProp" Target="../ctrlProps/ctrlProp187.xml"/><Relationship Id="rId80" Type="http://schemas.openxmlformats.org/officeDocument/2006/relationships/ctrlProp" Target="../ctrlProps/ctrlProp78.xml"/><Relationship Id="rId81" Type="http://schemas.openxmlformats.org/officeDocument/2006/relationships/ctrlProp" Target="../ctrlProps/ctrlProp79.xml"/><Relationship Id="rId82" Type="http://schemas.openxmlformats.org/officeDocument/2006/relationships/ctrlProp" Target="../ctrlProps/ctrlProp80.xml"/><Relationship Id="rId83" Type="http://schemas.openxmlformats.org/officeDocument/2006/relationships/ctrlProp" Target="../ctrlProps/ctrlProp81.xml"/><Relationship Id="rId84" Type="http://schemas.openxmlformats.org/officeDocument/2006/relationships/ctrlProp" Target="../ctrlProps/ctrlProp82.xml"/><Relationship Id="rId85" Type="http://schemas.openxmlformats.org/officeDocument/2006/relationships/ctrlProp" Target="../ctrlProps/ctrlProp83.xml"/><Relationship Id="rId86" Type="http://schemas.openxmlformats.org/officeDocument/2006/relationships/ctrlProp" Target="../ctrlProps/ctrlProp84.xml"/><Relationship Id="rId87" Type="http://schemas.openxmlformats.org/officeDocument/2006/relationships/ctrlProp" Target="../ctrlProps/ctrlProp85.xml"/><Relationship Id="rId88" Type="http://schemas.openxmlformats.org/officeDocument/2006/relationships/ctrlProp" Target="../ctrlProps/ctrlProp86.xml"/><Relationship Id="rId89" Type="http://schemas.openxmlformats.org/officeDocument/2006/relationships/ctrlProp" Target="../ctrlProps/ctrlProp87.xml"/><Relationship Id="rId110" Type="http://schemas.openxmlformats.org/officeDocument/2006/relationships/ctrlProp" Target="../ctrlProps/ctrlProp108.xml"/><Relationship Id="rId111" Type="http://schemas.openxmlformats.org/officeDocument/2006/relationships/ctrlProp" Target="../ctrlProps/ctrlProp109.xml"/><Relationship Id="rId112" Type="http://schemas.openxmlformats.org/officeDocument/2006/relationships/ctrlProp" Target="../ctrlProps/ctrlProp110.xml"/><Relationship Id="rId113" Type="http://schemas.openxmlformats.org/officeDocument/2006/relationships/ctrlProp" Target="../ctrlProps/ctrlProp111.xml"/><Relationship Id="rId114" Type="http://schemas.openxmlformats.org/officeDocument/2006/relationships/ctrlProp" Target="../ctrlProps/ctrlProp112.xml"/><Relationship Id="rId115" Type="http://schemas.openxmlformats.org/officeDocument/2006/relationships/ctrlProp" Target="../ctrlProps/ctrlProp113.xml"/><Relationship Id="rId116" Type="http://schemas.openxmlformats.org/officeDocument/2006/relationships/ctrlProp" Target="../ctrlProps/ctrlProp114.xml"/><Relationship Id="rId117" Type="http://schemas.openxmlformats.org/officeDocument/2006/relationships/ctrlProp" Target="../ctrlProps/ctrlProp115.xml"/><Relationship Id="rId118" Type="http://schemas.openxmlformats.org/officeDocument/2006/relationships/ctrlProp" Target="../ctrlProps/ctrlProp116.xml"/><Relationship Id="rId119" Type="http://schemas.openxmlformats.org/officeDocument/2006/relationships/ctrlProp" Target="../ctrlProps/ctrlProp117.xml"/><Relationship Id="rId150" Type="http://schemas.openxmlformats.org/officeDocument/2006/relationships/ctrlProp" Target="../ctrlProps/ctrlProp148.xml"/><Relationship Id="rId151" Type="http://schemas.openxmlformats.org/officeDocument/2006/relationships/ctrlProp" Target="../ctrlProps/ctrlProp149.xml"/><Relationship Id="rId152" Type="http://schemas.openxmlformats.org/officeDocument/2006/relationships/ctrlProp" Target="../ctrlProps/ctrlProp150.xml"/><Relationship Id="rId10" Type="http://schemas.openxmlformats.org/officeDocument/2006/relationships/ctrlProp" Target="../ctrlProps/ctrlProp8.xml"/><Relationship Id="rId11" Type="http://schemas.openxmlformats.org/officeDocument/2006/relationships/ctrlProp" Target="../ctrlProps/ctrlProp9.xml"/><Relationship Id="rId12" Type="http://schemas.openxmlformats.org/officeDocument/2006/relationships/ctrlProp" Target="../ctrlProps/ctrlProp10.xml"/><Relationship Id="rId13" Type="http://schemas.openxmlformats.org/officeDocument/2006/relationships/ctrlProp" Target="../ctrlProps/ctrlProp11.xml"/><Relationship Id="rId14" Type="http://schemas.openxmlformats.org/officeDocument/2006/relationships/ctrlProp" Target="../ctrlProps/ctrlProp12.xml"/><Relationship Id="rId15" Type="http://schemas.openxmlformats.org/officeDocument/2006/relationships/ctrlProp" Target="../ctrlProps/ctrlProp13.xml"/><Relationship Id="rId16" Type="http://schemas.openxmlformats.org/officeDocument/2006/relationships/ctrlProp" Target="../ctrlProps/ctrlProp14.xml"/><Relationship Id="rId17" Type="http://schemas.openxmlformats.org/officeDocument/2006/relationships/ctrlProp" Target="../ctrlProps/ctrlProp15.xml"/><Relationship Id="rId18" Type="http://schemas.openxmlformats.org/officeDocument/2006/relationships/ctrlProp" Target="../ctrlProps/ctrlProp16.xml"/><Relationship Id="rId19" Type="http://schemas.openxmlformats.org/officeDocument/2006/relationships/ctrlProp" Target="../ctrlProps/ctrlProp17.xml"/><Relationship Id="rId153" Type="http://schemas.openxmlformats.org/officeDocument/2006/relationships/ctrlProp" Target="../ctrlProps/ctrlProp151.xml"/><Relationship Id="rId154" Type="http://schemas.openxmlformats.org/officeDocument/2006/relationships/ctrlProp" Target="../ctrlProps/ctrlProp152.xml"/><Relationship Id="rId155" Type="http://schemas.openxmlformats.org/officeDocument/2006/relationships/ctrlProp" Target="../ctrlProps/ctrlProp153.xml"/><Relationship Id="rId156" Type="http://schemas.openxmlformats.org/officeDocument/2006/relationships/ctrlProp" Target="../ctrlProps/ctrlProp154.xml"/><Relationship Id="rId157" Type="http://schemas.openxmlformats.org/officeDocument/2006/relationships/ctrlProp" Target="../ctrlProps/ctrlProp155.xml"/><Relationship Id="rId158" Type="http://schemas.openxmlformats.org/officeDocument/2006/relationships/ctrlProp" Target="../ctrlProps/ctrlProp156.xml"/><Relationship Id="rId159" Type="http://schemas.openxmlformats.org/officeDocument/2006/relationships/ctrlProp" Target="../ctrlProps/ctrlProp157.xml"/><Relationship Id="rId190" Type="http://schemas.openxmlformats.org/officeDocument/2006/relationships/ctrlProp" Target="../ctrlProps/ctrlProp188.xml"/><Relationship Id="rId50" Type="http://schemas.openxmlformats.org/officeDocument/2006/relationships/ctrlProp" Target="../ctrlProps/ctrlProp48.xml"/><Relationship Id="rId51" Type="http://schemas.openxmlformats.org/officeDocument/2006/relationships/ctrlProp" Target="../ctrlProps/ctrlProp49.xml"/><Relationship Id="rId52" Type="http://schemas.openxmlformats.org/officeDocument/2006/relationships/ctrlProp" Target="../ctrlProps/ctrlProp50.xml"/><Relationship Id="rId53" Type="http://schemas.openxmlformats.org/officeDocument/2006/relationships/ctrlProp" Target="../ctrlProps/ctrlProp51.xml"/><Relationship Id="rId54" Type="http://schemas.openxmlformats.org/officeDocument/2006/relationships/ctrlProp" Target="../ctrlProps/ctrlProp52.xml"/><Relationship Id="rId55" Type="http://schemas.openxmlformats.org/officeDocument/2006/relationships/ctrlProp" Target="../ctrlProps/ctrlProp53.xml"/><Relationship Id="rId56" Type="http://schemas.openxmlformats.org/officeDocument/2006/relationships/ctrlProp" Target="../ctrlProps/ctrlProp54.xml"/><Relationship Id="rId57" Type="http://schemas.openxmlformats.org/officeDocument/2006/relationships/ctrlProp" Target="../ctrlProps/ctrlProp55.xml"/><Relationship Id="rId58" Type="http://schemas.openxmlformats.org/officeDocument/2006/relationships/ctrlProp" Target="../ctrlProps/ctrlProp56.xml"/><Relationship Id="rId59" Type="http://schemas.openxmlformats.org/officeDocument/2006/relationships/ctrlProp" Target="../ctrlProps/ctrlProp57.xml"/><Relationship Id="rId90" Type="http://schemas.openxmlformats.org/officeDocument/2006/relationships/ctrlProp" Target="../ctrlProps/ctrlProp88.xml"/><Relationship Id="rId91" Type="http://schemas.openxmlformats.org/officeDocument/2006/relationships/ctrlProp" Target="../ctrlProps/ctrlProp89.xml"/><Relationship Id="rId92" Type="http://schemas.openxmlformats.org/officeDocument/2006/relationships/ctrlProp" Target="../ctrlProps/ctrlProp90.xml"/><Relationship Id="rId93" Type="http://schemas.openxmlformats.org/officeDocument/2006/relationships/ctrlProp" Target="../ctrlProps/ctrlProp91.xml"/><Relationship Id="rId94" Type="http://schemas.openxmlformats.org/officeDocument/2006/relationships/ctrlProp" Target="../ctrlProps/ctrlProp92.xml"/><Relationship Id="rId95" Type="http://schemas.openxmlformats.org/officeDocument/2006/relationships/ctrlProp" Target="../ctrlProps/ctrlProp93.xml"/><Relationship Id="rId96" Type="http://schemas.openxmlformats.org/officeDocument/2006/relationships/ctrlProp" Target="../ctrlProps/ctrlProp94.xml"/><Relationship Id="rId97" Type="http://schemas.openxmlformats.org/officeDocument/2006/relationships/ctrlProp" Target="../ctrlProps/ctrlProp95.xml"/><Relationship Id="rId98" Type="http://schemas.openxmlformats.org/officeDocument/2006/relationships/ctrlProp" Target="../ctrlProps/ctrlProp96.xml"/><Relationship Id="rId99" Type="http://schemas.openxmlformats.org/officeDocument/2006/relationships/ctrlProp" Target="../ctrlProps/ctrlProp97.xml"/><Relationship Id="rId120" Type="http://schemas.openxmlformats.org/officeDocument/2006/relationships/ctrlProp" Target="../ctrlProps/ctrlProp118.xml"/><Relationship Id="rId121" Type="http://schemas.openxmlformats.org/officeDocument/2006/relationships/ctrlProp" Target="../ctrlProps/ctrlProp119.xml"/><Relationship Id="rId122" Type="http://schemas.openxmlformats.org/officeDocument/2006/relationships/ctrlProp" Target="../ctrlProps/ctrlProp120.xml"/><Relationship Id="rId123" Type="http://schemas.openxmlformats.org/officeDocument/2006/relationships/ctrlProp" Target="../ctrlProps/ctrlProp121.xml"/><Relationship Id="rId124" Type="http://schemas.openxmlformats.org/officeDocument/2006/relationships/ctrlProp" Target="../ctrlProps/ctrlProp122.xml"/><Relationship Id="rId125" Type="http://schemas.openxmlformats.org/officeDocument/2006/relationships/ctrlProp" Target="../ctrlProps/ctrlProp123.xml"/><Relationship Id="rId126" Type="http://schemas.openxmlformats.org/officeDocument/2006/relationships/ctrlProp" Target="../ctrlProps/ctrlProp124.xml"/><Relationship Id="rId127" Type="http://schemas.openxmlformats.org/officeDocument/2006/relationships/ctrlProp" Target="../ctrlProps/ctrlProp125.xml"/><Relationship Id="rId128" Type="http://schemas.openxmlformats.org/officeDocument/2006/relationships/ctrlProp" Target="../ctrlProps/ctrlProp126.xml"/><Relationship Id="rId129" Type="http://schemas.openxmlformats.org/officeDocument/2006/relationships/ctrlProp" Target="../ctrlProps/ctrlProp127.xml"/><Relationship Id="rId160" Type="http://schemas.openxmlformats.org/officeDocument/2006/relationships/ctrlProp" Target="../ctrlProps/ctrlProp158.xml"/><Relationship Id="rId161" Type="http://schemas.openxmlformats.org/officeDocument/2006/relationships/ctrlProp" Target="../ctrlProps/ctrlProp159.xml"/><Relationship Id="rId162" Type="http://schemas.openxmlformats.org/officeDocument/2006/relationships/ctrlProp" Target="../ctrlProps/ctrlProp160.xml"/><Relationship Id="rId20" Type="http://schemas.openxmlformats.org/officeDocument/2006/relationships/ctrlProp" Target="../ctrlProps/ctrlProp18.xml"/><Relationship Id="rId21" Type="http://schemas.openxmlformats.org/officeDocument/2006/relationships/ctrlProp" Target="../ctrlProps/ctrlProp19.xml"/><Relationship Id="rId22" Type="http://schemas.openxmlformats.org/officeDocument/2006/relationships/ctrlProp" Target="../ctrlProps/ctrlProp20.xml"/><Relationship Id="rId23" Type="http://schemas.openxmlformats.org/officeDocument/2006/relationships/ctrlProp" Target="../ctrlProps/ctrlProp21.xml"/><Relationship Id="rId24" Type="http://schemas.openxmlformats.org/officeDocument/2006/relationships/ctrlProp" Target="../ctrlProps/ctrlProp22.xml"/><Relationship Id="rId25" Type="http://schemas.openxmlformats.org/officeDocument/2006/relationships/ctrlProp" Target="../ctrlProps/ctrlProp23.xml"/><Relationship Id="rId26" Type="http://schemas.openxmlformats.org/officeDocument/2006/relationships/ctrlProp" Target="../ctrlProps/ctrlProp24.xml"/><Relationship Id="rId27" Type="http://schemas.openxmlformats.org/officeDocument/2006/relationships/ctrlProp" Target="../ctrlProps/ctrlProp25.xml"/><Relationship Id="rId28" Type="http://schemas.openxmlformats.org/officeDocument/2006/relationships/ctrlProp" Target="../ctrlProps/ctrlProp26.xml"/><Relationship Id="rId29" Type="http://schemas.openxmlformats.org/officeDocument/2006/relationships/ctrlProp" Target="../ctrlProps/ctrlProp27.xml"/><Relationship Id="rId163" Type="http://schemas.openxmlformats.org/officeDocument/2006/relationships/ctrlProp" Target="../ctrlProps/ctrlProp161.xml"/><Relationship Id="rId164" Type="http://schemas.openxmlformats.org/officeDocument/2006/relationships/ctrlProp" Target="../ctrlProps/ctrlProp162.xml"/><Relationship Id="rId165" Type="http://schemas.openxmlformats.org/officeDocument/2006/relationships/ctrlProp" Target="../ctrlProps/ctrlProp163.xml"/><Relationship Id="rId166" Type="http://schemas.openxmlformats.org/officeDocument/2006/relationships/ctrlProp" Target="../ctrlProps/ctrlProp164.xml"/><Relationship Id="rId167" Type="http://schemas.openxmlformats.org/officeDocument/2006/relationships/ctrlProp" Target="../ctrlProps/ctrlProp165.xml"/><Relationship Id="rId168" Type="http://schemas.openxmlformats.org/officeDocument/2006/relationships/ctrlProp" Target="../ctrlProps/ctrlProp166.xml"/><Relationship Id="rId169" Type="http://schemas.openxmlformats.org/officeDocument/2006/relationships/ctrlProp" Target="../ctrlProps/ctrlProp167.xml"/><Relationship Id="rId60" Type="http://schemas.openxmlformats.org/officeDocument/2006/relationships/ctrlProp" Target="../ctrlProps/ctrlProp58.xml"/><Relationship Id="rId61" Type="http://schemas.openxmlformats.org/officeDocument/2006/relationships/ctrlProp" Target="../ctrlProps/ctrlProp59.xml"/><Relationship Id="rId62" Type="http://schemas.openxmlformats.org/officeDocument/2006/relationships/ctrlProp" Target="../ctrlProps/ctrlProp60.xml"/><Relationship Id="rId63" Type="http://schemas.openxmlformats.org/officeDocument/2006/relationships/ctrlProp" Target="../ctrlProps/ctrlProp61.xml"/><Relationship Id="rId64" Type="http://schemas.openxmlformats.org/officeDocument/2006/relationships/ctrlProp" Target="../ctrlProps/ctrlProp62.xml"/><Relationship Id="rId65" Type="http://schemas.openxmlformats.org/officeDocument/2006/relationships/ctrlProp" Target="../ctrlProps/ctrlProp63.xml"/><Relationship Id="rId66" Type="http://schemas.openxmlformats.org/officeDocument/2006/relationships/ctrlProp" Target="../ctrlProps/ctrlProp64.xml"/><Relationship Id="rId67" Type="http://schemas.openxmlformats.org/officeDocument/2006/relationships/ctrlProp" Target="../ctrlProps/ctrlProp65.xml"/><Relationship Id="rId68" Type="http://schemas.openxmlformats.org/officeDocument/2006/relationships/ctrlProp" Target="../ctrlProps/ctrlProp66.xml"/><Relationship Id="rId69" Type="http://schemas.openxmlformats.org/officeDocument/2006/relationships/ctrlProp" Target="../ctrlProps/ctrlProp67.xml"/><Relationship Id="rId130" Type="http://schemas.openxmlformats.org/officeDocument/2006/relationships/ctrlProp" Target="../ctrlProps/ctrlProp128.xml"/><Relationship Id="rId131" Type="http://schemas.openxmlformats.org/officeDocument/2006/relationships/ctrlProp" Target="../ctrlProps/ctrlProp129.xml"/><Relationship Id="rId132" Type="http://schemas.openxmlformats.org/officeDocument/2006/relationships/ctrlProp" Target="../ctrlProps/ctrlProp130.xml"/><Relationship Id="rId133" Type="http://schemas.openxmlformats.org/officeDocument/2006/relationships/ctrlProp" Target="../ctrlProps/ctrlProp131.xml"/><Relationship Id="rId134" Type="http://schemas.openxmlformats.org/officeDocument/2006/relationships/ctrlProp" Target="../ctrlProps/ctrlProp132.xml"/><Relationship Id="rId135" Type="http://schemas.openxmlformats.org/officeDocument/2006/relationships/ctrlProp" Target="../ctrlProps/ctrlProp133.xml"/><Relationship Id="rId136" Type="http://schemas.openxmlformats.org/officeDocument/2006/relationships/ctrlProp" Target="../ctrlProps/ctrlProp134.xml"/><Relationship Id="rId137" Type="http://schemas.openxmlformats.org/officeDocument/2006/relationships/ctrlProp" Target="../ctrlProps/ctrlProp135.xml"/><Relationship Id="rId138" Type="http://schemas.openxmlformats.org/officeDocument/2006/relationships/ctrlProp" Target="../ctrlProps/ctrlProp136.xml"/><Relationship Id="rId139" Type="http://schemas.openxmlformats.org/officeDocument/2006/relationships/ctrlProp" Target="../ctrlProps/ctrlProp137.xml"/><Relationship Id="rId170" Type="http://schemas.openxmlformats.org/officeDocument/2006/relationships/ctrlProp" Target="../ctrlProps/ctrlProp168.xml"/><Relationship Id="rId171" Type="http://schemas.openxmlformats.org/officeDocument/2006/relationships/ctrlProp" Target="../ctrlProps/ctrlProp169.xml"/><Relationship Id="rId172" Type="http://schemas.openxmlformats.org/officeDocument/2006/relationships/ctrlProp" Target="../ctrlProps/ctrlProp170.xml"/><Relationship Id="rId30" Type="http://schemas.openxmlformats.org/officeDocument/2006/relationships/ctrlProp" Target="../ctrlProps/ctrlProp28.xml"/><Relationship Id="rId31" Type="http://schemas.openxmlformats.org/officeDocument/2006/relationships/ctrlProp" Target="../ctrlProps/ctrlProp29.xml"/><Relationship Id="rId32" Type="http://schemas.openxmlformats.org/officeDocument/2006/relationships/ctrlProp" Target="../ctrlProps/ctrlProp30.xml"/><Relationship Id="rId33" Type="http://schemas.openxmlformats.org/officeDocument/2006/relationships/ctrlProp" Target="../ctrlProps/ctrlProp31.xml"/><Relationship Id="rId34" Type="http://schemas.openxmlformats.org/officeDocument/2006/relationships/ctrlProp" Target="../ctrlProps/ctrlProp32.xml"/><Relationship Id="rId35" Type="http://schemas.openxmlformats.org/officeDocument/2006/relationships/ctrlProp" Target="../ctrlProps/ctrlProp33.xml"/><Relationship Id="rId36" Type="http://schemas.openxmlformats.org/officeDocument/2006/relationships/ctrlProp" Target="../ctrlProps/ctrlProp34.xml"/><Relationship Id="rId37" Type="http://schemas.openxmlformats.org/officeDocument/2006/relationships/ctrlProp" Target="../ctrlProps/ctrlProp35.xml"/><Relationship Id="rId38" Type="http://schemas.openxmlformats.org/officeDocument/2006/relationships/ctrlProp" Target="../ctrlProps/ctrlProp36.xml"/><Relationship Id="rId39" Type="http://schemas.openxmlformats.org/officeDocument/2006/relationships/ctrlProp" Target="../ctrlProps/ctrlProp37.xml"/><Relationship Id="rId173" Type="http://schemas.openxmlformats.org/officeDocument/2006/relationships/ctrlProp" Target="../ctrlProps/ctrlProp171.xml"/><Relationship Id="rId174" Type="http://schemas.openxmlformats.org/officeDocument/2006/relationships/ctrlProp" Target="../ctrlProps/ctrlProp172.xml"/><Relationship Id="rId175" Type="http://schemas.openxmlformats.org/officeDocument/2006/relationships/ctrlProp" Target="../ctrlProps/ctrlProp173.xml"/><Relationship Id="rId176" Type="http://schemas.openxmlformats.org/officeDocument/2006/relationships/ctrlProp" Target="../ctrlProps/ctrlProp174.xml"/><Relationship Id="rId177" Type="http://schemas.openxmlformats.org/officeDocument/2006/relationships/ctrlProp" Target="../ctrlProps/ctrlProp175.xml"/><Relationship Id="rId178" Type="http://schemas.openxmlformats.org/officeDocument/2006/relationships/ctrlProp" Target="../ctrlProps/ctrlProp176.xml"/><Relationship Id="rId179" Type="http://schemas.openxmlformats.org/officeDocument/2006/relationships/ctrlProp" Target="../ctrlProps/ctrlProp177.xml"/><Relationship Id="rId70" Type="http://schemas.openxmlformats.org/officeDocument/2006/relationships/ctrlProp" Target="../ctrlProps/ctrlProp68.xml"/><Relationship Id="rId71" Type="http://schemas.openxmlformats.org/officeDocument/2006/relationships/ctrlProp" Target="../ctrlProps/ctrlProp69.xml"/><Relationship Id="rId72" Type="http://schemas.openxmlformats.org/officeDocument/2006/relationships/ctrlProp" Target="../ctrlProps/ctrlProp70.xml"/><Relationship Id="rId73" Type="http://schemas.openxmlformats.org/officeDocument/2006/relationships/ctrlProp" Target="../ctrlProps/ctrlProp71.xml"/><Relationship Id="rId74" Type="http://schemas.openxmlformats.org/officeDocument/2006/relationships/ctrlProp" Target="../ctrlProps/ctrlProp72.xml"/><Relationship Id="rId75" Type="http://schemas.openxmlformats.org/officeDocument/2006/relationships/ctrlProp" Target="../ctrlProps/ctrlProp73.xml"/><Relationship Id="rId76" Type="http://schemas.openxmlformats.org/officeDocument/2006/relationships/ctrlProp" Target="../ctrlProps/ctrlProp74.xml"/><Relationship Id="rId77" Type="http://schemas.openxmlformats.org/officeDocument/2006/relationships/ctrlProp" Target="../ctrlProps/ctrlProp75.xml"/><Relationship Id="rId78" Type="http://schemas.openxmlformats.org/officeDocument/2006/relationships/ctrlProp" Target="../ctrlProps/ctrlProp76.xml"/><Relationship Id="rId79" Type="http://schemas.openxmlformats.org/officeDocument/2006/relationships/ctrlProp" Target="../ctrlProps/ctrlProp77.xml"/><Relationship Id="rId1" Type="http://schemas.openxmlformats.org/officeDocument/2006/relationships/drawing" Target="../drawings/drawing2.xml"/><Relationship Id="rId2" Type="http://schemas.openxmlformats.org/officeDocument/2006/relationships/vmlDrawing" Target="../drawings/vmlDrawing1.vml"/><Relationship Id="rId3" Type="http://schemas.openxmlformats.org/officeDocument/2006/relationships/ctrlProp" Target="../ctrlProps/ctrlProp1.xml"/><Relationship Id="rId4" Type="http://schemas.openxmlformats.org/officeDocument/2006/relationships/ctrlProp" Target="../ctrlProps/ctrlProp2.xml"/><Relationship Id="rId100" Type="http://schemas.openxmlformats.org/officeDocument/2006/relationships/ctrlProp" Target="../ctrlProps/ctrlProp98.xml"/><Relationship Id="rId101" Type="http://schemas.openxmlformats.org/officeDocument/2006/relationships/ctrlProp" Target="../ctrlProps/ctrlProp99.xml"/><Relationship Id="rId102" Type="http://schemas.openxmlformats.org/officeDocument/2006/relationships/ctrlProp" Target="../ctrlProps/ctrlProp100.xml"/><Relationship Id="rId103" Type="http://schemas.openxmlformats.org/officeDocument/2006/relationships/ctrlProp" Target="../ctrlProps/ctrlProp101.xml"/><Relationship Id="rId104" Type="http://schemas.openxmlformats.org/officeDocument/2006/relationships/ctrlProp" Target="../ctrlProps/ctrlProp102.xml"/><Relationship Id="rId105" Type="http://schemas.openxmlformats.org/officeDocument/2006/relationships/ctrlProp" Target="../ctrlProps/ctrlProp103.xml"/><Relationship Id="rId106" Type="http://schemas.openxmlformats.org/officeDocument/2006/relationships/ctrlProp" Target="../ctrlProps/ctrlProp104.xml"/><Relationship Id="rId107" Type="http://schemas.openxmlformats.org/officeDocument/2006/relationships/ctrlProp" Target="../ctrlProps/ctrlProp105.xml"/><Relationship Id="rId108" Type="http://schemas.openxmlformats.org/officeDocument/2006/relationships/ctrlProp" Target="../ctrlProps/ctrlProp106.xml"/><Relationship Id="rId109" Type="http://schemas.openxmlformats.org/officeDocument/2006/relationships/ctrlProp" Target="../ctrlProps/ctrlProp107.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40" Type="http://schemas.openxmlformats.org/officeDocument/2006/relationships/ctrlProp" Target="../ctrlProps/ctrlProp138.xml"/><Relationship Id="rId141" Type="http://schemas.openxmlformats.org/officeDocument/2006/relationships/ctrlProp" Target="../ctrlProps/ctrlProp139.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8.xml"/><Relationship Id="rId2" Type="http://schemas.openxmlformats.org/officeDocument/2006/relationships/table" Target="../tables/table9.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10.xml"/><Relationship Id="rId4" Type="http://schemas.openxmlformats.org/officeDocument/2006/relationships/table" Target="../tables/table11.xml"/><Relationship Id="rId5" Type="http://schemas.openxmlformats.org/officeDocument/2006/relationships/table" Target="../tables/table12.xml"/><Relationship Id="rId6" Type="http://schemas.openxmlformats.org/officeDocument/2006/relationships/table" Target="../tables/table13.xml"/><Relationship Id="rId7" Type="http://schemas.openxmlformats.org/officeDocument/2006/relationships/table" Target="../tables/table14.xml"/><Relationship Id="rId8" Type="http://schemas.openxmlformats.org/officeDocument/2006/relationships/table" Target="../tables/table15.xml"/><Relationship Id="rId9" Type="http://schemas.openxmlformats.org/officeDocument/2006/relationships/table" Target="../tables/table16.xml"/><Relationship Id="rId10" Type="http://schemas.openxmlformats.org/officeDocument/2006/relationships/table" Target="../tables/table17.xml"/><Relationship Id="rId1" Type="http://schemas.openxmlformats.org/officeDocument/2006/relationships/hyperlink" Target="http://decc-wiki.greenonblack.com/pages/322" TargetMode="External"/><Relationship Id="rId2" Type="http://schemas.openxmlformats.org/officeDocument/2006/relationships/hyperlink" Target="http://decc-wiki.greenonblack.com/pages/353" TargetMode="External"/></Relationships>
</file>

<file path=xl/worksheets/_rels/sheet20.xml.rels><?xml version="1.0" encoding="UTF-8" standalone="yes"?>
<Relationships xmlns="http://schemas.openxmlformats.org/package/2006/relationships"><Relationship Id="rId3" Type="http://schemas.openxmlformats.org/officeDocument/2006/relationships/table" Target="../tables/table18.xml"/><Relationship Id="rId4" Type="http://schemas.openxmlformats.org/officeDocument/2006/relationships/table" Target="../tables/table19.xml"/><Relationship Id="rId5" Type="http://schemas.openxmlformats.org/officeDocument/2006/relationships/table" Target="../tables/table20.xml"/><Relationship Id="rId6" Type="http://schemas.openxmlformats.org/officeDocument/2006/relationships/table" Target="../tables/table21.xml"/><Relationship Id="rId1" Type="http://schemas.openxmlformats.org/officeDocument/2006/relationships/hyperlink" Target="http://decc-wiki.greenonblack.com/pages/322" TargetMode="External"/><Relationship Id="rId2" Type="http://schemas.openxmlformats.org/officeDocument/2006/relationships/hyperlink" Target="http://decc-wiki.greenonblack.com/pages/322" TargetMode="External"/></Relationships>
</file>

<file path=xl/worksheets/_rels/sheet21.xml.rels><?xml version="1.0" encoding="UTF-8" standalone="yes"?>
<Relationships xmlns="http://schemas.openxmlformats.org/package/2006/relationships"><Relationship Id="rId3" Type="http://schemas.openxmlformats.org/officeDocument/2006/relationships/table" Target="../tables/table22.xml"/><Relationship Id="rId4" Type="http://schemas.openxmlformats.org/officeDocument/2006/relationships/table" Target="../tables/table23.xml"/><Relationship Id="rId5" Type="http://schemas.openxmlformats.org/officeDocument/2006/relationships/table" Target="../tables/table24.xml"/><Relationship Id="rId6" Type="http://schemas.openxmlformats.org/officeDocument/2006/relationships/table" Target="../tables/table25.xml"/><Relationship Id="rId1" Type="http://schemas.openxmlformats.org/officeDocument/2006/relationships/hyperlink" Target="http://decc-wiki.greenonblack.com/pages/338" TargetMode="External"/><Relationship Id="rId2" Type="http://schemas.openxmlformats.org/officeDocument/2006/relationships/hyperlink" Target="http://decc-wiki.greenonblack.com/pages/337" TargetMode="External"/></Relationships>
</file>

<file path=xl/worksheets/_rels/sheet22.xml.rels><?xml version="1.0" encoding="UTF-8" standalone="yes"?>
<Relationships xmlns="http://schemas.openxmlformats.org/package/2006/relationships"><Relationship Id="rId3" Type="http://schemas.openxmlformats.org/officeDocument/2006/relationships/table" Target="../tables/table26.xml"/><Relationship Id="rId4" Type="http://schemas.openxmlformats.org/officeDocument/2006/relationships/table" Target="../tables/table27.xml"/><Relationship Id="rId5" Type="http://schemas.openxmlformats.org/officeDocument/2006/relationships/table" Target="../tables/table28.xml"/><Relationship Id="rId6" Type="http://schemas.openxmlformats.org/officeDocument/2006/relationships/table" Target="../tables/table29.xml"/><Relationship Id="rId7" Type="http://schemas.openxmlformats.org/officeDocument/2006/relationships/table" Target="../tables/table30.xml"/><Relationship Id="rId1" Type="http://schemas.openxmlformats.org/officeDocument/2006/relationships/hyperlink" Target="http://decc-wiki.greenonblack.com/pages/331" TargetMode="External"/><Relationship Id="rId2" Type="http://schemas.openxmlformats.org/officeDocument/2006/relationships/hyperlink" Target="http://decc-wiki.greenonblack.com/pages/331" TargetMode="External"/></Relationships>
</file>

<file path=xl/worksheets/_rels/sheet23.xml.rels><?xml version="1.0" encoding="UTF-8" standalone="yes"?>
<Relationships xmlns="http://schemas.openxmlformats.org/package/2006/relationships"><Relationship Id="rId3" Type="http://schemas.openxmlformats.org/officeDocument/2006/relationships/table" Target="../tables/table31.xml"/><Relationship Id="rId4" Type="http://schemas.openxmlformats.org/officeDocument/2006/relationships/table" Target="../tables/table32.xml"/><Relationship Id="rId5" Type="http://schemas.openxmlformats.org/officeDocument/2006/relationships/table" Target="../tables/table33.xml"/><Relationship Id="rId6" Type="http://schemas.openxmlformats.org/officeDocument/2006/relationships/table" Target="../tables/table34.xml"/><Relationship Id="rId7" Type="http://schemas.openxmlformats.org/officeDocument/2006/relationships/table" Target="../tables/table35.xml"/><Relationship Id="rId8" Type="http://schemas.openxmlformats.org/officeDocument/2006/relationships/table" Target="../tables/table36.xml"/><Relationship Id="rId1" Type="http://schemas.openxmlformats.org/officeDocument/2006/relationships/hyperlink" Target="http://decc-wiki.greenonblack.com/pages/337" TargetMode="External"/><Relationship Id="rId2" Type="http://schemas.openxmlformats.org/officeDocument/2006/relationships/hyperlink" Target="http://decc-wiki.greenonblack.com/pages/337" TargetMode="External"/></Relationships>
</file>

<file path=xl/worksheets/_rels/sheet24.xml.rels><?xml version="1.0" encoding="UTF-8" standalone="yes"?>
<Relationships xmlns="http://schemas.openxmlformats.org/package/2006/relationships"><Relationship Id="rId3" Type="http://schemas.openxmlformats.org/officeDocument/2006/relationships/table" Target="../tables/table38.xml"/><Relationship Id="rId4" Type="http://schemas.openxmlformats.org/officeDocument/2006/relationships/table" Target="../tables/table39.xml"/><Relationship Id="rId5" Type="http://schemas.openxmlformats.org/officeDocument/2006/relationships/table" Target="../tables/table40.xml"/><Relationship Id="rId1" Type="http://schemas.openxmlformats.org/officeDocument/2006/relationships/hyperlink" Target="http://decc-wiki.greenonblack.com/pages/369" TargetMode="External"/><Relationship Id="rId2" Type="http://schemas.openxmlformats.org/officeDocument/2006/relationships/table" Target="../tables/table37.xml"/></Relationships>
</file>

<file path=xl/worksheets/_rels/sheet25.xml.rels><?xml version="1.0" encoding="UTF-8" standalone="yes"?>
<Relationships xmlns="http://schemas.openxmlformats.org/package/2006/relationships"><Relationship Id="rId1" Type="http://schemas.openxmlformats.org/officeDocument/2006/relationships/hyperlink" Target="http://decc-wiki.greenonblack.com/pages/393" TargetMode="External"/><Relationship Id="rId2" Type="http://schemas.openxmlformats.org/officeDocument/2006/relationships/table" Target="../tables/table41.xml"/><Relationship Id="rId3" Type="http://schemas.openxmlformats.org/officeDocument/2006/relationships/table" Target="../tables/table42.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J39"/>
  <sheetViews>
    <sheetView workbookViewId="0"/>
  </sheetViews>
  <sheetFormatPr baseColWidth="10" defaultColWidth="8.83203125" defaultRowHeight="13" x14ac:dyDescent="0"/>
  <cols>
    <col min="1" max="1" width="3.5" style="121" customWidth="1"/>
    <col min="2" max="2" width="28.33203125" style="121" customWidth="1"/>
    <col min="3" max="3" width="1" style="121" customWidth="1"/>
    <col min="4" max="4" width="31" customWidth="1"/>
    <col min="5" max="5" width="1.5" customWidth="1"/>
    <col min="6" max="6" width="122.5" customWidth="1"/>
  </cols>
  <sheetData>
    <row r="2" spans="2:10" ht="22">
      <c r="B2" s="1481" t="s">
        <v>1272</v>
      </c>
      <c r="C2" s="1481"/>
    </row>
    <row r="3" spans="2:10" s="121" customFormat="1" ht="22">
      <c r="B3" s="1481"/>
      <c r="C3" s="1481"/>
      <c r="E3"/>
    </row>
    <row r="4" spans="2:10" s="1500" customFormat="1" ht="17.25" customHeight="1">
      <c r="B4" s="1501" t="s">
        <v>1389</v>
      </c>
      <c r="C4" s="1499"/>
      <c r="D4" s="1502" t="s">
        <v>1390</v>
      </c>
      <c r="E4" s="531"/>
      <c r="F4" s="1503" t="s">
        <v>1391</v>
      </c>
      <c r="H4" s="1746"/>
      <c r="I4" s="1746"/>
      <c r="J4" s="1746"/>
    </row>
    <row r="5" spans="2:10" s="121" customFormat="1" ht="13.5" customHeight="1">
      <c r="C5" s="1497"/>
      <c r="E5"/>
      <c r="F5" s="40"/>
      <c r="H5" s="40"/>
      <c r="I5" s="40"/>
      <c r="J5" s="40"/>
    </row>
    <row r="6" spans="2:10" s="532" customFormat="1" ht="17">
      <c r="B6" s="1958" t="s">
        <v>1384</v>
      </c>
      <c r="C6" s="549"/>
      <c r="D6" s="1483" t="s">
        <v>1272</v>
      </c>
      <c r="E6"/>
      <c r="F6" s="1506" t="s">
        <v>1286</v>
      </c>
      <c r="H6" s="30"/>
      <c r="I6" s="30"/>
      <c r="J6" s="30"/>
    </row>
    <row r="7" spans="2:10" s="532" customFormat="1" ht="17">
      <c r="B7" s="1958"/>
      <c r="C7" s="549"/>
      <c r="D7" s="1496" t="s">
        <v>1273</v>
      </c>
      <c r="E7"/>
      <c r="F7" s="1507" t="s">
        <v>1288</v>
      </c>
      <c r="H7" s="30"/>
      <c r="I7" s="1747"/>
      <c r="J7" s="30"/>
    </row>
    <row r="8" spans="2:10" s="532" customFormat="1" ht="17">
      <c r="B8" s="1958"/>
      <c r="C8" s="549"/>
      <c r="D8" s="1495" t="s">
        <v>1275</v>
      </c>
      <c r="E8"/>
      <c r="F8" s="1507" t="s">
        <v>1289</v>
      </c>
      <c r="H8" s="30"/>
      <c r="I8" s="1747"/>
      <c r="J8" s="30"/>
    </row>
    <row r="9" spans="2:10" s="532" customFormat="1" ht="17">
      <c r="B9" s="1958"/>
      <c r="C9" s="549"/>
      <c r="D9" s="1483" t="s">
        <v>1377</v>
      </c>
      <c r="E9"/>
      <c r="F9" s="1506" t="s">
        <v>1378</v>
      </c>
      <c r="H9" s="30"/>
      <c r="I9" s="1747"/>
      <c r="J9" s="30"/>
    </row>
    <row r="10" spans="2:10" s="532" customFormat="1" ht="17">
      <c r="B10" s="1958"/>
      <c r="C10" s="549"/>
      <c r="D10" s="1483" t="s">
        <v>1274</v>
      </c>
      <c r="E10"/>
      <c r="F10" s="1506" t="s">
        <v>1287</v>
      </c>
      <c r="H10" s="30"/>
      <c r="I10" s="1747"/>
      <c r="J10" s="30"/>
    </row>
    <row r="11" spans="2:10" s="532" customFormat="1" ht="17">
      <c r="B11" s="1958"/>
      <c r="C11" s="549"/>
      <c r="D11" s="1483" t="s">
        <v>1379</v>
      </c>
      <c r="E11"/>
      <c r="F11" s="1506" t="s">
        <v>1380</v>
      </c>
      <c r="H11" s="30"/>
      <c r="I11" s="1747"/>
      <c r="J11" s="30"/>
    </row>
    <row r="12" spans="2:10" s="532" customFormat="1" ht="17">
      <c r="B12" s="1958"/>
      <c r="C12" s="549"/>
      <c r="D12" s="1483" t="s">
        <v>1874</v>
      </c>
      <c r="F12" s="1506" t="s">
        <v>1875</v>
      </c>
      <c r="H12" s="30"/>
      <c r="I12" s="1747"/>
      <c r="J12" s="30"/>
    </row>
    <row r="13" spans="2:10" s="532" customFormat="1" ht="5.25" customHeight="1">
      <c r="B13" s="1504"/>
      <c r="C13" s="537"/>
      <c r="D13" s="1498"/>
      <c r="E13"/>
      <c r="F13" s="1508"/>
      <c r="H13" s="30"/>
      <c r="I13" s="1747"/>
      <c r="J13" s="30"/>
    </row>
    <row r="14" spans="2:10" s="532" customFormat="1" ht="17">
      <c r="B14" s="1505" t="s">
        <v>1385</v>
      </c>
      <c r="C14" s="549"/>
      <c r="D14" s="1485" t="s">
        <v>1388</v>
      </c>
      <c r="E14"/>
      <c r="F14" s="1506" t="s">
        <v>1300</v>
      </c>
      <c r="H14" s="30"/>
      <c r="I14" s="1747"/>
      <c r="J14" s="30"/>
    </row>
    <row r="15" spans="2:10" s="532" customFormat="1" ht="5.25" customHeight="1">
      <c r="B15" s="1504"/>
      <c r="C15" s="537"/>
      <c r="D15" s="1484"/>
      <c r="E15"/>
      <c r="F15" s="1506"/>
      <c r="H15" s="30"/>
      <c r="I15" s="1747"/>
      <c r="J15" s="30"/>
    </row>
    <row r="16" spans="2:10" s="532" customFormat="1" ht="17">
      <c r="B16" s="1958" t="s">
        <v>1381</v>
      </c>
      <c r="C16" s="549"/>
      <c r="D16" s="1486" t="s">
        <v>1290</v>
      </c>
      <c r="E16"/>
      <c r="F16" s="1506" t="s">
        <v>1291</v>
      </c>
      <c r="H16" s="30"/>
      <c r="I16" s="1747"/>
      <c r="J16" s="30"/>
    </row>
    <row r="17" spans="2:10" s="532" customFormat="1" ht="17">
      <c r="B17" s="1958"/>
      <c r="C17" s="549"/>
      <c r="D17" s="1486" t="s">
        <v>1276</v>
      </c>
      <c r="E17"/>
      <c r="F17" s="1506" t="s">
        <v>1292</v>
      </c>
      <c r="H17" s="30"/>
      <c r="I17" s="1747"/>
      <c r="J17" s="30"/>
    </row>
    <row r="18" spans="2:10" s="532" customFormat="1" ht="17">
      <c r="B18" s="1958"/>
      <c r="C18" s="549"/>
      <c r="D18" s="1486" t="s">
        <v>1277</v>
      </c>
      <c r="E18"/>
      <c r="F18" s="1506" t="s">
        <v>1293</v>
      </c>
      <c r="H18" s="30"/>
      <c r="I18" s="1747"/>
      <c r="J18" s="30"/>
    </row>
    <row r="19" spans="2:10" s="532" customFormat="1" ht="17">
      <c r="B19" s="1958"/>
      <c r="C19" s="549"/>
      <c r="D19" s="1486" t="s">
        <v>1278</v>
      </c>
      <c r="E19"/>
      <c r="F19" s="1506" t="s">
        <v>1294</v>
      </c>
      <c r="H19" s="30"/>
      <c r="I19" s="1747"/>
      <c r="J19" s="30"/>
    </row>
    <row r="20" spans="2:10" s="532" customFormat="1" ht="5.25" customHeight="1">
      <c r="B20" s="1504"/>
      <c r="C20" s="537"/>
      <c r="D20" s="1498"/>
      <c r="E20"/>
      <c r="F20" s="1508"/>
      <c r="H20" s="30"/>
      <c r="I20" s="1747"/>
      <c r="J20" s="30"/>
    </row>
    <row r="21" spans="2:10" s="532" customFormat="1" ht="17">
      <c r="B21" s="1958" t="s">
        <v>1386</v>
      </c>
      <c r="C21" s="549"/>
      <c r="D21" s="1483" t="s">
        <v>1279</v>
      </c>
      <c r="E21"/>
      <c r="F21" s="1506" t="s">
        <v>1296</v>
      </c>
      <c r="H21" s="30"/>
      <c r="I21" s="1747"/>
      <c r="J21" s="30"/>
    </row>
    <row r="22" spans="2:10" s="532" customFormat="1" ht="17">
      <c r="B22" s="1958"/>
      <c r="C22" s="549"/>
      <c r="D22" s="1483" t="s">
        <v>1280</v>
      </c>
      <c r="E22"/>
      <c r="F22" s="1506" t="s">
        <v>1297</v>
      </c>
      <c r="H22" s="30"/>
      <c r="I22" s="1747"/>
      <c r="J22" s="30"/>
    </row>
    <row r="23" spans="2:10" s="532" customFormat="1" ht="17">
      <c r="B23" s="1958"/>
      <c r="C23" s="549"/>
      <c r="D23" s="1483" t="s">
        <v>1281</v>
      </c>
      <c r="E23"/>
      <c r="F23" s="1506" t="s">
        <v>1298</v>
      </c>
      <c r="H23" s="30"/>
      <c r="I23" s="1747"/>
      <c r="J23" s="30"/>
    </row>
    <row r="24" spans="2:10" s="532" customFormat="1" ht="17">
      <c r="B24" s="1958"/>
      <c r="C24" s="549"/>
      <c r="D24" s="1483" t="s">
        <v>1282</v>
      </c>
      <c r="E24"/>
      <c r="F24" s="1506" t="s">
        <v>1295</v>
      </c>
      <c r="H24" s="30"/>
      <c r="I24" s="1747"/>
      <c r="J24" s="30"/>
    </row>
    <row r="25" spans="2:10" s="532" customFormat="1" ht="5.25" customHeight="1">
      <c r="B25" s="1504"/>
      <c r="C25" s="537"/>
      <c r="D25" s="1498"/>
      <c r="E25"/>
      <c r="F25" s="1508"/>
      <c r="H25" s="30"/>
      <c r="I25" s="30"/>
      <c r="J25" s="30"/>
    </row>
    <row r="26" spans="2:10" s="532" customFormat="1" ht="17">
      <c r="B26" s="1505" t="s">
        <v>1382</v>
      </c>
      <c r="C26" s="549"/>
      <c r="D26" s="1487" t="s">
        <v>1284</v>
      </c>
      <c r="E26"/>
      <c r="F26" s="1506" t="s">
        <v>1299</v>
      </c>
      <c r="H26" s="30"/>
      <c r="I26" s="30"/>
      <c r="J26" s="30"/>
    </row>
    <row r="27" spans="2:10" s="532" customFormat="1" ht="5.25" customHeight="1">
      <c r="B27" s="1504"/>
      <c r="C27" s="537"/>
      <c r="D27" s="1498"/>
      <c r="E27"/>
      <c r="F27" s="1508"/>
      <c r="H27" s="30"/>
      <c r="I27" s="30"/>
      <c r="J27" s="30"/>
    </row>
    <row r="28" spans="2:10" s="532" customFormat="1" ht="17">
      <c r="B28" s="1958" t="s">
        <v>1383</v>
      </c>
      <c r="C28" s="549"/>
      <c r="D28" s="1488" t="s">
        <v>1400</v>
      </c>
      <c r="E28"/>
      <c r="F28" s="1506" t="s">
        <v>1302</v>
      </c>
      <c r="H28" s="30"/>
      <c r="I28" s="30"/>
      <c r="J28" s="30"/>
    </row>
    <row r="29" spans="2:10" s="532" customFormat="1" ht="17">
      <c r="B29" s="1958"/>
      <c r="C29" s="549"/>
      <c r="D29" s="1488" t="s">
        <v>1401</v>
      </c>
      <c r="E29"/>
      <c r="F29" s="1506" t="s">
        <v>1302</v>
      </c>
      <c r="H29" s="30"/>
      <c r="I29" s="30"/>
      <c r="J29" s="30"/>
    </row>
    <row r="30" spans="2:10" s="532" customFormat="1" ht="17">
      <c r="B30" s="1958"/>
      <c r="C30" s="549"/>
      <c r="D30" s="1488" t="s">
        <v>1285</v>
      </c>
      <c r="E30"/>
      <c r="F30" s="1506" t="s">
        <v>1301</v>
      </c>
    </row>
    <row r="31" spans="2:10" s="532" customFormat="1" ht="5.25" customHeight="1">
      <c r="B31" s="1504"/>
      <c r="C31" s="537"/>
      <c r="D31" s="1498"/>
      <c r="E31"/>
      <c r="F31" s="1508"/>
    </row>
    <row r="32" spans="2:10" s="532" customFormat="1" ht="17">
      <c r="B32" s="1505" t="s">
        <v>113</v>
      </c>
      <c r="C32" s="549"/>
      <c r="D32" s="1483" t="s">
        <v>1283</v>
      </c>
      <c r="E32"/>
      <c r="F32" s="1506" t="s">
        <v>1402</v>
      </c>
    </row>
    <row r="33" spans="2:6" s="532" customFormat="1" ht="15">
      <c r="B33" s="537"/>
      <c r="C33" s="537"/>
      <c r="D33" s="1482"/>
      <c r="E33"/>
      <c r="F33" s="1482"/>
    </row>
    <row r="34" spans="2:6" ht="15">
      <c r="B34" s="3"/>
      <c r="C34" s="3"/>
    </row>
    <row r="35" spans="2:6" ht="15">
      <c r="B35" s="3"/>
      <c r="C35" s="3"/>
    </row>
    <row r="36" spans="2:6" ht="15">
      <c r="B36" s="3"/>
      <c r="C36" s="3"/>
    </row>
    <row r="37" spans="2:6" ht="15">
      <c r="B37" s="3"/>
      <c r="C37" s="3"/>
    </row>
    <row r="38" spans="2:6" ht="15">
      <c r="B38" s="3"/>
      <c r="C38" s="3"/>
    </row>
    <row r="39" spans="2:6" ht="15">
      <c r="B39" s="3"/>
      <c r="C39" s="3"/>
    </row>
  </sheetData>
  <mergeCells count="4">
    <mergeCell ref="B6:B12"/>
    <mergeCell ref="B16:B19"/>
    <mergeCell ref="B21:B24"/>
    <mergeCell ref="B28:B30"/>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3" tint="-0.499984740745262"/>
  </sheetPr>
  <dimension ref="A2:AF78"/>
  <sheetViews>
    <sheetView workbookViewId="0"/>
  </sheetViews>
  <sheetFormatPr baseColWidth="10" defaultColWidth="8.83203125" defaultRowHeight="13" x14ac:dyDescent="0"/>
  <cols>
    <col min="1" max="1" width="6.6640625" customWidth="1"/>
    <col min="2" max="2" width="12.1640625" customWidth="1"/>
    <col min="3" max="3" width="2.6640625" customWidth="1"/>
    <col min="13" max="13" width="9.5" style="121" customWidth="1"/>
    <col min="15" max="15" width="1.5" customWidth="1"/>
    <col min="16" max="16" width="5" customWidth="1"/>
    <col min="17" max="17" width="12.33203125" customWidth="1"/>
    <col min="18" max="18" width="9.1640625" customWidth="1"/>
    <col min="19" max="19" width="12.83203125" customWidth="1"/>
    <col min="20" max="20" width="1.5" customWidth="1"/>
    <col min="21" max="21" width="2.5" customWidth="1"/>
    <col min="22" max="22" width="24.83203125" customWidth="1"/>
    <col min="23" max="23" width="2.5" customWidth="1"/>
    <col min="24" max="24" width="1.5" customWidth="1"/>
    <col min="25" max="25" width="2.5" customWidth="1"/>
    <col min="26" max="26" width="24.83203125" customWidth="1"/>
    <col min="27" max="27" width="2.5" customWidth="1"/>
    <col min="28" max="28" width="1.5" customWidth="1"/>
    <col min="29" max="29" width="2.5" customWidth="1"/>
    <col min="30" max="30" width="24.83203125" customWidth="1"/>
    <col min="31" max="31" width="2.5" customWidth="1"/>
    <col min="32" max="32" width="2" customWidth="1"/>
  </cols>
  <sheetData>
    <row r="2" spans="1:32" s="532" customFormat="1" ht="25.5" customHeight="1">
      <c r="B2" s="1541" t="s">
        <v>1423</v>
      </c>
      <c r="C2" s="1479"/>
      <c r="D2" s="1479"/>
      <c r="E2" s="1479"/>
      <c r="F2" s="1479"/>
      <c r="G2" s="1479"/>
      <c r="H2" s="1479"/>
      <c r="I2" s="1479"/>
      <c r="J2" s="1479"/>
      <c r="K2" s="1479"/>
      <c r="L2" s="1479"/>
      <c r="O2" s="1478"/>
      <c r="P2" s="1542" t="s">
        <v>1424</v>
      </c>
      <c r="Q2" s="1478"/>
      <c r="R2" s="1478"/>
      <c r="S2" s="1478"/>
      <c r="T2" s="1478"/>
      <c r="U2" s="1478"/>
      <c r="V2" s="1478"/>
      <c r="W2" s="1478"/>
      <c r="X2" s="1478"/>
      <c r="Y2" s="1478"/>
      <c r="Z2" s="1478"/>
      <c r="AA2" s="1478"/>
      <c r="AB2" s="1478"/>
      <c r="AC2" s="1478"/>
      <c r="AD2" s="1478"/>
      <c r="AE2" s="1478"/>
      <c r="AF2" s="1478"/>
    </row>
    <row r="3" spans="1:32" s="532" customFormat="1" ht="14">
      <c r="A3" s="121"/>
      <c r="B3" s="1538"/>
      <c r="C3" s="1480"/>
      <c r="D3" s="1480"/>
      <c r="E3" s="1480"/>
      <c r="F3" s="1480"/>
      <c r="G3" s="1480"/>
      <c r="H3" s="1480"/>
      <c r="I3" s="1480"/>
      <c r="J3" s="1480"/>
      <c r="K3" s="1480"/>
      <c r="L3" s="1480"/>
      <c r="M3" s="121"/>
      <c r="O3" s="1478"/>
      <c r="P3" s="1539"/>
      <c r="Q3" s="1478"/>
      <c r="R3" s="1478"/>
      <c r="S3" s="1478"/>
      <c r="T3" s="1478"/>
      <c r="U3" s="1478"/>
      <c r="V3" s="1478"/>
      <c r="W3" s="1478"/>
      <c r="X3" s="1478"/>
      <c r="Y3" s="1478"/>
      <c r="Z3" s="1478"/>
      <c r="AA3" s="1478"/>
      <c r="AB3" s="1478"/>
      <c r="AC3" s="1478"/>
      <c r="AD3" s="1478"/>
      <c r="AE3" s="1478"/>
      <c r="AF3" s="1478"/>
    </row>
    <row r="4" spans="1:32">
      <c r="O4" s="1453"/>
      <c r="P4" s="1424"/>
      <c r="Q4" s="1424"/>
      <c r="R4" s="1424"/>
      <c r="S4" s="1424"/>
      <c r="T4" s="1424"/>
      <c r="U4" s="1424"/>
      <c r="V4" s="1424"/>
      <c r="W4" s="1424"/>
      <c r="X4" s="1424"/>
      <c r="Y4" s="1424"/>
      <c r="Z4" s="1424"/>
      <c r="AA4" s="1424"/>
      <c r="AB4" s="1424"/>
      <c r="AC4" s="1424"/>
      <c r="AD4" s="1424"/>
      <c r="AE4" s="1424"/>
      <c r="AF4" s="1454"/>
    </row>
    <row r="5" spans="1:32" s="121" customFormat="1" ht="15">
      <c r="A5"/>
      <c r="B5" s="3" t="s">
        <v>1466</v>
      </c>
      <c r="O5" s="1455"/>
      <c r="P5" s="1464" t="s">
        <v>994</v>
      </c>
      <c r="Q5" s="1465"/>
      <c r="R5" s="1466" t="s">
        <v>1252</v>
      </c>
      <c r="S5" s="1466" t="s">
        <v>1012</v>
      </c>
      <c r="T5" s="1467"/>
      <c r="U5" s="1466" t="s">
        <v>1153</v>
      </c>
      <c r="V5" s="1468"/>
      <c r="W5" s="1468"/>
      <c r="X5" s="1467"/>
      <c r="Y5" s="1466" t="s">
        <v>690</v>
      </c>
      <c r="Z5" s="1468"/>
      <c r="AA5" s="1468"/>
      <c r="AB5" s="1467"/>
      <c r="AC5" s="1466" t="s">
        <v>1154</v>
      </c>
      <c r="AD5" s="1468"/>
      <c r="AE5" s="1468"/>
      <c r="AF5" s="1460"/>
    </row>
    <row r="6" spans="1:32" ht="16" thickBot="1">
      <c r="B6" s="3" t="s">
        <v>1452</v>
      </c>
      <c r="C6" s="121"/>
      <c r="D6" s="121"/>
      <c r="E6" s="121"/>
      <c r="F6" s="121"/>
      <c r="G6" s="121"/>
      <c r="H6" s="121"/>
      <c r="I6" s="121"/>
      <c r="J6" s="121"/>
      <c r="K6" s="121"/>
      <c r="L6" s="121"/>
      <c r="O6" s="1455"/>
      <c r="P6" s="1456"/>
      <c r="Q6" s="1457"/>
      <c r="R6" s="1458"/>
      <c r="S6" s="1458"/>
      <c r="T6" s="1117"/>
      <c r="U6" s="1458"/>
      <c r="V6" s="1459"/>
      <c r="W6" s="1459"/>
      <c r="X6" s="1117"/>
      <c r="Y6" s="1458"/>
      <c r="Z6" s="1459"/>
      <c r="AA6" s="1459"/>
      <c r="AB6" s="1117"/>
      <c r="AC6" s="1458"/>
      <c r="AD6" s="1459"/>
      <c r="AE6" s="1459"/>
      <c r="AF6" s="1460"/>
    </row>
    <row r="7" spans="1:32" ht="15">
      <c r="B7" s="3"/>
      <c r="C7" s="121"/>
      <c r="D7" s="121"/>
      <c r="E7" s="121"/>
      <c r="F7" s="121"/>
      <c r="G7" s="121"/>
      <c r="H7" s="121"/>
      <c r="I7" s="121"/>
      <c r="J7" s="121"/>
      <c r="K7" s="121"/>
      <c r="L7" s="121"/>
      <c r="O7" s="1455"/>
      <c r="P7" s="1439"/>
      <c r="Q7" s="1439"/>
      <c r="R7" s="1463"/>
      <c r="S7" s="1463"/>
      <c r="T7" s="1440"/>
      <c r="U7" s="1441"/>
      <c r="V7" s="1441"/>
      <c r="W7" s="1441"/>
      <c r="X7" s="1440"/>
      <c r="Y7" s="1441"/>
      <c r="Z7" s="1441"/>
      <c r="AA7" s="1441"/>
      <c r="AB7" s="1440"/>
      <c r="AC7" s="1441"/>
      <c r="AD7" s="1442"/>
      <c r="AE7" s="1441"/>
      <c r="AF7" s="1460"/>
    </row>
    <row r="8" spans="1:32" ht="15.75" customHeight="1">
      <c r="B8" s="3" t="s">
        <v>1454</v>
      </c>
      <c r="C8" s="121"/>
      <c r="D8" s="121"/>
      <c r="E8" s="121"/>
      <c r="F8" s="121"/>
      <c r="G8" s="121"/>
      <c r="H8" s="121"/>
      <c r="I8" s="121"/>
      <c r="J8" s="121"/>
      <c r="K8" s="121"/>
      <c r="L8" s="121"/>
      <c r="O8" s="1455"/>
      <c r="P8" s="1529" t="s">
        <v>679</v>
      </c>
      <c r="Q8" s="1530" t="s">
        <v>1033</v>
      </c>
      <c r="R8" s="1443"/>
      <c r="S8" s="1436"/>
      <c r="T8" s="1117"/>
      <c r="U8" s="1449"/>
      <c r="V8" s="1470"/>
      <c r="W8" s="1449"/>
      <c r="X8" s="1446"/>
      <c r="Y8" s="1438"/>
      <c r="Z8" s="1438"/>
      <c r="AA8" s="1438"/>
      <c r="AB8" s="1446"/>
      <c r="AC8" s="1438"/>
      <c r="AD8" s="1447"/>
      <c r="AE8" s="1438"/>
      <c r="AF8" s="1460"/>
    </row>
    <row r="9" spans="1:32" ht="15.75" customHeight="1">
      <c r="B9" s="3" t="s">
        <v>1453</v>
      </c>
      <c r="C9" s="121"/>
      <c r="D9" s="121"/>
      <c r="E9" s="121"/>
      <c r="F9" s="121"/>
      <c r="G9" s="121"/>
      <c r="H9" s="121"/>
      <c r="I9" s="121"/>
      <c r="J9" s="121"/>
      <c r="K9" s="121"/>
      <c r="L9" s="121"/>
      <c r="O9" s="1455"/>
      <c r="P9" s="1529" t="s">
        <v>635</v>
      </c>
      <c r="Q9" s="1960" t="s">
        <v>1460</v>
      </c>
      <c r="R9" s="1961"/>
      <c r="S9" s="1469"/>
      <c r="T9" s="1117"/>
      <c r="U9" s="1449"/>
      <c r="V9" s="1966" t="s">
        <v>1459</v>
      </c>
      <c r="W9" s="1449"/>
      <c r="X9" s="1446"/>
      <c r="Y9" s="1438"/>
      <c r="Z9" s="1966" t="s">
        <v>1461</v>
      </c>
      <c r="AA9" s="1438"/>
      <c r="AB9" s="1446"/>
      <c r="AC9" s="1438"/>
      <c r="AD9" s="1966" t="s">
        <v>1462</v>
      </c>
      <c r="AE9" s="1438"/>
      <c r="AF9" s="1460"/>
    </row>
    <row r="10" spans="1:32" ht="15">
      <c r="B10" s="3"/>
      <c r="C10" s="121"/>
      <c r="D10" s="121"/>
      <c r="E10" s="121"/>
      <c r="F10" s="121"/>
      <c r="G10" s="121"/>
      <c r="H10" s="121"/>
      <c r="I10" s="121"/>
      <c r="J10" s="121"/>
      <c r="K10" s="121"/>
      <c r="L10" s="121"/>
      <c r="O10" s="1455"/>
      <c r="P10" s="1529" t="s">
        <v>1070</v>
      </c>
      <c r="Q10" s="1962"/>
      <c r="R10" s="1963"/>
      <c r="S10" s="1469"/>
      <c r="T10" s="1117"/>
      <c r="U10" s="1449"/>
      <c r="V10" s="1967"/>
      <c r="W10" s="1449"/>
      <c r="X10" s="1446"/>
      <c r="Y10" s="1438"/>
      <c r="Z10" s="1967"/>
      <c r="AA10" s="1438"/>
      <c r="AB10" s="1446"/>
      <c r="AC10" s="1438"/>
      <c r="AD10" s="1967"/>
      <c r="AE10" s="1448"/>
      <c r="AF10" s="1460"/>
    </row>
    <row r="11" spans="1:32" ht="12.75" customHeight="1">
      <c r="B11" s="1544"/>
      <c r="C11" s="1545"/>
      <c r="D11" s="1545"/>
      <c r="E11" s="1545"/>
      <c r="F11" s="1545"/>
      <c r="G11" s="1545"/>
      <c r="H11" s="1545"/>
      <c r="I11" s="1545"/>
      <c r="J11" s="1545"/>
      <c r="K11" s="1545"/>
      <c r="L11" s="1546"/>
      <c r="O11" s="1455"/>
      <c r="P11" s="1529" t="s">
        <v>1071</v>
      </c>
      <c r="Q11" s="1962"/>
      <c r="R11" s="1963"/>
      <c r="S11" s="1469"/>
      <c r="T11" s="1117"/>
      <c r="U11" s="1449"/>
      <c r="V11" s="1967"/>
      <c r="W11" s="1449"/>
      <c r="X11" s="1446"/>
      <c r="Y11" s="1438"/>
      <c r="Z11" s="1967"/>
      <c r="AA11" s="1438"/>
      <c r="AB11" s="1446"/>
      <c r="AC11" s="1438"/>
      <c r="AD11" s="1967"/>
      <c r="AE11" s="1438"/>
      <c r="AF11" s="1460"/>
    </row>
    <row r="12" spans="1:32" ht="15">
      <c r="B12" s="1547" t="s">
        <v>1455</v>
      </c>
      <c r="C12" s="1543"/>
      <c r="D12" s="1543"/>
      <c r="E12" s="1543"/>
      <c r="F12" s="1543"/>
      <c r="G12" s="1543"/>
      <c r="H12" s="1543"/>
      <c r="I12" s="1543"/>
      <c r="J12" s="1543"/>
      <c r="K12" s="1543"/>
      <c r="L12" s="1548"/>
      <c r="O12" s="1455"/>
      <c r="P12" s="1529" t="s">
        <v>650</v>
      </c>
      <c r="Q12" s="1964"/>
      <c r="R12" s="1965"/>
      <c r="S12" s="1436"/>
      <c r="T12" s="1117"/>
      <c r="U12" s="1449"/>
      <c r="V12" s="1968"/>
      <c r="W12" s="1449"/>
      <c r="X12" s="1446"/>
      <c r="Y12" s="1438"/>
      <c r="Z12" s="1968"/>
      <c r="AA12" s="1438"/>
      <c r="AB12" s="1446"/>
      <c r="AC12" s="1438"/>
      <c r="AD12" s="1968"/>
      <c r="AE12" s="1438"/>
      <c r="AF12" s="1460"/>
    </row>
    <row r="13" spans="1:32" ht="15">
      <c r="B13" s="1549"/>
      <c r="C13" s="1550"/>
      <c r="D13" s="1550"/>
      <c r="E13" s="1550"/>
      <c r="F13" s="1550"/>
      <c r="G13" s="1550"/>
      <c r="H13" s="1550"/>
      <c r="I13" s="1550"/>
      <c r="J13" s="1550"/>
      <c r="K13" s="1550"/>
      <c r="L13" s="1551"/>
      <c r="O13" s="1455"/>
      <c r="P13" s="1529" t="s">
        <v>652</v>
      </c>
      <c r="Q13" s="1535" t="s">
        <v>63</v>
      </c>
      <c r="R13" s="1528"/>
      <c r="S13" s="1436"/>
      <c r="T13" s="1117"/>
      <c r="U13" s="1449"/>
      <c r="V13" s="1449"/>
      <c r="W13" s="1449"/>
      <c r="X13" s="1446"/>
      <c r="Y13" s="1438"/>
      <c r="Z13" s="1438"/>
      <c r="AA13" s="1438"/>
      <c r="AB13" s="1446"/>
      <c r="AC13" s="1438"/>
      <c r="AD13" s="1437"/>
      <c r="AE13" s="1438"/>
      <c r="AF13" s="1460"/>
    </row>
    <row r="14" spans="1:32">
      <c r="B14" s="121"/>
      <c r="C14" s="121"/>
      <c r="D14" s="121"/>
      <c r="E14" s="121"/>
      <c r="F14" s="121"/>
      <c r="G14" s="121"/>
      <c r="H14" s="121"/>
      <c r="I14" s="121"/>
      <c r="J14" s="121"/>
      <c r="K14" s="121"/>
      <c r="L14" s="121"/>
      <c r="O14" s="1455"/>
      <c r="P14" s="1529" t="s">
        <v>653</v>
      </c>
      <c r="Q14" s="1529" t="s">
        <v>1250</v>
      </c>
      <c r="R14" s="1436"/>
      <c r="S14" s="1436"/>
      <c r="T14" s="1117"/>
      <c r="U14" s="1449"/>
      <c r="V14" s="1959" t="s">
        <v>1428</v>
      </c>
      <c r="W14" s="1449"/>
      <c r="X14" s="1446"/>
      <c r="Y14" s="1438"/>
      <c r="Z14" s="1959" t="s">
        <v>1425</v>
      </c>
      <c r="AA14" s="1438"/>
      <c r="AB14" s="1446"/>
      <c r="AC14" s="1438"/>
      <c r="AD14" s="1959" t="s">
        <v>1426</v>
      </c>
      <c r="AE14" s="1438"/>
      <c r="AF14" s="1460"/>
    </row>
    <row r="15" spans="1:32" ht="14" thickBot="1">
      <c r="B15" s="121"/>
      <c r="C15" s="121"/>
      <c r="D15" s="121"/>
      <c r="E15" s="121"/>
      <c r="F15" s="121"/>
      <c r="G15" s="121"/>
      <c r="H15" s="121"/>
      <c r="I15" s="121"/>
      <c r="J15" s="121"/>
      <c r="K15" s="121"/>
      <c r="L15" s="121"/>
      <c r="O15" s="1455"/>
      <c r="P15" s="1530" t="s">
        <v>743</v>
      </c>
      <c r="Q15" s="1530" t="s">
        <v>3</v>
      </c>
      <c r="R15" s="1443"/>
      <c r="S15" s="1443"/>
      <c r="T15" s="1117"/>
      <c r="U15" s="1449"/>
      <c r="V15" s="1959"/>
      <c r="W15" s="1449"/>
      <c r="X15" s="1446"/>
      <c r="Y15" s="1438"/>
      <c r="Z15" s="1969"/>
      <c r="AA15" s="1438"/>
      <c r="AB15" s="1446"/>
      <c r="AC15" s="1438"/>
      <c r="AD15" s="1969"/>
      <c r="AE15" s="1438"/>
      <c r="AF15" s="1460"/>
    </row>
    <row r="16" spans="1:32" ht="23">
      <c r="B16" s="1541" t="s">
        <v>1422</v>
      </c>
      <c r="C16" s="1479"/>
      <c r="D16" s="1479"/>
      <c r="E16" s="1479"/>
      <c r="F16" s="1479"/>
      <c r="G16" s="1479"/>
      <c r="H16" s="1479"/>
      <c r="I16" s="1479"/>
      <c r="J16" s="1479"/>
      <c r="K16" s="1479"/>
      <c r="L16" s="1479"/>
      <c r="O16" s="1455"/>
      <c r="P16" s="1531"/>
      <c r="Q16" s="1444"/>
      <c r="R16" s="1445"/>
      <c r="S16" s="1445"/>
      <c r="T16" s="1117"/>
      <c r="U16" s="1449"/>
      <c r="V16" s="1959"/>
      <c r="W16" s="1449"/>
      <c r="X16" s="1446"/>
      <c r="Y16" s="1438"/>
      <c r="Z16" s="1969"/>
      <c r="AA16" s="1438"/>
      <c r="AB16" s="1446"/>
      <c r="AC16" s="1438"/>
      <c r="AD16" s="1969"/>
      <c r="AE16" s="1438"/>
      <c r="AF16" s="1460"/>
    </row>
    <row r="17" spans="2:32" ht="14">
      <c r="B17" s="1538"/>
      <c r="C17" s="1540"/>
      <c r="D17" s="1480"/>
      <c r="E17" s="1480"/>
      <c r="F17" s="1480"/>
      <c r="G17" s="1480"/>
      <c r="H17" s="1480"/>
      <c r="I17" s="1480"/>
      <c r="J17" s="1480"/>
      <c r="K17" s="1480"/>
      <c r="L17" s="1480"/>
      <c r="O17" s="1455"/>
      <c r="P17" s="1532" t="s">
        <v>668</v>
      </c>
      <c r="Q17" s="1529" t="s">
        <v>970</v>
      </c>
      <c r="R17" s="1436"/>
      <c r="S17" s="1436"/>
      <c r="T17" s="1117"/>
      <c r="U17" s="1449"/>
      <c r="V17" s="1959"/>
      <c r="W17" s="1449"/>
      <c r="X17" s="1446"/>
      <c r="Y17" s="1438"/>
      <c r="Z17" s="1969"/>
      <c r="AA17" s="1438"/>
      <c r="AB17" s="1446"/>
      <c r="AC17" s="1438"/>
      <c r="AD17" s="1969"/>
      <c r="AE17" s="1438"/>
      <c r="AF17" s="1460"/>
    </row>
    <row r="18" spans="2:32">
      <c r="B18" s="121"/>
      <c r="C18" s="121"/>
      <c r="D18" s="121"/>
      <c r="E18" s="121"/>
      <c r="F18" s="121"/>
      <c r="G18" s="121"/>
      <c r="H18" s="121"/>
      <c r="I18" s="121"/>
      <c r="J18" s="121"/>
      <c r="K18" s="121"/>
      <c r="L18" s="121"/>
      <c r="O18" s="1455"/>
      <c r="P18" s="1533"/>
      <c r="Q18" s="1534" t="s">
        <v>1157</v>
      </c>
      <c r="R18" s="1394"/>
      <c r="S18" s="1394"/>
      <c r="T18" s="1117"/>
      <c r="U18" s="1449"/>
      <c r="V18" s="1959"/>
      <c r="W18" s="1449"/>
      <c r="X18" s="1446"/>
      <c r="Y18" s="1438"/>
      <c r="Z18" s="1969"/>
      <c r="AA18" s="1438"/>
      <c r="AB18" s="1446"/>
      <c r="AC18" s="1438"/>
      <c r="AD18" s="1969"/>
      <c r="AE18" s="1438"/>
      <c r="AF18" s="1460"/>
    </row>
    <row r="19" spans="2:32">
      <c r="B19" s="121"/>
      <c r="C19" s="121"/>
      <c r="D19" s="121"/>
      <c r="E19" s="121"/>
      <c r="F19" s="121"/>
      <c r="G19" s="121"/>
      <c r="H19" s="121"/>
      <c r="I19" s="121"/>
      <c r="J19" s="121"/>
      <c r="K19" s="121"/>
      <c r="L19" s="121"/>
      <c r="O19" s="1455"/>
      <c r="P19" s="1533"/>
      <c r="Q19" s="1534" t="s">
        <v>969</v>
      </c>
      <c r="R19" s="1394"/>
      <c r="S19" s="1536"/>
      <c r="T19" s="1117"/>
      <c r="U19" s="1449"/>
      <c r="V19" s="1959"/>
      <c r="W19" s="1449"/>
      <c r="X19" s="1450"/>
      <c r="Y19" s="1326"/>
      <c r="Z19" s="1969"/>
      <c r="AA19" s="1326"/>
      <c r="AB19" s="1450"/>
      <c r="AC19" s="1326"/>
      <c r="AD19" s="1969"/>
      <c r="AE19" s="1438"/>
      <c r="AF19" s="1460"/>
    </row>
    <row r="20" spans="2:32" ht="15">
      <c r="B20" s="1553" t="s">
        <v>1431</v>
      </c>
      <c r="C20" s="3" t="s">
        <v>1448</v>
      </c>
      <c r="O20" s="1455"/>
      <c r="P20" s="1533"/>
      <c r="Q20" s="1534" t="s">
        <v>1160</v>
      </c>
      <c r="R20" s="1394"/>
      <c r="S20" s="1394"/>
      <c r="T20" s="1117"/>
      <c r="U20" s="1449"/>
      <c r="V20" s="1959"/>
      <c r="W20" s="1449"/>
      <c r="X20" s="1450"/>
      <c r="Y20" s="1326"/>
      <c r="Z20" s="1969"/>
      <c r="AA20" s="1438"/>
      <c r="AB20" s="1450"/>
      <c r="AC20" s="1326"/>
      <c r="AD20" s="1969"/>
      <c r="AE20" s="1438"/>
      <c r="AF20" s="1460"/>
    </row>
    <row r="21" spans="2:32" ht="15">
      <c r="B21" s="1554"/>
      <c r="C21" s="3"/>
      <c r="O21" s="1455"/>
      <c r="P21" s="1533"/>
      <c r="Q21" s="1534" t="s">
        <v>1159</v>
      </c>
      <c r="R21" s="1394"/>
      <c r="S21" s="1536"/>
      <c r="T21" s="1117"/>
      <c r="U21" s="1449"/>
      <c r="V21" s="1449"/>
      <c r="W21" s="1449"/>
      <c r="X21" s="1446"/>
      <c r="Y21" s="1438"/>
      <c r="Z21" s="1437"/>
      <c r="AA21" s="1438"/>
      <c r="AB21" s="1446"/>
      <c r="AC21" s="1438"/>
      <c r="AD21" s="1437"/>
      <c r="AE21" s="1438"/>
      <c r="AF21" s="1460"/>
    </row>
    <row r="22" spans="2:32" ht="15">
      <c r="B22" s="1553" t="s">
        <v>1432</v>
      </c>
      <c r="C22" s="3" t="s">
        <v>1449</v>
      </c>
      <c r="O22" s="1455"/>
      <c r="P22" s="1532" t="s">
        <v>716</v>
      </c>
      <c r="Q22" s="1529" t="s">
        <v>972</v>
      </c>
      <c r="R22" s="1436"/>
      <c r="S22" s="808"/>
      <c r="T22" s="1117"/>
      <c r="U22" s="1449"/>
      <c r="V22" s="1449"/>
      <c r="W22" s="1449"/>
      <c r="X22" s="1446"/>
      <c r="Y22" s="1438"/>
      <c r="Z22" s="1437"/>
      <c r="AA22" s="1438"/>
      <c r="AB22" s="1446"/>
      <c r="AC22" s="1438"/>
      <c r="AD22" s="1437"/>
      <c r="AE22" s="1438"/>
      <c r="AF22" s="1460"/>
    </row>
    <row r="23" spans="2:32" ht="15.75" customHeight="1">
      <c r="B23" s="1553"/>
      <c r="C23" s="3"/>
      <c r="D23" s="121" t="s">
        <v>1429</v>
      </c>
      <c r="E23" s="121"/>
      <c r="F23" s="121"/>
      <c r="G23" s="121"/>
      <c r="H23" s="121"/>
      <c r="I23" s="121"/>
      <c r="J23" s="121"/>
      <c r="K23" s="121"/>
      <c r="L23" s="121"/>
      <c r="O23" s="1455"/>
      <c r="P23" s="1533"/>
      <c r="Q23" s="1534" t="s">
        <v>1158</v>
      </c>
      <c r="R23" s="1394"/>
      <c r="S23" s="1395"/>
      <c r="T23" s="1117"/>
      <c r="U23" s="1449"/>
      <c r="V23" s="1966" t="s">
        <v>1459</v>
      </c>
      <c r="W23" s="1449"/>
      <c r="X23" s="1446"/>
      <c r="Y23" s="1438"/>
      <c r="Z23" s="1966" t="s">
        <v>1463</v>
      </c>
      <c r="AA23" s="1438"/>
      <c r="AB23" s="1446"/>
      <c r="AC23" s="1438"/>
      <c r="AD23" s="1437"/>
      <c r="AE23" s="1438"/>
      <c r="AF23" s="1460"/>
    </row>
    <row r="24" spans="2:32" ht="15">
      <c r="B24" s="1553"/>
      <c r="C24" s="3"/>
      <c r="D24" s="121" t="s">
        <v>1430</v>
      </c>
      <c r="E24" s="121"/>
      <c r="F24" s="121"/>
      <c r="G24" s="121"/>
      <c r="H24" s="121"/>
      <c r="I24" s="121"/>
      <c r="J24" s="121"/>
      <c r="K24" s="121"/>
      <c r="L24" s="121"/>
      <c r="O24" s="1455"/>
      <c r="P24" s="1533"/>
      <c r="Q24" s="1534" t="s">
        <v>1161</v>
      </c>
      <c r="R24" s="1394"/>
      <c r="S24" s="1395"/>
      <c r="T24" s="1117"/>
      <c r="U24" s="1449"/>
      <c r="V24" s="1967"/>
      <c r="W24" s="1449"/>
      <c r="X24" s="1446"/>
      <c r="Y24" s="1438"/>
      <c r="Z24" s="1967"/>
      <c r="AA24" s="1438"/>
      <c r="AB24" s="1446"/>
      <c r="AC24" s="1438"/>
      <c r="AD24" s="1438"/>
      <c r="AE24" s="1438"/>
      <c r="AF24" s="1460"/>
    </row>
    <row r="25" spans="2:32" ht="15">
      <c r="B25" s="1554"/>
      <c r="C25" s="3"/>
      <c r="O25" s="1455"/>
      <c r="P25" s="1533"/>
      <c r="Q25" s="1534" t="s">
        <v>1162</v>
      </c>
      <c r="R25" s="1394"/>
      <c r="S25" s="1395"/>
      <c r="T25" s="1117"/>
      <c r="U25" s="1449"/>
      <c r="V25" s="1967"/>
      <c r="W25" s="1449"/>
      <c r="X25" s="1446"/>
      <c r="Y25" s="1438"/>
      <c r="Z25" s="1967"/>
      <c r="AA25" s="1438"/>
      <c r="AB25" s="1446"/>
      <c r="AC25" s="1438"/>
      <c r="AD25" s="1438"/>
      <c r="AE25" s="1438"/>
      <c r="AF25" s="1460"/>
    </row>
    <row r="26" spans="2:32" ht="15">
      <c r="B26" s="1553" t="s">
        <v>1433</v>
      </c>
      <c r="C26" s="3" t="s">
        <v>1440</v>
      </c>
      <c r="O26" s="1455"/>
      <c r="P26" s="1532" t="s">
        <v>721</v>
      </c>
      <c r="Q26" s="1529" t="s">
        <v>723</v>
      </c>
      <c r="R26" s="1436"/>
      <c r="S26" s="808"/>
      <c r="T26" s="1117"/>
      <c r="U26" s="1449"/>
      <c r="V26" s="1968"/>
      <c r="W26" s="1449"/>
      <c r="X26" s="1446"/>
      <c r="Y26" s="1438"/>
      <c r="Z26" s="1968"/>
      <c r="AA26" s="1438"/>
      <c r="AB26" s="503"/>
      <c r="AC26" s="1438"/>
      <c r="AD26" s="1447"/>
      <c r="AE26" s="1438"/>
      <c r="AF26" s="1460"/>
    </row>
    <row r="27" spans="2:32" ht="15">
      <c r="B27" s="1554"/>
      <c r="C27" s="3"/>
      <c r="O27" s="1455"/>
      <c r="P27" s="1533"/>
      <c r="Q27" s="1534" t="s">
        <v>1030</v>
      </c>
      <c r="R27" s="1394"/>
      <c r="S27" s="1395"/>
      <c r="T27" s="1117"/>
      <c r="U27" s="1449"/>
      <c r="V27" s="1449"/>
      <c r="W27" s="1449"/>
      <c r="X27" s="1446"/>
      <c r="Y27" s="1438"/>
      <c r="Z27" s="1437"/>
      <c r="AA27" s="1438"/>
      <c r="AB27" s="503"/>
      <c r="AC27" s="1438"/>
      <c r="AD27" s="1447"/>
      <c r="AE27" s="1438"/>
      <c r="AF27" s="1460"/>
    </row>
    <row r="28" spans="2:32" ht="15">
      <c r="B28" s="1553" t="s">
        <v>1434</v>
      </c>
      <c r="C28" s="3" t="s">
        <v>1458</v>
      </c>
      <c r="O28" s="1455"/>
      <c r="P28" s="1533"/>
      <c r="Q28" s="1534" t="s">
        <v>1029</v>
      </c>
      <c r="R28" s="1394"/>
      <c r="S28" s="1395"/>
      <c r="T28" s="1117"/>
      <c r="U28" s="1438"/>
      <c r="V28" s="1959" t="s">
        <v>1427</v>
      </c>
      <c r="W28" s="1438"/>
      <c r="X28" s="1446"/>
      <c r="Y28" s="1438"/>
      <c r="Z28" s="1437"/>
      <c r="AA28" s="1438"/>
      <c r="AB28" s="503"/>
      <c r="AC28" s="1438"/>
      <c r="AD28" s="1438"/>
      <c r="AE28" s="1438"/>
      <c r="AF28" s="1460"/>
    </row>
    <row r="29" spans="2:32" ht="15">
      <c r="B29" s="1554"/>
      <c r="C29" s="3" t="s">
        <v>1464</v>
      </c>
      <c r="D29" s="1552"/>
      <c r="O29" s="1455"/>
      <c r="P29" s="1532" t="s">
        <v>722</v>
      </c>
      <c r="Q29" s="1529" t="s">
        <v>724</v>
      </c>
      <c r="R29" s="1436"/>
      <c r="S29" s="808"/>
      <c r="T29" s="1117"/>
      <c r="U29" s="1438"/>
      <c r="V29" s="1959"/>
      <c r="W29" s="1438"/>
      <c r="X29" s="1446"/>
      <c r="Y29" s="1438"/>
      <c r="Z29" s="1437"/>
      <c r="AA29" s="1438"/>
      <c r="AB29" s="503"/>
      <c r="AC29" s="1438"/>
      <c r="AD29" s="1438"/>
      <c r="AE29" s="1448"/>
      <c r="AF29" s="1460"/>
    </row>
    <row r="30" spans="2:32" ht="15">
      <c r="B30" s="1554"/>
      <c r="C30" s="532"/>
      <c r="D30" s="3" t="s">
        <v>1457</v>
      </c>
      <c r="E30" s="121"/>
      <c r="F30" s="121"/>
      <c r="G30" s="121"/>
      <c r="H30" s="121"/>
      <c r="I30" s="121"/>
      <c r="J30" s="121"/>
      <c r="K30" s="121"/>
      <c r="L30" s="121"/>
      <c r="O30" s="1455"/>
      <c r="P30" s="1533"/>
      <c r="Q30" s="1534" t="s">
        <v>1030</v>
      </c>
      <c r="R30" s="1394"/>
      <c r="S30" s="1395"/>
      <c r="T30" s="1117"/>
      <c r="U30" s="1438"/>
      <c r="V30" s="1959"/>
      <c r="W30" s="1438"/>
      <c r="X30" s="1446"/>
      <c r="Y30" s="1438"/>
      <c r="Z30" s="1437"/>
      <c r="AA30" s="1438"/>
      <c r="AB30" s="503"/>
      <c r="AC30" s="1438"/>
      <c r="AD30" s="1451"/>
      <c r="AE30" s="1449"/>
      <c r="AF30" s="1460"/>
    </row>
    <row r="31" spans="2:32" ht="15">
      <c r="B31" s="1554"/>
      <c r="C31" s="532"/>
      <c r="D31" s="3" t="s">
        <v>1499</v>
      </c>
      <c r="E31" s="121"/>
      <c r="F31" s="121"/>
      <c r="G31" s="121"/>
      <c r="H31" s="121"/>
      <c r="I31" s="121"/>
      <c r="J31" s="121"/>
      <c r="K31" s="121"/>
      <c r="L31" s="121"/>
      <c r="O31" s="1455"/>
      <c r="P31" s="1533"/>
      <c r="Q31" s="1534" t="s">
        <v>1029</v>
      </c>
      <c r="R31" s="1394"/>
      <c r="S31" s="1395"/>
      <c r="T31" s="1117"/>
      <c r="U31" s="1438"/>
      <c r="V31" s="1959"/>
      <c r="W31" s="1438"/>
      <c r="X31" s="1446"/>
      <c r="Y31" s="1438"/>
      <c r="Z31" s="1438"/>
      <c r="AA31" s="1448"/>
      <c r="AB31" s="503"/>
      <c r="AC31" s="1438"/>
      <c r="AD31" s="1451"/>
      <c r="AE31" s="1449"/>
      <c r="AF31" s="1460"/>
    </row>
    <row r="32" spans="2:32" ht="15">
      <c r="B32" s="1554"/>
      <c r="C32" s="3"/>
      <c r="O32" s="1455"/>
      <c r="P32" s="1532" t="s">
        <v>689</v>
      </c>
      <c r="Q32" s="1529" t="s">
        <v>425</v>
      </c>
      <c r="R32" s="1436"/>
      <c r="S32" s="808"/>
      <c r="T32" s="1117"/>
      <c r="U32" s="1438"/>
      <c r="V32" s="1959"/>
      <c r="W32" s="1438"/>
      <c r="X32" s="1446"/>
      <c r="Y32" s="1438"/>
      <c r="Z32" s="1438"/>
      <c r="AA32" s="1438"/>
      <c r="AB32" s="503"/>
      <c r="AC32" s="1438"/>
      <c r="AD32" s="1451"/>
      <c r="AE32" s="1449"/>
      <c r="AF32" s="1460"/>
    </row>
    <row r="33" spans="2:32" ht="15">
      <c r="B33" s="1553" t="s">
        <v>1450</v>
      </c>
      <c r="C33" s="3" t="s">
        <v>1465</v>
      </c>
      <c r="O33" s="1455"/>
      <c r="P33" s="1532"/>
      <c r="Q33" s="1529"/>
      <c r="R33" s="808"/>
      <c r="S33" s="808"/>
      <c r="T33" s="1117"/>
      <c r="U33" s="1438"/>
      <c r="V33" s="1959"/>
      <c r="W33" s="1438"/>
      <c r="X33" s="1446"/>
      <c r="Y33" s="1438"/>
      <c r="Z33" s="1452"/>
      <c r="AA33" s="1438"/>
      <c r="AB33" s="503"/>
      <c r="AC33" s="1438"/>
      <c r="AD33" s="1438"/>
      <c r="AE33" s="1438"/>
      <c r="AF33" s="1460"/>
    </row>
    <row r="34" spans="2:32" ht="15">
      <c r="B34" s="1553"/>
      <c r="C34" s="3" t="s">
        <v>1443</v>
      </c>
      <c r="D34" s="121"/>
      <c r="E34" s="121"/>
      <c r="F34" s="121"/>
      <c r="G34" s="121"/>
      <c r="H34" s="121"/>
      <c r="I34" s="121"/>
      <c r="J34" s="121"/>
      <c r="K34" s="121"/>
      <c r="L34" s="121"/>
      <c r="O34" s="1455"/>
      <c r="P34" s="1533"/>
      <c r="Q34" s="1534"/>
      <c r="R34" s="1395"/>
      <c r="S34" s="1395"/>
      <c r="T34" s="1117"/>
      <c r="U34" s="1438"/>
      <c r="V34" s="1959"/>
      <c r="W34" s="1438"/>
      <c r="X34" s="1446"/>
      <c r="Y34" s="1438"/>
      <c r="Z34" s="1438"/>
      <c r="AA34" s="1438"/>
      <c r="AB34" s="503"/>
      <c r="AC34" s="1438"/>
      <c r="AD34" s="1438"/>
      <c r="AE34" s="1438"/>
      <c r="AF34" s="1460"/>
    </row>
    <row r="35" spans="2:32" ht="15">
      <c r="B35" s="1553"/>
      <c r="C35" s="3" t="s">
        <v>1441</v>
      </c>
      <c r="D35" s="121"/>
      <c r="E35" s="121"/>
      <c r="F35" s="121"/>
      <c r="G35" s="121"/>
      <c r="H35" s="121"/>
      <c r="I35" s="121"/>
      <c r="J35" s="121"/>
      <c r="K35" s="121"/>
      <c r="L35" s="121"/>
      <c r="O35" s="1455"/>
      <c r="P35" s="1446"/>
      <c r="Q35" s="1446"/>
      <c r="R35" s="1117"/>
      <c r="S35" s="1117"/>
      <c r="T35" s="1117"/>
      <c r="U35" s="1438"/>
      <c r="V35" s="1438"/>
      <c r="W35" s="1438"/>
      <c r="X35" s="1446"/>
      <c r="Y35" s="1438"/>
      <c r="Z35" s="1438"/>
      <c r="AA35" s="1438"/>
      <c r="AB35" s="503"/>
      <c r="AC35" s="1438"/>
      <c r="AD35" s="1438"/>
      <c r="AE35" s="1438"/>
      <c r="AF35" s="1460"/>
    </row>
    <row r="36" spans="2:32" ht="15">
      <c r="B36" s="1553"/>
      <c r="C36" s="3" t="s">
        <v>1442</v>
      </c>
      <c r="D36" s="121"/>
      <c r="E36" s="121"/>
      <c r="F36" s="121"/>
      <c r="G36" s="121"/>
      <c r="H36" s="121"/>
      <c r="I36" s="121"/>
      <c r="J36" s="121"/>
      <c r="K36" s="121"/>
      <c r="L36" s="121"/>
      <c r="O36" s="1455"/>
      <c r="P36" s="1446"/>
      <c r="Q36" s="1446"/>
      <c r="R36" s="1117"/>
      <c r="S36" s="1117"/>
      <c r="T36" s="1117"/>
      <c r="U36" s="1438"/>
      <c r="V36" s="1438"/>
      <c r="W36" s="1438"/>
      <c r="X36" s="1446"/>
      <c r="Y36" s="1438"/>
      <c r="Z36" s="1438"/>
      <c r="AA36" s="1438"/>
      <c r="AB36" s="503"/>
      <c r="AC36" s="1438"/>
      <c r="AD36" s="1437"/>
      <c r="AE36" s="1438"/>
      <c r="AF36" s="1460"/>
    </row>
    <row r="37" spans="2:32" ht="15">
      <c r="B37" s="1553"/>
      <c r="C37" s="3"/>
      <c r="D37" s="121"/>
      <c r="E37" s="121"/>
      <c r="F37" s="121"/>
      <c r="G37" s="121"/>
      <c r="H37" s="121"/>
      <c r="I37" s="121"/>
      <c r="J37" s="121"/>
      <c r="K37" s="121"/>
      <c r="L37" s="121"/>
      <c r="O37" s="1461"/>
      <c r="P37" s="1114"/>
      <c r="Q37" s="1114"/>
      <c r="R37" s="1114"/>
      <c r="S37" s="1114"/>
      <c r="T37" s="1114"/>
      <c r="U37" s="1114"/>
      <c r="V37" s="1114"/>
      <c r="W37" s="1114"/>
      <c r="X37" s="1114"/>
      <c r="Y37" s="1114"/>
      <c r="Z37" s="1114"/>
      <c r="AA37" s="1114"/>
      <c r="AB37" s="1114"/>
      <c r="AC37" s="1114"/>
      <c r="AD37" s="1114"/>
      <c r="AE37" s="1114"/>
      <c r="AF37" s="1462"/>
    </row>
    <row r="38" spans="2:32" ht="15">
      <c r="B38" s="1553"/>
      <c r="C38" s="3"/>
      <c r="D38" s="121"/>
      <c r="E38" s="121"/>
      <c r="F38" s="121"/>
      <c r="G38" s="121"/>
      <c r="H38" s="121"/>
      <c r="I38" s="121"/>
      <c r="J38" s="121"/>
      <c r="K38" s="121"/>
      <c r="L38" s="121"/>
    </row>
    <row r="39" spans="2:32" ht="23">
      <c r="B39" s="1541" t="s">
        <v>1447</v>
      </c>
      <c r="C39" s="1537"/>
      <c r="D39" s="797"/>
      <c r="E39" s="797"/>
      <c r="F39" s="797"/>
      <c r="G39" s="797"/>
      <c r="H39" s="797"/>
      <c r="I39" s="797"/>
      <c r="J39" s="797"/>
      <c r="K39" s="797"/>
      <c r="L39" s="797"/>
    </row>
    <row r="40" spans="2:32" ht="14">
      <c r="B40" s="1538"/>
      <c r="C40" s="1540"/>
      <c r="D40" s="1480"/>
      <c r="E40" s="1480"/>
      <c r="F40" s="1480"/>
      <c r="G40" s="1480"/>
      <c r="H40" s="1480"/>
      <c r="I40" s="1480"/>
      <c r="J40" s="1480"/>
      <c r="K40" s="1480"/>
      <c r="L40" s="1480"/>
    </row>
    <row r="41" spans="2:32" ht="15">
      <c r="B41" s="3"/>
      <c r="C41" s="3"/>
    </row>
    <row r="42" spans="2:32" ht="15">
      <c r="B42" s="1555" t="s">
        <v>962</v>
      </c>
      <c r="C42" s="3" t="s">
        <v>1254</v>
      </c>
      <c r="D42" s="3"/>
      <c r="E42" s="3"/>
      <c r="F42" s="3"/>
      <c r="G42" s="3"/>
      <c r="H42" s="3"/>
      <c r="I42" s="3"/>
      <c r="J42" s="3"/>
      <c r="K42" s="3"/>
      <c r="L42" s="3"/>
    </row>
    <row r="43" spans="2:32" ht="15">
      <c r="B43" s="3"/>
      <c r="C43" s="3" t="s">
        <v>1255</v>
      </c>
      <c r="D43" s="3"/>
      <c r="E43" s="3"/>
      <c r="F43" s="3"/>
      <c r="G43" s="3"/>
      <c r="H43" s="3"/>
      <c r="I43" s="3"/>
      <c r="J43" s="3"/>
      <c r="K43" s="3"/>
      <c r="L43" s="3"/>
    </row>
    <row r="44" spans="2:32" ht="15">
      <c r="B44" s="3"/>
      <c r="C44" s="3"/>
      <c r="D44" s="3"/>
      <c r="E44" s="3"/>
      <c r="F44" s="3"/>
      <c r="G44" s="3"/>
      <c r="H44" s="3"/>
      <c r="I44" s="3"/>
      <c r="J44" s="3"/>
      <c r="K44" s="3"/>
      <c r="L44" s="3"/>
    </row>
    <row r="45" spans="2:32" ht="15">
      <c r="B45" s="1555" t="s">
        <v>690</v>
      </c>
      <c r="C45" s="3" t="s">
        <v>1256</v>
      </c>
      <c r="D45" s="3"/>
      <c r="E45" s="3"/>
      <c r="F45" s="3"/>
      <c r="G45" s="3"/>
      <c r="H45" s="3"/>
      <c r="I45" s="3"/>
      <c r="J45" s="3"/>
      <c r="K45" s="3"/>
      <c r="L45" s="3"/>
    </row>
    <row r="46" spans="2:32" ht="15">
      <c r="B46" s="1555" t="s">
        <v>1259</v>
      </c>
      <c r="C46" s="3" t="s">
        <v>1504</v>
      </c>
      <c r="D46" s="3"/>
      <c r="E46" s="3"/>
      <c r="F46" s="3"/>
      <c r="G46" s="3"/>
      <c r="H46" s="3"/>
      <c r="I46" s="3"/>
      <c r="J46" s="3"/>
      <c r="K46" s="3"/>
      <c r="L46" s="3"/>
    </row>
    <row r="47" spans="2:32" ht="15">
      <c r="B47" s="3"/>
      <c r="C47" s="3"/>
      <c r="D47" s="3"/>
      <c r="E47" s="3"/>
      <c r="F47" s="3"/>
      <c r="G47" s="3"/>
      <c r="H47" s="3"/>
      <c r="I47" s="3"/>
      <c r="J47" s="3"/>
      <c r="K47" s="3"/>
      <c r="L47" s="3"/>
    </row>
    <row r="48" spans="2:32" ht="15">
      <c r="B48" s="3"/>
      <c r="C48" s="3" t="s">
        <v>1444</v>
      </c>
      <c r="D48" s="3"/>
      <c r="E48" s="3"/>
      <c r="F48" s="3"/>
      <c r="G48" s="3"/>
      <c r="H48" s="3"/>
      <c r="I48" s="3"/>
      <c r="J48" s="3"/>
      <c r="K48" s="3"/>
      <c r="L48" s="3"/>
    </row>
    <row r="49" spans="2:12" ht="15">
      <c r="B49" s="3"/>
      <c r="C49" s="3" t="s">
        <v>1257</v>
      </c>
      <c r="D49" s="3"/>
      <c r="E49" s="3"/>
      <c r="F49" s="3"/>
      <c r="G49" s="3"/>
      <c r="H49" s="3"/>
      <c r="I49" s="3"/>
      <c r="J49" s="3"/>
      <c r="K49" s="3"/>
      <c r="L49" s="3"/>
    </row>
    <row r="50" spans="2:12" ht="15">
      <c r="B50" s="3"/>
      <c r="C50" s="3"/>
      <c r="D50" s="3"/>
      <c r="E50" s="3"/>
      <c r="F50" s="3"/>
      <c r="G50" s="3"/>
      <c r="H50" s="3"/>
      <c r="I50" s="3"/>
      <c r="J50" s="3"/>
      <c r="K50" s="3"/>
      <c r="L50" s="3"/>
    </row>
    <row r="51" spans="2:12" ht="15">
      <c r="B51" s="3"/>
      <c r="C51" s="3" t="s">
        <v>1258</v>
      </c>
      <c r="D51" s="3"/>
      <c r="E51" s="3"/>
      <c r="F51" s="3"/>
      <c r="G51" s="3"/>
      <c r="H51" s="3"/>
      <c r="I51" s="3"/>
      <c r="J51" s="3"/>
      <c r="K51" s="3"/>
      <c r="L51" s="3"/>
    </row>
    <row r="52" spans="2:12" ht="15">
      <c r="B52" s="3"/>
      <c r="C52" s="3"/>
      <c r="D52" s="3"/>
      <c r="E52" s="3"/>
      <c r="F52" s="3"/>
      <c r="G52" s="3"/>
      <c r="H52" s="3"/>
      <c r="I52" s="3"/>
      <c r="J52" s="3"/>
      <c r="K52" s="3"/>
      <c r="L52" s="3"/>
    </row>
    <row r="53" spans="2:12" ht="15">
      <c r="B53" s="3"/>
      <c r="C53" s="1556" t="s">
        <v>1166</v>
      </c>
      <c r="D53" s="3"/>
      <c r="E53" s="3"/>
      <c r="F53" s="3"/>
      <c r="G53" s="3"/>
      <c r="H53" s="3"/>
      <c r="I53" s="3"/>
      <c r="J53" s="3"/>
      <c r="K53" s="3"/>
      <c r="L53" s="3"/>
    </row>
    <row r="54" spans="2:12" ht="17">
      <c r="B54" s="3"/>
      <c r="C54" s="3"/>
      <c r="D54" s="3" t="s">
        <v>1445</v>
      </c>
      <c r="E54" s="3"/>
      <c r="F54" s="3"/>
      <c r="G54" s="3"/>
      <c r="H54" s="3"/>
      <c r="I54" s="3"/>
      <c r="J54" s="3"/>
      <c r="K54" s="3"/>
      <c r="L54" s="3"/>
    </row>
    <row r="55" spans="2:12" ht="15">
      <c r="B55" s="3"/>
      <c r="C55" s="3"/>
      <c r="D55" s="3"/>
      <c r="E55" s="3"/>
      <c r="F55" s="3"/>
      <c r="G55" s="3"/>
      <c r="H55" s="3"/>
      <c r="I55" s="3"/>
      <c r="J55" s="3"/>
      <c r="K55" s="3"/>
      <c r="L55" s="3"/>
    </row>
    <row r="56" spans="2:12" ht="15">
      <c r="B56" s="3"/>
      <c r="C56" s="1556" t="s">
        <v>1167</v>
      </c>
      <c r="D56" s="3"/>
      <c r="E56" s="3"/>
      <c r="F56" s="3"/>
      <c r="G56" s="3"/>
      <c r="H56" s="3"/>
      <c r="I56" s="3"/>
      <c r="J56" s="3"/>
      <c r="K56" s="3"/>
      <c r="L56" s="3"/>
    </row>
    <row r="57" spans="2:12" ht="17">
      <c r="B57" s="3"/>
      <c r="C57" s="3"/>
      <c r="D57" s="3" t="s">
        <v>1446</v>
      </c>
      <c r="E57" s="3"/>
      <c r="F57" s="3"/>
      <c r="G57" s="3"/>
      <c r="H57" s="3"/>
      <c r="I57" s="3"/>
      <c r="J57" s="3"/>
      <c r="K57" s="3"/>
      <c r="L57" s="3"/>
    </row>
    <row r="58" spans="2:12" ht="15">
      <c r="B58" s="3"/>
      <c r="C58" s="3"/>
      <c r="D58" s="3"/>
      <c r="E58" s="3"/>
      <c r="F58" s="3"/>
      <c r="G58" s="3"/>
      <c r="H58" s="3"/>
      <c r="I58" s="3"/>
      <c r="J58" s="3"/>
      <c r="K58" s="3"/>
      <c r="L58" s="3"/>
    </row>
    <row r="59" spans="2:12" ht="15">
      <c r="B59" s="1555" t="s">
        <v>1260</v>
      </c>
      <c r="C59" s="3" t="s">
        <v>1262</v>
      </c>
      <c r="D59" s="3"/>
      <c r="E59" s="3"/>
      <c r="F59" s="3"/>
      <c r="G59" s="3"/>
      <c r="H59" s="3"/>
      <c r="I59" s="3"/>
      <c r="J59" s="3"/>
      <c r="K59" s="3"/>
      <c r="L59" s="3"/>
    </row>
    <row r="60" spans="2:12" ht="15">
      <c r="B60" s="1555" t="s">
        <v>1261</v>
      </c>
      <c r="C60" s="3" t="s">
        <v>1263</v>
      </c>
      <c r="D60" s="3"/>
      <c r="E60" s="3"/>
      <c r="F60" s="3"/>
      <c r="G60" s="3"/>
      <c r="H60" s="3"/>
      <c r="I60" s="3"/>
      <c r="J60" s="3"/>
      <c r="K60" s="3"/>
      <c r="L60" s="3"/>
    </row>
    <row r="61" spans="2:12" ht="15">
      <c r="B61" s="3"/>
      <c r="C61" s="3" t="s">
        <v>1264</v>
      </c>
      <c r="D61" s="3"/>
      <c r="E61" s="3"/>
      <c r="F61" s="3"/>
      <c r="G61" s="3"/>
      <c r="H61" s="3"/>
      <c r="I61" s="3"/>
      <c r="J61" s="3"/>
      <c r="K61" s="3"/>
      <c r="L61" s="3"/>
    </row>
    <row r="62" spans="2:12" ht="15">
      <c r="B62" s="3"/>
      <c r="C62" s="3" t="s">
        <v>1265</v>
      </c>
      <c r="D62" s="3"/>
      <c r="E62" s="3"/>
      <c r="F62" s="3"/>
      <c r="G62" s="3"/>
      <c r="H62" s="3"/>
      <c r="I62" s="3"/>
      <c r="J62" s="3"/>
      <c r="K62" s="3"/>
      <c r="L62" s="3"/>
    </row>
    <row r="63" spans="2:12" ht="15">
      <c r="B63" s="3"/>
      <c r="C63" s="3" t="s">
        <v>1266</v>
      </c>
      <c r="D63" s="3"/>
      <c r="E63" s="3"/>
      <c r="F63" s="3"/>
      <c r="G63" s="3"/>
      <c r="H63" s="3"/>
      <c r="I63" s="3"/>
      <c r="J63" s="3"/>
      <c r="K63" s="3"/>
      <c r="L63" s="3"/>
    </row>
    <row r="64" spans="2:12" ht="15">
      <c r="B64" s="3"/>
      <c r="C64" s="3"/>
      <c r="D64" s="3"/>
      <c r="E64" s="3"/>
      <c r="F64" s="3"/>
      <c r="G64" s="3"/>
      <c r="H64" s="3"/>
      <c r="I64" s="3"/>
      <c r="J64" s="3"/>
      <c r="K64" s="3"/>
      <c r="L64" s="3"/>
    </row>
    <row r="65" spans="2:12" ht="15">
      <c r="B65" s="1555" t="s">
        <v>1267</v>
      </c>
      <c r="C65" s="1556" t="s">
        <v>1269</v>
      </c>
      <c r="D65" s="3"/>
      <c r="E65" s="3"/>
      <c r="F65" s="3"/>
      <c r="G65" s="3"/>
      <c r="H65" s="3"/>
      <c r="I65" s="3"/>
      <c r="J65" s="3"/>
      <c r="K65" s="3"/>
      <c r="L65" s="3"/>
    </row>
    <row r="66" spans="2:12" ht="15">
      <c r="B66" s="1555" t="s">
        <v>1268</v>
      </c>
      <c r="C66" s="3" t="s">
        <v>1503</v>
      </c>
      <c r="D66" s="3"/>
      <c r="E66" s="3"/>
      <c r="F66" s="3"/>
      <c r="G66" s="3"/>
      <c r="H66" s="3"/>
      <c r="I66" s="3"/>
      <c r="J66" s="3"/>
      <c r="K66" s="3"/>
      <c r="L66" s="3"/>
    </row>
    <row r="67" spans="2:12" ht="15">
      <c r="B67" s="3"/>
      <c r="C67" s="3"/>
      <c r="D67" s="3"/>
      <c r="E67" s="3"/>
      <c r="F67" s="3"/>
      <c r="G67" s="3"/>
      <c r="H67" s="3"/>
      <c r="I67" s="3"/>
      <c r="J67" s="3"/>
      <c r="K67" s="3"/>
      <c r="L67" s="3"/>
    </row>
    <row r="68" spans="2:12" ht="15">
      <c r="B68" s="3"/>
      <c r="C68" s="1556" t="s">
        <v>1142</v>
      </c>
      <c r="D68" s="3"/>
      <c r="E68" s="3"/>
      <c r="F68" s="3"/>
      <c r="G68" s="3"/>
      <c r="H68" s="3"/>
      <c r="I68" s="3"/>
      <c r="J68" s="3"/>
      <c r="K68" s="3"/>
      <c r="L68" s="3"/>
    </row>
    <row r="69" spans="2:12" ht="15">
      <c r="B69" s="3"/>
      <c r="C69" s="3" t="s">
        <v>1500</v>
      </c>
      <c r="D69" s="3"/>
      <c r="E69" s="3"/>
      <c r="F69" s="3"/>
      <c r="G69" s="3"/>
      <c r="H69" s="3"/>
      <c r="I69" s="3"/>
      <c r="J69" s="3"/>
      <c r="K69" s="3"/>
      <c r="L69" s="3"/>
    </row>
    <row r="70" spans="2:12" ht="15">
      <c r="B70" s="3"/>
      <c r="C70" s="3" t="s">
        <v>1501</v>
      </c>
      <c r="D70" s="3"/>
      <c r="E70" s="3"/>
      <c r="F70" s="3"/>
      <c r="G70" s="3"/>
      <c r="H70" s="3"/>
      <c r="I70" s="3"/>
      <c r="J70" s="3"/>
      <c r="K70" s="3"/>
      <c r="L70" s="3"/>
    </row>
    <row r="71" spans="2:12" ht="15">
      <c r="B71" s="3"/>
      <c r="C71" s="3"/>
      <c r="D71" s="3"/>
      <c r="E71" s="3"/>
      <c r="F71" s="3"/>
      <c r="G71" s="3"/>
      <c r="H71" s="3"/>
      <c r="I71" s="3"/>
      <c r="J71" s="3"/>
      <c r="K71" s="3"/>
      <c r="L71" s="3"/>
    </row>
    <row r="72" spans="2:12" ht="15">
      <c r="B72" s="3"/>
      <c r="C72" s="3" t="s">
        <v>1270</v>
      </c>
      <c r="D72" s="3"/>
      <c r="E72" s="3"/>
      <c r="F72" s="3"/>
      <c r="G72" s="3"/>
      <c r="H72" s="3"/>
      <c r="I72" s="3"/>
      <c r="J72" s="3"/>
      <c r="K72" s="3"/>
      <c r="L72" s="3"/>
    </row>
    <row r="73" spans="2:12" ht="15">
      <c r="B73" s="3"/>
      <c r="C73" s="3" t="s">
        <v>1502</v>
      </c>
      <c r="D73" s="3"/>
      <c r="E73" s="3"/>
      <c r="F73" s="3"/>
      <c r="G73" s="3"/>
      <c r="H73" s="3"/>
      <c r="I73" s="3"/>
      <c r="J73" s="3"/>
      <c r="K73" s="3"/>
      <c r="L73" s="3"/>
    </row>
    <row r="74" spans="2:12" ht="15">
      <c r="B74" s="3"/>
      <c r="C74" s="3" t="s">
        <v>1271</v>
      </c>
      <c r="D74" s="3"/>
      <c r="E74" s="3"/>
      <c r="F74" s="3"/>
      <c r="G74" s="3"/>
      <c r="H74" s="3"/>
      <c r="I74" s="3"/>
      <c r="J74" s="3"/>
      <c r="K74" s="3"/>
      <c r="L74" s="3"/>
    </row>
    <row r="75" spans="2:12" ht="15">
      <c r="B75" s="3"/>
      <c r="C75" s="3"/>
      <c r="D75" s="3"/>
      <c r="E75" s="3"/>
      <c r="F75" s="3"/>
      <c r="G75" s="3"/>
      <c r="H75" s="3"/>
      <c r="I75" s="3"/>
      <c r="J75" s="3"/>
      <c r="K75" s="3"/>
      <c r="L75" s="3"/>
    </row>
    <row r="76" spans="2:12" ht="15">
      <c r="B76" s="3"/>
      <c r="C76" s="1552" t="s">
        <v>1451</v>
      </c>
      <c r="D76" s="3"/>
      <c r="E76" s="3"/>
      <c r="F76" s="3"/>
      <c r="G76" s="3"/>
      <c r="H76" s="3"/>
      <c r="I76" s="3"/>
      <c r="J76" s="3"/>
      <c r="K76" s="3"/>
      <c r="L76" s="3"/>
    </row>
    <row r="77" spans="2:12" ht="15">
      <c r="B77" s="3"/>
      <c r="C77" s="3"/>
      <c r="D77" s="3"/>
      <c r="E77" s="3"/>
      <c r="F77" s="3"/>
      <c r="G77" s="3"/>
      <c r="H77" s="3"/>
      <c r="I77" s="3"/>
      <c r="J77" s="3"/>
      <c r="K77" s="3"/>
      <c r="L77" s="3"/>
    </row>
    <row r="78" spans="2:12" ht="15">
      <c r="B78" s="3"/>
      <c r="C78" s="3"/>
      <c r="D78" s="3"/>
      <c r="E78" s="3"/>
      <c r="F78" s="3"/>
      <c r="G78" s="3"/>
      <c r="H78" s="3"/>
      <c r="I78" s="3"/>
      <c r="J78" s="3"/>
      <c r="K78" s="3"/>
      <c r="L78" s="3"/>
    </row>
  </sheetData>
  <mergeCells count="10">
    <mergeCell ref="V28:V34"/>
    <mergeCell ref="Q9:R12"/>
    <mergeCell ref="V9:V12"/>
    <mergeCell ref="Z9:Z12"/>
    <mergeCell ref="AD9:AD12"/>
    <mergeCell ref="Z23:Z26"/>
    <mergeCell ref="V14:V20"/>
    <mergeCell ref="Z14:Z20"/>
    <mergeCell ref="AD14:AD20"/>
    <mergeCell ref="V23:V26"/>
  </mergeCells>
  <pageMargins left="0.7" right="0.7" top="0.75" bottom="0.75" header="0.3" footer="0.3"/>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pageSetUpPr autoPageBreaks="0"/>
  </sheetPr>
  <dimension ref="B1:E58"/>
  <sheetViews>
    <sheetView workbookViewId="0"/>
  </sheetViews>
  <sheetFormatPr baseColWidth="10" defaultColWidth="8.83203125" defaultRowHeight="13" x14ac:dyDescent="0"/>
  <cols>
    <col min="1" max="1" width="1.5" customWidth="1"/>
    <col min="2" max="2" width="9.33203125" style="24" customWidth="1"/>
    <col min="3" max="3" width="14.6640625" customWidth="1"/>
    <col min="4" max="4" width="14.83203125" customWidth="1"/>
    <col min="5" max="5" width="101.33203125" customWidth="1"/>
  </cols>
  <sheetData>
    <row r="1" spans="2:5">
      <c r="B1"/>
    </row>
    <row r="2" spans="2:5" s="532" customFormat="1">
      <c r="B2" s="532" t="s">
        <v>788</v>
      </c>
      <c r="C2" s="532" t="s">
        <v>789</v>
      </c>
      <c r="D2" s="532" t="s">
        <v>790</v>
      </c>
      <c r="E2" s="532" t="s">
        <v>1248</v>
      </c>
    </row>
    <row r="3" spans="2:5" s="121" customFormat="1">
      <c r="B3" s="605" t="s">
        <v>1246</v>
      </c>
      <c r="C3" s="809">
        <v>40338</v>
      </c>
      <c r="D3" s="121" t="s">
        <v>791</v>
      </c>
      <c r="E3" s="121" t="s">
        <v>1239</v>
      </c>
    </row>
    <row r="4" spans="2:5" s="121" customFormat="1">
      <c r="B4" s="605" t="s">
        <v>1247</v>
      </c>
      <c r="C4" s="811">
        <v>40346</v>
      </c>
      <c r="D4" s="40" t="s">
        <v>791</v>
      </c>
      <c r="E4" s="40" t="s">
        <v>1249</v>
      </c>
    </row>
    <row r="5" spans="2:5" s="121" customFormat="1">
      <c r="B5" s="605"/>
      <c r="C5" s="811"/>
      <c r="D5" s="40"/>
      <c r="E5" s="40" t="s">
        <v>1251</v>
      </c>
    </row>
    <row r="6" spans="2:5" s="121" customFormat="1">
      <c r="B6" s="605"/>
      <c r="C6" s="811"/>
      <c r="D6" s="40"/>
      <c r="E6" s="40" t="s">
        <v>1303</v>
      </c>
    </row>
    <row r="7" spans="2:5" s="121" customFormat="1">
      <c r="B7" s="605" t="s">
        <v>1323</v>
      </c>
      <c r="C7" s="811">
        <v>40350</v>
      </c>
      <c r="D7" s="40" t="s">
        <v>791</v>
      </c>
      <c r="E7" s="40" t="s">
        <v>1304</v>
      </c>
    </row>
    <row r="8" spans="2:5" s="121" customFormat="1">
      <c r="B8" s="605"/>
      <c r="C8" s="811"/>
      <c r="D8" s="40"/>
      <c r="E8" s="40" t="s">
        <v>1316</v>
      </c>
    </row>
    <row r="9" spans="2:5" s="121" customFormat="1">
      <c r="B9" s="605"/>
      <c r="C9" s="811"/>
      <c r="D9" s="40"/>
      <c r="E9" s="40" t="s">
        <v>1305</v>
      </c>
    </row>
    <row r="10" spans="2:5" s="121" customFormat="1">
      <c r="B10" s="605" t="s">
        <v>1322</v>
      </c>
      <c r="C10" s="811">
        <v>40351</v>
      </c>
      <c r="D10" s="40" t="s">
        <v>791</v>
      </c>
      <c r="E10" s="121" t="s">
        <v>1317</v>
      </c>
    </row>
    <row r="11" spans="2:5" s="121" customFormat="1">
      <c r="B11" s="605"/>
      <c r="C11" s="811"/>
      <c r="D11" s="40"/>
      <c r="E11" s="40" t="s">
        <v>1318</v>
      </c>
    </row>
    <row r="12" spans="2:5" s="121" customFormat="1">
      <c r="B12" s="605"/>
      <c r="C12" s="811"/>
      <c r="D12" s="40"/>
      <c r="E12" s="40" t="s">
        <v>1319</v>
      </c>
    </row>
    <row r="13" spans="2:5" s="121" customFormat="1">
      <c r="B13" s="605" t="s">
        <v>1321</v>
      </c>
      <c r="C13" s="811">
        <v>40353</v>
      </c>
      <c r="D13" s="40" t="s">
        <v>791</v>
      </c>
      <c r="E13" s="40" t="s">
        <v>1327</v>
      </c>
    </row>
    <row r="14" spans="2:5" s="121" customFormat="1">
      <c r="B14" s="605" t="s">
        <v>1328</v>
      </c>
      <c r="C14" s="811">
        <v>40354</v>
      </c>
      <c r="D14" s="40" t="s">
        <v>791</v>
      </c>
      <c r="E14" s="539" t="s">
        <v>1329</v>
      </c>
    </row>
    <row r="15" spans="2:5" s="121" customFormat="1">
      <c r="B15" s="605"/>
      <c r="C15" s="811"/>
      <c r="D15" s="40"/>
      <c r="E15" s="40" t="s">
        <v>1332</v>
      </c>
    </row>
    <row r="16" spans="2:5" s="121" customFormat="1">
      <c r="B16" s="605"/>
      <c r="C16" s="811"/>
      <c r="D16" s="40"/>
      <c r="E16" s="40" t="s">
        <v>1333</v>
      </c>
    </row>
    <row r="17" spans="2:5" s="121" customFormat="1">
      <c r="B17" s="605"/>
      <c r="C17" s="811"/>
      <c r="D17" s="40"/>
      <c r="E17" s="40" t="s">
        <v>1334</v>
      </c>
    </row>
    <row r="18" spans="2:5" s="121" customFormat="1">
      <c r="B18" s="605"/>
      <c r="C18" s="811"/>
      <c r="D18" s="40"/>
      <c r="E18" s="40" t="s">
        <v>1335</v>
      </c>
    </row>
    <row r="19" spans="2:5" s="121" customFormat="1">
      <c r="B19" s="605"/>
      <c r="C19" s="811"/>
      <c r="D19" s="40"/>
      <c r="E19" s="40" t="s">
        <v>1336</v>
      </c>
    </row>
    <row r="20" spans="2:5" s="121" customFormat="1">
      <c r="B20" s="605"/>
      <c r="C20" s="811"/>
      <c r="D20" s="40"/>
      <c r="E20" s="40" t="s">
        <v>1337</v>
      </c>
    </row>
    <row r="21" spans="2:5" s="121" customFormat="1">
      <c r="B21" s="605"/>
      <c r="C21" s="811"/>
      <c r="D21" s="40"/>
      <c r="E21" s="40" t="s">
        <v>1339</v>
      </c>
    </row>
    <row r="22" spans="2:5" s="121" customFormat="1">
      <c r="B22" s="605" t="s">
        <v>1340</v>
      </c>
      <c r="C22" s="811">
        <v>40374</v>
      </c>
      <c r="D22" s="40" t="s">
        <v>791</v>
      </c>
      <c r="E22" s="40" t="s">
        <v>1341</v>
      </c>
    </row>
    <row r="23" spans="2:5" s="121" customFormat="1">
      <c r="B23" s="605"/>
      <c r="C23" s="811"/>
      <c r="D23" s="40"/>
      <c r="E23" s="40" t="s">
        <v>1420</v>
      </c>
    </row>
    <row r="24" spans="2:5" s="121" customFormat="1">
      <c r="B24" s="605"/>
      <c r="C24" s="811"/>
      <c r="D24" s="40"/>
      <c r="E24" s="40" t="s">
        <v>1394</v>
      </c>
    </row>
    <row r="25" spans="2:5" s="121" customFormat="1">
      <c r="B25" s="605"/>
      <c r="C25" s="811"/>
      <c r="D25" s="40"/>
      <c r="E25" s="40" t="s">
        <v>1413</v>
      </c>
    </row>
    <row r="26" spans="2:5" s="121" customFormat="1">
      <c r="B26" s="605"/>
      <c r="C26" s="811"/>
      <c r="D26" s="40"/>
      <c r="E26" s="40" t="s">
        <v>1419</v>
      </c>
    </row>
    <row r="27" spans="2:5" s="121" customFormat="1">
      <c r="B27" s="605" t="s">
        <v>1497</v>
      </c>
      <c r="C27" s="811">
        <v>40379</v>
      </c>
      <c r="D27" s="40" t="s">
        <v>791</v>
      </c>
      <c r="E27" s="40" t="s">
        <v>1498</v>
      </c>
    </row>
    <row r="28" spans="2:5" s="121" customFormat="1">
      <c r="B28" s="40"/>
      <c r="C28" s="811"/>
      <c r="D28" s="40"/>
      <c r="E28" s="40"/>
    </row>
    <row r="29" spans="2:5" s="121" customFormat="1">
      <c r="B29" s="530" t="s">
        <v>1873</v>
      </c>
    </row>
    <row r="30" spans="2:5" s="1745" customFormat="1">
      <c r="B30" s="246" t="s">
        <v>1914</v>
      </c>
    </row>
    <row r="31" spans="2:5" s="121" customFormat="1">
      <c r="B31" s="530" t="s">
        <v>1876</v>
      </c>
      <c r="E31" s="530" t="s">
        <v>1248</v>
      </c>
    </row>
    <row r="32" spans="2:5" s="121" customFormat="1">
      <c r="B32" s="1737" t="s">
        <v>1272</v>
      </c>
      <c r="E32" s="1737" t="s">
        <v>1877</v>
      </c>
    </row>
    <row r="33" spans="2:5" s="121" customFormat="1">
      <c r="B33" s="1737" t="s">
        <v>1275</v>
      </c>
      <c r="E33" s="1737" t="s">
        <v>1878</v>
      </c>
    </row>
    <row r="34" spans="2:5" s="121" customFormat="1">
      <c r="B34" s="24" t="s">
        <v>1874</v>
      </c>
      <c r="C34" s="24"/>
      <c r="E34" s="1737" t="s">
        <v>1879</v>
      </c>
    </row>
    <row r="35" spans="2:5" s="121" customFormat="1">
      <c r="B35" s="24" t="s">
        <v>1388</v>
      </c>
      <c r="C35" s="604"/>
      <c r="E35" s="1737" t="s">
        <v>1883</v>
      </c>
    </row>
    <row r="36" spans="2:5" s="121" customFormat="1">
      <c r="B36" s="24" t="s">
        <v>1290</v>
      </c>
      <c r="E36" s="1737" t="s">
        <v>1889</v>
      </c>
    </row>
    <row r="37" spans="2:5" s="121" customFormat="1">
      <c r="B37" s="24" t="s">
        <v>1278</v>
      </c>
      <c r="E37" s="1737" t="s">
        <v>1890</v>
      </c>
    </row>
    <row r="38" spans="2:5" s="121" customFormat="1">
      <c r="B38" s="24" t="s">
        <v>622</v>
      </c>
      <c r="D38" s="604"/>
      <c r="E38" s="1745" t="s">
        <v>1907</v>
      </c>
    </row>
    <row r="39" spans="2:5" s="1745" customFormat="1">
      <c r="B39" s="24" t="s">
        <v>1912</v>
      </c>
      <c r="D39" s="604"/>
      <c r="E39" s="1745" t="s">
        <v>1913</v>
      </c>
    </row>
    <row r="40" spans="2:5" s="121" customFormat="1">
      <c r="B40" s="24" t="s">
        <v>623</v>
      </c>
      <c r="C40" s="604"/>
      <c r="E40" s="1745" t="s">
        <v>1908</v>
      </c>
    </row>
    <row r="41" spans="2:5" s="121" customFormat="1">
      <c r="B41" s="24" t="s">
        <v>679</v>
      </c>
      <c r="E41" s="1745" t="s">
        <v>1909</v>
      </c>
    </row>
    <row r="42" spans="2:5" s="121" customFormat="1">
      <c r="B42" s="24" t="s">
        <v>1071</v>
      </c>
      <c r="D42" s="604"/>
      <c r="E42" s="1745" t="s">
        <v>1910</v>
      </c>
    </row>
    <row r="43" spans="2:5" s="121" customFormat="1">
      <c r="B43" s="24" t="s">
        <v>652</v>
      </c>
      <c r="E43" s="1745" t="s">
        <v>1911</v>
      </c>
    </row>
    <row r="44" spans="2:5" s="121" customFormat="1">
      <c r="B44" s="24" t="s">
        <v>734</v>
      </c>
      <c r="C44" s="1433"/>
      <c r="E44" s="1745" t="s">
        <v>1915</v>
      </c>
    </row>
    <row r="45" spans="2:5" s="121" customFormat="1">
      <c r="B45" s="24" t="s">
        <v>1043</v>
      </c>
      <c r="C45" s="24"/>
      <c r="E45" s="1745" t="s">
        <v>1916</v>
      </c>
    </row>
    <row r="46" spans="2:5" s="121" customFormat="1">
      <c r="B46" s="24" t="s">
        <v>706</v>
      </c>
      <c r="E46" s="1745" t="s">
        <v>1917</v>
      </c>
    </row>
    <row r="47" spans="2:5">
      <c r="B47" s="24" t="s">
        <v>646</v>
      </c>
      <c r="C47" s="121"/>
      <c r="E47" s="1745" t="s">
        <v>1920</v>
      </c>
    </row>
    <row r="48" spans="2:5" s="121" customFormat="1">
      <c r="B48" s="24" t="s">
        <v>1918</v>
      </c>
      <c r="E48" s="1745" t="s">
        <v>1919</v>
      </c>
    </row>
    <row r="49" spans="2:5" s="121" customFormat="1">
      <c r="B49" s="24" t="s">
        <v>744</v>
      </c>
      <c r="E49" s="1745" t="s">
        <v>1921</v>
      </c>
    </row>
    <row r="50" spans="2:5">
      <c r="B50" s="24" t="s">
        <v>668</v>
      </c>
      <c r="C50" s="121"/>
      <c r="E50" s="1745" t="s">
        <v>1922</v>
      </c>
    </row>
    <row r="51" spans="2:5">
      <c r="B51" s="24" t="s">
        <v>689</v>
      </c>
      <c r="C51" s="121"/>
      <c r="E51" s="1745" t="s">
        <v>1923</v>
      </c>
    </row>
    <row r="52" spans="2:5">
      <c r="B52" s="24" t="s">
        <v>691</v>
      </c>
      <c r="C52" s="121"/>
      <c r="E52" s="1745" t="s">
        <v>1924</v>
      </c>
    </row>
    <row r="53" spans="2:5" s="121" customFormat="1">
      <c r="B53" s="24" t="s">
        <v>728</v>
      </c>
      <c r="E53" s="1745" t="s">
        <v>1925</v>
      </c>
    </row>
    <row r="54" spans="2:5" s="121" customFormat="1">
      <c r="B54" s="24"/>
    </row>
    <row r="55" spans="2:5" s="121" customFormat="1">
      <c r="B55" s="24"/>
      <c r="C55" s="24"/>
    </row>
    <row r="57" spans="2:5">
      <c r="C57" s="121"/>
    </row>
    <row r="58" spans="2:5">
      <c r="C58" s="121"/>
    </row>
  </sheetData>
  <pageMargins left="0.7" right="0.7" top="0.75" bottom="0.75" header="0.3" footer="0.3"/>
  <pageSetup paperSize="9" orientation="portrait"/>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2:I27"/>
  <sheetViews>
    <sheetView workbookViewId="0"/>
  </sheetViews>
  <sheetFormatPr baseColWidth="10" defaultColWidth="8.83203125" defaultRowHeight="13" x14ac:dyDescent="0"/>
  <cols>
    <col min="2" max="2" width="32.1640625" customWidth="1"/>
    <col min="3" max="3" width="88.1640625" customWidth="1"/>
  </cols>
  <sheetData>
    <row r="2" spans="1:9" ht="22">
      <c r="B2" s="1481" t="s">
        <v>1377</v>
      </c>
    </row>
    <row r="3" spans="1:9" s="121" customFormat="1" ht="15">
      <c r="A3" s="3"/>
      <c r="B3" s="530"/>
    </row>
    <row r="4" spans="1:9">
      <c r="B4" s="121" t="s">
        <v>1421</v>
      </c>
    </row>
    <row r="5" spans="1:9">
      <c r="B5" s="121" t="s">
        <v>1343</v>
      </c>
    </row>
    <row r="6" spans="1:9" s="121" customFormat="1" ht="15">
      <c r="A6" s="3"/>
      <c r="B6" s="1511"/>
      <c r="C6" s="1480"/>
      <c r="D6" s="1480"/>
      <c r="E6"/>
      <c r="F6"/>
      <c r="G6"/>
      <c r="H6"/>
      <c r="I6"/>
    </row>
    <row r="7" spans="1:9" ht="15">
      <c r="A7" s="3"/>
    </row>
    <row r="8" spans="1:9" ht="26">
      <c r="A8" s="548"/>
      <c r="B8" s="1510" t="s">
        <v>1393</v>
      </c>
      <c r="C8" s="1509" t="s">
        <v>1395</v>
      </c>
    </row>
    <row r="9" spans="1:9" s="121" customFormat="1" ht="17">
      <c r="A9" s="548"/>
      <c r="B9" s="531"/>
      <c r="C9" s="1509"/>
    </row>
    <row r="10" spans="1:9" ht="17">
      <c r="A10" s="548"/>
      <c r="B10" s="1510" t="s">
        <v>1375</v>
      </c>
      <c r="C10" s="1509" t="s">
        <v>1396</v>
      </c>
    </row>
    <row r="11" spans="1:9" s="121" customFormat="1" ht="17">
      <c r="A11" s="548"/>
      <c r="B11" s="531"/>
      <c r="C11" s="1509"/>
    </row>
    <row r="12" spans="1:9" ht="30" customHeight="1">
      <c r="A12" s="548"/>
      <c r="B12" s="1510" t="s">
        <v>1376</v>
      </c>
      <c r="C12" s="1509" t="s">
        <v>1397</v>
      </c>
    </row>
    <row r="13" spans="1:9" ht="42.75" customHeight="1">
      <c r="A13" s="548"/>
      <c r="B13" s="531"/>
      <c r="C13" s="1512" t="s">
        <v>1398</v>
      </c>
    </row>
    <row r="14" spans="1:9" ht="17">
      <c r="A14" s="548"/>
      <c r="B14" s="531"/>
      <c r="C14" s="1509" t="s">
        <v>1399</v>
      </c>
    </row>
    <row r="15" spans="1:9" ht="17">
      <c r="A15" s="548"/>
      <c r="B15" s="531"/>
      <c r="C15" s="1509"/>
    </row>
    <row r="16" spans="1:9" ht="17">
      <c r="A16" s="548"/>
      <c r="B16" s="531"/>
      <c r="C16" s="1509"/>
    </row>
    <row r="17" spans="1:3" ht="17">
      <c r="A17" s="548"/>
      <c r="B17" s="531"/>
      <c r="C17" s="1509"/>
    </row>
    <row r="18" spans="1:3" ht="17">
      <c r="A18" s="548"/>
      <c r="B18" s="531"/>
      <c r="C18" s="1509"/>
    </row>
    <row r="19" spans="1:3" ht="17">
      <c r="A19" s="548"/>
      <c r="B19" s="531"/>
      <c r="C19" s="1509"/>
    </row>
    <row r="20" spans="1:3" ht="17">
      <c r="A20" s="548"/>
      <c r="B20" s="531"/>
      <c r="C20" s="1509"/>
    </row>
    <row r="21" spans="1:3" ht="17">
      <c r="A21" s="548"/>
      <c r="C21" s="538"/>
    </row>
    <row r="22" spans="1:3" ht="17">
      <c r="A22" s="548"/>
      <c r="C22" s="538"/>
    </row>
    <row r="23" spans="1:3" ht="17">
      <c r="A23" s="548"/>
    </row>
    <row r="24" spans="1:3" ht="17">
      <c r="A24" s="548"/>
    </row>
    <row r="25" spans="1:3" ht="17">
      <c r="A25" s="548"/>
    </row>
    <row r="26" spans="1:3" ht="17">
      <c r="A26" s="548"/>
    </row>
    <row r="27" spans="1:3" ht="17">
      <c r="A27" s="548"/>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enableFormatConditionsCalculation="0">
    <tabColor theme="5" tint="-0.249977111117893"/>
    <pageSetUpPr autoPageBreaks="0"/>
  </sheetPr>
  <dimension ref="A1:CF72"/>
  <sheetViews>
    <sheetView workbookViewId="0"/>
  </sheetViews>
  <sheetFormatPr baseColWidth="10" defaultColWidth="8.83203125" defaultRowHeight="13" outlineLevelCol="1" x14ac:dyDescent="0"/>
  <cols>
    <col min="1" max="1" width="20.1640625" style="24" customWidth="1"/>
    <col min="2" max="2" width="41.5" style="24" customWidth="1"/>
    <col min="3" max="3" width="3" customWidth="1"/>
    <col min="4" max="4" width="6.5" customWidth="1"/>
    <col min="5" max="5" width="45.33203125" customWidth="1"/>
    <col min="6" max="6" width="1.1640625" customWidth="1"/>
    <col min="7" max="7" width="4.5" style="121" customWidth="1" outlineLevel="1"/>
    <col min="8" max="9" width="4.5" style="1715" customWidth="1" outlineLevel="1"/>
    <col min="10" max="10" width="4.5" style="121" customWidth="1" outlineLevel="1"/>
    <col min="11" max="27" width="4.5" style="1660" customWidth="1" outlineLevel="1"/>
    <col min="28" max="28" width="5.1640625" style="803" customWidth="1" outlineLevel="1"/>
    <col min="29" max="32" width="5.6640625" customWidth="1"/>
    <col min="33" max="33" width="1" style="1116" customWidth="1"/>
    <col min="34" max="37" width="5.6640625" style="121" customWidth="1"/>
    <col min="38" max="38" width="1" customWidth="1"/>
    <col min="39" max="39" width="45.33203125" style="1643" hidden="1" customWidth="1"/>
    <col min="40" max="40" width="10.1640625" style="796" hidden="1" customWidth="1"/>
    <col min="41" max="41" width="28.5" style="121" hidden="1" customWidth="1" outlineLevel="1"/>
    <col min="42" max="42" width="13.6640625" style="121" hidden="1" customWidth="1" outlineLevel="1"/>
    <col min="43" max="43" width="18.1640625" style="121" hidden="1" customWidth="1" outlineLevel="1"/>
    <col min="44" max="44" width="43" style="121" hidden="1" customWidth="1" outlineLevel="1"/>
    <col min="45" max="45" width="28.5" style="1707" hidden="1" customWidth="1" outlineLevel="1"/>
    <col min="46" max="46" width="13.6640625" style="1707" hidden="1" customWidth="1" outlineLevel="1"/>
    <col min="47" max="47" width="18.1640625" style="1707" hidden="1" customWidth="1" outlineLevel="1"/>
    <col min="48" max="48" width="43" style="1707" hidden="1" customWidth="1" outlineLevel="1"/>
    <col min="49" max="49" width="1.83203125" customWidth="1" collapsed="1"/>
    <col min="50" max="59" width="9.5" customWidth="1"/>
    <col min="60" max="60" width="0.83203125" style="1736" customWidth="1"/>
    <col min="61" max="61" width="6.83203125" style="1736" customWidth="1"/>
    <col min="62" max="71" width="9.5" customWidth="1"/>
    <col min="72" max="72" width="0.83203125" style="952" customWidth="1"/>
    <col min="73" max="73" width="2.1640625" style="952" customWidth="1"/>
    <col min="74" max="74" width="7.83203125" customWidth="1"/>
    <col min="75" max="78" width="9.5" customWidth="1"/>
    <col min="79" max="79" width="9.6640625" bestFit="1" customWidth="1"/>
    <col min="80" max="82" width="9.6640625" customWidth="1"/>
    <col min="83" max="84" width="2.6640625" customWidth="1"/>
  </cols>
  <sheetData>
    <row r="1" spans="1:83" ht="31.5" customHeight="1">
      <c r="C1" s="1557" t="s">
        <v>1456</v>
      </c>
      <c r="AB1" s="803" t="s">
        <v>271</v>
      </c>
      <c r="AC1" s="121"/>
      <c r="AD1" s="549"/>
      <c r="AE1" s="1558" t="s">
        <v>1435</v>
      </c>
      <c r="AL1" s="121"/>
      <c r="AW1" s="549"/>
      <c r="AY1" s="1558" t="s">
        <v>1436</v>
      </c>
    </row>
    <row r="2" spans="1:83" ht="32.25" customHeight="1">
      <c r="C2" s="1368"/>
      <c r="D2" s="1369" t="s">
        <v>994</v>
      </c>
      <c r="E2" s="1368"/>
      <c r="F2" s="851"/>
      <c r="G2" s="1491" t="s">
        <v>1342</v>
      </c>
      <c r="H2" s="1491"/>
      <c r="I2" s="1491"/>
      <c r="J2" s="1492"/>
      <c r="K2" s="1491" t="s">
        <v>1926</v>
      </c>
      <c r="L2" s="1492"/>
      <c r="M2" s="1492"/>
      <c r="N2" s="1492"/>
      <c r="O2" s="1492"/>
      <c r="P2" s="1492"/>
      <c r="Q2" s="1492"/>
      <c r="R2" s="1492"/>
      <c r="S2" s="1492"/>
      <c r="T2" s="1492"/>
      <c r="U2" s="1492"/>
      <c r="V2" s="1492"/>
      <c r="W2" s="1492"/>
      <c r="X2" s="1492"/>
      <c r="Y2" s="1492"/>
      <c r="Z2" s="1492"/>
      <c r="AA2" s="1492"/>
      <c r="AB2" s="803" t="s">
        <v>271</v>
      </c>
      <c r="AC2" s="1370" t="s">
        <v>1252</v>
      </c>
      <c r="AD2" s="1370"/>
      <c r="AE2" s="1370"/>
      <c r="AF2" s="1370"/>
      <c r="AG2" s="1400"/>
      <c r="AH2" s="1370" t="s">
        <v>992</v>
      </c>
      <c r="AI2" s="1370"/>
      <c r="AJ2" s="1370"/>
      <c r="AK2" s="1370"/>
      <c r="AL2" s="851"/>
      <c r="AM2" s="1368"/>
      <c r="AN2" s="1646"/>
      <c r="AO2" s="1370" t="s">
        <v>1750</v>
      </c>
      <c r="AP2" s="1370"/>
      <c r="AQ2" s="1370"/>
      <c r="AR2" s="1370"/>
      <c r="AS2" s="1370" t="s">
        <v>1751</v>
      </c>
      <c r="AT2" s="1370"/>
      <c r="AU2" s="1370"/>
      <c r="AV2" s="1370"/>
      <c r="AW2" s="1370" t="s">
        <v>1153</v>
      </c>
      <c r="AX2" s="1371"/>
      <c r="AY2" s="1371"/>
      <c r="AZ2" s="1371"/>
      <c r="BA2" s="1371"/>
      <c r="BB2" s="1371"/>
      <c r="BC2" s="1371"/>
      <c r="BD2" s="1371"/>
      <c r="BE2" s="1371"/>
      <c r="BF2" s="1371"/>
      <c r="BG2" s="1371"/>
      <c r="BI2" s="1371"/>
      <c r="BJ2" s="1371"/>
      <c r="BK2" s="1371"/>
      <c r="BL2" s="1371"/>
      <c r="BM2" s="1371"/>
      <c r="BN2" s="1738" t="s">
        <v>690</v>
      </c>
      <c r="BO2" s="1371"/>
      <c r="BP2" s="1371"/>
      <c r="BQ2" s="1371"/>
      <c r="BR2" s="1371"/>
      <c r="BS2" s="1371"/>
      <c r="BU2" s="1970" t="s">
        <v>1743</v>
      </c>
      <c r="BV2" s="1970"/>
      <c r="BW2" s="1970"/>
      <c r="BX2" s="1970"/>
      <c r="BY2" s="1970"/>
      <c r="BZ2" s="1970"/>
      <c r="CA2" s="1970"/>
      <c r="CB2" s="1970"/>
      <c r="CC2" s="1970"/>
      <c r="CD2" s="1970"/>
      <c r="CE2" s="1970"/>
    </row>
    <row r="3" spans="1:83" s="952" customFormat="1" ht="6" customHeight="1"/>
    <row r="4" spans="1:83" ht="20.25" customHeight="1">
      <c r="A4" s="1735" t="s">
        <v>66</v>
      </c>
      <c r="B4" s="805"/>
      <c r="C4" s="805" t="s">
        <v>184</v>
      </c>
      <c r="D4" s="806"/>
      <c r="E4" s="806"/>
      <c r="G4" s="1710" t="s">
        <v>1744</v>
      </c>
      <c r="H4" s="1710" t="s">
        <v>1817</v>
      </c>
      <c r="I4" s="1710" t="s">
        <v>1818</v>
      </c>
      <c r="J4" s="1710"/>
      <c r="K4" s="1708" t="s">
        <v>1927</v>
      </c>
      <c r="L4" s="1708" t="s">
        <v>1928</v>
      </c>
      <c r="M4" s="1708" t="s">
        <v>1929</v>
      </c>
      <c r="N4" s="1708" t="s">
        <v>1930</v>
      </c>
      <c r="O4" s="1708" t="s">
        <v>1931</v>
      </c>
      <c r="P4" s="1708" t="s">
        <v>1932</v>
      </c>
      <c r="Q4" s="1708" t="s">
        <v>1933</v>
      </c>
      <c r="R4" s="1708" t="s">
        <v>1934</v>
      </c>
      <c r="S4" s="1708" t="s">
        <v>1935</v>
      </c>
      <c r="T4" s="1708" t="s">
        <v>1936</v>
      </c>
      <c r="U4" s="1708" t="s">
        <v>1937</v>
      </c>
      <c r="V4" s="1708" t="s">
        <v>1938</v>
      </c>
      <c r="W4" s="1708" t="s">
        <v>1939</v>
      </c>
      <c r="X4" s="1708" t="s">
        <v>1940</v>
      </c>
      <c r="Y4" s="1708" t="s">
        <v>1941</v>
      </c>
      <c r="Z4" s="1708" t="s">
        <v>1942</v>
      </c>
      <c r="AA4" s="1708" t="s">
        <v>1943</v>
      </c>
      <c r="AB4" s="1709" t="s">
        <v>1617</v>
      </c>
      <c r="AC4" s="1750">
        <v>1</v>
      </c>
      <c r="AD4" s="1750">
        <v>2</v>
      </c>
      <c r="AE4" s="1750">
        <v>3</v>
      </c>
      <c r="AF4" s="1750">
        <v>4</v>
      </c>
      <c r="AH4" s="812" t="s">
        <v>1005</v>
      </c>
      <c r="AI4" s="812" t="s">
        <v>1006</v>
      </c>
      <c r="AJ4" s="812" t="s">
        <v>1007</v>
      </c>
      <c r="AK4" s="812" t="s">
        <v>1008</v>
      </c>
      <c r="AM4" s="806" t="s">
        <v>1641</v>
      </c>
      <c r="AN4" s="812" t="s">
        <v>1749</v>
      </c>
      <c r="AO4" s="812" t="s">
        <v>1437</v>
      </c>
      <c r="AP4" s="812" t="s">
        <v>1438</v>
      </c>
      <c r="AQ4" s="812" t="s">
        <v>1439</v>
      </c>
      <c r="AR4" s="812" t="s">
        <v>1594</v>
      </c>
      <c r="AS4" s="1711" t="s">
        <v>1437</v>
      </c>
      <c r="AT4" s="812" t="s">
        <v>1438</v>
      </c>
      <c r="AU4" s="812" t="s">
        <v>1439</v>
      </c>
      <c r="AV4" s="812" t="s">
        <v>1594</v>
      </c>
      <c r="AW4" s="1350"/>
      <c r="AX4" s="1350"/>
      <c r="AY4" s="1350"/>
      <c r="AZ4" s="1350"/>
      <c r="BA4" s="1350"/>
      <c r="BB4" s="1350"/>
      <c r="BC4" s="1350"/>
      <c r="BD4" s="1350"/>
      <c r="BE4" s="1350"/>
      <c r="BF4" s="1351"/>
      <c r="BG4" s="1351"/>
      <c r="BI4" s="1351"/>
      <c r="BJ4" s="1351"/>
      <c r="BK4" s="1351"/>
      <c r="BL4" s="1351"/>
      <c r="BM4" s="1351"/>
      <c r="BN4" s="1351"/>
      <c r="BO4" s="1351"/>
      <c r="BP4" s="1351"/>
      <c r="BQ4" s="1351"/>
      <c r="BR4" s="1351"/>
      <c r="BS4" s="1351"/>
      <c r="BU4" s="1363"/>
      <c r="BV4" s="1363"/>
      <c r="BW4" s="1351"/>
      <c r="BX4" s="1351"/>
      <c r="BY4" s="1351"/>
      <c r="BZ4" s="1351"/>
      <c r="CA4" s="1351"/>
      <c r="CB4" s="1351"/>
      <c r="CC4" s="1351"/>
      <c r="CD4" s="1351"/>
      <c r="CE4" s="1351"/>
    </row>
    <row r="5" spans="1:83" s="121" customFormat="1" ht="21" customHeight="1">
      <c r="A5" s="1971" t="s">
        <v>957</v>
      </c>
      <c r="B5" s="1973" t="s">
        <v>1740</v>
      </c>
      <c r="C5" s="801"/>
      <c r="D5" s="801" t="s">
        <v>635</v>
      </c>
      <c r="E5" s="801" t="str">
        <f>INDEX(Modules[Module], MATCH($D5, Modules[Code], 0))</f>
        <v>Nuclear power</v>
      </c>
      <c r="F5"/>
      <c r="G5" s="1493">
        <v>1</v>
      </c>
      <c r="H5" s="1493">
        <v>1</v>
      </c>
      <c r="I5" s="1493">
        <v>4</v>
      </c>
      <c r="J5" s="1493"/>
      <c r="K5" s="1493">
        <v>2</v>
      </c>
      <c r="L5" s="1493">
        <v>2</v>
      </c>
      <c r="M5" s="1493">
        <v>2</v>
      </c>
      <c r="N5" s="1493">
        <v>2</v>
      </c>
      <c r="O5" s="1493">
        <v>2</v>
      </c>
      <c r="P5" s="1493">
        <v>2</v>
      </c>
      <c r="Q5" s="1493">
        <v>2</v>
      </c>
      <c r="R5" s="1493">
        <v>1</v>
      </c>
      <c r="S5" s="1493">
        <v>2</v>
      </c>
      <c r="T5" s="1493">
        <v>2</v>
      </c>
      <c r="U5" s="1493">
        <v>1</v>
      </c>
      <c r="V5" s="1493">
        <v>1</v>
      </c>
      <c r="W5" s="1493">
        <v>4</v>
      </c>
      <c r="X5" s="1493">
        <v>1</v>
      </c>
      <c r="Y5" s="1493">
        <v>1</v>
      </c>
      <c r="Z5" s="1493">
        <v>1</v>
      </c>
      <c r="AA5" s="1493">
        <v>3</v>
      </c>
      <c r="AB5" s="1493">
        <v>2</v>
      </c>
      <c r="AC5" s="1148"/>
      <c r="AD5" s="1148"/>
      <c r="AE5" s="1148"/>
      <c r="AF5" s="1148"/>
      <c r="AG5" s="41"/>
      <c r="AH5" s="1148"/>
      <c r="AI5" s="1148"/>
      <c r="AJ5" s="1148"/>
      <c r="AK5" s="1148"/>
      <c r="AL5"/>
      <c r="AM5" s="1384" t="s">
        <v>522</v>
      </c>
      <c r="AN5" s="1647">
        <v>4</v>
      </c>
      <c r="AO5" s="532" t="s">
        <v>1344</v>
      </c>
      <c r="AP5" s="532" t="s">
        <v>1469</v>
      </c>
      <c r="AQ5" s="532" t="s">
        <v>1470</v>
      </c>
      <c r="AR5" s="532" t="s">
        <v>1596</v>
      </c>
      <c r="AS5" s="1712" t="s">
        <v>1752</v>
      </c>
      <c r="AT5" s="532" t="s">
        <v>1753</v>
      </c>
      <c r="AU5" s="532" t="s">
        <v>1754</v>
      </c>
      <c r="AV5" s="532" t="s">
        <v>1755</v>
      </c>
      <c r="AW5" s="1350"/>
      <c r="AX5" s="1350"/>
      <c r="AY5" s="1350"/>
      <c r="AZ5" s="1350"/>
      <c r="BA5" s="1350"/>
      <c r="BB5" s="1350"/>
      <c r="BC5" s="1350"/>
      <c r="BD5" s="1350"/>
      <c r="BE5" s="1350"/>
      <c r="BF5" s="1351"/>
      <c r="BG5" s="1351"/>
      <c r="BH5" s="1736"/>
      <c r="BI5" s="1351"/>
      <c r="BJ5" s="1351"/>
      <c r="BK5" s="1351"/>
      <c r="BL5" s="1351"/>
      <c r="BM5" s="1351"/>
      <c r="BN5" s="1351"/>
      <c r="BO5" s="1351"/>
      <c r="BP5" s="1351"/>
      <c r="BQ5" s="1351"/>
      <c r="BR5" s="1351"/>
      <c r="BS5" s="1351"/>
      <c r="BT5" s="952"/>
      <c r="BU5" s="1384"/>
      <c r="BV5" s="1762" t="s">
        <v>1238</v>
      </c>
      <c r="BW5" s="1351"/>
      <c r="BX5" s="1351"/>
      <c r="BY5" s="1351"/>
      <c r="BZ5" s="1351"/>
      <c r="CA5" s="1351"/>
      <c r="CB5" s="1351"/>
      <c r="CC5" s="1351"/>
      <c r="CD5" s="1351"/>
      <c r="CE5" s="1351"/>
    </row>
    <row r="6" spans="1:83" s="1559" customFormat="1" ht="21" customHeight="1">
      <c r="A6" s="1971"/>
      <c r="B6" s="1973"/>
      <c r="C6" s="801"/>
      <c r="D6" s="801" t="s">
        <v>679</v>
      </c>
      <c r="E6" s="801" t="str">
        <f>INDEX(Modules[Module], MATCH($D6, Modules[Code], 0))</f>
        <v>Carbon Capture Storage (CCS)</v>
      </c>
      <c r="F6" s="1591"/>
      <c r="G6" s="1493"/>
      <c r="H6" s="1493"/>
      <c r="I6" s="1493"/>
      <c r="J6" s="1493"/>
      <c r="K6" s="1493"/>
      <c r="L6" s="1493"/>
      <c r="M6" s="1493"/>
      <c r="N6" s="1493"/>
      <c r="O6" s="1493"/>
      <c r="P6" s="1493"/>
      <c r="Q6" s="1493"/>
      <c r="R6" s="1493"/>
      <c r="S6" s="1493"/>
      <c r="T6" s="1493"/>
      <c r="U6" s="1493"/>
      <c r="V6" s="1493"/>
      <c r="W6" s="1493"/>
      <c r="X6" s="1493"/>
      <c r="Y6" s="1493"/>
      <c r="Z6" s="1493"/>
      <c r="AA6" s="1493"/>
      <c r="AB6" s="1493"/>
      <c r="AC6" s="1148"/>
      <c r="AD6" s="1148"/>
      <c r="AE6" s="1148"/>
      <c r="AF6" s="1148"/>
      <c r="AG6" s="40"/>
      <c r="AH6" s="1148"/>
      <c r="AI6" s="1148"/>
      <c r="AJ6" s="1148"/>
      <c r="AK6" s="1148"/>
      <c r="AL6" s="1591"/>
      <c r="AM6" s="1384"/>
      <c r="AN6" s="1647"/>
      <c r="AO6" s="1660"/>
      <c r="AP6" s="1660"/>
      <c r="AQ6" s="1660"/>
      <c r="AR6" s="1660"/>
      <c r="AS6" s="1455"/>
      <c r="AT6" s="1707"/>
      <c r="AU6" s="1707"/>
      <c r="AV6" s="1707"/>
      <c r="AW6" s="1350"/>
      <c r="AX6" s="1350"/>
      <c r="AY6" s="1350"/>
      <c r="AZ6" s="1350"/>
      <c r="BA6" s="1350"/>
      <c r="BB6" s="1350"/>
      <c r="BC6" s="1350"/>
      <c r="BD6" s="1350"/>
      <c r="BE6" s="1350"/>
      <c r="BF6" s="1351"/>
      <c r="BG6" s="1351"/>
      <c r="BH6" s="1736"/>
      <c r="BI6" s="1351"/>
      <c r="BJ6" s="1351"/>
      <c r="BK6" s="1351"/>
      <c r="BL6" s="1351"/>
      <c r="BM6" s="1351"/>
      <c r="BN6" s="1351"/>
      <c r="BO6" s="1351"/>
      <c r="BP6" s="1351"/>
      <c r="BQ6" s="1351"/>
      <c r="BR6" s="1351"/>
      <c r="BS6" s="1351"/>
      <c r="BT6" s="952"/>
      <c r="BU6" s="1384"/>
      <c r="BV6" s="1354"/>
      <c r="BW6" s="1351"/>
      <c r="BX6" s="1351"/>
      <c r="BY6" s="1351"/>
      <c r="BZ6" s="1351"/>
      <c r="CA6" s="1351"/>
      <c r="CB6" s="1351"/>
      <c r="CC6" s="1351"/>
      <c r="CD6" s="1351"/>
      <c r="CE6" s="1351"/>
    </row>
    <row r="7" spans="1:83" s="1591" customFormat="1" ht="21" customHeight="1">
      <c r="A7" s="1971"/>
      <c r="B7" s="1973"/>
      <c r="C7" s="1391"/>
      <c r="D7" s="1391"/>
      <c r="E7" s="1393" t="s">
        <v>1849</v>
      </c>
      <c r="F7"/>
      <c r="G7" s="1493">
        <v>1</v>
      </c>
      <c r="H7" s="1493">
        <v>1</v>
      </c>
      <c r="I7" s="1493">
        <v>4</v>
      </c>
      <c r="J7" s="1493"/>
      <c r="K7" s="1493">
        <v>2</v>
      </c>
      <c r="L7" s="1493">
        <v>2</v>
      </c>
      <c r="M7" s="1493">
        <v>2</v>
      </c>
      <c r="N7" s="1493">
        <v>2</v>
      </c>
      <c r="O7" s="1493">
        <v>2</v>
      </c>
      <c r="P7" s="1493">
        <v>2</v>
      </c>
      <c r="Q7" s="1493">
        <v>2</v>
      </c>
      <c r="R7" s="1493">
        <v>2</v>
      </c>
      <c r="S7" s="1493">
        <v>2</v>
      </c>
      <c r="T7" s="1493">
        <v>2</v>
      </c>
      <c r="U7" s="1493">
        <v>1</v>
      </c>
      <c r="V7" s="1493">
        <v>1</v>
      </c>
      <c r="W7" s="1493">
        <v>1</v>
      </c>
      <c r="X7" s="1493">
        <v>4</v>
      </c>
      <c r="Y7" s="1493">
        <v>2</v>
      </c>
      <c r="Z7" s="1493">
        <v>4</v>
      </c>
      <c r="AA7" s="1493">
        <v>2</v>
      </c>
      <c r="AB7" s="1493">
        <v>2</v>
      </c>
      <c r="AC7" s="1396"/>
      <c r="AD7" s="1396"/>
      <c r="AE7" s="1396"/>
      <c r="AF7" s="1396"/>
      <c r="AG7" s="41"/>
      <c r="AH7" s="1396"/>
      <c r="AI7" s="1396"/>
      <c r="AJ7" s="1396"/>
      <c r="AK7" s="1396"/>
      <c r="AL7"/>
      <c r="AM7" s="1645" t="s">
        <v>1825</v>
      </c>
      <c r="AN7" s="1648">
        <v>4</v>
      </c>
      <c r="AO7" s="532" t="s">
        <v>1306</v>
      </c>
      <c r="AP7" s="532" t="s">
        <v>1467</v>
      </c>
      <c r="AQ7" s="532" t="s">
        <v>1468</v>
      </c>
      <c r="AR7" s="532" t="s">
        <v>1595</v>
      </c>
      <c r="AS7" s="1712" t="s">
        <v>1756</v>
      </c>
      <c r="AT7" s="532" t="s">
        <v>1757</v>
      </c>
      <c r="AU7" s="532" t="s">
        <v>1758</v>
      </c>
      <c r="AV7" s="532" t="s">
        <v>1759</v>
      </c>
      <c r="AW7" s="1350"/>
      <c r="AX7" s="1350"/>
      <c r="AY7" s="1350"/>
      <c r="AZ7" s="1350"/>
      <c r="BA7" s="1350"/>
      <c r="BB7" s="1350"/>
      <c r="BC7" s="1350"/>
      <c r="BD7" s="1350"/>
      <c r="BE7" s="1350"/>
      <c r="BF7" s="1351"/>
      <c r="BG7" s="1351"/>
      <c r="BH7" s="1736"/>
      <c r="BI7" s="1351"/>
      <c r="BJ7" s="1351"/>
      <c r="BK7" s="1351"/>
      <c r="BL7" s="1351"/>
      <c r="BM7" s="1351"/>
      <c r="BN7" s="1351"/>
      <c r="BO7" s="1351"/>
      <c r="BP7" s="1351"/>
      <c r="BQ7" s="1351"/>
      <c r="BR7" s="1351"/>
      <c r="BS7" s="1351"/>
      <c r="BT7" s="952"/>
      <c r="BU7" s="1744"/>
      <c r="BV7" s="1364"/>
      <c r="BW7" s="1355"/>
      <c r="BX7" s="1376"/>
      <c r="BY7" s="1376"/>
      <c r="BZ7" s="1375"/>
      <c r="CA7" s="1374">
        <v>2007</v>
      </c>
      <c r="CB7" s="1374">
        <v>2020</v>
      </c>
      <c r="CC7" s="1374">
        <v>2030</v>
      </c>
      <c r="CD7" s="1374">
        <v>2050</v>
      </c>
      <c r="CE7" s="1351"/>
    </row>
    <row r="8" spans="1:83" s="532" customFormat="1" ht="21" customHeight="1">
      <c r="A8" s="1971"/>
      <c r="B8" s="1973"/>
      <c r="C8" s="1391"/>
      <c r="D8" s="1391"/>
      <c r="E8" s="1393" t="s">
        <v>1850</v>
      </c>
      <c r="F8" s="1565"/>
      <c r="G8" s="1493">
        <v>1</v>
      </c>
      <c r="H8" s="1493">
        <v>1</v>
      </c>
      <c r="I8" s="1493">
        <v>4</v>
      </c>
      <c r="J8" s="1493"/>
      <c r="K8" s="1493">
        <v>2</v>
      </c>
      <c r="L8" s="1493">
        <v>2</v>
      </c>
      <c r="M8" s="1493">
        <v>2</v>
      </c>
      <c r="N8" s="1493">
        <v>2</v>
      </c>
      <c r="O8" s="1493">
        <v>2</v>
      </c>
      <c r="P8" s="1493">
        <v>2</v>
      </c>
      <c r="Q8" s="1493">
        <v>2</v>
      </c>
      <c r="R8" s="1493">
        <v>2</v>
      </c>
      <c r="S8" s="1493">
        <v>2</v>
      </c>
      <c r="T8" s="1493">
        <v>2</v>
      </c>
      <c r="U8" s="1493">
        <v>1</v>
      </c>
      <c r="V8" s="1493">
        <v>1</v>
      </c>
      <c r="W8" s="1493">
        <v>1</v>
      </c>
      <c r="X8" s="1493">
        <v>3</v>
      </c>
      <c r="Y8" s="1493">
        <v>4</v>
      </c>
      <c r="Z8" s="1493">
        <v>3</v>
      </c>
      <c r="AA8" s="1493">
        <v>2</v>
      </c>
      <c r="AB8" s="1493">
        <v>2</v>
      </c>
      <c r="AC8" s="1396"/>
      <c r="AD8" s="1396"/>
      <c r="AE8" s="1396"/>
      <c r="AF8" s="1396"/>
      <c r="AG8" s="41"/>
      <c r="AH8" s="1396"/>
      <c r="AI8" s="1396"/>
      <c r="AJ8" s="1396"/>
      <c r="AK8" s="1396"/>
      <c r="AL8" s="1565"/>
      <c r="AM8" s="1645" t="s">
        <v>1836</v>
      </c>
      <c r="AN8" s="1648" t="s">
        <v>1008</v>
      </c>
      <c r="AO8" s="532" t="s">
        <v>1826</v>
      </c>
      <c r="AP8" s="532" t="s">
        <v>1827</v>
      </c>
      <c r="AQ8" s="532" t="s">
        <v>1828</v>
      </c>
      <c r="AR8" s="532" t="s">
        <v>1829</v>
      </c>
      <c r="AS8" s="1712" t="s">
        <v>1760</v>
      </c>
      <c r="AT8" s="532" t="s">
        <v>1761</v>
      </c>
      <c r="AU8" s="532" t="s">
        <v>1762</v>
      </c>
      <c r="AV8" s="532" t="s">
        <v>1763</v>
      </c>
      <c r="AW8" s="1350"/>
      <c r="AX8" s="1350"/>
      <c r="AY8" s="1350"/>
      <c r="AZ8" s="1350"/>
      <c r="BA8" s="1350"/>
      <c r="BB8" s="1350"/>
      <c r="BC8" s="1350"/>
      <c r="BD8" s="1350"/>
      <c r="BE8" s="1350"/>
      <c r="BF8" s="1351"/>
      <c r="BG8" s="1351"/>
      <c r="BH8" s="1736"/>
      <c r="BI8" s="1351"/>
      <c r="BJ8" s="1351"/>
      <c r="BK8" s="1351"/>
      <c r="BL8" s="1351"/>
      <c r="BM8" s="1351"/>
      <c r="BN8" s="1351"/>
      <c r="BO8" s="1351"/>
      <c r="BP8" s="1351"/>
      <c r="BQ8" s="1351"/>
      <c r="BR8" s="1351"/>
      <c r="BS8" s="1351"/>
      <c r="BT8" s="952"/>
      <c r="BU8" s="1744"/>
      <c r="BV8" s="1412" t="e">
        <f>#REF!</f>
        <v>#REF!</v>
      </c>
      <c r="BW8" s="1350"/>
      <c r="BX8" s="1350"/>
      <c r="BY8" s="1625" t="s">
        <v>674</v>
      </c>
      <c r="BZ8" s="1412"/>
      <c r="CA8" s="1627" t="e">
        <f>#REF!</f>
        <v>#REF!</v>
      </c>
      <c r="CB8" s="1413" t="e">
        <f>#REF!</f>
        <v>#REF!</v>
      </c>
      <c r="CC8" s="1413" t="e">
        <f>#REF!</f>
        <v>#REF!</v>
      </c>
      <c r="CD8" s="1413" t="e">
        <f>#REF!</f>
        <v>#REF!</v>
      </c>
      <c r="CE8" s="1351"/>
    </row>
    <row r="9" spans="1:83" s="532" customFormat="1" ht="21" customHeight="1">
      <c r="A9" s="1971"/>
      <c r="B9" s="1973"/>
      <c r="C9" s="801"/>
      <c r="D9" s="801" t="s">
        <v>1071</v>
      </c>
      <c r="E9" s="801" t="str">
        <f>INDEX(Modules[Module], MATCH($D9, Modules[Code], 0))</f>
        <v>Offshore wind</v>
      </c>
      <c r="F9" s="121"/>
      <c r="G9" s="1493">
        <v>1</v>
      </c>
      <c r="H9" s="1493">
        <v>1</v>
      </c>
      <c r="I9" s="1493">
        <v>4</v>
      </c>
      <c r="J9" s="1493"/>
      <c r="K9" s="1493">
        <v>2</v>
      </c>
      <c r="L9" s="1493">
        <v>2</v>
      </c>
      <c r="M9" s="1493">
        <v>2</v>
      </c>
      <c r="N9" s="1493">
        <v>2</v>
      </c>
      <c r="O9" s="1493">
        <v>2</v>
      </c>
      <c r="P9" s="1493">
        <v>2</v>
      </c>
      <c r="Q9" s="1493">
        <v>2</v>
      </c>
      <c r="R9" s="1493">
        <v>2</v>
      </c>
      <c r="S9" s="1493">
        <v>2</v>
      </c>
      <c r="T9" s="1493">
        <v>2</v>
      </c>
      <c r="U9" s="1493">
        <v>3</v>
      </c>
      <c r="V9" s="1493">
        <v>4</v>
      </c>
      <c r="W9" s="1493">
        <v>1</v>
      </c>
      <c r="X9" s="1493">
        <v>3</v>
      </c>
      <c r="Y9" s="1493">
        <v>1</v>
      </c>
      <c r="Z9" s="1493">
        <v>1</v>
      </c>
      <c r="AA9" s="1493">
        <v>2</v>
      </c>
      <c r="AB9" s="1493">
        <v>2</v>
      </c>
      <c r="AC9" s="1148"/>
      <c r="AD9" s="1148"/>
      <c r="AE9" s="1148"/>
      <c r="AF9" s="1148"/>
      <c r="AG9" s="41"/>
      <c r="AH9" s="1148"/>
      <c r="AI9" s="1148"/>
      <c r="AJ9" s="1148"/>
      <c r="AK9" s="1148"/>
      <c r="AL9" s="121"/>
      <c r="AM9" s="1384" t="s">
        <v>685</v>
      </c>
      <c r="AN9" s="1647">
        <v>4</v>
      </c>
      <c r="AO9" s="532" t="s">
        <v>1681</v>
      </c>
      <c r="AP9" s="532" t="s">
        <v>1473</v>
      </c>
      <c r="AQ9" s="532" t="s">
        <v>1474</v>
      </c>
      <c r="AR9" s="532" t="s">
        <v>1682</v>
      </c>
      <c r="AS9" s="1712" t="s">
        <v>1766</v>
      </c>
      <c r="AT9" s="532" t="s">
        <v>1765</v>
      </c>
      <c r="AU9" s="532" t="s">
        <v>1764</v>
      </c>
      <c r="AV9" s="532" t="s">
        <v>1767</v>
      </c>
      <c r="AW9" s="1350"/>
      <c r="AX9" s="1350"/>
      <c r="AY9" s="1350"/>
      <c r="AZ9" s="1350"/>
      <c r="BA9" s="1350"/>
      <c r="BB9" s="1350"/>
      <c r="BC9" s="1350"/>
      <c r="BD9" s="1350"/>
      <c r="BE9" s="1350"/>
      <c r="BF9" s="1351"/>
      <c r="BG9" s="1351"/>
      <c r="BH9" s="1736"/>
      <c r="BI9" s="1351"/>
      <c r="BJ9" s="1351"/>
      <c r="BK9" s="1351"/>
      <c r="BL9" s="1351"/>
      <c r="BM9" s="1351"/>
      <c r="BN9" s="1351"/>
      <c r="BO9" s="1351"/>
      <c r="BP9" s="1351"/>
      <c r="BQ9" s="1351"/>
      <c r="BR9" s="1351"/>
      <c r="BS9" s="1351"/>
      <c r="BT9" s="952"/>
      <c r="BU9" s="1744"/>
      <c r="BV9" s="1412" t="e">
        <f>#REF!</f>
        <v>#REF!</v>
      </c>
      <c r="BW9" s="1350"/>
      <c r="BX9" s="1350"/>
      <c r="BY9" s="1609" t="e">
        <f>#REF!</f>
        <v>#REF!</v>
      </c>
      <c r="BZ9" s="1412"/>
      <c r="CA9" s="1628" t="e">
        <f>#REF!</f>
        <v>#REF!</v>
      </c>
      <c r="CB9" s="1629" t="e">
        <f>#REF!</f>
        <v>#REF!</v>
      </c>
      <c r="CC9" s="1629" t="e">
        <f>#REF!</f>
        <v>#REF!</v>
      </c>
      <c r="CD9" s="1629" t="e">
        <f>#REF!</f>
        <v>#REF!</v>
      </c>
      <c r="CE9" s="1351"/>
    </row>
    <row r="10" spans="1:83" s="532" customFormat="1" ht="21" customHeight="1">
      <c r="A10" s="1971"/>
      <c r="B10" s="1973"/>
      <c r="C10" s="801"/>
      <c r="D10" s="801" t="s">
        <v>1070</v>
      </c>
      <c r="E10" s="801" t="str">
        <f>INDEX(Modules[Module], MATCH($D10, Modules[Code], 0))</f>
        <v>Onshore wind</v>
      </c>
      <c r="F10"/>
      <c r="G10" s="1493">
        <v>1</v>
      </c>
      <c r="H10" s="1493">
        <v>1</v>
      </c>
      <c r="I10" s="1493">
        <v>4</v>
      </c>
      <c r="J10" s="1493"/>
      <c r="K10" s="1493">
        <v>2</v>
      </c>
      <c r="L10" s="1493">
        <v>2</v>
      </c>
      <c r="M10" s="1493">
        <v>2</v>
      </c>
      <c r="N10" s="1493">
        <v>2</v>
      </c>
      <c r="O10" s="1493">
        <v>2</v>
      </c>
      <c r="P10" s="1493">
        <v>2</v>
      </c>
      <c r="Q10" s="1493">
        <v>2</v>
      </c>
      <c r="R10" s="1493">
        <v>2</v>
      </c>
      <c r="S10" s="1493">
        <v>2</v>
      </c>
      <c r="T10" s="1493">
        <v>2</v>
      </c>
      <c r="U10" s="1493">
        <v>3</v>
      </c>
      <c r="V10" s="1493">
        <v>1</v>
      </c>
      <c r="W10" s="1493">
        <v>1</v>
      </c>
      <c r="X10" s="1493">
        <v>1</v>
      </c>
      <c r="Y10" s="1493">
        <v>1</v>
      </c>
      <c r="Z10" s="1493">
        <v>2</v>
      </c>
      <c r="AA10" s="1493">
        <v>3</v>
      </c>
      <c r="AB10" s="1493">
        <v>2</v>
      </c>
      <c r="AC10" s="1148"/>
      <c r="AD10" s="1148"/>
      <c r="AE10" s="1148"/>
      <c r="AF10" s="1148"/>
      <c r="AG10" s="41"/>
      <c r="AH10" s="1148"/>
      <c r="AI10" s="1148"/>
      <c r="AJ10" s="1148"/>
      <c r="AK10" s="1148"/>
      <c r="AL10"/>
      <c r="AM10" s="1384" t="s">
        <v>684</v>
      </c>
      <c r="AN10" s="1647">
        <v>4</v>
      </c>
      <c r="AO10" s="532" t="s">
        <v>1687</v>
      </c>
      <c r="AP10" s="532" t="s">
        <v>1471</v>
      </c>
      <c r="AQ10" s="532" t="s">
        <v>1472</v>
      </c>
      <c r="AR10" s="532" t="s">
        <v>1600</v>
      </c>
      <c r="AS10" s="1712" t="s">
        <v>1768</v>
      </c>
      <c r="AT10" s="532" t="s">
        <v>1769</v>
      </c>
      <c r="AU10" s="532" t="s">
        <v>1770</v>
      </c>
      <c r="AV10" s="532" t="s">
        <v>1771</v>
      </c>
      <c r="AW10" s="1350"/>
      <c r="AX10" s="1350"/>
      <c r="AY10" s="1350"/>
      <c r="AZ10" s="1350"/>
      <c r="BA10" s="1350"/>
      <c r="BB10" s="1350"/>
      <c r="BC10" s="1350"/>
      <c r="BD10" s="1350"/>
      <c r="BE10" s="1350"/>
      <c r="BF10" s="1351"/>
      <c r="BG10" s="1351"/>
      <c r="BH10" s="1736"/>
      <c r="BI10" s="1351"/>
      <c r="BJ10" s="1351"/>
      <c r="BK10" s="1351"/>
      <c r="BL10" s="1351"/>
      <c r="BM10" s="1351"/>
      <c r="BN10" s="1351"/>
      <c r="BO10" s="1351"/>
      <c r="BP10" s="1351"/>
      <c r="BQ10" s="1351"/>
      <c r="BR10" s="1351"/>
      <c r="BS10" s="1351"/>
      <c r="BT10" s="952"/>
      <c r="BU10" s="1148"/>
      <c r="BV10" s="1414" t="e">
        <f>#REF!</f>
        <v>#REF!</v>
      </c>
      <c r="BW10" s="1415"/>
      <c r="BX10" s="1415"/>
      <c r="BY10" s="1626" t="e">
        <f>#REF!</f>
        <v>#REF!</v>
      </c>
      <c r="BZ10" s="1414"/>
      <c r="CA10" s="1630" t="e">
        <f>#REF!</f>
        <v>#REF!</v>
      </c>
      <c r="CB10" s="1631" t="e">
        <f>#REF!</f>
        <v>#REF!</v>
      </c>
      <c r="CC10" s="1631" t="e">
        <f>#REF!</f>
        <v>#REF!</v>
      </c>
      <c r="CD10" s="1631" t="e">
        <f>#REF!</f>
        <v>#REF!</v>
      </c>
      <c r="CE10" s="1351"/>
    </row>
    <row r="11" spans="1:83" s="532" customFormat="1" ht="21" customHeight="1">
      <c r="A11" s="1971"/>
      <c r="B11" s="1973"/>
      <c r="C11" s="801"/>
      <c r="D11" s="801" t="s">
        <v>652</v>
      </c>
      <c r="E11" s="801" t="str">
        <f>INDEX(Modules[Module], MATCH($D11, Modules[Code], 0))</f>
        <v>Tidal and Wave</v>
      </c>
      <c r="F11"/>
      <c r="G11" s="1493">
        <v>1</v>
      </c>
      <c r="H11" s="1493">
        <v>1</v>
      </c>
      <c r="I11" s="1493">
        <v>4</v>
      </c>
      <c r="J11" s="1493"/>
      <c r="K11" s="1493">
        <v>2</v>
      </c>
      <c r="L11" s="1493">
        <v>2</v>
      </c>
      <c r="M11" s="1493">
        <v>2</v>
      </c>
      <c r="N11" s="1493">
        <v>2</v>
      </c>
      <c r="O11" s="1493">
        <v>2</v>
      </c>
      <c r="P11" s="1493">
        <v>2</v>
      </c>
      <c r="Q11" s="1493">
        <v>2</v>
      </c>
      <c r="R11" s="1493">
        <v>1</v>
      </c>
      <c r="S11" s="1493">
        <v>1</v>
      </c>
      <c r="T11" s="1493">
        <v>1</v>
      </c>
      <c r="U11" s="1493">
        <v>3</v>
      </c>
      <c r="V11" s="1493">
        <v>4</v>
      </c>
      <c r="W11" s="1493">
        <v>1</v>
      </c>
      <c r="X11" s="1493">
        <v>1</v>
      </c>
      <c r="Y11" s="1493">
        <v>1</v>
      </c>
      <c r="Z11" s="1493">
        <v>1</v>
      </c>
      <c r="AA11" s="1493">
        <v>1</v>
      </c>
      <c r="AB11" s="1493">
        <v>2</v>
      </c>
      <c r="AC11" s="1148"/>
      <c r="AD11" s="1148"/>
      <c r="AE11" s="1148"/>
      <c r="AF11" s="1148"/>
      <c r="AG11" s="41"/>
      <c r="AH11" s="1148"/>
      <c r="AI11" s="1148"/>
      <c r="AJ11" s="1148"/>
      <c r="AK11" s="1148"/>
      <c r="AL11"/>
      <c r="AM11" s="1384" t="s">
        <v>1832</v>
      </c>
      <c r="AN11" s="1647">
        <v>4</v>
      </c>
      <c r="AO11" s="532" t="s">
        <v>1345</v>
      </c>
      <c r="AP11" s="532" t="s">
        <v>1478</v>
      </c>
      <c r="AQ11" s="532" t="s">
        <v>1479</v>
      </c>
      <c r="AR11" s="532" t="s">
        <v>1597</v>
      </c>
      <c r="AS11" s="1712" t="s">
        <v>1345</v>
      </c>
      <c r="AT11" s="532" t="s">
        <v>1478</v>
      </c>
      <c r="AU11" s="532" t="s">
        <v>1479</v>
      </c>
      <c r="AV11" s="532" t="s">
        <v>1597</v>
      </c>
      <c r="AW11" s="1350"/>
      <c r="AX11" s="1350"/>
      <c r="AY11" s="1350"/>
      <c r="AZ11" s="1350"/>
      <c r="BA11" s="1350"/>
      <c r="BB11" s="1350"/>
      <c r="BC11" s="1350"/>
      <c r="BD11" s="1350"/>
      <c r="BE11" s="1350"/>
      <c r="BF11" s="1351"/>
      <c r="BG11" s="1351"/>
      <c r="BH11" s="1736"/>
      <c r="BI11" s="1351"/>
      <c r="BJ11" s="1351"/>
      <c r="BK11" s="1351"/>
      <c r="BL11" s="1351"/>
      <c r="BM11" s="1351"/>
      <c r="BN11" s="1351"/>
      <c r="BO11" s="1351"/>
      <c r="BP11" s="1351"/>
      <c r="BQ11" s="1351"/>
      <c r="BR11" s="1351"/>
      <c r="BS11" s="1351"/>
      <c r="BT11" s="952"/>
      <c r="BU11" s="1351"/>
      <c r="BV11" s="1351"/>
      <c r="BW11" s="1351"/>
      <c r="BX11" s="1351"/>
      <c r="BY11" s="1351"/>
      <c r="BZ11" s="1351"/>
      <c r="CA11" s="1351"/>
      <c r="CB11" s="1351"/>
      <c r="CC11" s="1351"/>
      <c r="CD11" s="1351"/>
      <c r="CE11" s="1351"/>
    </row>
    <row r="12" spans="1:83" ht="21" customHeight="1">
      <c r="A12" s="1971"/>
      <c r="B12" s="1973"/>
      <c r="C12" s="801"/>
      <c r="D12" s="801" t="s">
        <v>623</v>
      </c>
      <c r="E12" s="801" t="str">
        <f>INDEX(Modules[Module], MATCH($D12, Modules[Code], 0))</f>
        <v>Biomass/Coal power stations</v>
      </c>
      <c r="F12" s="1559"/>
      <c r="G12" s="1493">
        <v>1</v>
      </c>
      <c r="H12" s="1493">
        <v>1</v>
      </c>
      <c r="I12" s="1493">
        <v>4</v>
      </c>
      <c r="J12" s="1493"/>
      <c r="K12" s="1493">
        <v>1</v>
      </c>
      <c r="L12" s="1493">
        <v>1</v>
      </c>
      <c r="M12" s="1493">
        <v>1</v>
      </c>
      <c r="N12" s="1493">
        <v>1</v>
      </c>
      <c r="O12" s="1493">
        <v>1</v>
      </c>
      <c r="P12" s="1493">
        <v>1</v>
      </c>
      <c r="Q12" s="1493">
        <v>1</v>
      </c>
      <c r="R12" s="1493">
        <v>2</v>
      </c>
      <c r="S12" s="1493">
        <v>1</v>
      </c>
      <c r="T12" s="1493">
        <v>1</v>
      </c>
      <c r="U12" s="1493">
        <v>1</v>
      </c>
      <c r="V12" s="1493">
        <v>1</v>
      </c>
      <c r="W12" s="1493">
        <v>1</v>
      </c>
      <c r="X12" s="1493">
        <v>1</v>
      </c>
      <c r="Y12" s="1493">
        <v>1</v>
      </c>
      <c r="Z12" s="1493">
        <v>1</v>
      </c>
      <c r="AA12" s="1493">
        <v>1</v>
      </c>
      <c r="AB12" s="1493">
        <v>1</v>
      </c>
      <c r="AC12" s="1148"/>
      <c r="AD12" s="1148"/>
      <c r="AE12" s="1148"/>
      <c r="AF12" s="1148"/>
      <c r="AG12" s="40"/>
      <c r="AH12" s="1148"/>
      <c r="AI12" s="1148"/>
      <c r="AJ12" s="1148"/>
      <c r="AK12" s="1148"/>
      <c r="AL12" s="532"/>
      <c r="AM12" s="1384" t="s">
        <v>1624</v>
      </c>
      <c r="AN12" s="1647">
        <v>4</v>
      </c>
      <c r="AO12" s="532" t="s">
        <v>1683</v>
      </c>
      <c r="AP12" s="532" t="s">
        <v>1684</v>
      </c>
      <c r="AQ12" s="532" t="s">
        <v>1685</v>
      </c>
      <c r="AR12" s="532" t="s">
        <v>1686</v>
      </c>
      <c r="AS12" s="1712" t="s">
        <v>1772</v>
      </c>
      <c r="AT12" s="532" t="s">
        <v>1773</v>
      </c>
      <c r="AU12" s="532" t="s">
        <v>1774</v>
      </c>
      <c r="AV12" s="532" t="s">
        <v>1775</v>
      </c>
      <c r="AW12" s="1350"/>
      <c r="AX12" s="1350"/>
      <c r="AY12" s="1350"/>
      <c r="AZ12" s="1350"/>
      <c r="BA12" s="1350"/>
      <c r="BB12" s="1350"/>
      <c r="BC12" s="1350"/>
      <c r="BD12" s="1350"/>
      <c r="BE12" s="1350"/>
      <c r="BF12" s="1351"/>
      <c r="BG12" s="1351"/>
      <c r="BI12" s="1351"/>
      <c r="BJ12" s="1351"/>
      <c r="BK12" s="1351"/>
      <c r="BL12" s="1351"/>
      <c r="BM12" s="1351"/>
      <c r="BN12" s="1351"/>
      <c r="BO12" s="1351"/>
      <c r="BP12" s="1351"/>
      <c r="BQ12" s="1351"/>
      <c r="BR12" s="1351"/>
      <c r="BS12" s="1351"/>
      <c r="BU12" s="1351"/>
      <c r="BV12" s="1490" t="s">
        <v>1871</v>
      </c>
      <c r="BW12" s="1351"/>
      <c r="BX12" s="1351"/>
      <c r="BY12" s="1351"/>
      <c r="BZ12" s="1351"/>
      <c r="CA12" s="1351"/>
      <c r="CB12" s="1351"/>
      <c r="CC12" s="1351"/>
      <c r="CD12" s="1351"/>
      <c r="CE12" s="1351"/>
    </row>
    <row r="13" spans="1:83" s="532" customFormat="1" ht="21" customHeight="1">
      <c r="A13" s="1971"/>
      <c r="B13" s="1973"/>
      <c r="C13" s="801"/>
      <c r="D13" s="801" t="s">
        <v>743</v>
      </c>
      <c r="E13" s="801" t="str">
        <f>INDEX(Modules[Module], MATCH($D13, Modules[Code], 0))</f>
        <v>Solar PV</v>
      </c>
      <c r="F13"/>
      <c r="G13" s="1493">
        <v>1</v>
      </c>
      <c r="H13" s="1493">
        <v>1</v>
      </c>
      <c r="I13" s="1493">
        <v>4</v>
      </c>
      <c r="J13" s="1493"/>
      <c r="K13" s="1493">
        <v>2</v>
      </c>
      <c r="L13" s="1493">
        <v>2</v>
      </c>
      <c r="M13" s="1493">
        <v>2</v>
      </c>
      <c r="N13" s="1493">
        <v>2</v>
      </c>
      <c r="O13" s="1493">
        <v>2</v>
      </c>
      <c r="P13" s="1493">
        <v>2</v>
      </c>
      <c r="Q13" s="1493">
        <v>2</v>
      </c>
      <c r="R13" s="1493">
        <v>1</v>
      </c>
      <c r="S13" s="1493">
        <v>1</v>
      </c>
      <c r="T13" s="1493">
        <v>1</v>
      </c>
      <c r="U13" s="1493">
        <v>3</v>
      </c>
      <c r="V13" s="1493">
        <v>1</v>
      </c>
      <c r="W13" s="1493">
        <v>1</v>
      </c>
      <c r="X13" s="1493">
        <v>1</v>
      </c>
      <c r="Y13" s="1493">
        <v>1</v>
      </c>
      <c r="Z13" s="1493">
        <v>4</v>
      </c>
      <c r="AA13" s="1493">
        <v>1</v>
      </c>
      <c r="AB13" s="1493">
        <v>2</v>
      </c>
      <c r="AC13" s="1148"/>
      <c r="AD13" s="1148"/>
      <c r="AE13" s="1148"/>
      <c r="AF13" s="1148"/>
      <c r="AG13" s="41"/>
      <c r="AH13" s="1148"/>
      <c r="AI13" s="1148"/>
      <c r="AJ13" s="1148"/>
      <c r="AK13" s="1148"/>
      <c r="AL13"/>
      <c r="AM13" s="1384" t="s">
        <v>1634</v>
      </c>
      <c r="AN13" s="1647">
        <v>4</v>
      </c>
      <c r="AO13" s="532" t="s">
        <v>1347</v>
      </c>
      <c r="AP13" s="532" t="s">
        <v>1482</v>
      </c>
      <c r="AQ13" s="532" t="s">
        <v>1483</v>
      </c>
      <c r="AR13" s="532" t="s">
        <v>1598</v>
      </c>
      <c r="AS13" s="1712" t="s">
        <v>1347</v>
      </c>
      <c r="AT13" s="532" t="s">
        <v>1482</v>
      </c>
      <c r="AU13" s="532" t="s">
        <v>1483</v>
      </c>
      <c r="AV13" s="532" t="s">
        <v>1598</v>
      </c>
      <c r="AW13" s="1350"/>
      <c r="AX13" s="1350"/>
      <c r="AY13" s="1350"/>
      <c r="AZ13" s="1350"/>
      <c r="BA13" s="1350"/>
      <c r="BB13" s="1350"/>
      <c r="BC13" s="1350"/>
      <c r="BD13" s="1350"/>
      <c r="BE13" s="1350"/>
      <c r="BF13" s="1351"/>
      <c r="BG13" s="1351"/>
      <c r="BH13" s="1736"/>
      <c r="BI13" s="1351"/>
      <c r="BJ13" s="1351"/>
      <c r="BK13" s="1351"/>
      <c r="BL13" s="1351"/>
      <c r="BM13" s="1351"/>
      <c r="BN13" s="1351"/>
      <c r="BO13" s="1351"/>
      <c r="BP13" s="1351"/>
      <c r="BQ13" s="1351"/>
      <c r="BR13" s="1351"/>
      <c r="BS13" s="1351"/>
      <c r="BT13" s="952"/>
      <c r="BU13" s="1351"/>
      <c r="BV13" s="1490" t="s">
        <v>1872</v>
      </c>
      <c r="BW13" s="1351"/>
      <c r="BX13" s="1351"/>
      <c r="BY13" s="1351"/>
      <c r="BZ13" s="1351"/>
      <c r="CA13" s="1351"/>
      <c r="CB13" s="1351"/>
      <c r="CC13" s="1351"/>
      <c r="CD13" s="1351"/>
      <c r="CE13" s="1351"/>
    </row>
    <row r="14" spans="1:83" s="532" customFormat="1" ht="21" customHeight="1">
      <c r="A14" s="1971"/>
      <c r="B14" s="1973"/>
      <c r="C14" s="801"/>
      <c r="D14" s="801" t="s">
        <v>973</v>
      </c>
      <c r="E14" s="801" t="str">
        <f>INDEX(Modules[Module], MATCH($D14, Modules[Code], 0))</f>
        <v>Solar thermal</v>
      </c>
      <c r="F14" s="121"/>
      <c r="G14" s="1493">
        <v>1</v>
      </c>
      <c r="H14" s="1493">
        <v>1</v>
      </c>
      <c r="I14" s="1493">
        <v>4</v>
      </c>
      <c r="J14" s="1493"/>
      <c r="K14" s="1493">
        <v>2</v>
      </c>
      <c r="L14" s="1493">
        <v>3</v>
      </c>
      <c r="M14" s="1493">
        <v>2</v>
      </c>
      <c r="N14" s="1493">
        <v>1</v>
      </c>
      <c r="O14" s="1493">
        <v>2</v>
      </c>
      <c r="P14" s="1493">
        <v>2</v>
      </c>
      <c r="Q14" s="1493">
        <v>2</v>
      </c>
      <c r="R14" s="1493">
        <v>1</v>
      </c>
      <c r="S14" s="1493">
        <v>1</v>
      </c>
      <c r="T14" s="1493">
        <v>2</v>
      </c>
      <c r="U14" s="1493">
        <v>2</v>
      </c>
      <c r="V14" s="1493">
        <v>2</v>
      </c>
      <c r="W14" s="1493">
        <v>2</v>
      </c>
      <c r="X14" s="1493">
        <v>2</v>
      </c>
      <c r="Y14" s="1493">
        <v>4</v>
      </c>
      <c r="Z14" s="1493">
        <v>4</v>
      </c>
      <c r="AA14" s="1493">
        <v>2</v>
      </c>
      <c r="AB14" s="1493">
        <v>2</v>
      </c>
      <c r="AC14" s="1148"/>
      <c r="AD14" s="1148"/>
      <c r="AE14" s="1148"/>
      <c r="AF14" s="1148"/>
      <c r="AG14" s="41"/>
      <c r="AH14" s="1148"/>
      <c r="AI14" s="1148"/>
      <c r="AJ14" s="1148"/>
      <c r="AK14" s="1148"/>
      <c r="AL14" s="121"/>
      <c r="AM14" s="1384" t="s">
        <v>1633</v>
      </c>
      <c r="AN14" s="1647">
        <v>4</v>
      </c>
      <c r="AO14" s="532" t="s">
        <v>1484</v>
      </c>
      <c r="AP14" s="532" t="s">
        <v>1485</v>
      </c>
      <c r="AQ14" s="532" t="s">
        <v>1486</v>
      </c>
      <c r="AR14" s="532" t="s">
        <v>1615</v>
      </c>
      <c r="AS14" s="1712" t="s">
        <v>1484</v>
      </c>
      <c r="AT14" s="532" t="s">
        <v>1485</v>
      </c>
      <c r="AU14" s="532" t="s">
        <v>1486</v>
      </c>
      <c r="AV14" s="532" t="s">
        <v>1615</v>
      </c>
      <c r="AW14" s="1350"/>
      <c r="AX14" s="1350"/>
      <c r="AY14" s="1350"/>
      <c r="AZ14" s="1350"/>
      <c r="BA14" s="1350"/>
      <c r="BB14" s="1350"/>
      <c r="BC14" s="1350"/>
      <c r="BD14" s="1350"/>
      <c r="BE14" s="1350"/>
      <c r="BF14" s="1351"/>
      <c r="BG14" s="1351"/>
      <c r="BH14" s="1736"/>
      <c r="BI14" s="1351"/>
      <c r="BJ14" s="1351"/>
      <c r="BK14" s="1351"/>
      <c r="BL14" s="1351"/>
      <c r="BM14" s="1351"/>
      <c r="BN14" s="1351"/>
      <c r="BO14" s="1351"/>
      <c r="BP14" s="1351"/>
      <c r="BQ14" s="1351"/>
      <c r="BR14" s="1351"/>
      <c r="BS14" s="1351"/>
      <c r="BT14" s="952"/>
      <c r="BU14" s="1970" t="s">
        <v>1869</v>
      </c>
      <c r="BV14" s="1970"/>
      <c r="BW14" s="1970"/>
      <c r="BX14" s="1970"/>
      <c r="BY14" s="1970"/>
      <c r="BZ14" s="1970"/>
      <c r="CA14" s="1970"/>
      <c r="CB14" s="1970"/>
      <c r="CC14" s="1970"/>
      <c r="CD14" s="1970"/>
      <c r="CE14" s="1970"/>
    </row>
    <row r="15" spans="1:83" s="532" customFormat="1" ht="21" customHeight="1">
      <c r="A15" s="1971"/>
      <c r="B15" s="1973"/>
      <c r="C15" s="801"/>
      <c r="D15" s="801" t="s">
        <v>653</v>
      </c>
      <c r="E15" s="801" t="str">
        <f>INDEX(Modules[Module], MATCH($D15, Modules[Code], 0))</f>
        <v>Geothermal electricity</v>
      </c>
      <c r="F15"/>
      <c r="G15" s="1493">
        <v>1</v>
      </c>
      <c r="H15" s="1493">
        <v>1</v>
      </c>
      <c r="I15" s="1493">
        <v>4</v>
      </c>
      <c r="J15" s="1493"/>
      <c r="K15" s="1493">
        <v>2</v>
      </c>
      <c r="L15" s="1493">
        <v>2</v>
      </c>
      <c r="M15" s="1493">
        <v>2</v>
      </c>
      <c r="N15" s="1493">
        <v>2</v>
      </c>
      <c r="O15" s="1493">
        <v>2</v>
      </c>
      <c r="P15" s="1493">
        <v>2</v>
      </c>
      <c r="Q15" s="1493">
        <v>2</v>
      </c>
      <c r="R15" s="1493">
        <v>1</v>
      </c>
      <c r="S15" s="1493">
        <v>1</v>
      </c>
      <c r="T15" s="1493">
        <v>1</v>
      </c>
      <c r="U15" s="1493">
        <v>3</v>
      </c>
      <c r="V15" s="1493">
        <v>1</v>
      </c>
      <c r="W15" s="1493">
        <v>1</v>
      </c>
      <c r="X15" s="1493">
        <v>1</v>
      </c>
      <c r="Y15" s="1493">
        <v>1</v>
      </c>
      <c r="Z15" s="1493">
        <v>1</v>
      </c>
      <c r="AA15" s="1493">
        <v>1</v>
      </c>
      <c r="AB15" s="1493">
        <v>2</v>
      </c>
      <c r="AC15" s="1148"/>
      <c r="AD15" s="1148"/>
      <c r="AE15" s="1148"/>
      <c r="AF15" s="1148"/>
      <c r="AG15" s="41"/>
      <c r="AH15" s="1148"/>
      <c r="AI15" s="1148"/>
      <c r="AJ15" s="1148"/>
      <c r="AK15" s="1148"/>
      <c r="AL15"/>
      <c r="AM15" s="1384" t="s">
        <v>1625</v>
      </c>
      <c r="AN15" s="1647">
        <v>4</v>
      </c>
      <c r="AO15" s="532" t="s">
        <v>1346</v>
      </c>
      <c r="AP15" s="532" t="s">
        <v>1480</v>
      </c>
      <c r="AQ15" s="532" t="s">
        <v>1481</v>
      </c>
      <c r="AR15" s="532" t="s">
        <v>1601</v>
      </c>
      <c r="AS15" s="1712" t="s">
        <v>1346</v>
      </c>
      <c r="AT15" s="532" t="s">
        <v>1480</v>
      </c>
      <c r="AU15" s="532" t="s">
        <v>1776</v>
      </c>
      <c r="AV15" s="532" t="s">
        <v>1777</v>
      </c>
      <c r="AW15" s="1350"/>
      <c r="AX15" s="1350"/>
      <c r="AY15" s="1350"/>
      <c r="AZ15" s="1350"/>
      <c r="BA15" s="1350"/>
      <c r="BB15" s="1350"/>
      <c r="BC15" s="1350"/>
      <c r="BD15" s="1350"/>
      <c r="BE15" s="1350"/>
      <c r="BF15" s="1351"/>
      <c r="BG15" s="1351"/>
      <c r="BH15" s="1736"/>
      <c r="BI15" s="1351"/>
      <c r="BJ15" s="1351"/>
      <c r="BK15" s="1351"/>
      <c r="BL15" s="1351"/>
      <c r="BM15" s="1351"/>
      <c r="BN15" s="1351"/>
      <c r="BO15" s="1351"/>
      <c r="BP15" s="1351"/>
      <c r="BQ15" s="1351"/>
      <c r="BR15" s="1351"/>
      <c r="BS15" s="1351"/>
      <c r="BT15" s="952"/>
      <c r="BU15" s="1970"/>
      <c r="BV15" s="1970"/>
      <c r="BW15" s="1970"/>
      <c r="BX15" s="1970"/>
      <c r="BY15" s="1970"/>
      <c r="BZ15" s="1970"/>
      <c r="CA15" s="1970"/>
      <c r="CB15" s="1970"/>
      <c r="CC15" s="1970"/>
      <c r="CD15" s="1970"/>
      <c r="CE15" s="1970"/>
    </row>
    <row r="16" spans="1:83" s="532" customFormat="1" ht="21" customHeight="1">
      <c r="A16" s="1971"/>
      <c r="B16" s="1973"/>
      <c r="C16" s="801"/>
      <c r="D16" s="801" t="s">
        <v>650</v>
      </c>
      <c r="E16" s="801" t="str">
        <f>INDEX(Modules[Module], MATCH($D16, Modules[Code], 0))</f>
        <v>Hydroelectric power stations</v>
      </c>
      <c r="F16"/>
      <c r="G16" s="1493">
        <v>1</v>
      </c>
      <c r="H16" s="1493">
        <v>1</v>
      </c>
      <c r="I16" s="1493">
        <v>4</v>
      </c>
      <c r="J16" s="1493"/>
      <c r="K16" s="1493">
        <v>2</v>
      </c>
      <c r="L16" s="1493">
        <v>2</v>
      </c>
      <c r="M16" s="1493">
        <v>2</v>
      </c>
      <c r="N16" s="1493">
        <v>2</v>
      </c>
      <c r="O16" s="1493">
        <v>2</v>
      </c>
      <c r="P16" s="1493">
        <v>2</v>
      </c>
      <c r="Q16" s="1493">
        <v>2</v>
      </c>
      <c r="R16" s="1493">
        <v>1</v>
      </c>
      <c r="S16" s="1493">
        <v>1</v>
      </c>
      <c r="T16" s="1493">
        <v>1</v>
      </c>
      <c r="U16" s="1493">
        <v>3</v>
      </c>
      <c r="V16" s="1493">
        <v>1</v>
      </c>
      <c r="W16" s="1493">
        <v>1</v>
      </c>
      <c r="X16" s="1493">
        <v>1</v>
      </c>
      <c r="Y16" s="1493">
        <v>1</v>
      </c>
      <c r="Z16" s="1493">
        <v>1</v>
      </c>
      <c r="AA16" s="1493">
        <v>1</v>
      </c>
      <c r="AB16" s="1493">
        <v>2</v>
      </c>
      <c r="AC16" s="1148"/>
      <c r="AD16" s="1148"/>
      <c r="AE16" s="1148"/>
      <c r="AF16" s="1148"/>
      <c r="AG16" s="41"/>
      <c r="AH16" s="1148"/>
      <c r="AI16" s="1148"/>
      <c r="AJ16" s="1148"/>
      <c r="AK16" s="1148"/>
      <c r="AL16"/>
      <c r="AM16" s="1384" t="s">
        <v>1837</v>
      </c>
      <c r="AN16" s="1647">
        <v>4</v>
      </c>
      <c r="AO16" s="532" t="s">
        <v>1475</v>
      </c>
      <c r="AP16" s="532" t="s">
        <v>1476</v>
      </c>
      <c r="AQ16" s="532" t="s">
        <v>1477</v>
      </c>
      <c r="AR16" s="532" t="s">
        <v>1602</v>
      </c>
      <c r="AS16" s="1712" t="s">
        <v>1778</v>
      </c>
      <c r="AT16" s="532" t="s">
        <v>1779</v>
      </c>
      <c r="AU16" s="532" t="s">
        <v>1780</v>
      </c>
      <c r="AV16" s="532" t="s">
        <v>1781</v>
      </c>
      <c r="AW16" s="1350"/>
      <c r="AX16" s="1350"/>
      <c r="AY16" s="1350"/>
      <c r="AZ16" s="1350"/>
      <c r="BA16" s="1350"/>
      <c r="BB16" s="1350"/>
      <c r="BC16" s="1350"/>
      <c r="BD16" s="1350"/>
      <c r="BE16" s="1350"/>
      <c r="BF16" s="1351"/>
      <c r="BG16" s="1351"/>
      <c r="BH16" s="1736"/>
      <c r="BI16" s="1351"/>
      <c r="BJ16" s="1351"/>
      <c r="BK16" s="1351"/>
      <c r="BL16" s="1351"/>
      <c r="BM16" s="1351"/>
      <c r="BN16" s="1351"/>
      <c r="BO16" s="1351"/>
      <c r="BP16" s="1351"/>
      <c r="BQ16" s="1351"/>
      <c r="BR16" s="1351"/>
      <c r="BS16" s="1351"/>
      <c r="BT16" s="952"/>
      <c r="BU16" s="1741"/>
      <c r="BV16" s="1363"/>
      <c r="BW16" s="1351"/>
      <c r="BX16" s="1351"/>
      <c r="BY16" s="1351"/>
      <c r="BZ16" s="1351"/>
      <c r="CA16" s="1351"/>
      <c r="CB16" s="1351"/>
      <c r="CC16" s="1351"/>
      <c r="CD16" s="1351"/>
      <c r="CE16" s="1351"/>
    </row>
    <row r="17" spans="1:83" s="532" customFormat="1" ht="21" customHeight="1">
      <c r="A17" s="1971"/>
      <c r="B17" s="1973"/>
      <c r="C17" s="801"/>
      <c r="D17" s="801" t="s">
        <v>1021</v>
      </c>
      <c r="E17" s="801" t="str">
        <f>INDEX(Modules[Module], MATCH($D17, Modules[Code], 0))</f>
        <v>Small-scale wind</v>
      </c>
      <c r="F17" s="121"/>
      <c r="G17" s="1493">
        <v>1</v>
      </c>
      <c r="H17" s="1493">
        <v>1</v>
      </c>
      <c r="I17" s="1493">
        <v>4</v>
      </c>
      <c r="J17" s="1493"/>
      <c r="K17" s="1493">
        <v>2</v>
      </c>
      <c r="L17" s="1493">
        <v>2</v>
      </c>
      <c r="M17" s="1493">
        <v>2</v>
      </c>
      <c r="N17" s="1493">
        <v>2</v>
      </c>
      <c r="O17" s="1493">
        <v>2</v>
      </c>
      <c r="P17" s="1493">
        <v>2</v>
      </c>
      <c r="Q17" s="1493">
        <v>2</v>
      </c>
      <c r="R17" s="1493">
        <v>1</v>
      </c>
      <c r="S17" s="1493">
        <v>1</v>
      </c>
      <c r="T17" s="1493">
        <v>1</v>
      </c>
      <c r="U17" s="1493">
        <v>3</v>
      </c>
      <c r="V17" s="1493">
        <v>1</v>
      </c>
      <c r="W17" s="1493">
        <v>1</v>
      </c>
      <c r="X17" s="1493">
        <v>1</v>
      </c>
      <c r="Y17" s="1493">
        <v>1</v>
      </c>
      <c r="Z17" s="1493">
        <v>4</v>
      </c>
      <c r="AA17" s="1493">
        <v>1</v>
      </c>
      <c r="AB17" s="1493">
        <v>2</v>
      </c>
      <c r="AC17" s="1148"/>
      <c r="AD17" s="1148"/>
      <c r="AE17" s="1148"/>
      <c r="AF17" s="1148"/>
      <c r="AG17" s="41"/>
      <c r="AH17" s="1148"/>
      <c r="AI17" s="1148"/>
      <c r="AJ17" s="1148"/>
      <c r="AK17" s="1148"/>
      <c r="AL17" s="121"/>
      <c r="AM17" s="1384" t="s">
        <v>1854</v>
      </c>
      <c r="AN17" s="1647">
        <v>4</v>
      </c>
      <c r="AO17" s="532" t="s">
        <v>1487</v>
      </c>
      <c r="AP17" s="532" t="s">
        <v>1488</v>
      </c>
      <c r="AQ17" s="532" t="s">
        <v>1489</v>
      </c>
      <c r="AR17" s="532" t="s">
        <v>1603</v>
      </c>
      <c r="AS17" s="1712" t="s">
        <v>1487</v>
      </c>
      <c r="AT17" s="532" t="s">
        <v>1782</v>
      </c>
      <c r="AU17" s="532" t="s">
        <v>1784</v>
      </c>
      <c r="AV17" s="532" t="s">
        <v>1783</v>
      </c>
      <c r="AW17" s="1350"/>
      <c r="AX17" s="1350"/>
      <c r="AY17" s="1350"/>
      <c r="AZ17" s="1350"/>
      <c r="BA17" s="1350"/>
      <c r="BB17" s="1350"/>
      <c r="BC17" s="1350"/>
      <c r="BD17" s="1350"/>
      <c r="BE17" s="1350"/>
      <c r="BF17" s="1351"/>
      <c r="BG17" s="1351"/>
      <c r="BH17" s="1736"/>
      <c r="BI17" s="1351"/>
      <c r="BJ17" s="1351"/>
      <c r="BK17" s="1351"/>
      <c r="BL17" s="1351"/>
      <c r="BM17" s="1351"/>
      <c r="BN17" s="1351"/>
      <c r="BO17" s="1351"/>
      <c r="BP17" s="1351"/>
      <c r="BQ17" s="1351"/>
      <c r="BR17" s="1351"/>
      <c r="BS17" s="1351"/>
      <c r="BT17" s="952"/>
      <c r="BU17" s="1741"/>
      <c r="BV17" s="1363" t="s">
        <v>1584</v>
      </c>
      <c r="BW17" s="1351"/>
      <c r="BX17" s="1351"/>
      <c r="BY17" s="1351"/>
      <c r="BZ17" s="1351"/>
      <c r="CA17" s="1351"/>
      <c r="CB17" s="1351"/>
      <c r="CC17" s="1351"/>
      <c r="CD17" s="1351"/>
      <c r="CE17" s="1351"/>
    </row>
    <row r="18" spans="1:83" s="532" customFormat="1" ht="21" customHeight="1">
      <c r="A18" s="1971"/>
      <c r="B18" s="1702" t="s">
        <v>1741</v>
      </c>
      <c r="C18" s="801"/>
      <c r="D18" s="801" t="s">
        <v>639</v>
      </c>
      <c r="E18" s="801" t="str">
        <f>INDEX(Modules[Module], MATCH($D18, Modules[Code], 0))</f>
        <v>Electricity imports</v>
      </c>
      <c r="F18"/>
      <c r="G18" s="1493">
        <v>1</v>
      </c>
      <c r="H18" s="1493">
        <v>1</v>
      </c>
      <c r="I18" s="1493">
        <v>4</v>
      </c>
      <c r="J18" s="1493"/>
      <c r="K18" s="1493">
        <v>1</v>
      </c>
      <c r="L18" s="1493">
        <v>1</v>
      </c>
      <c r="M18" s="1493">
        <v>1</v>
      </c>
      <c r="N18" s="1493">
        <v>1</v>
      </c>
      <c r="O18" s="1493">
        <v>4</v>
      </c>
      <c r="P18" s="1493">
        <v>4</v>
      </c>
      <c r="Q18" s="1493">
        <v>4</v>
      </c>
      <c r="R18" s="1493">
        <v>1</v>
      </c>
      <c r="S18" s="1493">
        <v>1</v>
      </c>
      <c r="T18" s="1493">
        <v>1</v>
      </c>
      <c r="U18" s="1493">
        <v>4</v>
      </c>
      <c r="V18" s="1493">
        <v>4</v>
      </c>
      <c r="W18" s="1493">
        <v>1</v>
      </c>
      <c r="X18" s="1493">
        <v>1</v>
      </c>
      <c r="Y18" s="1493">
        <v>1</v>
      </c>
      <c r="Z18" s="1493">
        <v>1</v>
      </c>
      <c r="AA18" s="1493">
        <v>1</v>
      </c>
      <c r="AB18" s="1493">
        <v>1</v>
      </c>
      <c r="AC18" s="1148"/>
      <c r="AD18" s="1148"/>
      <c r="AE18" s="1148"/>
      <c r="AF18" s="1148"/>
      <c r="AG18" s="41"/>
      <c r="AH18" s="1148"/>
      <c r="AI18" s="1148"/>
      <c r="AJ18" s="1148"/>
      <c r="AK18" s="1148"/>
      <c r="AL18"/>
      <c r="AM18" s="1384" t="s">
        <v>50</v>
      </c>
      <c r="AN18" s="1647">
        <v>4</v>
      </c>
      <c r="AO18" s="532" t="s">
        <v>1349</v>
      </c>
      <c r="AP18" s="532" t="s">
        <v>1491</v>
      </c>
      <c r="AQ18" s="532" t="s">
        <v>1492</v>
      </c>
      <c r="AR18" s="532" t="s">
        <v>1599</v>
      </c>
      <c r="AS18" s="1712" t="s">
        <v>1349</v>
      </c>
      <c r="AT18" s="532" t="s">
        <v>1491</v>
      </c>
      <c r="AU18" s="532" t="s">
        <v>1785</v>
      </c>
      <c r="AV18" s="532" t="s">
        <v>1786</v>
      </c>
      <c r="AW18" s="1350"/>
      <c r="AX18" s="1350"/>
      <c r="AY18" s="1350"/>
      <c r="AZ18" s="1350"/>
      <c r="BA18" s="1350"/>
      <c r="BB18" s="1350"/>
      <c r="BC18" s="1350"/>
      <c r="BD18" s="1350"/>
      <c r="BE18" s="1350"/>
      <c r="BF18" s="1351"/>
      <c r="BG18" s="1351"/>
      <c r="BH18" s="1736"/>
      <c r="BI18" s="1351"/>
      <c r="BJ18" s="1351"/>
      <c r="BK18" s="1351"/>
      <c r="BL18" s="1351"/>
      <c r="BM18" s="1351"/>
      <c r="BN18" s="1351"/>
      <c r="BO18" s="1351"/>
      <c r="BP18" s="1351"/>
      <c r="BQ18" s="1351"/>
      <c r="BR18" s="1351"/>
      <c r="BS18" s="1351"/>
      <c r="BT18" s="952"/>
      <c r="BU18" s="1148"/>
      <c r="BV18" s="1351"/>
      <c r="BW18" s="1351"/>
      <c r="BX18" s="1351"/>
      <c r="BY18" s="1351"/>
      <c r="BZ18" s="1351"/>
      <c r="CA18" s="1351"/>
      <c r="CB18" s="1351"/>
      <c r="CC18" s="1351"/>
      <c r="CD18" s="1351"/>
      <c r="CE18" s="1351"/>
    </row>
    <row r="19" spans="1:83" s="532" customFormat="1" ht="21" customHeight="1">
      <c r="A19" s="1971" t="s">
        <v>1579</v>
      </c>
      <c r="B19" s="1973" t="s">
        <v>1731</v>
      </c>
      <c r="C19" s="801"/>
      <c r="D19" s="801" t="s">
        <v>706</v>
      </c>
      <c r="E19" s="801" t="str">
        <f>INDEX(Modules[Module], MATCH($D19, Modules[Code], 0))</f>
        <v>Agriculture and land use</v>
      </c>
      <c r="F19"/>
      <c r="G19" s="1493"/>
      <c r="H19" s="1493"/>
      <c r="I19" s="1493"/>
      <c r="J19" s="1493"/>
      <c r="K19" s="1493"/>
      <c r="L19" s="1493"/>
      <c r="M19" s="1493"/>
      <c r="N19" s="1493"/>
      <c r="O19" s="1493"/>
      <c r="P19" s="1493"/>
      <c r="Q19" s="1493"/>
      <c r="R19" s="1493"/>
      <c r="S19" s="1493"/>
      <c r="T19" s="1493"/>
      <c r="U19" s="1493"/>
      <c r="V19" s="1493"/>
      <c r="W19" s="1493"/>
      <c r="X19" s="1493"/>
      <c r="Y19" s="1493"/>
      <c r="Z19" s="1493"/>
      <c r="AA19" s="1493"/>
      <c r="AB19" s="1493"/>
      <c r="AC19" s="1148"/>
      <c r="AD19" s="1148"/>
      <c r="AE19" s="1148"/>
      <c r="AF19" s="1148"/>
      <c r="AG19" s="41"/>
      <c r="AH19" s="1148"/>
      <c r="AI19" s="1148"/>
      <c r="AJ19" s="1148"/>
      <c r="AK19" s="1148"/>
      <c r="AL19"/>
      <c r="AM19" s="1384"/>
      <c r="AN19" s="1647"/>
      <c r="AS19" s="1712"/>
      <c r="AW19" s="1350"/>
      <c r="AX19" s="1350"/>
      <c r="AY19" s="1350"/>
      <c r="AZ19" s="1350"/>
      <c r="BA19" s="1350"/>
      <c r="BB19" s="1350"/>
      <c r="BC19" s="1350"/>
      <c r="BD19" s="1350"/>
      <c r="BE19" s="1350"/>
      <c r="BF19" s="1351"/>
      <c r="BG19" s="1351"/>
      <c r="BH19" s="1736"/>
      <c r="BI19" s="1351"/>
      <c r="BJ19" s="1351"/>
      <c r="BK19" s="1351"/>
      <c r="BL19" s="1351"/>
      <c r="BM19" s="1351"/>
      <c r="BN19" s="1351"/>
      <c r="BO19" s="1351"/>
      <c r="BP19" s="1351"/>
      <c r="BQ19" s="1351"/>
      <c r="BR19" s="1351"/>
      <c r="BS19" s="1351"/>
      <c r="BT19" s="952"/>
      <c r="BU19" s="1384"/>
      <c r="BV19" s="1364" t="s">
        <v>600</v>
      </c>
      <c r="BW19" s="1355"/>
      <c r="BX19" s="1376"/>
      <c r="BY19" s="1376"/>
      <c r="BZ19" s="1375" t="str">
        <f>Preferences.EnergyUnits &amp; " / year"</f>
        <v>TWh / year</v>
      </c>
      <c r="CA19" s="1374">
        <v>2007</v>
      </c>
      <c r="CB19" s="1374">
        <v>2020</v>
      </c>
      <c r="CC19" s="1374">
        <v>2030</v>
      </c>
      <c r="CD19" s="1374">
        <v>2050</v>
      </c>
      <c r="CE19" s="1351"/>
    </row>
    <row r="20" spans="1:83" s="532" customFormat="1" ht="21" customHeight="1">
      <c r="A20" s="1971"/>
      <c r="B20" s="1973"/>
      <c r="C20" s="1393"/>
      <c r="D20" s="1393"/>
      <c r="E20" s="1393" t="s">
        <v>1532</v>
      </c>
      <c r="F20" s="1593"/>
      <c r="G20" s="1493">
        <v>1</v>
      </c>
      <c r="H20" s="1493">
        <v>1</v>
      </c>
      <c r="I20" s="1493">
        <v>4</v>
      </c>
      <c r="J20" s="1493"/>
      <c r="K20" s="1493">
        <v>3</v>
      </c>
      <c r="L20" s="1493">
        <v>2</v>
      </c>
      <c r="M20" s="1493">
        <v>3</v>
      </c>
      <c r="N20" s="1493">
        <v>3</v>
      </c>
      <c r="O20" s="1493">
        <v>3</v>
      </c>
      <c r="P20" s="1493">
        <v>4</v>
      </c>
      <c r="Q20" s="1493">
        <v>4</v>
      </c>
      <c r="R20" s="1493">
        <v>4</v>
      </c>
      <c r="S20" s="1493">
        <v>4</v>
      </c>
      <c r="T20" s="1493">
        <v>4</v>
      </c>
      <c r="U20" s="1493">
        <v>1</v>
      </c>
      <c r="V20" s="1493">
        <v>3</v>
      </c>
      <c r="W20" s="1493">
        <v>4</v>
      </c>
      <c r="X20" s="1493">
        <v>3</v>
      </c>
      <c r="Y20" s="1493">
        <v>3</v>
      </c>
      <c r="Z20" s="1493">
        <v>3</v>
      </c>
      <c r="AA20" s="1493">
        <v>3</v>
      </c>
      <c r="AB20" s="1493">
        <v>3</v>
      </c>
      <c r="AC20" s="1148"/>
      <c r="AD20" s="1148"/>
      <c r="AE20" s="1148"/>
      <c r="AF20" s="1148"/>
      <c r="AG20" s="41"/>
      <c r="AH20" s="1396"/>
      <c r="AI20" s="1756"/>
      <c r="AJ20" s="1397"/>
      <c r="AK20" s="1397"/>
      <c r="AL20" s="1593"/>
      <c r="AM20" s="1645" t="s">
        <v>1830</v>
      </c>
      <c r="AN20" s="1648">
        <v>4</v>
      </c>
      <c r="AO20" s="536" t="s">
        <v>1688</v>
      </c>
      <c r="AP20" s="536" t="s">
        <v>1689</v>
      </c>
      <c r="AQ20" s="536" t="s">
        <v>1690</v>
      </c>
      <c r="AR20" s="532" t="s">
        <v>1860</v>
      </c>
      <c r="AS20" s="1713" t="s">
        <v>1688</v>
      </c>
      <c r="AT20" s="536" t="s">
        <v>1787</v>
      </c>
      <c r="AU20" s="536" t="s">
        <v>1788</v>
      </c>
      <c r="AV20" s="532" t="s">
        <v>1861</v>
      </c>
      <c r="AW20" s="1350"/>
      <c r="AX20" s="1350"/>
      <c r="AY20" s="1350"/>
      <c r="AZ20" s="1350"/>
      <c r="BA20" s="1350"/>
      <c r="BB20" s="1350"/>
      <c r="BC20" s="1350"/>
      <c r="BD20" s="1350"/>
      <c r="BE20" s="1350"/>
      <c r="BF20" s="1351"/>
      <c r="BG20" s="1351"/>
      <c r="BH20" s="1736"/>
      <c r="BI20" s="1351"/>
      <c r="BJ20" s="1351"/>
      <c r="BK20" s="1351"/>
      <c r="BL20" s="1351"/>
      <c r="BM20" s="1351"/>
      <c r="BN20" s="1351"/>
      <c r="BO20" s="1351"/>
      <c r="BP20" s="1351"/>
      <c r="BQ20" s="1351"/>
      <c r="BR20" s="1351"/>
      <c r="BS20" s="1351"/>
      <c r="BT20" s="952"/>
      <c r="BU20" s="1383"/>
      <c r="BV20" s="1356" t="s">
        <v>749</v>
      </c>
      <c r="BW20" s="1354" t="str">
        <f>INDEX(Vectors[Description], MATCH($BV20, Vectors[Code], 0))</f>
        <v>Coal oversupply (imports)</v>
      </c>
      <c r="BX20" s="1351"/>
      <c r="BY20" s="1353"/>
      <c r="BZ20" s="1354"/>
      <c r="CA20" s="1353" t="e">
        <f t="shared" ref="CA20:CD24" ca="1" si="0">SUMIFS(INDIRECT("'"&amp;CA$19&amp;"'!Year.NetBalance"), INDIRECT("'"&amp;CA$19&amp;"'!Year.Vectors"),$BV20)</f>
        <v>#REF!</v>
      </c>
      <c r="CB20" s="1353" t="e">
        <f t="shared" ca="1" si="0"/>
        <v>#REF!</v>
      </c>
      <c r="CC20" s="1353" t="e">
        <f t="shared" ca="1" si="0"/>
        <v>#REF!</v>
      </c>
      <c r="CD20" s="1353">
        <f t="shared" ca="1" si="0"/>
        <v>-336.15525503679999</v>
      </c>
      <c r="CE20" s="1351"/>
    </row>
    <row r="21" spans="1:83" s="532" customFormat="1" ht="21" customHeight="1">
      <c r="A21" s="1971"/>
      <c r="B21" s="1973"/>
      <c r="C21" s="1393"/>
      <c r="D21" s="1393"/>
      <c r="E21" s="1393" t="s">
        <v>1533</v>
      </c>
      <c r="F21" s="1593"/>
      <c r="G21" s="1493">
        <v>1</v>
      </c>
      <c r="H21" s="1493">
        <v>1</v>
      </c>
      <c r="I21" s="1493">
        <v>4</v>
      </c>
      <c r="J21" s="1493"/>
      <c r="K21" s="1493">
        <v>3</v>
      </c>
      <c r="L21" s="1493">
        <v>3</v>
      </c>
      <c r="M21" s="1493">
        <v>3</v>
      </c>
      <c r="N21" s="1493">
        <v>3</v>
      </c>
      <c r="O21" s="1493">
        <v>1</v>
      </c>
      <c r="P21" s="1493">
        <v>4</v>
      </c>
      <c r="Q21" s="1493">
        <v>2</v>
      </c>
      <c r="R21" s="1493">
        <v>1</v>
      </c>
      <c r="S21" s="1493">
        <v>1</v>
      </c>
      <c r="T21" s="1493">
        <v>1</v>
      </c>
      <c r="U21" s="1493">
        <v>1</v>
      </c>
      <c r="V21" s="1493">
        <v>3</v>
      </c>
      <c r="W21" s="1493">
        <v>3</v>
      </c>
      <c r="X21" s="1493">
        <v>3</v>
      </c>
      <c r="Y21" s="1493">
        <v>4</v>
      </c>
      <c r="Z21" s="1493">
        <v>3</v>
      </c>
      <c r="AA21" s="1493">
        <v>3</v>
      </c>
      <c r="AB21" s="1493">
        <v>3</v>
      </c>
      <c r="AC21" s="1148"/>
      <c r="AD21" s="1148"/>
      <c r="AE21" s="1148"/>
      <c r="AF21" s="1148"/>
      <c r="AG21" s="41"/>
      <c r="AH21" s="1396"/>
      <c r="AI21" s="1756"/>
      <c r="AJ21" s="1397"/>
      <c r="AK21" s="1397"/>
      <c r="AL21" s="1593"/>
      <c r="AM21" s="1645" t="s">
        <v>1835</v>
      </c>
      <c r="AN21" s="1648">
        <v>4</v>
      </c>
      <c r="AO21" s="536" t="s">
        <v>1610</v>
      </c>
      <c r="AP21" s="536" t="s">
        <v>1691</v>
      </c>
      <c r="AQ21" s="536" t="s">
        <v>1608</v>
      </c>
      <c r="AR21" s="532" t="s">
        <v>1609</v>
      </c>
      <c r="AS21" s="1713" t="s">
        <v>1610</v>
      </c>
      <c r="AT21" s="536" t="s">
        <v>1691</v>
      </c>
      <c r="AU21" s="536" t="s">
        <v>1608</v>
      </c>
      <c r="AV21" s="532" t="s">
        <v>1609</v>
      </c>
      <c r="AW21" s="1350"/>
      <c r="AX21" s="1350"/>
      <c r="AY21" s="1350"/>
      <c r="AZ21" s="1350"/>
      <c r="BA21" s="1350"/>
      <c r="BB21" s="1350"/>
      <c r="BC21" s="1350"/>
      <c r="BD21" s="1350"/>
      <c r="BE21" s="1350"/>
      <c r="BF21" s="1351"/>
      <c r="BG21" s="1351"/>
      <c r="BH21" s="1736"/>
      <c r="BI21" s="1351"/>
      <c r="BJ21" s="1351"/>
      <c r="BK21" s="1351"/>
      <c r="BL21" s="1351"/>
      <c r="BM21" s="1351"/>
      <c r="BN21" s="1351"/>
      <c r="BO21" s="1351"/>
      <c r="BP21" s="1351"/>
      <c r="BQ21" s="1351"/>
      <c r="BR21" s="1351"/>
      <c r="BS21" s="1351"/>
      <c r="BT21" s="952"/>
      <c r="BU21" s="1383"/>
      <c r="BV21" s="1356" t="s">
        <v>750</v>
      </c>
      <c r="BW21" s="1354" t="str">
        <f>INDEX(Vectors[Description], MATCH($BV21, Vectors[Code], 0))</f>
        <v>Oil and petroleum products oversupply (imports)</v>
      </c>
      <c r="BX21" s="1351"/>
      <c r="BY21" s="1353"/>
      <c r="BZ21" s="1354"/>
      <c r="CA21" s="1353" t="e">
        <f t="shared" ca="1" si="0"/>
        <v>#REF!</v>
      </c>
      <c r="CB21" s="1353" t="e">
        <f t="shared" ca="1" si="0"/>
        <v>#REF!</v>
      </c>
      <c r="CC21" s="1353" t="e">
        <f t="shared" ca="1" si="0"/>
        <v>#REF!</v>
      </c>
      <c r="CD21" s="1353">
        <f t="shared" ca="1" si="0"/>
        <v>107.70336000383915</v>
      </c>
      <c r="CE21" s="1351"/>
    </row>
    <row r="22" spans="1:83" s="532" customFormat="1" ht="21" customHeight="1">
      <c r="A22" s="1971"/>
      <c r="B22" s="1973"/>
      <c r="C22" s="801"/>
      <c r="D22" s="801" t="s">
        <v>736</v>
      </c>
      <c r="E22" s="801" t="str">
        <f>INDEX(Modules[Module], MATCH($D22, Modules[Code], 0))</f>
        <v>Volume of Waste &amp; Recycling</v>
      </c>
      <c r="F22"/>
      <c r="G22" s="1493">
        <v>1</v>
      </c>
      <c r="H22" s="1493">
        <v>1</v>
      </c>
      <c r="I22" s="1493">
        <v>3</v>
      </c>
      <c r="J22" s="1493"/>
      <c r="K22" s="1493">
        <v>3</v>
      </c>
      <c r="L22" s="1493">
        <v>2</v>
      </c>
      <c r="M22" s="1493">
        <v>3</v>
      </c>
      <c r="N22" s="1493">
        <v>3</v>
      </c>
      <c r="O22" s="1493">
        <v>2</v>
      </c>
      <c r="P22" s="1493">
        <v>1</v>
      </c>
      <c r="Q22" s="1493">
        <v>2</v>
      </c>
      <c r="R22" s="1493">
        <v>2</v>
      </c>
      <c r="S22" s="1493">
        <v>2</v>
      </c>
      <c r="T22" s="1493">
        <v>3</v>
      </c>
      <c r="U22" s="1493">
        <v>3</v>
      </c>
      <c r="V22" s="1493">
        <v>3</v>
      </c>
      <c r="W22" s="1493">
        <v>3</v>
      </c>
      <c r="X22" s="1493">
        <v>3</v>
      </c>
      <c r="Y22" s="1493">
        <v>2</v>
      </c>
      <c r="Z22" s="1493">
        <v>3</v>
      </c>
      <c r="AA22" s="1493">
        <v>3</v>
      </c>
      <c r="AB22" s="1493">
        <v>3</v>
      </c>
      <c r="AC22" s="1148"/>
      <c r="AD22" s="1148"/>
      <c r="AE22" s="1148"/>
      <c r="AF22" s="1148"/>
      <c r="AG22" s="41"/>
      <c r="AH22" s="1148"/>
      <c r="AI22" s="1148"/>
      <c r="AJ22" s="1148"/>
      <c r="AK22" s="1148"/>
      <c r="AL22"/>
      <c r="AM22" s="1384" t="s">
        <v>1626</v>
      </c>
      <c r="AN22" s="1647" t="s">
        <v>1007</v>
      </c>
      <c r="AO22" s="532" t="s">
        <v>1490</v>
      </c>
      <c r="AP22" s="532" t="s">
        <v>1348</v>
      </c>
      <c r="AQ22" s="532" t="s">
        <v>1692</v>
      </c>
      <c r="AR22" s="532" t="s">
        <v>1747</v>
      </c>
      <c r="AS22" s="1712" t="s">
        <v>1490</v>
      </c>
      <c r="AT22" s="532" t="s">
        <v>1348</v>
      </c>
      <c r="AU22" s="532" t="s">
        <v>1692</v>
      </c>
      <c r="AV22" s="532" t="s">
        <v>1692</v>
      </c>
      <c r="AW22" s="1350"/>
      <c r="AX22" s="1350"/>
      <c r="AY22" s="1350"/>
      <c r="AZ22" s="1350"/>
      <c r="BA22" s="1350"/>
      <c r="BB22" s="1350"/>
      <c r="BC22" s="1350"/>
      <c r="BD22" s="1350"/>
      <c r="BE22" s="1350"/>
      <c r="BF22" s="1351"/>
      <c r="BG22" s="1351"/>
      <c r="BH22" s="1736"/>
      <c r="BI22" s="1351"/>
      <c r="BJ22" s="1351"/>
      <c r="BK22" s="1351"/>
      <c r="BL22" s="1351"/>
      <c r="BM22" s="1351"/>
      <c r="BN22" s="1351"/>
      <c r="BO22" s="1351"/>
      <c r="BP22" s="1351"/>
      <c r="BQ22" s="1351"/>
      <c r="BR22" s="1351"/>
      <c r="BS22" s="1351"/>
      <c r="BT22" s="952"/>
      <c r="BU22" s="1383"/>
      <c r="BV22" s="1356" t="s">
        <v>751</v>
      </c>
      <c r="BW22" s="1354" t="str">
        <f>INDEX(Vectors[Description], MATCH($BV22, Vectors[Code], 0))</f>
        <v>Gas oversupply (imports)</v>
      </c>
      <c r="BX22" s="1351"/>
      <c r="BY22" s="1353"/>
      <c r="BZ22" s="1354"/>
      <c r="CA22" s="1353" t="e">
        <f t="shared" ca="1" si="0"/>
        <v>#REF!</v>
      </c>
      <c r="CB22" s="1353" t="e">
        <f t="shared" ca="1" si="0"/>
        <v>#REF!</v>
      </c>
      <c r="CC22" s="1353" t="e">
        <f t="shared" ca="1" si="0"/>
        <v>#REF!</v>
      </c>
      <c r="CD22" s="1353">
        <f t="shared" ca="1" si="0"/>
        <v>82.232541885272198</v>
      </c>
      <c r="CE22" s="1351"/>
    </row>
    <row r="23" spans="1:83" s="532" customFormat="1" ht="21" customHeight="1">
      <c r="A23" s="1971"/>
      <c r="B23" s="1973"/>
      <c r="C23" s="801"/>
      <c r="D23" s="801" t="s">
        <v>1226</v>
      </c>
      <c r="E23" s="801" t="str">
        <f>INDEX(Modules[Module], MATCH($D23, Modules[Code], 0))</f>
        <v>Marine algae</v>
      </c>
      <c r="F23"/>
      <c r="G23" s="1493">
        <v>1</v>
      </c>
      <c r="H23" s="1493">
        <v>1</v>
      </c>
      <c r="I23" s="1493">
        <v>4</v>
      </c>
      <c r="J23" s="1493"/>
      <c r="K23" s="1493">
        <v>2</v>
      </c>
      <c r="L23" s="1493">
        <v>2</v>
      </c>
      <c r="M23" s="1493">
        <v>2</v>
      </c>
      <c r="N23" s="1493">
        <v>2</v>
      </c>
      <c r="O23" s="1493">
        <v>1</v>
      </c>
      <c r="P23" s="1493">
        <v>4</v>
      </c>
      <c r="Q23" s="1493">
        <v>1</v>
      </c>
      <c r="R23" s="1493">
        <v>4</v>
      </c>
      <c r="S23" s="1493">
        <v>4</v>
      </c>
      <c r="T23" s="1493">
        <v>4</v>
      </c>
      <c r="U23" s="1493">
        <v>1</v>
      </c>
      <c r="V23" s="1493">
        <v>2</v>
      </c>
      <c r="W23" s="1493">
        <v>2</v>
      </c>
      <c r="X23" s="1493">
        <v>2</v>
      </c>
      <c r="Y23" s="1493">
        <v>4</v>
      </c>
      <c r="Z23" s="1493">
        <v>2</v>
      </c>
      <c r="AA23" s="1493">
        <v>1</v>
      </c>
      <c r="AB23" s="1493">
        <v>2</v>
      </c>
      <c r="AC23" s="1148"/>
      <c r="AD23" s="1148"/>
      <c r="AE23" s="1148"/>
      <c r="AF23" s="1148"/>
      <c r="AG23" s="41"/>
      <c r="AH23" s="1148"/>
      <c r="AI23" s="1148"/>
      <c r="AJ23" s="1148"/>
      <c r="AK23" s="1148"/>
      <c r="AL23"/>
      <c r="AM23" s="1384" t="s">
        <v>1225</v>
      </c>
      <c r="AN23" s="1647">
        <v>4</v>
      </c>
      <c r="AO23" s="532" t="s">
        <v>1307</v>
      </c>
      <c r="AP23" s="532" t="s">
        <v>1693</v>
      </c>
      <c r="AQ23" s="532" t="s">
        <v>1694</v>
      </c>
      <c r="AR23" s="532" t="s">
        <v>1748</v>
      </c>
      <c r="AS23" s="1712" t="s">
        <v>1307</v>
      </c>
      <c r="AT23" s="532" t="s">
        <v>1789</v>
      </c>
      <c r="AU23" s="532" t="s">
        <v>1790</v>
      </c>
      <c r="AV23" s="532" t="s">
        <v>1791</v>
      </c>
      <c r="AW23" s="1350"/>
      <c r="AX23" s="1350"/>
      <c r="AY23" s="1350"/>
      <c r="AZ23" s="1350"/>
      <c r="BA23" s="1350"/>
      <c r="BB23" s="1350"/>
      <c r="BC23" s="1350"/>
      <c r="BD23" s="1350"/>
      <c r="BE23" s="1350"/>
      <c r="BF23" s="1351"/>
      <c r="BG23" s="1351"/>
      <c r="BH23" s="1736"/>
      <c r="BI23" s="1351"/>
      <c r="BJ23" s="1351"/>
      <c r="BK23" s="1351"/>
      <c r="BL23" s="1351"/>
      <c r="BM23" s="1351"/>
      <c r="BN23" s="1351"/>
      <c r="BO23" s="1351"/>
      <c r="BP23" s="1351"/>
      <c r="BQ23" s="1351"/>
      <c r="BR23" s="1351"/>
      <c r="BS23" s="1351"/>
      <c r="BT23" s="952"/>
      <c r="BU23" s="1383"/>
      <c r="BV23" s="1356" t="s">
        <v>53</v>
      </c>
      <c r="BW23" s="1354" t="str">
        <f>INDEX(Vectors[Description], MATCH($BV23, Vectors[Code], 0))</f>
        <v>Biomass oversupply (imports)</v>
      </c>
      <c r="BX23" s="1351"/>
      <c r="BY23" s="1351"/>
      <c r="BZ23" s="1351"/>
      <c r="CA23" s="1353" t="e">
        <f t="shared" ca="1" si="0"/>
        <v>#REF!</v>
      </c>
      <c r="CB23" s="1353" t="e">
        <f t="shared" ca="1" si="0"/>
        <v>#REF!</v>
      </c>
      <c r="CC23" s="1353" t="e">
        <f t="shared" ca="1" si="0"/>
        <v>#REF!</v>
      </c>
      <c r="CD23" s="1353">
        <f t="shared" ca="1" si="0"/>
        <v>0</v>
      </c>
      <c r="CE23" s="1351"/>
    </row>
    <row r="24" spans="1:83" s="532" customFormat="1" ht="21" customHeight="1">
      <c r="A24" s="1971"/>
      <c r="B24" s="1973"/>
      <c r="C24" s="801"/>
      <c r="D24" s="801" t="s">
        <v>734</v>
      </c>
      <c r="E24" s="801" t="str">
        <f>INDEX(Modules[Module], MATCH($D24, Modules[Code], 0))</f>
        <v>Types of fuel from Biomass</v>
      </c>
      <c r="F24"/>
      <c r="G24" s="1493">
        <v>1</v>
      </c>
      <c r="H24" s="1493">
        <v>1</v>
      </c>
      <c r="I24" s="1493">
        <v>2</v>
      </c>
      <c r="J24" s="1493"/>
      <c r="K24" s="1493">
        <v>2</v>
      </c>
      <c r="L24" s="1493">
        <v>2</v>
      </c>
      <c r="M24" s="1493">
        <v>2</v>
      </c>
      <c r="N24" s="1493">
        <v>2</v>
      </c>
      <c r="O24" s="1493">
        <v>2</v>
      </c>
      <c r="P24" s="1493">
        <v>2</v>
      </c>
      <c r="Q24" s="1493">
        <v>1</v>
      </c>
      <c r="R24" s="1493">
        <v>2</v>
      </c>
      <c r="S24" s="1493">
        <v>3</v>
      </c>
      <c r="T24" s="1493">
        <v>4</v>
      </c>
      <c r="U24" s="1493">
        <v>1</v>
      </c>
      <c r="V24" s="1493">
        <v>2</v>
      </c>
      <c r="W24" s="1493">
        <v>3</v>
      </c>
      <c r="X24" s="1493">
        <v>2</v>
      </c>
      <c r="Y24" s="1493">
        <v>1</v>
      </c>
      <c r="Z24" s="1493">
        <v>2</v>
      </c>
      <c r="AA24" s="1493">
        <v>2</v>
      </c>
      <c r="AB24" s="1493">
        <v>2</v>
      </c>
      <c r="AC24" s="1148"/>
      <c r="AD24" s="1148"/>
      <c r="AE24" s="1148"/>
      <c r="AF24" s="1148"/>
      <c r="AG24" s="41"/>
      <c r="AH24" s="1148"/>
      <c r="AI24" s="1148"/>
      <c r="AJ24" s="1148"/>
      <c r="AK24" s="1148"/>
      <c r="AL24"/>
      <c r="AM24" s="1384" t="s">
        <v>1831</v>
      </c>
      <c r="AN24" s="1647" t="s">
        <v>1008</v>
      </c>
      <c r="AO24" s="532" t="s">
        <v>1605</v>
      </c>
      <c r="AP24" s="532" t="s">
        <v>1606</v>
      </c>
      <c r="AQ24" s="532" t="s">
        <v>1607</v>
      </c>
      <c r="AR24" s="532" t="s">
        <v>1604</v>
      </c>
      <c r="AS24" s="1712" t="s">
        <v>1605</v>
      </c>
      <c r="AT24" s="532" t="s">
        <v>1606</v>
      </c>
      <c r="AU24" s="532" t="s">
        <v>1607</v>
      </c>
      <c r="AV24" s="532" t="s">
        <v>1604</v>
      </c>
      <c r="AW24" s="1350"/>
      <c r="AX24" s="1350"/>
      <c r="AY24" s="1350"/>
      <c r="AZ24" s="1350"/>
      <c r="BA24" s="1350"/>
      <c r="BB24" s="1350"/>
      <c r="BC24" s="1350"/>
      <c r="BD24" s="1350"/>
      <c r="BE24" s="1350"/>
      <c r="BF24" s="1351"/>
      <c r="BG24" s="1351"/>
      <c r="BH24" s="1736"/>
      <c r="BI24" s="1351"/>
      <c r="BJ24" s="1351"/>
      <c r="BK24" s="1351"/>
      <c r="BL24" s="1351"/>
      <c r="BM24" s="1351"/>
      <c r="BN24" s="1351"/>
      <c r="BO24" s="1351"/>
      <c r="BP24" s="1351"/>
      <c r="BQ24" s="1351"/>
      <c r="BR24" s="1351"/>
      <c r="BS24" s="1351"/>
      <c r="BT24" s="952"/>
      <c r="BU24" s="1383"/>
      <c r="BV24" s="1366" t="s">
        <v>54</v>
      </c>
      <c r="BW24" s="1360" t="str">
        <f>INDEX(Vectors[Description], MATCH($BV24, Vectors[Code], 0))</f>
        <v>Electricity oversupply (imports)</v>
      </c>
      <c r="BX24" s="1359"/>
      <c r="BY24" s="1359"/>
      <c r="BZ24" s="1359"/>
      <c r="CA24" s="1367" t="e">
        <f t="shared" ca="1" si="0"/>
        <v>#REF!</v>
      </c>
      <c r="CB24" s="1367" t="e">
        <f t="shared" ca="1" si="0"/>
        <v>#REF!</v>
      </c>
      <c r="CC24" s="1367" t="e">
        <f t="shared" ca="1" si="0"/>
        <v>#REF!</v>
      </c>
      <c r="CD24" s="1367">
        <f t="shared" ca="1" si="0"/>
        <v>261.96211411772401</v>
      </c>
      <c r="CE24" s="1351"/>
    </row>
    <row r="25" spans="1:83" s="532" customFormat="1" ht="21" customHeight="1">
      <c r="A25" s="1971"/>
      <c r="B25" s="1693" t="s">
        <v>1732</v>
      </c>
      <c r="C25" s="801"/>
      <c r="D25" s="801" t="s">
        <v>1043</v>
      </c>
      <c r="E25" s="801" t="str">
        <f>INDEX(Modules[Module], MATCH($D25, Modules[Code], 0))</f>
        <v>Bioenergy imports</v>
      </c>
      <c r="F25" s="121"/>
      <c r="G25" s="1493">
        <v>1</v>
      </c>
      <c r="H25" s="1493">
        <v>1</v>
      </c>
      <c r="I25" s="1493">
        <v>4</v>
      </c>
      <c r="J25" s="1493"/>
      <c r="K25" s="1493">
        <v>2</v>
      </c>
      <c r="L25" s="1493">
        <v>1</v>
      </c>
      <c r="M25" s="1493">
        <v>2</v>
      </c>
      <c r="N25" s="1493">
        <v>2</v>
      </c>
      <c r="O25" s="1493">
        <v>1</v>
      </c>
      <c r="P25" s="1493">
        <v>4</v>
      </c>
      <c r="Q25" s="1493">
        <v>4</v>
      </c>
      <c r="R25" s="1493">
        <v>4</v>
      </c>
      <c r="S25" s="1493">
        <v>4</v>
      </c>
      <c r="T25" s="1493">
        <v>4</v>
      </c>
      <c r="U25" s="1493">
        <v>2</v>
      </c>
      <c r="V25" s="1493">
        <v>2</v>
      </c>
      <c r="W25" s="1493">
        <v>3</v>
      </c>
      <c r="X25" s="1493">
        <v>2</v>
      </c>
      <c r="Y25" s="1493">
        <v>3</v>
      </c>
      <c r="Z25" s="1493">
        <v>3</v>
      </c>
      <c r="AA25" s="1493">
        <v>2</v>
      </c>
      <c r="AB25" s="1493">
        <v>2</v>
      </c>
      <c r="AC25" s="1148"/>
      <c r="AD25" s="1148"/>
      <c r="AE25" s="1148"/>
      <c r="AF25" s="1148"/>
      <c r="AG25" s="41"/>
      <c r="AH25" s="1148"/>
      <c r="AI25" s="1148"/>
      <c r="AJ25" s="1148"/>
      <c r="AK25" s="1148"/>
      <c r="AL25" s="121"/>
      <c r="AM25" s="1384" t="s">
        <v>1044</v>
      </c>
      <c r="AN25" s="1647">
        <v>4</v>
      </c>
      <c r="AO25" s="532" t="s">
        <v>1695</v>
      </c>
      <c r="AP25" s="532" t="s">
        <v>1845</v>
      </c>
      <c r="AQ25" s="532" t="s">
        <v>1846</v>
      </c>
      <c r="AR25" s="532" t="s">
        <v>1847</v>
      </c>
      <c r="AS25" s="1712" t="s">
        <v>1695</v>
      </c>
      <c r="AT25" s="532" t="s">
        <v>1845</v>
      </c>
      <c r="AU25" s="532" t="s">
        <v>1846</v>
      </c>
      <c r="AV25" s="532" t="s">
        <v>1847</v>
      </c>
      <c r="AW25" s="1350"/>
      <c r="AX25" s="1350"/>
      <c r="AY25" s="1350"/>
      <c r="AZ25" s="1350"/>
      <c r="BA25" s="1350"/>
      <c r="BB25" s="1350"/>
      <c r="BC25" s="1350"/>
      <c r="BD25" s="1350"/>
      <c r="BE25" s="1350"/>
      <c r="BF25" s="1351"/>
      <c r="BG25" s="1351"/>
      <c r="BH25" s="1736"/>
      <c r="BI25" s="1351"/>
      <c r="BJ25" s="1351"/>
      <c r="BK25" s="1351"/>
      <c r="BL25" s="1351"/>
      <c r="BM25" s="1351"/>
      <c r="BN25" s="1351"/>
      <c r="BO25" s="1351"/>
      <c r="BP25" s="1351"/>
      <c r="BQ25" s="1351"/>
      <c r="BR25" s="1351"/>
      <c r="BS25" s="1351"/>
      <c r="BT25" s="952"/>
      <c r="BU25" s="1148"/>
      <c r="BV25" s="1351"/>
      <c r="BW25" s="1351"/>
      <c r="BX25" s="1351"/>
      <c r="BY25" s="1351"/>
      <c r="BZ25" s="1351"/>
      <c r="CA25" s="1351"/>
      <c r="CB25" s="1351"/>
      <c r="CC25" s="1351"/>
      <c r="CD25" s="1351"/>
      <c r="CE25" s="1351"/>
    </row>
    <row r="26" spans="1:83" s="532" customFormat="1" ht="21" customHeight="1">
      <c r="A26" s="1649" t="s">
        <v>67</v>
      </c>
      <c r="B26" s="1636"/>
      <c r="C26" s="1636"/>
      <c r="D26" s="1636"/>
      <c r="E26" s="1636"/>
      <c r="F26" s="1636"/>
      <c r="G26" s="1636"/>
      <c r="H26" s="1636"/>
      <c r="I26" s="1636"/>
      <c r="J26" s="1636"/>
      <c r="K26" s="1636"/>
      <c r="L26" s="1636"/>
      <c r="M26" s="1636"/>
      <c r="N26" s="1636"/>
      <c r="O26" s="1636"/>
      <c r="P26" s="1636"/>
      <c r="Q26" s="1636"/>
      <c r="R26" s="1636"/>
      <c r="S26" s="1636"/>
      <c r="T26" s="1636"/>
      <c r="U26" s="1636"/>
      <c r="V26" s="1636"/>
      <c r="W26" s="1636"/>
      <c r="X26" s="1636"/>
      <c r="Y26" s="1636"/>
      <c r="Z26" s="1636"/>
      <c r="AA26" s="1636"/>
      <c r="AB26" s="1636"/>
      <c r="AC26" s="1753"/>
      <c r="AD26" s="1753"/>
      <c r="AE26" s="1753"/>
      <c r="AF26" s="1753"/>
      <c r="AG26" s="1753"/>
      <c r="AH26" s="1753"/>
      <c r="AI26" s="1753"/>
      <c r="AJ26" s="1753"/>
      <c r="AK26" s="1753"/>
      <c r="AM26" s="1636"/>
      <c r="AN26" s="1649"/>
      <c r="AR26" s="1660"/>
      <c r="AS26" s="1712"/>
      <c r="AV26" s="1707"/>
      <c r="AW26" s="1350"/>
      <c r="AX26" s="1350"/>
      <c r="AY26" s="1350"/>
      <c r="AZ26" s="1350"/>
      <c r="BA26" s="1350"/>
      <c r="BB26" s="1350"/>
      <c r="BC26" s="1350"/>
      <c r="BD26" s="1350"/>
      <c r="BE26" s="1350"/>
      <c r="BF26" s="1351"/>
      <c r="BG26" s="1351"/>
      <c r="BH26" s="1736"/>
      <c r="BI26" s="1351"/>
      <c r="BJ26" s="1351"/>
      <c r="BK26" s="1351"/>
      <c r="BL26" s="1351"/>
      <c r="BM26" s="1351"/>
      <c r="BN26" s="1351"/>
      <c r="BO26" s="1351"/>
      <c r="BP26" s="1351"/>
      <c r="BQ26" s="1351"/>
      <c r="BR26" s="1351"/>
      <c r="BS26" s="1350"/>
      <c r="BT26" s="952"/>
      <c r="BU26" s="1741"/>
      <c r="BV26" s="1363" t="s">
        <v>1142</v>
      </c>
      <c r="BW26" s="1351"/>
      <c r="BX26" s="1351"/>
      <c r="BY26" s="1351"/>
      <c r="BZ26" s="1351"/>
      <c r="CA26" s="1351"/>
      <c r="CB26" s="1351"/>
      <c r="CC26" s="1351"/>
      <c r="CD26" s="1351"/>
      <c r="CE26" s="1351"/>
    </row>
    <row r="27" spans="1:83" ht="21" customHeight="1">
      <c r="A27" s="1971" t="s">
        <v>244</v>
      </c>
      <c r="B27" s="1974" t="s">
        <v>1733</v>
      </c>
      <c r="C27" s="802"/>
      <c r="D27" s="801" t="s">
        <v>691</v>
      </c>
      <c r="E27" s="801" t="str">
        <f>INDEX(Modules[Module], MATCH($D27, Modules[Code], 0))</f>
        <v>Domestic passenger transport</v>
      </c>
      <c r="G27" s="1493"/>
      <c r="H27" s="1493"/>
      <c r="I27" s="1493"/>
      <c r="J27" s="1493"/>
      <c r="K27" s="1493"/>
      <c r="L27" s="1493"/>
      <c r="M27" s="1493"/>
      <c r="N27" s="1493"/>
      <c r="O27" s="1493"/>
      <c r="P27" s="1493"/>
      <c r="Q27" s="1493"/>
      <c r="R27" s="1493"/>
      <c r="S27" s="1493"/>
      <c r="T27" s="1493"/>
      <c r="U27" s="1493"/>
      <c r="V27" s="1493"/>
      <c r="W27" s="1493"/>
      <c r="X27" s="1493"/>
      <c r="Y27" s="1493"/>
      <c r="Z27" s="1493"/>
      <c r="AA27" s="1493"/>
      <c r="AB27" s="1493"/>
      <c r="AC27" s="1148"/>
      <c r="AD27" s="1437"/>
      <c r="AE27" s="1754"/>
      <c r="AF27" s="1754"/>
      <c r="AG27" s="1755"/>
      <c r="AH27" s="1148"/>
      <c r="AI27" s="1437"/>
      <c r="AJ27" s="1754"/>
      <c r="AK27" s="1754"/>
      <c r="AL27" s="121"/>
      <c r="AM27" s="1384"/>
      <c r="AN27" s="1647"/>
      <c r="AO27" s="532"/>
      <c r="AP27" s="532"/>
      <c r="AQ27" s="532"/>
      <c r="AR27" s="1660"/>
      <c r="AS27" s="1712"/>
      <c r="AT27" s="532"/>
      <c r="AU27" s="532"/>
      <c r="AW27" s="1350"/>
      <c r="AX27" s="1350"/>
      <c r="AY27" s="1350"/>
      <c r="AZ27" s="1350"/>
      <c r="BA27" s="1350"/>
      <c r="BB27" s="1350"/>
      <c r="BC27" s="1350"/>
      <c r="BD27" s="1350"/>
      <c r="BE27" s="1350"/>
      <c r="BF27" s="1351"/>
      <c r="BG27" s="1351"/>
      <c r="BI27" s="1490"/>
      <c r="BJ27" s="1490" t="s">
        <v>1405</v>
      </c>
      <c r="BK27" s="1351"/>
      <c r="BL27" s="1351"/>
      <c r="BM27" s="1351"/>
      <c r="BN27" s="1351"/>
      <c r="BO27" s="1351"/>
      <c r="BP27" s="1351"/>
      <c r="BQ27" s="1351"/>
      <c r="BR27" s="1351"/>
      <c r="BS27" s="1350"/>
      <c r="BU27" s="1741"/>
      <c r="BV27" s="1363"/>
      <c r="BW27" s="1351"/>
      <c r="BX27" s="1351"/>
      <c r="BY27" s="1351"/>
      <c r="BZ27" s="1351"/>
      <c r="CA27" s="1351"/>
      <c r="CB27" s="1351"/>
      <c r="CC27" s="1351"/>
      <c r="CD27" s="1351"/>
      <c r="CE27" s="1351"/>
    </row>
    <row r="28" spans="1:83" s="532" customFormat="1" ht="21" customHeight="1">
      <c r="A28" s="1971"/>
      <c r="B28" s="1974"/>
      <c r="C28" s="1392"/>
      <c r="D28" s="1393"/>
      <c r="E28" s="1393" t="s">
        <v>1188</v>
      </c>
      <c r="F28" s="121"/>
      <c r="G28" s="1493">
        <v>1</v>
      </c>
      <c r="H28" s="1493">
        <v>4</v>
      </c>
      <c r="I28" s="1493">
        <v>1</v>
      </c>
      <c r="J28" s="1493"/>
      <c r="K28" s="1493">
        <v>2</v>
      </c>
      <c r="L28" s="1493">
        <v>4</v>
      </c>
      <c r="M28" s="1493">
        <v>4</v>
      </c>
      <c r="N28" s="1493">
        <v>1</v>
      </c>
      <c r="O28" s="1493">
        <v>2</v>
      </c>
      <c r="P28" s="1493">
        <v>2</v>
      </c>
      <c r="Q28" s="1493">
        <v>2</v>
      </c>
      <c r="R28" s="1493">
        <v>1</v>
      </c>
      <c r="S28" s="1493">
        <v>2</v>
      </c>
      <c r="T28" s="1493">
        <v>2</v>
      </c>
      <c r="U28" s="1493">
        <v>4</v>
      </c>
      <c r="V28" s="1493">
        <v>4</v>
      </c>
      <c r="W28" s="1493">
        <v>2</v>
      </c>
      <c r="X28" s="1493">
        <v>2</v>
      </c>
      <c r="Y28" s="1493">
        <v>4</v>
      </c>
      <c r="Z28" s="1493">
        <v>2</v>
      </c>
      <c r="AA28" s="1493">
        <v>4</v>
      </c>
      <c r="AB28" s="1493">
        <v>2</v>
      </c>
      <c r="AC28" s="1396" t="s">
        <v>271</v>
      </c>
      <c r="AD28" s="1397" t="s">
        <v>271</v>
      </c>
      <c r="AE28" s="1397" t="s">
        <v>271</v>
      </c>
      <c r="AF28" s="1397" t="s">
        <v>271</v>
      </c>
      <c r="AG28" s="1755"/>
      <c r="AH28" s="1396"/>
      <c r="AI28" s="1756"/>
      <c r="AJ28" s="1397"/>
      <c r="AK28" s="1397"/>
      <c r="AL28"/>
      <c r="AM28" s="1645" t="s">
        <v>1627</v>
      </c>
      <c r="AN28" s="1648">
        <v>4</v>
      </c>
      <c r="AO28" s="532" t="s">
        <v>1696</v>
      </c>
      <c r="AP28" s="532" t="s">
        <v>1838</v>
      </c>
      <c r="AQ28" s="532" t="s">
        <v>1839</v>
      </c>
      <c r="AR28" s="532" t="s">
        <v>1697</v>
      </c>
      <c r="AS28" s="1712" t="s">
        <v>1696</v>
      </c>
      <c r="AT28" s="532" t="s">
        <v>1838</v>
      </c>
      <c r="AU28" s="532" t="s">
        <v>1839</v>
      </c>
      <c r="AV28" s="532" t="s">
        <v>1697</v>
      </c>
      <c r="AW28" s="1350"/>
      <c r="AX28" s="1350"/>
      <c r="AY28" s="1350"/>
      <c r="AZ28" s="1350"/>
      <c r="BA28" s="1350"/>
      <c r="BB28" s="1350"/>
      <c r="BC28" s="1350"/>
      <c r="BD28" s="1350"/>
      <c r="BE28" s="1350"/>
      <c r="BF28" s="1352"/>
      <c r="BG28" s="1352"/>
      <c r="BH28" s="1736"/>
      <c r="BI28" s="1351"/>
      <c r="BJ28" s="1351"/>
      <c r="BK28" s="1352"/>
      <c r="BL28" s="1352"/>
      <c r="BM28" s="1352"/>
      <c r="BN28" s="1352"/>
      <c r="BO28" s="1352"/>
      <c r="BP28" s="1352"/>
      <c r="BQ28" s="1352"/>
      <c r="BR28" s="1352"/>
      <c r="BS28" s="1350"/>
      <c r="BT28" s="952"/>
      <c r="BU28" s="1384"/>
      <c r="BV28" s="1364" t="s">
        <v>1152</v>
      </c>
      <c r="BW28" s="1355"/>
      <c r="BX28" s="1376"/>
      <c r="BY28" s="1376"/>
      <c r="BZ28" s="1375" t="str">
        <f>Preferences.EnergyUnits &amp; " / year"</f>
        <v>TWh / year</v>
      </c>
      <c r="CA28" s="1374">
        <v>2007</v>
      </c>
      <c r="CB28" s="1374">
        <v>2020</v>
      </c>
      <c r="CC28" s="1374">
        <v>2030</v>
      </c>
      <c r="CD28" s="1374">
        <v>2050</v>
      </c>
      <c r="CE28" s="1351"/>
    </row>
    <row r="29" spans="1:83" s="532" customFormat="1" ht="21" customHeight="1">
      <c r="A29" s="1971"/>
      <c r="B29" s="1974"/>
      <c r="C29" s="1392"/>
      <c r="D29" s="1393"/>
      <c r="E29" s="1393" t="s">
        <v>1189</v>
      </c>
      <c r="F29" s="121"/>
      <c r="G29" s="1493">
        <v>1</v>
      </c>
      <c r="H29" s="1493">
        <v>4</v>
      </c>
      <c r="I29" s="1493">
        <v>1</v>
      </c>
      <c r="J29" s="1493"/>
      <c r="K29" s="1493">
        <v>3</v>
      </c>
      <c r="L29" s="1665">
        <v>4</v>
      </c>
      <c r="M29" s="1493">
        <v>4</v>
      </c>
      <c r="N29" s="1493">
        <v>1</v>
      </c>
      <c r="O29" s="1493">
        <v>4</v>
      </c>
      <c r="P29" s="1493">
        <v>4</v>
      </c>
      <c r="Q29" s="1493">
        <v>1</v>
      </c>
      <c r="R29" s="1493">
        <v>2</v>
      </c>
      <c r="S29" s="1493">
        <v>2</v>
      </c>
      <c r="T29" s="1493">
        <v>3</v>
      </c>
      <c r="U29" s="1493">
        <v>4</v>
      </c>
      <c r="V29" s="1493">
        <v>4</v>
      </c>
      <c r="W29" s="1493">
        <v>3</v>
      </c>
      <c r="X29" s="1493">
        <v>3</v>
      </c>
      <c r="Y29" s="1493">
        <v>4</v>
      </c>
      <c r="Z29" s="1493">
        <v>3</v>
      </c>
      <c r="AA29" s="1493">
        <v>4</v>
      </c>
      <c r="AB29" s="1493">
        <v>3</v>
      </c>
      <c r="AC29" s="1396"/>
      <c r="AD29" s="1756"/>
      <c r="AE29" s="1397"/>
      <c r="AF29" s="1397"/>
      <c r="AG29" s="1755"/>
      <c r="AH29" s="1396"/>
      <c r="AI29" s="1756"/>
      <c r="AJ29" s="1397"/>
      <c r="AK29" s="1397"/>
      <c r="AL29"/>
      <c r="AM29" s="1645" t="s">
        <v>1628</v>
      </c>
      <c r="AN29" s="1648">
        <v>4</v>
      </c>
      <c r="AO29" s="532" t="s">
        <v>1415</v>
      </c>
      <c r="AP29" s="532" t="s">
        <v>1416</v>
      </c>
      <c r="AQ29" s="532" t="s">
        <v>1417</v>
      </c>
      <c r="AR29" s="532" t="s">
        <v>1611</v>
      </c>
      <c r="AS29" s="1712" t="s">
        <v>1415</v>
      </c>
      <c r="AT29" s="532" t="s">
        <v>1416</v>
      </c>
      <c r="AU29" s="532" t="s">
        <v>1417</v>
      </c>
      <c r="AV29" s="532" t="s">
        <v>1611</v>
      </c>
      <c r="AW29" s="1350"/>
      <c r="AX29" s="1350"/>
      <c r="AY29" s="1350"/>
      <c r="AZ29" s="1350"/>
      <c r="BA29" s="1350"/>
      <c r="BB29" s="1350"/>
      <c r="BC29" s="1350"/>
      <c r="BD29" s="1350"/>
      <c r="BE29" s="1350"/>
      <c r="BF29" s="1352"/>
      <c r="BG29" s="1352"/>
      <c r="BH29" s="1736"/>
      <c r="BI29" s="1351"/>
      <c r="BJ29" s="1351"/>
      <c r="BK29" s="1352"/>
      <c r="BL29" s="1352"/>
      <c r="BM29" s="1352"/>
      <c r="BN29" s="1352"/>
      <c r="BO29" s="1352"/>
      <c r="BP29" s="1352"/>
      <c r="BQ29" s="1352"/>
      <c r="BR29" s="1352"/>
      <c r="BS29" s="1350"/>
      <c r="BT29" s="952"/>
      <c r="BU29" s="1384"/>
      <c r="BV29" s="1384"/>
      <c r="BW29" s="1604"/>
      <c r="BX29" s="1605"/>
      <c r="BY29" s="1605"/>
      <c r="BZ29" s="1437"/>
      <c r="CA29" s="1448"/>
      <c r="CB29" s="1448"/>
      <c r="CC29" s="1448"/>
      <c r="CD29" s="1448"/>
      <c r="CE29" s="1351"/>
    </row>
    <row r="30" spans="1:83" s="532" customFormat="1" ht="21" customHeight="1">
      <c r="A30" s="1971"/>
      <c r="B30" s="1974"/>
      <c r="C30" s="802"/>
      <c r="D30" s="801" t="s">
        <v>703</v>
      </c>
      <c r="E30" s="801" t="str">
        <f>INDEX(Modules[Module], MATCH($D30, Modules[Code], 0))</f>
        <v>Domestic freight</v>
      </c>
      <c r="F30"/>
      <c r="G30" s="1493">
        <v>1</v>
      </c>
      <c r="H30" s="1493">
        <v>4</v>
      </c>
      <c r="I30" s="1493">
        <v>1</v>
      </c>
      <c r="J30" s="1493"/>
      <c r="K30" s="1493">
        <v>2</v>
      </c>
      <c r="L30" s="1665">
        <v>4</v>
      </c>
      <c r="M30" s="1493">
        <v>1</v>
      </c>
      <c r="N30" s="1493">
        <v>4</v>
      </c>
      <c r="O30" s="1493">
        <v>4</v>
      </c>
      <c r="P30" s="1493">
        <v>4</v>
      </c>
      <c r="Q30" s="1493">
        <v>1</v>
      </c>
      <c r="R30" s="1493">
        <v>3</v>
      </c>
      <c r="S30" s="1493">
        <v>1</v>
      </c>
      <c r="T30" s="1493">
        <v>2</v>
      </c>
      <c r="U30" s="1493">
        <v>4</v>
      </c>
      <c r="V30" s="1493">
        <v>4</v>
      </c>
      <c r="W30" s="1493">
        <v>2</v>
      </c>
      <c r="X30" s="1493">
        <v>2</v>
      </c>
      <c r="Y30" s="1493">
        <v>4</v>
      </c>
      <c r="Z30" s="1493">
        <v>2</v>
      </c>
      <c r="AA30" s="1665">
        <v>3</v>
      </c>
      <c r="AB30" s="1493">
        <v>2</v>
      </c>
      <c r="AC30" s="1148"/>
      <c r="AD30" s="1754"/>
      <c r="AE30" s="1754"/>
      <c r="AF30" s="1754"/>
      <c r="AG30" s="1755"/>
      <c r="AH30" s="1148"/>
      <c r="AI30" s="1437"/>
      <c r="AJ30" s="1754"/>
      <c r="AK30" s="1754"/>
      <c r="AL30" s="121"/>
      <c r="AM30" s="1384" t="s">
        <v>997</v>
      </c>
      <c r="AN30" s="1647">
        <v>4</v>
      </c>
      <c r="AO30" s="532" t="s">
        <v>1372</v>
      </c>
      <c r="AP30" s="532" t="s">
        <v>1418</v>
      </c>
      <c r="AQ30" s="532" t="s">
        <v>1494</v>
      </c>
      <c r="AR30" s="532" t="s">
        <v>1612</v>
      </c>
      <c r="AS30" s="1712" t="s">
        <v>1372</v>
      </c>
      <c r="AT30" s="532" t="s">
        <v>1418</v>
      </c>
      <c r="AU30" s="532" t="s">
        <v>1494</v>
      </c>
      <c r="AV30" s="532" t="s">
        <v>1612</v>
      </c>
      <c r="AW30" s="1350"/>
      <c r="AX30" s="1350"/>
      <c r="AY30" s="1350"/>
      <c r="AZ30" s="1350"/>
      <c r="BA30" s="1350"/>
      <c r="BB30" s="1350"/>
      <c r="BC30" s="1350"/>
      <c r="BD30" s="1350"/>
      <c r="BE30" s="1350"/>
      <c r="BF30" s="1352"/>
      <c r="BG30" s="1352"/>
      <c r="BH30" s="1736"/>
      <c r="BI30" s="1352"/>
      <c r="BJ30" s="1386" t="s">
        <v>1171</v>
      </c>
      <c r="BK30" s="1351"/>
      <c r="BL30" s="1351"/>
      <c r="BM30" s="1351"/>
      <c r="BN30" s="1351"/>
      <c r="BO30" s="1351"/>
      <c r="BP30" s="1351"/>
      <c r="BQ30" s="1351"/>
      <c r="BR30" s="1351"/>
      <c r="BS30" s="1350"/>
      <c r="BT30" s="952"/>
      <c r="BU30" s="1742"/>
      <c r="BV30" s="1365" t="s">
        <v>1168</v>
      </c>
      <c r="BW30" s="1354"/>
      <c r="BX30" s="1354"/>
      <c r="BY30" s="1353"/>
      <c r="BZ30" s="1354"/>
      <c r="CA30" s="1373" t="e">
        <f ca="1">-(INDEX(INDIRECT(CA$28&amp;"!Year.Matrix"),MATCH("Subtotal.Supply",INDIRECT(CA$28&amp;"!Year.Modules"),0),MATCH("V.05",INDIRECT(CA$28&amp;"!Year.Vectors"),0))+INDEX(INDIRECT(CA$28&amp;"!Year.Matrix"),MATCH("Subtotal.Consumption",INDIRECT(CA$28&amp;"!Year.Modules"),0),MATCH("V.05",INDIRECT(CA$28&amp;"!Year.Vectors"),0)))</f>
        <v>#REF!</v>
      </c>
      <c r="CB30" s="1373" t="e">
        <f ca="1">-(INDEX(INDIRECT(CB$28&amp;"!Year.Matrix"),MATCH("Subtotal.Supply",INDIRECT(CB$28&amp;"!Year.Modules"),0),MATCH("V.05",INDIRECT(CB$28&amp;"!Year.Vectors"),0))+INDEX(INDIRECT(CB$28&amp;"!Year.Matrix"),MATCH("Subtotal.Consumption",INDIRECT(CB$28&amp;"!Year.Modules"),0),MATCH("V.05",INDIRECT(CB$28&amp;"!Year.Vectors"),0)))</f>
        <v>#REF!</v>
      </c>
      <c r="CC30" s="1373" t="e">
        <f ca="1">-(INDEX(INDIRECT(CC$28&amp;"!Year.Matrix"),MATCH("Subtotal.Supply",INDIRECT(CC$28&amp;"!Year.Modules"),0),MATCH("V.05",INDIRECT(CC$28&amp;"!Year.Vectors"),0))+INDEX(INDIRECT(CC$28&amp;"!Year.Matrix"),MATCH("Subtotal.Consumption",INDIRECT(CC$28&amp;"!Year.Modules"),0),MATCH("V.05",INDIRECT(CC$28&amp;"!Year.Vectors"),0)))</f>
        <v>#REF!</v>
      </c>
      <c r="CD30" s="1373">
        <f ca="1">-(INDEX(INDIRECT(CD$28&amp;"!Year.Matrix"),MATCH("Subtotal.Supply",INDIRECT(CD$28&amp;"!Year.Modules"),0),MATCH("V.05",INDIRECT(CD$28&amp;"!Year.Vectors"),0))+INDEX(INDIRECT(CD$28&amp;"!Year.Matrix"),MATCH("Subtotal.Consumption",INDIRECT(CD$28&amp;"!Year.Modules"),0),MATCH("V.05",INDIRECT(CD$28&amp;"!Year.Vectors"),0)))</f>
        <v>151.89074227938463</v>
      </c>
      <c r="CE30" s="1351"/>
    </row>
    <row r="31" spans="1:83" s="532" customFormat="1" ht="21" customHeight="1">
      <c r="A31" s="1971"/>
      <c r="B31" s="1974" t="s">
        <v>1734</v>
      </c>
      <c r="C31" s="802"/>
      <c r="D31" s="801" t="s">
        <v>704</v>
      </c>
      <c r="E31" s="801" t="str">
        <f>INDEX(Modules[Module], MATCH($D31, Modules[Code], 0))</f>
        <v>International aviation</v>
      </c>
      <c r="F31"/>
      <c r="G31" s="1493">
        <v>1</v>
      </c>
      <c r="H31" s="1493">
        <v>4</v>
      </c>
      <c r="I31" s="1493">
        <v>1</v>
      </c>
      <c r="J31" s="1493"/>
      <c r="K31" s="1493">
        <v>1</v>
      </c>
      <c r="L31" s="1493">
        <v>4</v>
      </c>
      <c r="M31" s="1493">
        <v>4</v>
      </c>
      <c r="N31" s="1493">
        <v>1</v>
      </c>
      <c r="O31" s="1493">
        <v>1</v>
      </c>
      <c r="P31" s="1493">
        <v>1</v>
      </c>
      <c r="Q31" s="1493">
        <v>1</v>
      </c>
      <c r="R31" s="1493">
        <v>1</v>
      </c>
      <c r="S31" s="1493">
        <v>1</v>
      </c>
      <c r="T31" s="1493">
        <v>1</v>
      </c>
      <c r="U31" s="1493">
        <v>4</v>
      </c>
      <c r="V31" s="1493">
        <v>4</v>
      </c>
      <c r="W31" s="1493">
        <v>1</v>
      </c>
      <c r="X31" s="1493">
        <v>4</v>
      </c>
      <c r="Y31" s="1493">
        <v>4</v>
      </c>
      <c r="Z31" s="1493">
        <v>1</v>
      </c>
      <c r="AA31" s="1493">
        <v>4</v>
      </c>
      <c r="AB31" s="1493">
        <v>1</v>
      </c>
      <c r="AC31" s="1148"/>
      <c r="AD31" s="1754"/>
      <c r="AE31" s="1754"/>
      <c r="AF31" s="1754"/>
      <c r="AG31" s="1755"/>
      <c r="AH31" s="1148"/>
      <c r="AI31" s="1754"/>
      <c r="AJ31" s="1754"/>
      <c r="AK31" s="1754"/>
      <c r="AL31" s="121"/>
      <c r="AM31" s="1384" t="s">
        <v>726</v>
      </c>
      <c r="AN31" s="1647">
        <v>4</v>
      </c>
      <c r="AO31" s="532" t="s">
        <v>1698</v>
      </c>
      <c r="AP31" s="532" t="s">
        <v>1699</v>
      </c>
      <c r="AQ31" s="532" t="s">
        <v>1373</v>
      </c>
      <c r="AR31" s="532" t="s">
        <v>1700</v>
      </c>
      <c r="AS31" s="1712" t="s">
        <v>1792</v>
      </c>
      <c r="AT31" s="532" t="s">
        <v>1793</v>
      </c>
      <c r="AU31" s="532" t="s">
        <v>1793</v>
      </c>
      <c r="AV31" s="532" t="s">
        <v>1794</v>
      </c>
      <c r="AW31" s="1350"/>
      <c r="AX31" s="1350"/>
      <c r="AY31" s="1350"/>
      <c r="AZ31" s="1350"/>
      <c r="BA31" s="1350"/>
      <c r="BB31" s="1350"/>
      <c r="BC31" s="1350"/>
      <c r="BD31" s="1350"/>
      <c r="BE31" s="1350"/>
      <c r="BF31" s="1352"/>
      <c r="BG31" s="1352"/>
      <c r="BH31" s="1736"/>
      <c r="BI31" s="1739"/>
      <c r="BJ31" s="1739"/>
      <c r="BK31" s="1739"/>
      <c r="BL31" s="1739"/>
      <c r="BM31" s="1739"/>
      <c r="BN31" s="1739"/>
      <c r="BO31" s="1739"/>
      <c r="BP31" s="1739"/>
      <c r="BQ31" s="1739"/>
      <c r="BR31" s="1739"/>
      <c r="BS31" s="1350"/>
      <c r="BT31" s="952"/>
      <c r="BU31" s="1743"/>
      <c r="BV31" s="1743" t="s">
        <v>560</v>
      </c>
      <c r="BW31" s="1759" t="s">
        <v>1237</v>
      </c>
      <c r="BX31" s="1327"/>
      <c r="BY31" s="1327"/>
      <c r="BZ31" s="1327"/>
      <c r="CA31" s="1760" t="e">
        <f ca="1">INDEX(INDIRECT(CA$28&amp;"!Year.Matrix"),MATCH($BV31,INDIRECT(CA$28&amp;"!Year.Modules"),0),MATCH("V.05",INDIRECT(CA$28&amp;"!Year.Vectors"),0))/CA$30</f>
        <v>#REF!</v>
      </c>
      <c r="CB31" s="1760" t="e">
        <f ca="1">INDEX(INDIRECT(CB$28&amp;"!Year.Matrix"),MATCH($BV31,INDIRECT(CB$28&amp;"!Year.Modules"),0),MATCH("V.05",INDIRECT(CB$28&amp;"!Year.Vectors"),0))/CB$30</f>
        <v>#REF!</v>
      </c>
      <c r="CC31" s="1760" t="e">
        <f ca="1">INDEX(INDIRECT(CC$28&amp;"!Year.Matrix"),MATCH($BV31,INDIRECT(CC$28&amp;"!Year.Modules"),0),MATCH("V.05",INDIRECT(CC$28&amp;"!Year.Vectors"),0))/CC$30</f>
        <v>#REF!</v>
      </c>
      <c r="CD31" s="1760">
        <f ca="1">INDEX(INDIRECT(CD$28&amp;"!Year.Matrix"),MATCH($BV31,INDIRECT(CD$28&amp;"!Year.Modules"),0),MATCH("V.05",INDIRECT(CD$28&amp;"!Year.Vectors"),0))/CD$30</f>
        <v>0</v>
      </c>
      <c r="CE31" s="1351"/>
    </row>
    <row r="32" spans="1:83" s="628" customFormat="1" ht="21" customHeight="1">
      <c r="A32" s="1971"/>
      <c r="B32" s="1974"/>
      <c r="C32" s="802"/>
      <c r="D32" s="801" t="s">
        <v>728</v>
      </c>
      <c r="E32" s="801" t="str">
        <f>INDEX(Modules[Module], MATCH($D32, Modules[Code], 0))</f>
        <v>International shipping</v>
      </c>
      <c r="F32"/>
      <c r="G32" s="1493">
        <v>1</v>
      </c>
      <c r="H32" s="1493">
        <v>4</v>
      </c>
      <c r="I32" s="1493">
        <v>1</v>
      </c>
      <c r="J32" s="1493"/>
      <c r="K32" s="1493">
        <v>1</v>
      </c>
      <c r="L32" s="1493">
        <v>4</v>
      </c>
      <c r="M32" s="1493">
        <v>1</v>
      </c>
      <c r="N32" s="1493">
        <v>4</v>
      </c>
      <c r="O32" s="1493">
        <v>1</v>
      </c>
      <c r="P32" s="1493">
        <v>1</v>
      </c>
      <c r="Q32" s="1493">
        <v>1</v>
      </c>
      <c r="R32" s="1493">
        <v>1</v>
      </c>
      <c r="S32" s="1493">
        <v>1</v>
      </c>
      <c r="T32" s="1493">
        <v>1</v>
      </c>
      <c r="U32" s="1493">
        <v>4</v>
      </c>
      <c r="V32" s="1493">
        <v>4</v>
      </c>
      <c r="W32" s="1493">
        <v>1</v>
      </c>
      <c r="X32" s="1493">
        <v>1</v>
      </c>
      <c r="Y32" s="1493">
        <v>4</v>
      </c>
      <c r="Z32" s="1493">
        <v>1</v>
      </c>
      <c r="AA32" s="1493">
        <v>4</v>
      </c>
      <c r="AB32" s="1493">
        <v>1</v>
      </c>
      <c r="AC32" s="1754"/>
      <c r="AD32" s="1754"/>
      <c r="AE32" s="1754"/>
      <c r="AF32" s="1754"/>
      <c r="AG32" s="1755"/>
      <c r="AH32" s="1754"/>
      <c r="AI32" s="1754"/>
      <c r="AJ32" s="1754"/>
      <c r="AK32" s="1754"/>
      <c r="AL32"/>
      <c r="AM32" s="1384" t="s">
        <v>739</v>
      </c>
      <c r="AN32" s="1647" t="s">
        <v>1008</v>
      </c>
      <c r="AO32" s="532" t="s">
        <v>1863</v>
      </c>
      <c r="AP32" s="532" t="s">
        <v>1862</v>
      </c>
      <c r="AQ32" s="532" t="s">
        <v>1864</v>
      </c>
      <c r="AR32" s="532" t="s">
        <v>1865</v>
      </c>
      <c r="AS32" s="532" t="s">
        <v>1863</v>
      </c>
      <c r="AT32" s="532" t="s">
        <v>1862</v>
      </c>
      <c r="AU32" s="532" t="s">
        <v>1864</v>
      </c>
      <c r="AV32" s="532" t="s">
        <v>1865</v>
      </c>
      <c r="AW32" s="1350"/>
      <c r="AX32" s="1350"/>
      <c r="AY32" s="1350"/>
      <c r="AZ32" s="1350"/>
      <c r="BA32" s="1350"/>
      <c r="BB32" s="1350"/>
      <c r="BC32" s="1350"/>
      <c r="BD32" s="1350"/>
      <c r="BE32" s="1350"/>
      <c r="BF32" s="1351"/>
      <c r="BG32" s="1351"/>
      <c r="BH32" s="1736"/>
      <c r="BI32" s="1604"/>
      <c r="BJ32" s="1355" t="s">
        <v>184</v>
      </c>
      <c r="BK32" s="1355"/>
      <c r="BL32" s="1316"/>
      <c r="BM32" s="1316"/>
      <c r="BN32" s="1316"/>
      <c r="BO32" s="1377">
        <v>2007</v>
      </c>
      <c r="BP32" s="1377">
        <v>2050</v>
      </c>
      <c r="BQ32" s="1473" t="s">
        <v>1253</v>
      </c>
      <c r="BR32" s="1473"/>
      <c r="BS32" s="1350"/>
      <c r="BT32" s="952"/>
      <c r="BU32" s="1383"/>
      <c r="BV32" s="1383" t="s">
        <v>668</v>
      </c>
      <c r="BW32" s="1384" t="s">
        <v>1170</v>
      </c>
      <c r="BX32" s="1196"/>
      <c r="BY32" s="1196"/>
      <c r="BZ32" s="1196"/>
      <c r="CA32" s="1385" t="e">
        <f t="shared" ref="CA32:CD36" ca="1" si="1">-INDEX(INDIRECT(CA$28&amp;"!Year.Matrix"),MATCH($BV32,INDIRECT(CA$28&amp;"!Year.Modules"),0),MATCH("V.05",INDIRECT(CA$28&amp;"!Year.Vectors"),0))/CA$30</f>
        <v>#REF!</v>
      </c>
      <c r="CB32" s="1385" t="e">
        <f t="shared" ca="1" si="1"/>
        <v>#REF!</v>
      </c>
      <c r="CC32" s="1385" t="e">
        <f t="shared" ca="1" si="1"/>
        <v>#REF!</v>
      </c>
      <c r="CD32" s="1385">
        <f t="shared" ca="1" si="1"/>
        <v>0</v>
      </c>
      <c r="CE32" s="1351"/>
    </row>
    <row r="33" spans="1:83" s="628" customFormat="1" ht="21" customHeight="1">
      <c r="A33" s="1971" t="s">
        <v>659</v>
      </c>
      <c r="B33" s="1974" t="s">
        <v>1735</v>
      </c>
      <c r="C33" s="802"/>
      <c r="D33" s="801" t="s">
        <v>668</v>
      </c>
      <c r="E33" s="801" t="str">
        <f>INDEX(Modules[Module], MATCH($D33, Modules[Code], 0))</f>
        <v>Domestic space heating and hot water</v>
      </c>
      <c r="F33"/>
      <c r="G33" s="1493"/>
      <c r="H33" s="1493"/>
      <c r="I33" s="1493"/>
      <c r="J33" s="1493"/>
      <c r="K33" s="1493"/>
      <c r="L33" s="1493"/>
      <c r="M33" s="1493"/>
      <c r="N33" s="1493"/>
      <c r="O33" s="1493"/>
      <c r="P33" s="1493"/>
      <c r="Q33" s="1493"/>
      <c r="R33" s="1493"/>
      <c r="S33" s="1493"/>
      <c r="T33" s="1493"/>
      <c r="U33" s="1493"/>
      <c r="V33" s="1493"/>
      <c r="W33" s="1493"/>
      <c r="X33" s="1493"/>
      <c r="Y33" s="1493"/>
      <c r="Z33" s="1493"/>
      <c r="AA33" s="1493"/>
      <c r="AB33" s="1493"/>
      <c r="AC33" s="1148"/>
      <c r="AD33" s="1148"/>
      <c r="AE33" s="1148"/>
      <c r="AF33" s="1148"/>
      <c r="AG33" s="41"/>
      <c r="AH33" s="1148"/>
      <c r="AI33" s="1148"/>
      <c r="AJ33" s="1148"/>
      <c r="AK33" s="1148"/>
      <c r="AL33"/>
      <c r="AM33" s="1384"/>
      <c r="AN33" s="1647"/>
      <c r="AO33" s="532"/>
      <c r="AP33" s="532"/>
      <c r="AQ33" s="532"/>
      <c r="AR33" s="1660"/>
      <c r="AS33" s="1712"/>
      <c r="AT33" s="532"/>
      <c r="AU33" s="532"/>
      <c r="AV33" s="1707"/>
      <c r="AW33" s="1350"/>
      <c r="AX33" s="1350"/>
      <c r="AY33" s="1350"/>
      <c r="AZ33" s="1350"/>
      <c r="BA33" s="1350"/>
      <c r="BB33" s="1350"/>
      <c r="BC33" s="1350"/>
      <c r="BD33" s="1350"/>
      <c r="BE33" s="1350"/>
      <c r="BF33" s="1351"/>
      <c r="BG33" s="1351"/>
      <c r="BH33" s="1736"/>
      <c r="BI33" s="1383"/>
      <c r="BJ33" s="1356" t="s">
        <v>68</v>
      </c>
      <c r="BK33" s="1354" t="str">
        <f>INDEX(Workstreams[Workstream], MATCH($BJ33, Workstreams[Code], 0))</f>
        <v>Hydrocarbon fuel power generation</v>
      </c>
      <c r="BL33" s="1351"/>
      <c r="BM33" s="1353"/>
      <c r="BN33" s="1354"/>
      <c r="BO33" s="1471" t="e">
        <f t="shared" ref="BO33:BP39" ca="1" si="2">SUMIFS(INDIRECT("'"&amp;BO$32&amp;"'!Year.EmissionsBySector"), INDIRECT("'"&amp;BO$32&amp;"'!Year.Modules"),$BJ33)</f>
        <v>#REF!</v>
      </c>
      <c r="BP33" s="1471">
        <f t="shared" ca="1" si="2"/>
        <v>16.688490998952744</v>
      </c>
      <c r="BQ33" s="1474" t="e">
        <f ca="1">BP33*'Intermediate output'!$H$153/'Intermediate output'!$F$203</f>
        <v>#REF!</v>
      </c>
      <c r="BR33" s="1350"/>
      <c r="BS33" s="1350"/>
      <c r="BT33" s="952"/>
      <c r="BU33" s="1383"/>
      <c r="BV33" s="1383" t="s">
        <v>716</v>
      </c>
      <c r="BW33" s="1384" t="s">
        <v>1169</v>
      </c>
      <c r="BX33" s="1196"/>
      <c r="BY33" s="1196"/>
      <c r="BZ33" s="1196"/>
      <c r="CA33" s="1385" t="e">
        <f t="shared" ca="1" si="1"/>
        <v>#REF!</v>
      </c>
      <c r="CB33" s="1385" t="e">
        <f t="shared" ca="1" si="1"/>
        <v>#REF!</v>
      </c>
      <c r="CC33" s="1385" t="e">
        <f t="shared" ca="1" si="1"/>
        <v>#REF!</v>
      </c>
      <c r="CD33" s="1385">
        <f t="shared" ca="1" si="1"/>
        <v>0</v>
      </c>
      <c r="CE33" s="1351"/>
    </row>
    <row r="34" spans="1:83" s="628" customFormat="1" ht="21" customHeight="1">
      <c r="A34" s="1971"/>
      <c r="B34" s="1974"/>
      <c r="C34" s="1390"/>
      <c r="D34" s="1391"/>
      <c r="E34" s="1393" t="s">
        <v>1157</v>
      </c>
      <c r="F34" s="246"/>
      <c r="G34" s="1494">
        <v>1</v>
      </c>
      <c r="H34" s="1494">
        <v>4</v>
      </c>
      <c r="I34" s="1494">
        <v>1</v>
      </c>
      <c r="J34" s="1494"/>
      <c r="K34" s="1494">
        <v>2</v>
      </c>
      <c r="L34" s="1494">
        <v>4</v>
      </c>
      <c r="M34" s="1494">
        <v>4</v>
      </c>
      <c r="N34" s="1494">
        <v>1</v>
      </c>
      <c r="O34" s="1494">
        <v>2</v>
      </c>
      <c r="P34" s="1494">
        <v>2</v>
      </c>
      <c r="Q34" s="1494">
        <v>2</v>
      </c>
      <c r="R34" s="1494">
        <v>2</v>
      </c>
      <c r="S34" s="1494">
        <v>2</v>
      </c>
      <c r="T34" s="1494">
        <v>2</v>
      </c>
      <c r="U34" s="1494">
        <v>2</v>
      </c>
      <c r="V34" s="1494">
        <v>3</v>
      </c>
      <c r="W34" s="1494">
        <v>2</v>
      </c>
      <c r="X34" s="1494">
        <v>2</v>
      </c>
      <c r="Y34" s="1494">
        <v>4</v>
      </c>
      <c r="Z34" s="1494">
        <v>2</v>
      </c>
      <c r="AA34" s="1494">
        <v>3</v>
      </c>
      <c r="AB34" s="1494">
        <v>2</v>
      </c>
      <c r="AC34" s="1757"/>
      <c r="AD34" s="1757"/>
      <c r="AE34" s="1757"/>
      <c r="AF34" s="1757"/>
      <c r="AG34" s="1758"/>
      <c r="AH34" s="1757"/>
      <c r="AI34" s="1757"/>
      <c r="AJ34" s="1757"/>
      <c r="AK34" s="1757"/>
      <c r="AL34"/>
      <c r="AM34" s="1645" t="s">
        <v>1629</v>
      </c>
      <c r="AN34" s="1648">
        <v>4</v>
      </c>
      <c r="AO34" s="532" t="s">
        <v>1354</v>
      </c>
      <c r="AP34" s="532" t="s">
        <v>1355</v>
      </c>
      <c r="AQ34" s="532" t="s">
        <v>1356</v>
      </c>
      <c r="AR34" s="532" t="s">
        <v>1613</v>
      </c>
      <c r="AS34" s="1712" t="s">
        <v>1354</v>
      </c>
      <c r="AT34" s="532" t="s">
        <v>1355</v>
      </c>
      <c r="AU34" s="532" t="s">
        <v>1356</v>
      </c>
      <c r="AV34" s="532" t="s">
        <v>1613</v>
      </c>
      <c r="AW34" s="1350"/>
      <c r="AX34" s="1350"/>
      <c r="AY34" s="1350"/>
      <c r="AZ34" s="1350"/>
      <c r="BA34" s="1350"/>
      <c r="BB34" s="1350"/>
      <c r="BC34" s="1350"/>
      <c r="BD34" s="1350"/>
      <c r="BE34" s="1350"/>
      <c r="BF34" s="1351"/>
      <c r="BG34" s="1351"/>
      <c r="BH34" s="1736"/>
      <c r="BI34" s="1383"/>
      <c r="BJ34" s="1356" t="s">
        <v>560</v>
      </c>
      <c r="BK34" s="1354" t="str">
        <f>INDEX(Workstreams[Workstream], MATCH($BJ34, Workstreams[Code], 0))</f>
        <v>Bioenergy</v>
      </c>
      <c r="BL34" s="1351"/>
      <c r="BM34" s="1353"/>
      <c r="BN34" s="1354"/>
      <c r="BO34" s="1471" t="e">
        <f t="shared" ca="1" si="2"/>
        <v>#REF!</v>
      </c>
      <c r="BP34" s="1471">
        <f t="shared" ca="1" si="2"/>
        <v>0</v>
      </c>
      <c r="BQ34" s="1474" t="e">
        <f ca="1">BP34*'Intermediate output'!$H$153/'Intermediate output'!$F$203</f>
        <v>#REF!</v>
      </c>
      <c r="BR34" s="1350"/>
      <c r="BS34" s="1350"/>
      <c r="BT34" s="952"/>
      <c r="BU34" s="1383"/>
      <c r="BV34" s="1383" t="s">
        <v>567</v>
      </c>
      <c r="BW34" s="1384" t="s">
        <v>1581</v>
      </c>
      <c r="BX34" s="1196"/>
      <c r="BY34" s="1196"/>
      <c r="BZ34" s="1196"/>
      <c r="CA34" s="1385" t="e">
        <f t="shared" ca="1" si="1"/>
        <v>#REF!</v>
      </c>
      <c r="CB34" s="1385" t="e">
        <f t="shared" ca="1" si="1"/>
        <v>#REF!</v>
      </c>
      <c r="CC34" s="1385" t="e">
        <f t="shared" ca="1" si="1"/>
        <v>#REF!</v>
      </c>
      <c r="CD34" s="1385">
        <f t="shared" ca="1" si="1"/>
        <v>0</v>
      </c>
      <c r="CE34" s="1351"/>
    </row>
    <row r="35" spans="1:83" s="628" customFormat="1" ht="21" customHeight="1">
      <c r="A35" s="1971"/>
      <c r="B35" s="1974"/>
      <c r="C35" s="1390"/>
      <c r="D35" s="1391"/>
      <c r="E35" s="1393" t="s">
        <v>969</v>
      </c>
      <c r="F35" s="246"/>
      <c r="G35" s="1494">
        <v>1</v>
      </c>
      <c r="H35" s="1494">
        <v>4</v>
      </c>
      <c r="I35" s="1494">
        <v>1</v>
      </c>
      <c r="J35" s="1494"/>
      <c r="K35" s="1494">
        <v>2</v>
      </c>
      <c r="L35" s="1494">
        <v>4</v>
      </c>
      <c r="M35" s="1494">
        <v>4</v>
      </c>
      <c r="N35" s="1494">
        <v>1</v>
      </c>
      <c r="O35" s="1494">
        <v>2</v>
      </c>
      <c r="P35" s="1494">
        <v>2</v>
      </c>
      <c r="Q35" s="1494">
        <v>2</v>
      </c>
      <c r="R35" s="1494">
        <v>2</v>
      </c>
      <c r="S35" s="1494">
        <v>2</v>
      </c>
      <c r="T35" s="1494">
        <v>2</v>
      </c>
      <c r="U35" s="1494">
        <v>2</v>
      </c>
      <c r="V35" s="1494">
        <v>3</v>
      </c>
      <c r="W35" s="1494">
        <v>2</v>
      </c>
      <c r="X35" s="1494">
        <v>2</v>
      </c>
      <c r="Y35" s="1494">
        <v>4</v>
      </c>
      <c r="Z35" s="1494">
        <v>2</v>
      </c>
      <c r="AA35" s="1494">
        <v>3</v>
      </c>
      <c r="AB35" s="1494">
        <v>2</v>
      </c>
      <c r="AC35" s="1757"/>
      <c r="AD35" s="1757"/>
      <c r="AE35" s="1757"/>
      <c r="AF35" s="1757"/>
      <c r="AG35" s="1758"/>
      <c r="AH35" s="1757"/>
      <c r="AI35" s="1757"/>
      <c r="AJ35" s="1757"/>
      <c r="AK35" s="1757"/>
      <c r="AL35"/>
      <c r="AM35" s="1645" t="s">
        <v>1630</v>
      </c>
      <c r="AN35" s="1648">
        <v>4</v>
      </c>
      <c r="AO35" s="532" t="s">
        <v>1701</v>
      </c>
      <c r="AP35" s="532" t="s">
        <v>1702</v>
      </c>
      <c r="AQ35" s="532" t="s">
        <v>1703</v>
      </c>
      <c r="AR35" s="532" t="s">
        <v>1704</v>
      </c>
      <c r="AS35" s="1712" t="s">
        <v>1701</v>
      </c>
      <c r="AT35" s="532" t="s">
        <v>1702</v>
      </c>
      <c r="AU35" s="532" t="s">
        <v>1703</v>
      </c>
      <c r="AV35" s="532" t="s">
        <v>1704</v>
      </c>
      <c r="AW35" s="1350"/>
      <c r="AX35" s="1350"/>
      <c r="AY35" s="1350"/>
      <c r="AZ35" s="1350"/>
      <c r="BA35" s="1350"/>
      <c r="BB35" s="1350"/>
      <c r="BC35" s="1350"/>
      <c r="BD35" s="1350"/>
      <c r="BE35" s="1350"/>
      <c r="BF35" s="1351"/>
      <c r="BG35" s="1351"/>
      <c r="BH35" s="1736"/>
      <c r="BI35" s="1383"/>
      <c r="BJ35" s="1356" t="s">
        <v>564</v>
      </c>
      <c r="BK35" s="1354" t="str">
        <f>INDEX(Workstreams[Workstream], MATCH($BJ35, Workstreams[Code], 0))</f>
        <v>Geosequestration</v>
      </c>
      <c r="BL35" s="1351"/>
      <c r="BM35" s="1353"/>
      <c r="BN35" s="1354"/>
      <c r="BO35" s="1471" t="e">
        <f t="shared" ca="1" si="2"/>
        <v>#REF!</v>
      </c>
      <c r="BP35" s="1471">
        <f t="shared" ca="1" si="2"/>
        <v>0</v>
      </c>
      <c r="BQ35" s="1474" t="e">
        <f ca="1">BP35*'Intermediate output'!$H$153/'Intermediate output'!$F$203</f>
        <v>#REF!</v>
      </c>
      <c r="BR35" s="1350"/>
      <c r="BS35" s="1350"/>
      <c r="BT35" s="952"/>
      <c r="BU35" s="1383"/>
      <c r="BV35" s="1383" t="s">
        <v>623</v>
      </c>
      <c r="BW35" s="1384" t="s">
        <v>1582</v>
      </c>
      <c r="BX35" s="1196"/>
      <c r="BY35" s="1196"/>
      <c r="BZ35" s="1196"/>
      <c r="CA35" s="1385" t="e">
        <f t="shared" ca="1" si="1"/>
        <v>#REF!</v>
      </c>
      <c r="CB35" s="1385" t="e">
        <f t="shared" ca="1" si="1"/>
        <v>#REF!</v>
      </c>
      <c r="CC35" s="1385" t="e">
        <f t="shared" ca="1" si="1"/>
        <v>#REF!</v>
      </c>
      <c r="CD35" s="1385">
        <f t="shared" ca="1" si="1"/>
        <v>0</v>
      </c>
      <c r="CE35" s="1351"/>
    </row>
    <row r="36" spans="1:83" s="628" customFormat="1" ht="21" customHeight="1">
      <c r="A36" s="1971"/>
      <c r="B36" s="1974"/>
      <c r="C36" s="1390"/>
      <c r="D36" s="1391"/>
      <c r="E36" s="1393" t="s">
        <v>1160</v>
      </c>
      <c r="F36" s="246"/>
      <c r="G36" s="1494">
        <v>1</v>
      </c>
      <c r="H36" s="1494">
        <v>4</v>
      </c>
      <c r="I36" s="1494">
        <v>1</v>
      </c>
      <c r="J36" s="1494"/>
      <c r="K36" s="1494">
        <v>3</v>
      </c>
      <c r="L36" s="1494">
        <v>4</v>
      </c>
      <c r="M36" s="1494">
        <v>4</v>
      </c>
      <c r="N36" s="1494">
        <v>3</v>
      </c>
      <c r="O36" s="1494">
        <v>4</v>
      </c>
      <c r="P36" s="1494">
        <v>1</v>
      </c>
      <c r="Q36" s="1494">
        <v>4</v>
      </c>
      <c r="R36" s="1494">
        <v>3</v>
      </c>
      <c r="S36" s="1494">
        <v>3</v>
      </c>
      <c r="T36" s="1494">
        <v>3</v>
      </c>
      <c r="U36" s="1494">
        <v>3</v>
      </c>
      <c r="V36" s="1494">
        <v>3</v>
      </c>
      <c r="W36" s="1494">
        <v>3</v>
      </c>
      <c r="X36" s="1494">
        <v>3</v>
      </c>
      <c r="Y36" s="1494">
        <v>4</v>
      </c>
      <c r="Z36" s="1494">
        <v>4</v>
      </c>
      <c r="AA36" s="1494">
        <v>4</v>
      </c>
      <c r="AB36" s="1494">
        <v>3</v>
      </c>
      <c r="AC36" s="1757"/>
      <c r="AD36" s="1757"/>
      <c r="AE36" s="1757"/>
      <c r="AF36" s="1757"/>
      <c r="AG36" s="1758"/>
      <c r="AH36" s="1757"/>
      <c r="AI36" s="1757"/>
      <c r="AJ36" s="1757"/>
      <c r="AK36" s="1757"/>
      <c r="AL36" s="121"/>
      <c r="AM36" s="1645" t="s">
        <v>1631</v>
      </c>
      <c r="AN36" s="1648" t="s">
        <v>1008</v>
      </c>
      <c r="AO36" s="532" t="s">
        <v>1493</v>
      </c>
      <c r="AP36" s="532" t="s">
        <v>1866</v>
      </c>
      <c r="AQ36" s="532" t="s">
        <v>1867</v>
      </c>
      <c r="AR36" s="532" t="s">
        <v>1868</v>
      </c>
      <c r="AS36" s="532" t="s">
        <v>1493</v>
      </c>
      <c r="AT36" s="532" t="s">
        <v>1866</v>
      </c>
      <c r="AU36" s="532" t="s">
        <v>1867</v>
      </c>
      <c r="AV36" s="532" t="s">
        <v>1868</v>
      </c>
      <c r="AW36" s="1350"/>
      <c r="AX36" s="1350"/>
      <c r="AY36" s="1350"/>
      <c r="AZ36" s="1350"/>
      <c r="BA36" s="1350"/>
      <c r="BB36" s="1350"/>
      <c r="BC36" s="1350"/>
      <c r="BD36" s="1350"/>
      <c r="BE36" s="1350"/>
      <c r="BF36" s="1351"/>
      <c r="BG36" s="1351"/>
      <c r="BH36" s="1736"/>
      <c r="BI36" s="1383"/>
      <c r="BJ36" s="1356" t="s">
        <v>561</v>
      </c>
      <c r="BK36" s="1354" t="str">
        <f>INDEX(Workstreams[Workstream], MATCH($BJ36, Workstreams[Code], 0))</f>
        <v>Agriculture and waste</v>
      </c>
      <c r="BL36" s="1351"/>
      <c r="BM36" s="1353"/>
      <c r="BN36" s="1354"/>
      <c r="BO36" s="1471" t="e">
        <f t="shared" ca="1" si="2"/>
        <v>#REF!</v>
      </c>
      <c r="BP36" s="1471">
        <f t="shared" ca="1" si="2"/>
        <v>0</v>
      </c>
      <c r="BQ36" s="1474" t="e">
        <f ca="1">BP36*'Intermediate output'!$H$153/'Intermediate output'!$F$203</f>
        <v>#REF!</v>
      </c>
      <c r="BR36" s="1350"/>
      <c r="BS36" s="1350"/>
      <c r="BT36" s="952"/>
      <c r="BU36" s="1383"/>
      <c r="BV36" s="1383" t="s">
        <v>679</v>
      </c>
      <c r="BW36" s="1384" t="s">
        <v>1583</v>
      </c>
      <c r="BX36" s="1196"/>
      <c r="BY36" s="1196"/>
      <c r="BZ36" s="1196"/>
      <c r="CA36" s="1385" t="e">
        <f t="shared" ca="1" si="1"/>
        <v>#REF!</v>
      </c>
      <c r="CB36" s="1385" t="e">
        <f t="shared" ca="1" si="1"/>
        <v>#REF!</v>
      </c>
      <c r="CC36" s="1385" t="e">
        <f t="shared" ca="1" si="1"/>
        <v>#REF!</v>
      </c>
      <c r="CD36" s="1385">
        <f t="shared" ca="1" si="1"/>
        <v>1</v>
      </c>
      <c r="CE36" s="1351"/>
    </row>
    <row r="37" spans="1:83" s="628" customFormat="1" ht="21" customHeight="1">
      <c r="A37" s="1971"/>
      <c r="B37" s="1974"/>
      <c r="C37" s="1390"/>
      <c r="D37" s="1391"/>
      <c r="E37" s="1393" t="s">
        <v>1159</v>
      </c>
      <c r="F37" s="246"/>
      <c r="G37" s="1494">
        <v>1</v>
      </c>
      <c r="H37" s="1494">
        <v>4</v>
      </c>
      <c r="I37" s="1494">
        <v>1</v>
      </c>
      <c r="J37" s="1494"/>
      <c r="K37" s="1494">
        <v>3</v>
      </c>
      <c r="L37" s="1666">
        <v>4</v>
      </c>
      <c r="M37" s="1494">
        <v>4</v>
      </c>
      <c r="N37" s="1494">
        <v>3</v>
      </c>
      <c r="O37" s="1494">
        <v>3</v>
      </c>
      <c r="P37" s="1494">
        <v>3</v>
      </c>
      <c r="Q37" s="1494">
        <v>3</v>
      </c>
      <c r="R37" s="1494">
        <v>3</v>
      </c>
      <c r="S37" s="1494">
        <v>3</v>
      </c>
      <c r="T37" s="1494">
        <v>3</v>
      </c>
      <c r="U37" s="1494">
        <v>3</v>
      </c>
      <c r="V37" s="1494">
        <v>2</v>
      </c>
      <c r="W37" s="1494">
        <v>3</v>
      </c>
      <c r="X37" s="1494">
        <v>3</v>
      </c>
      <c r="Y37" s="1494">
        <v>2</v>
      </c>
      <c r="Z37" s="1494">
        <v>3</v>
      </c>
      <c r="AA37" s="1494">
        <v>4</v>
      </c>
      <c r="AB37" s="1494">
        <v>3</v>
      </c>
      <c r="AC37" s="1757"/>
      <c r="AD37" s="1756"/>
      <c r="AE37" s="1756"/>
      <c r="AF37" s="1756"/>
      <c r="AG37" s="1758"/>
      <c r="AH37" s="1757"/>
      <c r="AI37" s="1756"/>
      <c r="AJ37" s="1756"/>
      <c r="AK37" s="1756"/>
      <c r="AL37"/>
      <c r="AM37" s="1645" t="s">
        <v>1632</v>
      </c>
      <c r="AN37" s="1648" t="s">
        <v>1008</v>
      </c>
      <c r="AO37" s="532" t="s">
        <v>1357</v>
      </c>
      <c r="AP37" s="532" t="s">
        <v>1358</v>
      </c>
      <c r="AQ37" s="1379" t="s">
        <v>1359</v>
      </c>
      <c r="AR37" s="532" t="s">
        <v>1614</v>
      </c>
      <c r="AS37" s="1712" t="s">
        <v>1357</v>
      </c>
      <c r="AT37" s="532" t="s">
        <v>1358</v>
      </c>
      <c r="AU37" s="1379" t="s">
        <v>1359</v>
      </c>
      <c r="AV37" s="532" t="s">
        <v>1614</v>
      </c>
      <c r="AW37" s="1350"/>
      <c r="AX37" s="1350"/>
      <c r="AY37" s="1350"/>
      <c r="AZ37" s="1350"/>
      <c r="BA37" s="1350"/>
      <c r="BB37" s="1350"/>
      <c r="BC37" s="1350"/>
      <c r="BD37" s="1350"/>
      <c r="BE37" s="1350"/>
      <c r="BF37" s="1351"/>
      <c r="BG37" s="1351"/>
      <c r="BH37" s="1736"/>
      <c r="BI37" s="1383"/>
      <c r="BJ37" s="1356" t="s">
        <v>565</v>
      </c>
      <c r="BK37" s="1354" t="str">
        <f>INDEX(Workstreams[Workstream], MATCH($BJ37, Workstreams[Code], 0))</f>
        <v>Heating</v>
      </c>
      <c r="BL37" s="1351"/>
      <c r="BM37" s="1353"/>
      <c r="BN37" s="1354"/>
      <c r="BO37" s="1471" t="e">
        <f t="shared" ca="1" si="2"/>
        <v>#REF!</v>
      </c>
      <c r="BP37" s="1471">
        <f t="shared" ca="1" si="2"/>
        <v>0</v>
      </c>
      <c r="BQ37" s="1474" t="e">
        <f ca="1">BP37*'Intermediate output'!$H$153/'Intermediate output'!$F$203</f>
        <v>#REF!</v>
      </c>
      <c r="BR37" s="1350"/>
      <c r="BS37" s="1350"/>
      <c r="BT37" s="952"/>
      <c r="BU37" s="1326"/>
      <c r="BV37" s="1352"/>
      <c r="BW37" s="1352"/>
      <c r="BX37" s="1352"/>
      <c r="BY37" s="1352"/>
      <c r="BZ37" s="1352"/>
      <c r="CA37" s="1352"/>
      <c r="CB37" s="1352"/>
      <c r="CC37" s="1352"/>
      <c r="CD37" s="1352"/>
      <c r="CE37" s="1351"/>
    </row>
    <row r="38" spans="1:83" s="628" customFormat="1" ht="21" customHeight="1">
      <c r="A38" s="1971"/>
      <c r="B38" s="1974" t="s">
        <v>1736</v>
      </c>
      <c r="C38" s="802"/>
      <c r="D38" s="801" t="s">
        <v>721</v>
      </c>
      <c r="E38" s="801" t="str">
        <f>INDEX(Modules[Module], MATCH($D38, Modules[Code], 0))</f>
        <v>Domestic lighting, appliances, and cooking</v>
      </c>
      <c r="F38"/>
      <c r="G38" s="1493"/>
      <c r="H38" s="1493"/>
      <c r="I38" s="1493"/>
      <c r="J38" s="1493"/>
      <c r="K38" s="1493"/>
      <c r="L38" s="1493"/>
      <c r="M38" s="1493"/>
      <c r="N38" s="1493"/>
      <c r="O38" s="1493"/>
      <c r="P38" s="1493"/>
      <c r="Q38" s="1493"/>
      <c r="R38" s="1493"/>
      <c r="S38" s="1493"/>
      <c r="T38" s="1493"/>
      <c r="U38" s="1493"/>
      <c r="V38" s="1493"/>
      <c r="W38" s="1493"/>
      <c r="X38" s="1493"/>
      <c r="Y38" s="1493"/>
      <c r="Z38" s="1493"/>
      <c r="AA38" s="1493"/>
      <c r="AB38" s="1493"/>
      <c r="AC38" s="1148"/>
      <c r="AD38" s="1437"/>
      <c r="AE38" s="1437"/>
      <c r="AF38" s="1437"/>
      <c r="AG38" s="1755"/>
      <c r="AH38" s="1148"/>
      <c r="AI38" s="1437"/>
      <c r="AJ38" s="1437"/>
      <c r="AK38" s="1437"/>
      <c r="AL38"/>
      <c r="AM38" s="1384"/>
      <c r="AN38" s="1647"/>
      <c r="AS38" s="1714"/>
      <c r="AW38" s="1350"/>
      <c r="AX38" s="1350"/>
      <c r="AY38" s="1350"/>
      <c r="AZ38" s="1350"/>
      <c r="BA38" s="1350"/>
      <c r="BB38" s="1350"/>
      <c r="BC38" s="1350"/>
      <c r="BD38" s="1350"/>
      <c r="BE38" s="1350"/>
      <c r="BF38" s="1351"/>
      <c r="BG38" s="1351"/>
      <c r="BH38" s="1736"/>
      <c r="BI38" s="1383"/>
      <c r="BJ38" s="1356" t="s">
        <v>566</v>
      </c>
      <c r="BK38" s="1354" t="str">
        <f>INDEX(Workstreams[Workstream], MATCH($BJ38, Workstreams[Code], 0))</f>
        <v>Lighting and appliances</v>
      </c>
      <c r="BL38" s="1351"/>
      <c r="BM38" s="1353"/>
      <c r="BN38" s="1354"/>
      <c r="BO38" s="1471" t="e">
        <f t="shared" ca="1" si="2"/>
        <v>#REF!</v>
      </c>
      <c r="BP38" s="1471">
        <f t="shared" ca="1" si="2"/>
        <v>0</v>
      </c>
      <c r="BQ38" s="1474" t="e">
        <f ca="1">BP38*'Intermediate output'!$H$153/'Intermediate output'!$F$203</f>
        <v>#REF!</v>
      </c>
      <c r="BR38" s="1350"/>
      <c r="BS38" s="1350"/>
      <c r="BT38" s="952"/>
      <c r="BU38" s="1742"/>
      <c r="BV38" s="1365" t="s">
        <v>1141</v>
      </c>
      <c r="BW38" s="1354"/>
      <c r="BX38" s="1354"/>
      <c r="BY38" s="1353"/>
      <c r="BZ38" s="1354"/>
      <c r="CA38" s="1373" t="e">
        <f ca="1">-(INDEX(INDIRECT(CA$28&amp;"!Year.Matrix"),MATCH("Subtotal.Supply",INDIRECT(CA$28&amp;"!Year.Modules"),0),MATCH("V.04",INDIRECT(CA$28&amp;"!Year.Vectors"),0))+INDEX(INDIRECT(CA$28&amp;"!Year.Matrix"),MATCH("Subtotal.Consumption",INDIRECT(CA$28&amp;"!Year.Modules"),0),MATCH("V.04",INDIRECT(CA$28&amp;"!Year.Vectors"),0)))</f>
        <v>#REF!</v>
      </c>
      <c r="CB38" s="1373" t="e">
        <f ca="1">-(INDEX(INDIRECT(CB$28&amp;"!Year.Matrix"),MATCH("Subtotal.Supply",INDIRECT(CB$28&amp;"!Year.Modules"),0),MATCH("V.04",INDIRECT(CB$28&amp;"!Year.Vectors"),0))+INDEX(INDIRECT(CB$28&amp;"!Year.Matrix"),MATCH("Subtotal.Consumption",INDIRECT(CB$28&amp;"!Year.Modules"),0),MATCH("V.04",INDIRECT(CB$28&amp;"!Year.Vectors"),0)))</f>
        <v>#REF!</v>
      </c>
      <c r="CC38" s="1373" t="e">
        <f ca="1">-(INDEX(INDIRECT(CC$28&amp;"!Year.Matrix"),MATCH("Subtotal.Supply",INDIRECT(CC$28&amp;"!Year.Modules"),0),MATCH("V.04",INDIRECT(CC$28&amp;"!Year.Vectors"),0))+INDEX(INDIRECT(CC$28&amp;"!Year.Matrix"),MATCH("Subtotal.Consumption",INDIRECT(CC$28&amp;"!Year.Modules"),0),MATCH("V.04",INDIRECT(CC$28&amp;"!Year.Vectors"),0)))</f>
        <v>#REF!</v>
      </c>
      <c r="CD38" s="1373">
        <f ca="1">-(INDEX(INDIRECT(CD$28&amp;"!Year.Matrix"),MATCH("Subtotal.Supply",INDIRECT(CD$28&amp;"!Year.Modules"),0),MATCH("V.04",INDIRECT(CD$28&amp;"!Year.Vectors"),0))+INDEX(INDIRECT(CD$28&amp;"!Year.Matrix"),MATCH("Subtotal.Consumption",INDIRECT(CD$28&amp;"!Year.Modules"),0),MATCH("V.04",INDIRECT(CD$28&amp;"!Year.Vectors"),0)))</f>
        <v>0</v>
      </c>
      <c r="CE38" s="1352"/>
    </row>
    <row r="39" spans="1:83" s="532" customFormat="1" ht="21" customHeight="1">
      <c r="A39" s="1971"/>
      <c r="B39" s="1974"/>
      <c r="C39" s="1392"/>
      <c r="D39" s="1393"/>
      <c r="E39" s="1393" t="s">
        <v>1030</v>
      </c>
      <c r="F39" s="121"/>
      <c r="G39" s="1493">
        <v>1</v>
      </c>
      <c r="H39" s="1493">
        <v>4</v>
      </c>
      <c r="I39" s="1493">
        <v>1</v>
      </c>
      <c r="J39" s="1493"/>
      <c r="K39" s="1493">
        <v>2</v>
      </c>
      <c r="L39" s="1493">
        <v>4</v>
      </c>
      <c r="M39" s="1493">
        <v>4</v>
      </c>
      <c r="N39" s="1493">
        <v>1</v>
      </c>
      <c r="O39" s="1493">
        <v>2</v>
      </c>
      <c r="P39" s="1493">
        <v>2</v>
      </c>
      <c r="Q39" s="1493">
        <v>2</v>
      </c>
      <c r="R39" s="1493">
        <v>2</v>
      </c>
      <c r="S39" s="1493">
        <v>2</v>
      </c>
      <c r="T39" s="1493">
        <v>2</v>
      </c>
      <c r="U39" s="1493">
        <v>2</v>
      </c>
      <c r="V39" s="1493">
        <v>3</v>
      </c>
      <c r="W39" s="1493">
        <v>2</v>
      </c>
      <c r="X39" s="1493">
        <v>2</v>
      </c>
      <c r="Y39" s="1493">
        <v>4</v>
      </c>
      <c r="Z39" s="1493">
        <v>2</v>
      </c>
      <c r="AA39" s="1493">
        <v>2</v>
      </c>
      <c r="AB39" s="1493">
        <v>2</v>
      </c>
      <c r="AC39" s="1751"/>
      <c r="AD39" s="1752"/>
      <c r="AE39" s="1752"/>
      <c r="AF39" s="1752"/>
      <c r="AG39" s="1215"/>
      <c r="AH39" s="1751"/>
      <c r="AI39" s="1752"/>
      <c r="AJ39" s="1752"/>
      <c r="AK39" s="1752"/>
      <c r="AL39" s="121"/>
      <c r="AM39" s="1645" t="s">
        <v>1834</v>
      </c>
      <c r="AN39" s="1648">
        <v>4</v>
      </c>
      <c r="AO39" s="532" t="s">
        <v>1367</v>
      </c>
      <c r="AP39" s="532" t="s">
        <v>1368</v>
      </c>
      <c r="AQ39" s="532" t="s">
        <v>1369</v>
      </c>
      <c r="AR39" s="532" t="s">
        <v>1616</v>
      </c>
      <c r="AS39" s="1712" t="s">
        <v>1367</v>
      </c>
      <c r="AT39" s="532" t="s">
        <v>1368</v>
      </c>
      <c r="AU39" s="532" t="s">
        <v>1369</v>
      </c>
      <c r="AV39" s="532" t="s">
        <v>1616</v>
      </c>
      <c r="AW39" s="1350"/>
      <c r="AX39" s="1350"/>
      <c r="AY39" s="1350"/>
      <c r="AZ39" s="1350"/>
      <c r="BA39" s="1350"/>
      <c r="BB39" s="1350"/>
      <c r="BC39" s="1350"/>
      <c r="BD39" s="1350"/>
      <c r="BE39" s="1350"/>
      <c r="BF39" s="1351"/>
      <c r="BG39" s="1351"/>
      <c r="BH39" s="1736"/>
      <c r="BI39" s="1383"/>
      <c r="BJ39" s="1356" t="s">
        <v>567</v>
      </c>
      <c r="BK39" s="1354" t="str">
        <f>INDEX(Workstreams[Workstream], MATCH($BJ39, Workstreams[Code], 0))</f>
        <v>Industry</v>
      </c>
      <c r="BL39" s="1351"/>
      <c r="BM39" s="1353"/>
      <c r="BN39" s="1354"/>
      <c r="BO39" s="1471" t="e">
        <f t="shared" ca="1" si="2"/>
        <v>#REF!</v>
      </c>
      <c r="BP39" s="1471">
        <f t="shared" ca="1" si="2"/>
        <v>0</v>
      </c>
      <c r="BQ39" s="1474" t="e">
        <f ca="1">BP39*'Intermediate output'!$H$153/'Intermediate output'!$F$203</f>
        <v>#REF!</v>
      </c>
      <c r="BR39" s="1350"/>
      <c r="BS39" s="1350"/>
      <c r="BT39" s="952"/>
      <c r="BU39" s="1743"/>
      <c r="BV39" s="1743" t="s">
        <v>560</v>
      </c>
      <c r="BW39" s="1759" t="s">
        <v>1149</v>
      </c>
      <c r="BX39" s="1326"/>
      <c r="BY39" s="1761"/>
      <c r="BZ39" s="1759"/>
      <c r="CA39" s="1760" t="e">
        <f ca="1">INDEX(INDIRECT(CA$28&amp;"!Year.Matrix"),MATCH($BV39,INDIRECT(CA$28&amp;"!Year.Modules"),0),MATCH("V.04",INDIRECT(CA$28&amp;"!Year.Vectors"),0))/CA$38</f>
        <v>#REF!</v>
      </c>
      <c r="CB39" s="1760" t="e">
        <f ca="1">INDEX(INDIRECT(CB$28&amp;"!Year.Matrix"),MATCH($BV39,INDIRECT(CB$28&amp;"!Year.Modules"),0),MATCH("V.04",INDIRECT(CB$28&amp;"!Year.Vectors"),0))/CB$38</f>
        <v>#REF!</v>
      </c>
      <c r="CC39" s="1760" t="e">
        <f ca="1">INDEX(INDIRECT(CC$28&amp;"!Year.Matrix"),MATCH($BV39,INDIRECT(CC$28&amp;"!Year.Modules"),0),MATCH("V.04",INDIRECT(CC$28&amp;"!Year.Vectors"),0))/CC$38</f>
        <v>#REF!</v>
      </c>
      <c r="CD39" s="1760" t="e">
        <f ca="1">INDEX(INDIRECT(CD$28&amp;"!Year.Matrix"),MATCH($BV39,INDIRECT(CD$28&amp;"!Year.Modules"),0),MATCH("V.04",INDIRECT(CD$28&amp;"!Year.Vectors"),0))/CD$38</f>
        <v>#DIV/0!</v>
      </c>
      <c r="CE39" s="1351"/>
    </row>
    <row r="40" spans="1:83" s="532" customFormat="1" ht="21" customHeight="1">
      <c r="A40" s="1971"/>
      <c r="B40" s="1974"/>
      <c r="C40" s="1392"/>
      <c r="D40" s="1393"/>
      <c r="E40" s="1393" t="s">
        <v>1189</v>
      </c>
      <c r="F40" s="121"/>
      <c r="G40" s="1493">
        <v>1</v>
      </c>
      <c r="H40" s="1493">
        <v>2</v>
      </c>
      <c r="I40" s="1493">
        <v>1</v>
      </c>
      <c r="J40" s="1493"/>
      <c r="K40" s="1493">
        <v>2</v>
      </c>
      <c r="L40" s="1665">
        <v>2</v>
      </c>
      <c r="M40" s="1493">
        <v>4</v>
      </c>
      <c r="N40" s="1493">
        <v>1</v>
      </c>
      <c r="O40" s="1493">
        <v>2</v>
      </c>
      <c r="P40" s="1493">
        <v>2</v>
      </c>
      <c r="Q40" s="1493">
        <v>2</v>
      </c>
      <c r="R40" s="1493">
        <v>2</v>
      </c>
      <c r="S40" s="1493">
        <v>2</v>
      </c>
      <c r="T40" s="1493">
        <v>2</v>
      </c>
      <c r="U40" s="1493">
        <v>2</v>
      </c>
      <c r="V40" s="1493">
        <v>2</v>
      </c>
      <c r="W40" s="1493">
        <v>2</v>
      </c>
      <c r="X40" s="1493">
        <v>2</v>
      </c>
      <c r="Y40" s="1493">
        <v>2</v>
      </c>
      <c r="Z40" s="1493">
        <v>2</v>
      </c>
      <c r="AA40" s="1493">
        <v>2</v>
      </c>
      <c r="AB40" s="1493">
        <v>2</v>
      </c>
      <c r="AC40" s="1398"/>
      <c r="AD40" s="1395"/>
      <c r="AE40" s="1395"/>
      <c r="AF40" s="1395"/>
      <c r="AG40" s="1215"/>
      <c r="AH40" s="1398"/>
      <c r="AI40" s="1395"/>
      <c r="AJ40" s="1395"/>
      <c r="AK40" s="1395"/>
      <c r="AL40" s="121"/>
      <c r="AM40" s="1645" t="s">
        <v>1635</v>
      </c>
      <c r="AN40" s="1648" t="s">
        <v>1006</v>
      </c>
      <c r="AO40" s="532" t="s">
        <v>1806</v>
      </c>
      <c r="AP40" s="532" t="s">
        <v>1807</v>
      </c>
      <c r="AQ40" s="532" t="s">
        <v>1745</v>
      </c>
      <c r="AR40" s="532" t="s">
        <v>1745</v>
      </c>
      <c r="AS40" s="532" t="s">
        <v>1806</v>
      </c>
      <c r="AT40" s="532" t="s">
        <v>1807</v>
      </c>
      <c r="AU40" s="532" t="s">
        <v>1807</v>
      </c>
      <c r="AV40" s="532" t="s">
        <v>1807</v>
      </c>
      <c r="AW40" s="1351"/>
      <c r="AX40" s="1351"/>
      <c r="AY40" s="1351"/>
      <c r="AZ40" s="1351"/>
      <c r="BA40" s="1351"/>
      <c r="BB40" s="1351"/>
      <c r="BC40" s="1353"/>
      <c r="BD40" s="1354"/>
      <c r="BE40" s="1354"/>
      <c r="BF40" s="1351"/>
      <c r="BG40" s="1351"/>
      <c r="BH40" s="1736"/>
      <c r="BI40" s="1383"/>
      <c r="BJ40" s="1356"/>
      <c r="BK40" s="1354"/>
      <c r="BL40" s="1351"/>
      <c r="BM40" s="1353"/>
      <c r="BN40" s="1354"/>
      <c r="BO40" s="1471"/>
      <c r="BP40" s="1471"/>
      <c r="BQ40" s="1474"/>
      <c r="BR40" s="1350"/>
      <c r="BS40" s="1350"/>
      <c r="BT40" s="952"/>
      <c r="BU40" s="1383"/>
      <c r="BV40" s="1383" t="s">
        <v>568</v>
      </c>
      <c r="BW40" s="1384" t="s">
        <v>1147</v>
      </c>
      <c r="BX40" s="1148"/>
      <c r="BY40" s="1432"/>
      <c r="BZ40" s="1384"/>
      <c r="CA40" s="1385" t="e">
        <f t="shared" ref="CA40:CD42" ca="1" si="3">-INDEX(INDIRECT(CA$28&amp;"!Year.Matrix"),MATCH($BV40,INDIRECT(CA$28&amp;"!Year.Modules"),0),MATCH("V.04",INDIRECT(CA$28&amp;"!Year.Vectors"),0))/CA$38</f>
        <v>#REF!</v>
      </c>
      <c r="CB40" s="1385" t="e">
        <f t="shared" ca="1" si="3"/>
        <v>#REF!</v>
      </c>
      <c r="CC40" s="1385" t="e">
        <f t="shared" ca="1" si="3"/>
        <v>#REF!</v>
      </c>
      <c r="CD40" s="1385" t="e">
        <f t="shared" ca="1" si="3"/>
        <v>#DIV/0!</v>
      </c>
      <c r="CE40" s="1351"/>
    </row>
    <row r="41" spans="1:83" s="532" customFormat="1" ht="21" customHeight="1">
      <c r="A41" s="1971" t="s">
        <v>1737</v>
      </c>
      <c r="B41" s="1973" t="s">
        <v>39</v>
      </c>
      <c r="C41" s="801"/>
      <c r="D41" s="801" t="s">
        <v>689</v>
      </c>
      <c r="E41" s="801" t="str">
        <f>INDEX(Modules[Module], MATCH($D41, Modules[Code], 0))</f>
        <v>Industrial processes</v>
      </c>
      <c r="F41"/>
      <c r="G41" s="1493"/>
      <c r="H41" s="1493"/>
      <c r="I41" s="1493"/>
      <c r="J41" s="1493"/>
      <c r="K41" s="1493"/>
      <c r="L41" s="1493"/>
      <c r="M41" s="1493"/>
      <c r="N41" s="1493"/>
      <c r="O41" s="1493"/>
      <c r="P41" s="1493"/>
      <c r="Q41" s="1493"/>
      <c r="R41" s="1493"/>
      <c r="S41" s="1493"/>
      <c r="T41" s="1493"/>
      <c r="U41" s="1493"/>
      <c r="V41" s="1493"/>
      <c r="W41" s="1493"/>
      <c r="X41" s="1493"/>
      <c r="Y41" s="1493"/>
      <c r="Z41" s="1493"/>
      <c r="AA41" s="1493"/>
      <c r="AB41" s="1493"/>
      <c r="AC41" s="798"/>
      <c r="AD41" s="808"/>
      <c r="AE41" s="808"/>
      <c r="AF41" s="808"/>
      <c r="AG41" s="1215"/>
      <c r="AH41" s="798"/>
      <c r="AI41" s="808"/>
      <c r="AJ41" s="808"/>
      <c r="AK41" s="808"/>
      <c r="AM41" s="1384"/>
      <c r="AN41" s="1647"/>
      <c r="AO41" s="1660"/>
      <c r="AP41" s="1660"/>
      <c r="AQ41" s="1660"/>
      <c r="AR41" s="1660"/>
      <c r="AS41" s="1455"/>
      <c r="AT41" s="1707"/>
      <c r="AU41" s="1707"/>
      <c r="AV41" s="1707"/>
      <c r="AW41" s="1351"/>
      <c r="AX41" s="1351"/>
      <c r="AY41" s="1351"/>
      <c r="AZ41" s="1351"/>
      <c r="BA41" s="1351"/>
      <c r="BB41" s="1351"/>
      <c r="BC41" s="1353"/>
      <c r="BD41" s="1354"/>
      <c r="BE41" s="1354"/>
      <c r="BF41" s="1351"/>
      <c r="BG41" s="1351"/>
      <c r="BH41" s="1736"/>
      <c r="BI41" s="1383"/>
      <c r="BJ41" s="1356" t="s">
        <v>568</v>
      </c>
      <c r="BK41" s="1354" t="str">
        <f>INDEX(Workstreams[Workstream], MATCH($BJ41, Workstreams[Code], 0))</f>
        <v>Transport</v>
      </c>
      <c r="BL41" s="1351"/>
      <c r="BM41" s="1353"/>
      <c r="BN41" s="1354"/>
      <c r="BO41" s="1471" t="e">
        <f t="shared" ref="BO41:BP43" ca="1" si="4">SUMIFS(INDIRECT("'"&amp;BO$32&amp;"'!Year.EmissionsBySector"), INDIRECT("'"&amp;BO$32&amp;"'!Year.Modules"),$BJ41)</f>
        <v>#REF!</v>
      </c>
      <c r="BP41" s="1471">
        <f t="shared" ca="1" si="4"/>
        <v>0</v>
      </c>
      <c r="BQ41" s="1474" t="e">
        <f ca="1">BP41*'Intermediate output'!$H$153/'Intermediate output'!$F$203</f>
        <v>#REF!</v>
      </c>
      <c r="BR41" s="1351"/>
      <c r="BS41" s="1351"/>
      <c r="BT41" s="952"/>
      <c r="BU41" s="1383"/>
      <c r="BV41" s="1383" t="s">
        <v>567</v>
      </c>
      <c r="BW41" s="1384" t="s">
        <v>1151</v>
      </c>
      <c r="BX41" s="1148"/>
      <c r="BY41" s="1432"/>
      <c r="BZ41" s="1384"/>
      <c r="CA41" s="1385" t="e">
        <f t="shared" ca="1" si="3"/>
        <v>#REF!</v>
      </c>
      <c r="CB41" s="1385" t="e">
        <f t="shared" ca="1" si="3"/>
        <v>#REF!</v>
      </c>
      <c r="CC41" s="1385" t="e">
        <f t="shared" ca="1" si="3"/>
        <v>#REF!</v>
      </c>
      <c r="CD41" s="1385" t="e">
        <f t="shared" ca="1" si="3"/>
        <v>#DIV/0!</v>
      </c>
      <c r="CE41" s="1352"/>
    </row>
    <row r="42" spans="1:83" s="532" customFormat="1" ht="21" customHeight="1">
      <c r="A42" s="1971"/>
      <c r="B42" s="1973"/>
      <c r="C42" s="1393"/>
      <c r="D42" s="1393"/>
      <c r="E42" s="1393" t="s">
        <v>1506</v>
      </c>
      <c r="F42" s="121"/>
      <c r="G42" s="1493">
        <v>1</v>
      </c>
      <c r="H42" s="1493">
        <v>4</v>
      </c>
      <c r="I42" s="1493">
        <v>2</v>
      </c>
      <c r="J42" s="1493"/>
      <c r="K42" s="1493">
        <v>1</v>
      </c>
      <c r="L42" s="1493">
        <v>3</v>
      </c>
      <c r="M42" s="1493">
        <v>3</v>
      </c>
      <c r="N42" s="1493">
        <v>3</v>
      </c>
      <c r="O42" s="1493">
        <v>1</v>
      </c>
      <c r="P42" s="1493">
        <v>2</v>
      </c>
      <c r="Q42" s="1493">
        <v>1</v>
      </c>
      <c r="R42" s="1493">
        <v>1</v>
      </c>
      <c r="S42" s="1493">
        <v>1</v>
      </c>
      <c r="T42" s="1493">
        <v>1</v>
      </c>
      <c r="U42" s="1493">
        <v>3</v>
      </c>
      <c r="V42" s="1493">
        <v>3</v>
      </c>
      <c r="W42" s="1493">
        <v>1</v>
      </c>
      <c r="X42" s="1493">
        <v>1</v>
      </c>
      <c r="Y42" s="1493">
        <v>3</v>
      </c>
      <c r="Z42" s="1493">
        <v>1</v>
      </c>
      <c r="AA42" s="1493">
        <v>3</v>
      </c>
      <c r="AB42" s="1493">
        <v>1</v>
      </c>
      <c r="AC42" s="1398"/>
      <c r="AD42" s="1395"/>
      <c r="AE42" s="1395"/>
      <c r="AF42" s="1395"/>
      <c r="AG42" s="1215"/>
      <c r="AH42" s="1395"/>
      <c r="AI42" s="1395"/>
      <c r="AJ42" s="1395"/>
      <c r="AK42" s="1395"/>
      <c r="AM42" s="1645" t="s">
        <v>1858</v>
      </c>
      <c r="AN42" s="1648" t="s">
        <v>1007</v>
      </c>
      <c r="AO42" s="532" t="s">
        <v>1705</v>
      </c>
      <c r="AP42" s="532" t="s">
        <v>1706</v>
      </c>
      <c r="AQ42" s="532" t="s">
        <v>1707</v>
      </c>
      <c r="AR42" s="532" t="s">
        <v>1747</v>
      </c>
      <c r="AS42" s="1712" t="s">
        <v>1705</v>
      </c>
      <c r="AT42" s="532" t="s">
        <v>1706</v>
      </c>
      <c r="AU42" s="532" t="s">
        <v>1707</v>
      </c>
      <c r="AV42" s="532" t="s">
        <v>1707</v>
      </c>
      <c r="AW42" s="1351"/>
      <c r="AX42" s="1351"/>
      <c r="AY42" s="1351"/>
      <c r="AZ42" s="1351"/>
      <c r="BA42" s="1351"/>
      <c r="BB42" s="1351"/>
      <c r="BC42" s="1353"/>
      <c r="BD42" s="1354"/>
      <c r="BE42" s="1354"/>
      <c r="BF42" s="1351"/>
      <c r="BG42" s="1351"/>
      <c r="BH42" s="1736"/>
      <c r="BI42" s="1383"/>
      <c r="BJ42" s="1356" t="s">
        <v>740</v>
      </c>
      <c r="BK42" s="1354" t="str">
        <f>INDEX(Workstreams[Workstream], MATCH($BJ42, Workstreams[Code], 0))</f>
        <v>Fossil fuel production</v>
      </c>
      <c r="BL42" s="1351"/>
      <c r="BM42" s="1353"/>
      <c r="BN42" s="1354"/>
      <c r="BO42" s="1471" t="e">
        <f t="shared" ca="1" si="4"/>
        <v>#REF!</v>
      </c>
      <c r="BP42" s="1471">
        <f t="shared" ca="1" si="4"/>
        <v>1.9196033527551846</v>
      </c>
      <c r="BQ42" s="1474" t="e">
        <f ca="1">BP42*'Intermediate output'!$H$153/'Intermediate output'!$F$203</f>
        <v>#REF!</v>
      </c>
      <c r="BR42" s="1351"/>
      <c r="BS42" s="1351"/>
      <c r="BT42" s="952"/>
      <c r="BU42" s="1383"/>
      <c r="BV42" s="1383" t="s">
        <v>742</v>
      </c>
      <c r="BW42" s="1384" t="s">
        <v>1236</v>
      </c>
      <c r="BX42" s="1148"/>
      <c r="BY42" s="1432"/>
      <c r="BZ42" s="1384"/>
      <c r="CA42" s="1385" t="e">
        <f t="shared" ca="1" si="3"/>
        <v>#REF!</v>
      </c>
      <c r="CB42" s="1385" t="e">
        <f t="shared" ca="1" si="3"/>
        <v>#REF!</v>
      </c>
      <c r="CC42" s="1385" t="e">
        <f t="shared" ca="1" si="3"/>
        <v>#REF!</v>
      </c>
      <c r="CD42" s="1385" t="e">
        <f t="shared" ca="1" si="3"/>
        <v>#DIV/0!</v>
      </c>
      <c r="CE42" s="1352"/>
    </row>
    <row r="43" spans="1:83" s="532" customFormat="1" ht="21" customHeight="1">
      <c r="A43" s="1971"/>
      <c r="B43" s="1973"/>
      <c r="C43" s="1393"/>
      <c r="D43" s="1393"/>
      <c r="E43" s="1393" t="s">
        <v>1505</v>
      </c>
      <c r="F43" s="121"/>
      <c r="G43" s="1493">
        <v>1</v>
      </c>
      <c r="H43" s="1493">
        <v>3</v>
      </c>
      <c r="I43" s="1493">
        <v>1</v>
      </c>
      <c r="J43" s="1493"/>
      <c r="K43" s="1493">
        <v>3</v>
      </c>
      <c r="L43" s="1493">
        <v>3</v>
      </c>
      <c r="M43" s="1493">
        <v>2</v>
      </c>
      <c r="N43" s="1493">
        <v>3</v>
      </c>
      <c r="O43" s="1493">
        <v>3</v>
      </c>
      <c r="P43" s="1493">
        <v>3</v>
      </c>
      <c r="Q43" s="1493">
        <v>3</v>
      </c>
      <c r="R43" s="1493">
        <v>3</v>
      </c>
      <c r="S43" s="1493">
        <v>3</v>
      </c>
      <c r="T43" s="1493">
        <v>3</v>
      </c>
      <c r="U43" s="1493">
        <v>3</v>
      </c>
      <c r="V43" s="1493">
        <v>3</v>
      </c>
      <c r="W43" s="1493">
        <v>3</v>
      </c>
      <c r="X43" s="1493">
        <v>3</v>
      </c>
      <c r="Y43" s="1493">
        <v>2</v>
      </c>
      <c r="Z43" s="1493">
        <v>3</v>
      </c>
      <c r="AA43" s="1493">
        <v>3</v>
      </c>
      <c r="AB43" s="1493">
        <v>3</v>
      </c>
      <c r="AC43" s="1398"/>
      <c r="AD43" s="1395"/>
      <c r="AE43" s="1395"/>
      <c r="AF43" s="1395"/>
      <c r="AG43" s="1215"/>
      <c r="AH43" s="1398"/>
      <c r="AI43" s="1395"/>
      <c r="AJ43" s="1395"/>
      <c r="AK43" s="1395"/>
      <c r="AM43" s="1645" t="s">
        <v>1859</v>
      </c>
      <c r="AN43" s="1648">
        <v>3</v>
      </c>
      <c r="AO43" s="532" t="s">
        <v>1708</v>
      </c>
      <c r="AP43" s="532" t="s">
        <v>1709</v>
      </c>
      <c r="AQ43" s="532" t="s">
        <v>1710</v>
      </c>
      <c r="AR43" s="532" t="s">
        <v>1746</v>
      </c>
      <c r="AS43" s="1712" t="s">
        <v>1795</v>
      </c>
      <c r="AT43" s="532" t="s">
        <v>1796</v>
      </c>
      <c r="AU43" s="532" t="s">
        <v>1797</v>
      </c>
      <c r="AV43" s="532" t="s">
        <v>1797</v>
      </c>
      <c r="AW43" s="1351"/>
      <c r="AX43" s="1351"/>
      <c r="AY43" s="1351"/>
      <c r="AZ43" s="1351"/>
      <c r="BA43" s="1351"/>
      <c r="BB43" s="1351"/>
      <c r="BC43" s="1353"/>
      <c r="BD43" s="1354"/>
      <c r="BE43" s="1354"/>
      <c r="BF43" s="1351"/>
      <c r="BG43" s="1351"/>
      <c r="BH43" s="1736"/>
      <c r="BI43" s="1383"/>
      <c r="BJ43" s="1356" t="s">
        <v>770</v>
      </c>
      <c r="BK43" s="1354" t="str">
        <f>INDEX(Workstreams[Workstream], MATCH($BJ43, Workstreams[Code], 0))</f>
        <v>Transfers</v>
      </c>
      <c r="BL43" s="1351"/>
      <c r="BM43" s="1353"/>
      <c r="BN43" s="1354"/>
      <c r="BO43" s="1471" t="e">
        <f t="shared" ca="1" si="4"/>
        <v>#REF!</v>
      </c>
      <c r="BP43" s="1471">
        <f t="shared" ca="1" si="4"/>
        <v>0</v>
      </c>
      <c r="BQ43" s="1474" t="e">
        <f ca="1">BP43*'Intermediate output'!$H$153/'Intermediate output'!$F$203</f>
        <v>#REF!</v>
      </c>
      <c r="BR43" s="1351"/>
      <c r="BS43" s="1351"/>
      <c r="BT43" s="952"/>
      <c r="BU43" s="1148"/>
      <c r="BV43" s="1351"/>
      <c r="BW43" s="1351"/>
      <c r="BX43" s="1351"/>
      <c r="BY43" s="1351"/>
      <c r="BZ43" s="1351"/>
      <c r="CA43" s="1351"/>
      <c r="CB43" s="1351"/>
      <c r="CC43" s="1351"/>
      <c r="CD43" s="1351"/>
      <c r="CE43" s="1352"/>
    </row>
    <row r="44" spans="1:83" s="532" customFormat="1" ht="21" customHeight="1">
      <c r="A44" s="1971"/>
      <c r="B44" s="1973" t="s">
        <v>1738</v>
      </c>
      <c r="C44" s="801"/>
      <c r="D44" s="801" t="s">
        <v>716</v>
      </c>
      <c r="E44" s="801" t="str">
        <f>INDEX(Modules[Module], MATCH($D44, Modules[Code], 0))</f>
        <v>Commercial heating and cooling</v>
      </c>
      <c r="F44"/>
      <c r="G44" s="1493"/>
      <c r="H44" s="1493"/>
      <c r="I44" s="1493"/>
      <c r="J44" s="1493"/>
      <c r="K44" s="1493"/>
      <c r="L44" s="1493"/>
      <c r="M44" s="1493"/>
      <c r="N44" s="1493"/>
      <c r="O44" s="1493"/>
      <c r="P44" s="1493"/>
      <c r="Q44" s="1493"/>
      <c r="R44" s="1493"/>
      <c r="S44" s="1493"/>
      <c r="T44" s="1493"/>
      <c r="U44" s="1493"/>
      <c r="V44" s="1493"/>
      <c r="W44" s="1493"/>
      <c r="X44" s="1493"/>
      <c r="Y44" s="1493"/>
      <c r="Z44" s="1493"/>
      <c r="AA44" s="1493"/>
      <c r="AB44" s="1493"/>
      <c r="AC44" s="798"/>
      <c r="AD44" s="807"/>
      <c r="AE44" s="807"/>
      <c r="AF44" s="807"/>
      <c r="AG44" s="1215"/>
      <c r="AH44" s="798"/>
      <c r="AI44" s="807"/>
      <c r="AJ44" s="807"/>
      <c r="AK44" s="807"/>
      <c r="AM44" s="1384"/>
      <c r="AN44" s="1647"/>
      <c r="AR44" s="1660"/>
      <c r="AS44" s="1712"/>
      <c r="AV44" s="1707"/>
      <c r="AW44" s="1351"/>
      <c r="AX44" s="1351"/>
      <c r="AY44" s="1351"/>
      <c r="AZ44" s="1351"/>
      <c r="BA44" s="1351"/>
      <c r="BB44" s="1351"/>
      <c r="BC44" s="1353"/>
      <c r="BD44" s="1354"/>
      <c r="BE44" s="1354"/>
      <c r="BF44" s="1351"/>
      <c r="BG44" s="1351"/>
      <c r="BH44" s="1736"/>
      <c r="BI44" s="1148"/>
      <c r="BJ44" s="1357"/>
      <c r="BK44" s="1358" t="s">
        <v>132</v>
      </c>
      <c r="BL44" s="1357"/>
      <c r="BM44" s="1357"/>
      <c r="BN44" s="1357"/>
      <c r="BO44" s="1472" t="e">
        <f ca="1">SUM(BO33:BO43)</f>
        <v>#REF!</v>
      </c>
      <c r="BP44" s="1472">
        <f ca="1">SUM(BP33:BP43)</f>
        <v>18.60809435170793</v>
      </c>
      <c r="BQ44" s="1475" t="e">
        <f ca="1">BP44*'Intermediate output'!$H$153/'Intermediate output'!$F$203</f>
        <v>#REF!</v>
      </c>
      <c r="BR44" s="1475"/>
      <c r="BS44" s="1351"/>
      <c r="BT44" s="952"/>
      <c r="BU44" s="1742"/>
      <c r="BV44" s="1365" t="s">
        <v>1140</v>
      </c>
      <c r="BW44" s="1354"/>
      <c r="BX44" s="1354"/>
      <c r="BY44" s="1353"/>
      <c r="BZ44" s="1354"/>
      <c r="CA44" s="1373" t="e">
        <f ca="1">-(INDEX(INDIRECT(CA$28&amp;"!Year.Matrix"),MATCH("Subtotal.Supply",INDIRECT(CA$28&amp;"!Year.Modules"),0),MATCH("V.03",INDIRECT(CA$28&amp;"!Year.Vectors"),0))+INDEX(INDIRECT(CA$28&amp;"!Year.Matrix"),MATCH("Subtotal.Consumption",INDIRECT(CA$28&amp;"!Year.Modules"),0),MATCH("V.03",INDIRECT(CA$28&amp;"!Year.Vectors"),0)))</f>
        <v>#REF!</v>
      </c>
      <c r="CB44" s="1373" t="e">
        <f ca="1">-(INDEX(INDIRECT(CB$28&amp;"!Year.Matrix"),MATCH("Subtotal.Supply",INDIRECT(CB$28&amp;"!Year.Modules"),0),MATCH("V.03",INDIRECT(CB$28&amp;"!Year.Vectors"),0))+INDEX(INDIRECT(CB$28&amp;"!Year.Matrix"),MATCH("Subtotal.Consumption",INDIRECT(CB$28&amp;"!Year.Modules"),0),MATCH("V.03",INDIRECT(CB$28&amp;"!Year.Vectors"),0)))</f>
        <v>#REF!</v>
      </c>
      <c r="CC44" s="1373" t="e">
        <f ca="1">-(INDEX(INDIRECT(CC$28&amp;"!Year.Matrix"),MATCH("Subtotal.Supply",INDIRECT(CC$28&amp;"!Year.Modules"),0),MATCH("V.03",INDIRECT(CC$28&amp;"!Year.Vectors"),0))+INDEX(INDIRECT(CC$28&amp;"!Year.Matrix"),MATCH("Subtotal.Consumption",INDIRECT(CC$28&amp;"!Year.Modules"),0),MATCH("V.03",INDIRECT(CC$28&amp;"!Year.Vectors"),0)))</f>
        <v>#REF!</v>
      </c>
      <c r="CD44" s="1373">
        <f ca="1">-(INDEX(INDIRECT(CD$28&amp;"!Year.Matrix"),MATCH("Subtotal.Supply",INDIRECT(CD$28&amp;"!Year.Modules"),0),MATCH("V.03",INDIRECT(CD$28&amp;"!Year.Vectors"),0))+INDEX(INDIRECT(CD$28&amp;"!Year.Matrix"),MATCH("Subtotal.Consumption",INDIRECT(CD$28&amp;"!Year.Modules"),0),MATCH("V.03",INDIRECT(CD$28&amp;"!Year.Vectors"),0)))</f>
        <v>400.12025503680002</v>
      </c>
      <c r="CE44" s="1351"/>
    </row>
    <row r="45" spans="1:83" s="532" customFormat="1" ht="21" customHeight="1">
      <c r="A45" s="1971"/>
      <c r="B45" s="1973"/>
      <c r="C45" s="1391"/>
      <c r="D45" s="1391"/>
      <c r="E45" s="1393" t="s">
        <v>1158</v>
      </c>
      <c r="F45" s="121"/>
      <c r="G45" s="1493">
        <v>1</v>
      </c>
      <c r="H45" s="1493">
        <v>4</v>
      </c>
      <c r="I45" s="1493">
        <v>1</v>
      </c>
      <c r="J45" s="1493"/>
      <c r="K45" s="1493">
        <v>2</v>
      </c>
      <c r="L45" s="1493">
        <v>4</v>
      </c>
      <c r="M45" s="1493">
        <v>1</v>
      </c>
      <c r="N45" s="1493">
        <v>4</v>
      </c>
      <c r="O45" s="1493">
        <v>2</v>
      </c>
      <c r="P45" s="1493">
        <v>2</v>
      </c>
      <c r="Q45" s="1493">
        <v>2</v>
      </c>
      <c r="R45" s="1493">
        <v>2</v>
      </c>
      <c r="S45" s="1493">
        <v>2</v>
      </c>
      <c r="T45" s="1493">
        <v>2</v>
      </c>
      <c r="U45" s="1493">
        <v>2</v>
      </c>
      <c r="V45" s="1493">
        <v>2</v>
      </c>
      <c r="W45" s="1493">
        <v>2</v>
      </c>
      <c r="X45" s="1493">
        <v>2</v>
      </c>
      <c r="Y45" s="1493">
        <v>2</v>
      </c>
      <c r="Z45" s="1493">
        <v>2</v>
      </c>
      <c r="AA45" s="1493">
        <v>2</v>
      </c>
      <c r="AB45" s="1493">
        <v>2</v>
      </c>
      <c r="AC45" s="1396"/>
      <c r="AD45" s="1397"/>
      <c r="AE45" s="1397"/>
      <c r="AF45" s="1397"/>
      <c r="AG45" s="1215"/>
      <c r="AH45" s="1394"/>
      <c r="AI45" s="1394"/>
      <c r="AJ45" s="1394"/>
      <c r="AK45" s="1394"/>
      <c r="AM45" s="1645" t="s">
        <v>1636</v>
      </c>
      <c r="AN45" s="1648">
        <v>4</v>
      </c>
      <c r="AO45" s="532" t="s">
        <v>1310</v>
      </c>
      <c r="AP45" s="532" t="s">
        <v>1311</v>
      </c>
      <c r="AQ45" s="532" t="s">
        <v>1360</v>
      </c>
      <c r="AR45" s="532" t="s">
        <v>1361</v>
      </c>
      <c r="AS45" s="1712" t="s">
        <v>1798</v>
      </c>
      <c r="AT45" s="532" t="s">
        <v>1799</v>
      </c>
      <c r="AU45" s="532" t="s">
        <v>1800</v>
      </c>
      <c r="AV45" s="532" t="s">
        <v>1801</v>
      </c>
      <c r="AW45" s="1351"/>
      <c r="AX45" s="1351"/>
      <c r="AY45" s="1351"/>
      <c r="AZ45" s="1351"/>
      <c r="BA45" s="1351"/>
      <c r="BB45" s="1351"/>
      <c r="BC45" s="1353"/>
      <c r="BD45" s="1354"/>
      <c r="BE45" s="1354"/>
      <c r="BF45" s="1351"/>
      <c r="BG45" s="1351"/>
      <c r="BH45" s="1736"/>
      <c r="BI45" s="1148"/>
      <c r="BJ45" s="1359"/>
      <c r="BK45" s="1360" t="s">
        <v>1056</v>
      </c>
      <c r="BL45" s="1361"/>
      <c r="BM45" s="1361"/>
      <c r="BN45" s="1361"/>
      <c r="BO45" s="1477" t="e">
        <f ca="1">BO44/677.35</f>
        <v>#REF!</v>
      </c>
      <c r="BP45" s="1362"/>
      <c r="BQ45" s="1476"/>
      <c r="BR45" s="1476"/>
      <c r="BS45" s="1351"/>
      <c r="BT45" s="952"/>
      <c r="BU45" s="1743"/>
      <c r="BV45" s="1743" t="s">
        <v>560</v>
      </c>
      <c r="BW45" s="1759" t="s">
        <v>1150</v>
      </c>
      <c r="BX45" s="1326"/>
      <c r="BY45" s="1326"/>
      <c r="BZ45" s="1326"/>
      <c r="CA45" s="1760" t="e">
        <f ca="1">INDEX(INDIRECT(CA$28&amp;"!Year.Matrix"),MATCH($BV45,INDIRECT(CA$28&amp;"!Year.Modules"),0),MATCH("V.03",INDIRECT(CA$28&amp;"!Year.Vectors"),0))/CA$44</f>
        <v>#REF!</v>
      </c>
      <c r="CB45" s="1760" t="e">
        <f ca="1">INDEX(INDIRECT(CB$28&amp;"!Year.Matrix"),MATCH($BV45,INDIRECT(CB$28&amp;"!Year.Modules"),0),MATCH("V.03",INDIRECT(CB$28&amp;"!Year.Vectors"),0))/CB$44</f>
        <v>#REF!</v>
      </c>
      <c r="CC45" s="1760" t="e">
        <f ca="1">INDEX(INDIRECT(CC$28&amp;"!Year.Matrix"),MATCH($BV45,INDIRECT(CC$28&amp;"!Year.Modules"),0),MATCH("V.03",INDIRECT(CC$28&amp;"!Year.Vectors"),0))/CC$44</f>
        <v>#REF!</v>
      </c>
      <c r="CD45" s="1760">
        <f ca="1">INDEX(INDIRECT(CD$28&amp;"!Year.Matrix"),MATCH($BV45,INDIRECT(CD$28&amp;"!Year.Modules"),0),MATCH("V.03",INDIRECT(CD$28&amp;"!Year.Vectors"),0))/CD$44</f>
        <v>0</v>
      </c>
      <c r="CE45" s="1351"/>
    </row>
    <row r="46" spans="1:83" s="532" customFormat="1" ht="21" customHeight="1">
      <c r="A46" s="1971"/>
      <c r="B46" s="1973"/>
      <c r="C46" s="1391"/>
      <c r="D46" s="1391"/>
      <c r="E46" s="1393" t="s">
        <v>1161</v>
      </c>
      <c r="F46" s="121"/>
      <c r="G46" s="1493">
        <v>1</v>
      </c>
      <c r="H46" s="1493">
        <v>4</v>
      </c>
      <c r="I46" s="1493">
        <v>1</v>
      </c>
      <c r="J46" s="1493"/>
      <c r="K46" s="1493">
        <v>3</v>
      </c>
      <c r="L46" s="1665">
        <v>3</v>
      </c>
      <c r="M46" s="1493">
        <v>1</v>
      </c>
      <c r="N46" s="1493">
        <v>4</v>
      </c>
      <c r="O46" s="1493">
        <v>4</v>
      </c>
      <c r="P46" s="1493">
        <v>1</v>
      </c>
      <c r="Q46" s="1493">
        <v>4</v>
      </c>
      <c r="R46" s="1493">
        <v>3</v>
      </c>
      <c r="S46" s="1493">
        <v>3</v>
      </c>
      <c r="T46" s="1493">
        <v>3</v>
      </c>
      <c r="U46" s="1493">
        <v>3</v>
      </c>
      <c r="V46" s="1493">
        <v>3</v>
      </c>
      <c r="W46" s="1493">
        <v>3</v>
      </c>
      <c r="X46" s="1493">
        <v>3</v>
      </c>
      <c r="Y46" s="1493">
        <v>3</v>
      </c>
      <c r="Z46" s="1493">
        <v>3</v>
      </c>
      <c r="AA46" s="1493">
        <v>4</v>
      </c>
      <c r="AB46" s="1493">
        <v>3</v>
      </c>
      <c r="AC46" s="1398"/>
      <c r="AD46" s="1399"/>
      <c r="AE46" s="1399"/>
      <c r="AF46" s="1399"/>
      <c r="AG46" s="1215"/>
      <c r="AH46" s="1394"/>
      <c r="AI46" s="1395"/>
      <c r="AJ46" s="1395"/>
      <c r="AK46" s="1395"/>
      <c r="AM46" s="1645" t="s">
        <v>1637</v>
      </c>
      <c r="AN46" s="1648" t="s">
        <v>1008</v>
      </c>
      <c r="AO46" s="532" t="s">
        <v>1362</v>
      </c>
      <c r="AP46" s="532" t="s">
        <v>1363</v>
      </c>
      <c r="AQ46" s="532" t="s">
        <v>1364</v>
      </c>
      <c r="AR46" s="532" t="s">
        <v>1365</v>
      </c>
      <c r="AS46" s="1712" t="s">
        <v>1362</v>
      </c>
      <c r="AT46" s="532" t="s">
        <v>1363</v>
      </c>
      <c r="AU46" s="532" t="s">
        <v>1364</v>
      </c>
      <c r="AV46" s="532" t="s">
        <v>1365</v>
      </c>
      <c r="AW46" s="1351"/>
      <c r="AX46" s="1351"/>
      <c r="AY46" s="1351"/>
      <c r="AZ46" s="1351"/>
      <c r="BA46" s="1351"/>
      <c r="BB46" s="1351"/>
      <c r="BC46" s="1353"/>
      <c r="BD46" s="1354"/>
      <c r="BE46" s="1354"/>
      <c r="BF46" s="1351"/>
      <c r="BG46" s="1351"/>
      <c r="BH46" s="1736"/>
      <c r="BI46" s="1740"/>
      <c r="BJ46" s="1489" t="s">
        <v>1403</v>
      </c>
      <c r="BK46" s="1351"/>
      <c r="BL46" s="1351"/>
      <c r="BM46" s="1351"/>
      <c r="BN46" s="1351"/>
      <c r="BO46" s="1351"/>
      <c r="BP46" s="1351"/>
      <c r="BQ46" s="1351"/>
      <c r="BR46" s="1351"/>
      <c r="BS46" s="1351"/>
      <c r="BT46" s="952"/>
      <c r="BU46" s="1383"/>
      <c r="BV46" s="1383" t="s">
        <v>679</v>
      </c>
      <c r="BW46" s="1384" t="s">
        <v>1148</v>
      </c>
      <c r="BX46" s="1148"/>
      <c r="BY46" s="1148"/>
      <c r="BZ46" s="1148"/>
      <c r="CA46" s="1385" t="e">
        <f t="shared" ref="CA46:CD49" ca="1" si="5">-INDEX(INDIRECT(CA$28&amp;"!Year.Matrix"),MATCH($BV46,INDIRECT(CA$28&amp;"!Year.Modules"),0),MATCH("V.03",INDIRECT(CA$28&amp;"!Year.Vectors"),0))/CA$44</f>
        <v>#REF!</v>
      </c>
      <c r="CB46" s="1385" t="e">
        <f t="shared" ca="1" si="5"/>
        <v>#REF!</v>
      </c>
      <c r="CC46" s="1385" t="e">
        <f t="shared" ca="1" si="5"/>
        <v>#REF!</v>
      </c>
      <c r="CD46" s="1385">
        <f t="shared" ca="1" si="5"/>
        <v>1</v>
      </c>
      <c r="CE46" s="1351"/>
    </row>
    <row r="47" spans="1:83" s="532" customFormat="1" ht="21" customHeight="1">
      <c r="A47" s="1971"/>
      <c r="B47" s="1973"/>
      <c r="C47" s="1391"/>
      <c r="D47" s="1391"/>
      <c r="E47" s="1393" t="s">
        <v>1162</v>
      </c>
      <c r="F47" s="121"/>
      <c r="G47" s="1493">
        <v>1</v>
      </c>
      <c r="H47" s="1493">
        <v>4</v>
      </c>
      <c r="I47" s="1493">
        <v>1</v>
      </c>
      <c r="J47" s="1493"/>
      <c r="K47" s="1493">
        <v>3</v>
      </c>
      <c r="L47" s="1665">
        <v>4</v>
      </c>
      <c r="M47" s="1493">
        <v>1</v>
      </c>
      <c r="N47" s="1493">
        <v>4</v>
      </c>
      <c r="O47" s="1493">
        <v>3</v>
      </c>
      <c r="P47" s="1493">
        <v>3</v>
      </c>
      <c r="Q47" s="1493">
        <v>3</v>
      </c>
      <c r="R47" s="1493">
        <v>3</v>
      </c>
      <c r="S47" s="1493">
        <v>3</v>
      </c>
      <c r="T47" s="1493">
        <v>3</v>
      </c>
      <c r="U47" s="1493">
        <v>3</v>
      </c>
      <c r="V47" s="1493">
        <v>2</v>
      </c>
      <c r="W47" s="1493">
        <v>3</v>
      </c>
      <c r="X47" s="1493">
        <v>3</v>
      </c>
      <c r="Y47" s="1493">
        <v>2</v>
      </c>
      <c r="Z47" s="1493">
        <v>3</v>
      </c>
      <c r="AA47" s="1493">
        <v>4</v>
      </c>
      <c r="AB47" s="1493">
        <v>3</v>
      </c>
      <c r="AC47" s="1398"/>
      <c r="AD47" s="1399"/>
      <c r="AE47" s="1399"/>
      <c r="AF47" s="1399"/>
      <c r="AG47" s="1215"/>
      <c r="AH47" s="1394"/>
      <c r="AI47" s="1395"/>
      <c r="AJ47" s="1395"/>
      <c r="AK47" s="1395"/>
      <c r="AM47" s="1645" t="s">
        <v>1638</v>
      </c>
      <c r="AN47" s="1648" t="s">
        <v>1008</v>
      </c>
      <c r="AO47" s="532" t="s">
        <v>1357</v>
      </c>
      <c r="AP47" s="532" t="s">
        <v>1308</v>
      </c>
      <c r="AQ47" s="1379" t="s">
        <v>1309</v>
      </c>
      <c r="AR47" s="532" t="s">
        <v>1366</v>
      </c>
      <c r="AS47" s="1712" t="s">
        <v>1357</v>
      </c>
      <c r="AT47" s="532" t="s">
        <v>1308</v>
      </c>
      <c r="AU47" s="1379" t="s">
        <v>1309</v>
      </c>
      <c r="AV47" s="532" t="s">
        <v>1366</v>
      </c>
      <c r="AW47" s="1351"/>
      <c r="AX47" s="1351"/>
      <c r="AY47" s="1351"/>
      <c r="AZ47" s="1351"/>
      <c r="BA47" s="1351"/>
      <c r="BB47" s="1351"/>
      <c r="BC47" s="1353"/>
      <c r="BD47" s="1354"/>
      <c r="BE47" s="1354"/>
      <c r="BF47" s="1351"/>
      <c r="BG47" s="1351"/>
      <c r="BH47" s="1736"/>
      <c r="BI47" s="1740"/>
      <c r="BJ47" s="1489" t="s">
        <v>1406</v>
      </c>
      <c r="BK47" s="1351"/>
      <c r="BL47" s="1351"/>
      <c r="BM47" s="1351"/>
      <c r="BN47" s="1351"/>
      <c r="BO47" s="1351"/>
      <c r="BP47" s="1351"/>
      <c r="BQ47" s="1351"/>
      <c r="BR47" s="1351"/>
      <c r="BS47" s="1351"/>
      <c r="BT47" s="952"/>
      <c r="BU47" s="1383"/>
      <c r="BV47" s="1383" t="s">
        <v>623</v>
      </c>
      <c r="BW47" s="1384" t="s">
        <v>1240</v>
      </c>
      <c r="BX47" s="1148"/>
      <c r="BY47" s="1148"/>
      <c r="BZ47" s="1148"/>
      <c r="CA47" s="1385" t="e">
        <f t="shared" ca="1" si="5"/>
        <v>#REF!</v>
      </c>
      <c r="CB47" s="1385" t="e">
        <f t="shared" ca="1" si="5"/>
        <v>#REF!</v>
      </c>
      <c r="CC47" s="1385" t="e">
        <f t="shared" ca="1" si="5"/>
        <v>#REF!</v>
      </c>
      <c r="CD47" s="1385">
        <f t="shared" ca="1" si="5"/>
        <v>0</v>
      </c>
      <c r="CE47" s="1351"/>
    </row>
    <row r="48" spans="1:83" s="532" customFormat="1" ht="21" customHeight="1">
      <c r="A48" s="1971"/>
      <c r="B48" s="1973" t="s">
        <v>1739</v>
      </c>
      <c r="C48" s="801"/>
      <c r="D48" s="801" t="s">
        <v>722</v>
      </c>
      <c r="E48" s="801" t="str">
        <f>INDEX(Modules[Module], MATCH($D48, Modules[Code], 0))</f>
        <v>Commercial lighting, appliances, and catering</v>
      </c>
      <c r="F48"/>
      <c r="G48" s="1493"/>
      <c r="H48" s="1493"/>
      <c r="I48" s="1493"/>
      <c r="J48" s="1493"/>
      <c r="K48" s="1493"/>
      <c r="L48" s="1493"/>
      <c r="M48" s="1493"/>
      <c r="N48" s="1493"/>
      <c r="O48" s="1493"/>
      <c r="P48" s="1493"/>
      <c r="Q48" s="1493"/>
      <c r="R48" s="1493"/>
      <c r="S48" s="1493"/>
      <c r="T48" s="1493"/>
      <c r="U48" s="1493"/>
      <c r="V48" s="1493"/>
      <c r="W48" s="1493"/>
      <c r="X48" s="1493"/>
      <c r="Y48" s="1493"/>
      <c r="Z48" s="1493"/>
      <c r="AA48" s="1493"/>
      <c r="AB48" s="1493"/>
      <c r="AC48" s="798"/>
      <c r="AD48" s="807"/>
      <c r="AE48" s="807"/>
      <c r="AF48" s="807"/>
      <c r="AG48" s="1215"/>
      <c r="AH48" s="798"/>
      <c r="AI48" s="807"/>
      <c r="AJ48" s="807"/>
      <c r="AK48" s="807"/>
      <c r="AM48" s="1384"/>
      <c r="AN48" s="1647"/>
      <c r="AR48" s="1660"/>
      <c r="AS48" s="1712"/>
      <c r="AV48" s="1707"/>
      <c r="AW48" s="1351"/>
      <c r="AX48" s="1351"/>
      <c r="AY48" s="1351"/>
      <c r="AZ48" s="1351"/>
      <c r="BA48" s="1351"/>
      <c r="BB48" s="1351"/>
      <c r="BC48" s="1353"/>
      <c r="BD48" s="1354"/>
      <c r="BE48" s="1354"/>
      <c r="BF48" s="1351"/>
      <c r="BG48" s="1351"/>
      <c r="BH48" s="1736"/>
      <c r="BI48" s="1489"/>
      <c r="BJ48" s="1489" t="s">
        <v>1404</v>
      </c>
      <c r="BK48" s="1351"/>
      <c r="BL48" s="1351"/>
      <c r="BM48" s="1351"/>
      <c r="BN48" s="1351"/>
      <c r="BO48" s="1351"/>
      <c r="BP48" s="1351"/>
      <c r="BQ48" s="1351"/>
      <c r="BR48" s="1351"/>
      <c r="BS48" s="1351"/>
      <c r="BT48" s="952"/>
      <c r="BU48" s="1383"/>
      <c r="BV48" s="1383" t="s">
        <v>567</v>
      </c>
      <c r="BW48" s="1384" t="s">
        <v>1151</v>
      </c>
      <c r="BX48" s="1148"/>
      <c r="BY48" s="1148"/>
      <c r="BZ48" s="1148"/>
      <c r="CA48" s="1385" t="e">
        <f t="shared" ca="1" si="5"/>
        <v>#REF!</v>
      </c>
      <c r="CB48" s="1385" t="e">
        <f t="shared" ca="1" si="5"/>
        <v>#REF!</v>
      </c>
      <c r="CC48" s="1385" t="e">
        <f t="shared" ca="1" si="5"/>
        <v>#REF!</v>
      </c>
      <c r="CD48" s="1385">
        <f t="shared" ca="1" si="5"/>
        <v>0</v>
      </c>
      <c r="CE48" s="1351"/>
    </row>
    <row r="49" spans="1:84" s="532" customFormat="1" ht="21.75" customHeight="1">
      <c r="A49" s="1971"/>
      <c r="B49" s="1973"/>
      <c r="C49" s="1393"/>
      <c r="D49" s="1393"/>
      <c r="E49" s="1393" t="s">
        <v>1030</v>
      </c>
      <c r="F49" s="121"/>
      <c r="G49" s="1493">
        <v>1</v>
      </c>
      <c r="H49" s="1493">
        <v>4</v>
      </c>
      <c r="I49" s="1493">
        <v>1</v>
      </c>
      <c r="J49" s="1493"/>
      <c r="K49" s="1493">
        <v>2</v>
      </c>
      <c r="L49" s="1493">
        <v>4</v>
      </c>
      <c r="M49" s="1493">
        <v>1</v>
      </c>
      <c r="N49" s="1493">
        <v>4</v>
      </c>
      <c r="O49" s="1493">
        <v>2</v>
      </c>
      <c r="P49" s="1493">
        <v>2</v>
      </c>
      <c r="Q49" s="1493">
        <v>2</v>
      </c>
      <c r="R49" s="1493">
        <v>2</v>
      </c>
      <c r="S49" s="1493">
        <v>2</v>
      </c>
      <c r="T49" s="1493">
        <v>2</v>
      </c>
      <c r="U49" s="1493">
        <v>2</v>
      </c>
      <c r="V49" s="1493">
        <v>2</v>
      </c>
      <c r="W49" s="1493">
        <v>2</v>
      </c>
      <c r="X49" s="1493">
        <v>2</v>
      </c>
      <c r="Y49" s="1493">
        <v>4</v>
      </c>
      <c r="Z49" s="1493">
        <v>2</v>
      </c>
      <c r="AA49" s="1493">
        <v>2</v>
      </c>
      <c r="AB49" s="1493">
        <v>2</v>
      </c>
      <c r="AC49" s="1398"/>
      <c r="AD49" s="1395"/>
      <c r="AE49" s="1395"/>
      <c r="AF49" s="1395"/>
      <c r="AG49" s="1215"/>
      <c r="AH49" s="1398"/>
      <c r="AI49" s="1395"/>
      <c r="AJ49" s="1395"/>
      <c r="AK49" s="1395"/>
      <c r="AM49" s="1645" t="s">
        <v>1833</v>
      </c>
      <c r="AN49" s="1648">
        <v>4</v>
      </c>
      <c r="AO49" s="532" t="s">
        <v>1313</v>
      </c>
      <c r="AP49" s="532" t="s">
        <v>1387</v>
      </c>
      <c r="AQ49" s="532" t="s">
        <v>1370</v>
      </c>
      <c r="AR49" s="532" t="s">
        <v>1371</v>
      </c>
      <c r="AS49" s="1712" t="s">
        <v>1802</v>
      </c>
      <c r="AT49" s="532" t="s">
        <v>1803</v>
      </c>
      <c r="AU49" s="532" t="s">
        <v>1804</v>
      </c>
      <c r="AV49" s="532" t="s">
        <v>1805</v>
      </c>
      <c r="AW49" s="1351"/>
      <c r="AX49" s="1351"/>
      <c r="AY49" s="1351"/>
      <c r="AZ49" s="1351"/>
      <c r="BA49" s="1351"/>
      <c r="BB49" s="1351"/>
      <c r="BC49" s="1353"/>
      <c r="BD49" s="1354"/>
      <c r="BE49" s="1354"/>
      <c r="BF49" s="1351"/>
      <c r="BG49" s="1351"/>
      <c r="BH49" s="1736"/>
      <c r="BI49" s="1351"/>
      <c r="BJ49" s="1351"/>
      <c r="BK49" s="1351"/>
      <c r="BL49" s="1351"/>
      <c r="BM49" s="1351"/>
      <c r="BN49" s="1351"/>
      <c r="BO49" s="1351"/>
      <c r="BP49" s="1353"/>
      <c r="BQ49" s="1351"/>
      <c r="BR49" s="1351"/>
      <c r="BS49" s="1351"/>
      <c r="BT49" s="952"/>
      <c r="BU49" s="1383"/>
      <c r="BV49" s="1383" t="s">
        <v>565</v>
      </c>
      <c r="BW49" s="1384" t="s">
        <v>1235</v>
      </c>
      <c r="BX49" s="1148"/>
      <c r="BY49" s="1148"/>
      <c r="BZ49" s="1148"/>
      <c r="CA49" s="1385" t="e">
        <f t="shared" ca="1" si="5"/>
        <v>#REF!</v>
      </c>
      <c r="CB49" s="1385" t="e">
        <f t="shared" ca="1" si="5"/>
        <v>#REF!</v>
      </c>
      <c r="CC49" s="1385" t="e">
        <f t="shared" ca="1" si="5"/>
        <v>#REF!</v>
      </c>
      <c r="CD49" s="1385">
        <f t="shared" ca="1" si="5"/>
        <v>0</v>
      </c>
      <c r="CE49" s="1351"/>
    </row>
    <row r="50" spans="1:84" s="532" customFormat="1" ht="21" customHeight="1">
      <c r="A50" s="1971"/>
      <c r="B50" s="1973"/>
      <c r="C50" s="1393"/>
      <c r="D50" s="1393"/>
      <c r="E50" s="1393" t="s">
        <v>1189</v>
      </c>
      <c r="F50" s="121"/>
      <c r="G50" s="1493">
        <v>1</v>
      </c>
      <c r="H50" s="1493">
        <v>2</v>
      </c>
      <c r="I50" s="1493">
        <v>1</v>
      </c>
      <c r="J50" s="1493"/>
      <c r="K50" s="1493">
        <v>2</v>
      </c>
      <c r="L50" s="1665">
        <v>2</v>
      </c>
      <c r="M50" s="1493">
        <v>1</v>
      </c>
      <c r="N50" s="1493">
        <v>2</v>
      </c>
      <c r="O50" s="1493">
        <v>2</v>
      </c>
      <c r="P50" s="1493">
        <v>2</v>
      </c>
      <c r="Q50" s="1493">
        <v>2</v>
      </c>
      <c r="R50" s="1493">
        <v>2</v>
      </c>
      <c r="S50" s="1493">
        <v>2</v>
      </c>
      <c r="T50" s="1493">
        <v>2</v>
      </c>
      <c r="U50" s="1493">
        <v>2</v>
      </c>
      <c r="V50" s="1493">
        <v>2</v>
      </c>
      <c r="W50" s="1493">
        <v>2</v>
      </c>
      <c r="X50" s="1493">
        <v>2</v>
      </c>
      <c r="Y50" s="1493">
        <v>2</v>
      </c>
      <c r="Z50" s="1493">
        <v>2</v>
      </c>
      <c r="AA50" s="1493">
        <v>2</v>
      </c>
      <c r="AB50" s="1493">
        <v>2</v>
      </c>
      <c r="AC50" s="1398"/>
      <c r="AD50" s="1395"/>
      <c r="AE50" s="1395"/>
      <c r="AF50" s="1395"/>
      <c r="AG50" s="1215"/>
      <c r="AH50" s="1398"/>
      <c r="AI50" s="1395"/>
      <c r="AJ50" s="1395"/>
      <c r="AK50" s="1395"/>
      <c r="AM50" s="1645" t="s">
        <v>1639</v>
      </c>
      <c r="AN50" s="1648" t="s">
        <v>1006</v>
      </c>
      <c r="AO50" s="532" t="s">
        <v>1314</v>
      </c>
      <c r="AP50" s="532" t="s">
        <v>1312</v>
      </c>
      <c r="AQ50" s="532" t="s">
        <v>1745</v>
      </c>
      <c r="AR50" s="532" t="s">
        <v>1745</v>
      </c>
      <c r="AS50" s="1712" t="s">
        <v>1808</v>
      </c>
      <c r="AT50" s="532" t="s">
        <v>1809</v>
      </c>
      <c r="AU50" s="532" t="s">
        <v>1809</v>
      </c>
      <c r="AV50" s="532" t="s">
        <v>1809</v>
      </c>
      <c r="AW50" s="1351"/>
      <c r="AX50" s="1351"/>
      <c r="AY50" s="1351"/>
      <c r="AZ50" s="1351"/>
      <c r="BA50" s="1351"/>
      <c r="BB50" s="1351"/>
      <c r="BC50" s="1353"/>
      <c r="BD50" s="1354"/>
      <c r="BE50" s="1354"/>
      <c r="BF50" s="1351"/>
      <c r="BG50" s="1351"/>
      <c r="BH50" s="1736"/>
      <c r="BI50" s="1351"/>
      <c r="BJ50" s="1351"/>
      <c r="BK50" s="1351"/>
      <c r="BL50" s="1351"/>
      <c r="BM50" s="1351"/>
      <c r="BN50" s="1351"/>
      <c r="BO50" s="1351"/>
      <c r="BP50" s="1353"/>
      <c r="BQ50" s="1351"/>
      <c r="BR50" s="1351"/>
      <c r="BS50" s="1351"/>
      <c r="BT50" s="952"/>
      <c r="BU50" s="1363"/>
      <c r="BV50" s="1363"/>
      <c r="BW50" s="1351"/>
      <c r="BX50" s="1351"/>
      <c r="BY50" s="1351"/>
      <c r="BZ50" s="1351"/>
      <c r="CA50" s="1351"/>
      <c r="CB50" s="1351"/>
      <c r="CC50" s="1351"/>
      <c r="CD50" s="1351"/>
      <c r="CE50" s="1351"/>
    </row>
    <row r="51" spans="1:84" s="532" customFormat="1" ht="20.25" customHeight="1">
      <c r="A51" s="805" t="s">
        <v>1742</v>
      </c>
      <c r="B51" s="1636"/>
      <c r="C51" s="1636"/>
      <c r="D51" s="1636"/>
      <c r="E51" s="1636"/>
      <c r="F51" s="1636"/>
      <c r="G51" s="1636"/>
      <c r="H51" s="1636"/>
      <c r="I51" s="1636"/>
      <c r="J51" s="1636"/>
      <c r="K51" s="1636"/>
      <c r="L51" s="1636"/>
      <c r="M51" s="1636"/>
      <c r="N51" s="1636"/>
      <c r="O51" s="1636"/>
      <c r="P51" s="1636"/>
      <c r="Q51" s="1636"/>
      <c r="R51" s="1636"/>
      <c r="S51" s="1636"/>
      <c r="T51" s="1636"/>
      <c r="U51" s="1636"/>
      <c r="V51" s="1636"/>
      <c r="W51" s="1636"/>
      <c r="X51" s="1636"/>
      <c r="Y51" s="1636"/>
      <c r="Z51" s="1636"/>
      <c r="AA51" s="1636"/>
      <c r="AB51" s="1636"/>
      <c r="AC51" s="1636"/>
      <c r="AD51" s="1636"/>
      <c r="AE51" s="1636"/>
      <c r="AF51" s="1636"/>
      <c r="AG51" s="1636"/>
      <c r="AH51" s="1636"/>
      <c r="AI51" s="1636"/>
      <c r="AJ51" s="1636"/>
      <c r="AK51" s="1636"/>
      <c r="AM51" s="1636"/>
      <c r="AN51" s="1649"/>
      <c r="AS51" s="1712"/>
      <c r="AW51" s="1351"/>
      <c r="AX51" s="1351"/>
      <c r="AY51" s="1351"/>
      <c r="AZ51" s="1351"/>
      <c r="BA51" s="1351"/>
      <c r="BB51" s="1351"/>
      <c r="BC51" s="1353"/>
      <c r="BD51" s="1354"/>
      <c r="BE51" s="1354"/>
      <c r="BF51" s="1351"/>
      <c r="BG51" s="1351"/>
      <c r="BH51" s="1737"/>
      <c r="BI51" s="1351"/>
      <c r="BJ51" s="1351"/>
      <c r="BK51" s="1351"/>
      <c r="BL51" s="1351"/>
      <c r="BM51" s="1351"/>
      <c r="BN51" s="1351"/>
      <c r="BO51" s="1351"/>
      <c r="BP51" s="1353"/>
      <c r="BQ51" s="1351"/>
      <c r="BR51" s="1351"/>
      <c r="BS51" s="1351"/>
      <c r="BT51" s="952"/>
      <c r="BU51" s="1363"/>
      <c r="BV51" s="1363"/>
      <c r="BW51" s="1351"/>
      <c r="BX51" s="1351"/>
      <c r="BY51" s="1351"/>
      <c r="BZ51" s="1351"/>
      <c r="CA51" s="1351"/>
      <c r="CB51" s="1351"/>
      <c r="CC51" s="1351"/>
      <c r="CD51" s="1351"/>
      <c r="CE51" s="1351"/>
    </row>
    <row r="52" spans="1:84" s="532" customFormat="1" ht="21" customHeight="1">
      <c r="A52" s="1971" t="s">
        <v>423</v>
      </c>
      <c r="B52" s="1972"/>
      <c r="C52" s="802"/>
      <c r="D52" s="801" t="s">
        <v>733</v>
      </c>
      <c r="E52" s="801" t="str">
        <f>INDEX(Modules[Module], MATCH($D52, Modules[Code], 0))</f>
        <v>Geosequestration</v>
      </c>
      <c r="F52" s="121"/>
      <c r="G52" s="1493">
        <v>1</v>
      </c>
      <c r="H52" s="1493">
        <v>1</v>
      </c>
      <c r="I52" s="1493">
        <v>1</v>
      </c>
      <c r="J52" s="1493"/>
      <c r="K52" s="1493">
        <v>1</v>
      </c>
      <c r="L52" s="1665">
        <v>1</v>
      </c>
      <c r="M52" s="1493">
        <v>1</v>
      </c>
      <c r="N52" s="1493">
        <v>1</v>
      </c>
      <c r="O52" s="1493">
        <v>1</v>
      </c>
      <c r="P52" s="1493">
        <v>1</v>
      </c>
      <c r="Q52" s="1493">
        <v>1</v>
      </c>
      <c r="R52" s="1493">
        <v>1</v>
      </c>
      <c r="S52" s="1493">
        <v>1</v>
      </c>
      <c r="T52" s="1493">
        <v>1</v>
      </c>
      <c r="U52" s="1493">
        <v>1</v>
      </c>
      <c r="V52" s="1493">
        <v>1</v>
      </c>
      <c r="W52" s="1493">
        <v>1</v>
      </c>
      <c r="X52" s="1493">
        <v>1</v>
      </c>
      <c r="Y52" s="1493">
        <v>1</v>
      </c>
      <c r="Z52" s="1493">
        <v>1</v>
      </c>
      <c r="AA52" s="1493">
        <v>2</v>
      </c>
      <c r="AB52" s="1493">
        <v>1</v>
      </c>
      <c r="AC52" s="807"/>
      <c r="AD52" s="807"/>
      <c r="AE52" s="807"/>
      <c r="AF52" s="807"/>
      <c r="AG52" s="1215"/>
      <c r="AH52" s="807"/>
      <c r="AI52" s="807"/>
      <c r="AJ52" s="807"/>
      <c r="AK52" s="807"/>
      <c r="AL52" s="121"/>
      <c r="AM52" s="1384" t="s">
        <v>423</v>
      </c>
      <c r="AN52" s="1647">
        <v>4</v>
      </c>
      <c r="AO52" s="532" t="s">
        <v>1374</v>
      </c>
      <c r="AP52" s="532" t="s">
        <v>1315</v>
      </c>
      <c r="AQ52" s="532" t="s">
        <v>1495</v>
      </c>
      <c r="AR52" s="532" t="s">
        <v>1496</v>
      </c>
      <c r="AS52" s="1712" t="s">
        <v>1374</v>
      </c>
      <c r="AT52" s="532" t="s">
        <v>1810</v>
      </c>
      <c r="AU52" s="532" t="s">
        <v>1811</v>
      </c>
      <c r="AV52" s="532" t="s">
        <v>1812</v>
      </c>
      <c r="AW52" s="1351"/>
      <c r="AX52" s="1351"/>
      <c r="AY52" s="1351"/>
      <c r="AZ52" s="1351"/>
      <c r="BA52" s="1351"/>
      <c r="BB52" s="1351"/>
      <c r="BC52" s="1353"/>
      <c r="BD52" s="1354"/>
      <c r="BE52" s="1354"/>
      <c r="BF52" s="1351"/>
      <c r="BG52" s="1351"/>
      <c r="BH52" s="1737"/>
      <c r="BI52" s="1351"/>
      <c r="BJ52" s="1351"/>
      <c r="BK52" s="1351"/>
      <c r="BL52" s="1351"/>
      <c r="BM52" s="1351"/>
      <c r="BN52" s="1351"/>
      <c r="BO52" s="1351"/>
      <c r="BP52" s="1353"/>
      <c r="BQ52" s="1351"/>
      <c r="BR52" s="1351"/>
      <c r="BS52" s="1351"/>
      <c r="BT52" s="952"/>
      <c r="BU52" s="1363"/>
      <c r="BV52" s="1363"/>
      <c r="BW52" s="1351"/>
      <c r="BX52" s="1351"/>
      <c r="BY52" s="1351"/>
      <c r="BZ52" s="1351"/>
      <c r="CA52" s="1351"/>
      <c r="CB52" s="1351"/>
      <c r="CC52" s="1351"/>
      <c r="CD52" s="1351"/>
      <c r="CE52" s="1351"/>
    </row>
    <row r="53" spans="1:84" s="532" customFormat="1" ht="21" customHeight="1">
      <c r="A53" s="1971" t="s">
        <v>1580</v>
      </c>
      <c r="B53" s="1971"/>
      <c r="C53" s="801"/>
      <c r="D53" s="801" t="s">
        <v>646</v>
      </c>
      <c r="E53" s="801" t="str">
        <f>INDEX(Modules[Module], MATCH($D53, Modules[Code], 0))</f>
        <v>Storage, demand shifting, interconnection</v>
      </c>
      <c r="F53"/>
      <c r="G53" s="1493">
        <v>1</v>
      </c>
      <c r="H53" s="1493">
        <v>1</v>
      </c>
      <c r="I53" s="1493">
        <v>1</v>
      </c>
      <c r="J53" s="1493"/>
      <c r="K53" s="1493">
        <v>2</v>
      </c>
      <c r="L53" s="1493">
        <v>2</v>
      </c>
      <c r="M53" s="1493">
        <v>2</v>
      </c>
      <c r="N53" s="1493">
        <v>2</v>
      </c>
      <c r="O53" s="1493">
        <v>4</v>
      </c>
      <c r="P53" s="1493">
        <v>1</v>
      </c>
      <c r="Q53" s="1493">
        <v>4</v>
      </c>
      <c r="R53" s="1493">
        <v>4</v>
      </c>
      <c r="S53" s="1493">
        <v>2</v>
      </c>
      <c r="T53" s="1493">
        <v>2</v>
      </c>
      <c r="U53" s="1493">
        <v>4</v>
      </c>
      <c r="V53" s="1493">
        <v>4</v>
      </c>
      <c r="W53" s="1493">
        <v>2</v>
      </c>
      <c r="X53" s="1493">
        <v>2</v>
      </c>
      <c r="Y53" s="1493">
        <v>4</v>
      </c>
      <c r="Z53" s="1493">
        <v>2</v>
      </c>
      <c r="AA53" s="1493">
        <v>4</v>
      </c>
      <c r="AB53" s="1493">
        <v>2</v>
      </c>
      <c r="AC53" s="798"/>
      <c r="AD53" s="798"/>
      <c r="AE53" s="798"/>
      <c r="AF53" s="798"/>
      <c r="AG53" s="1116"/>
      <c r="AH53" s="798"/>
      <c r="AI53" s="798"/>
      <c r="AJ53" s="798"/>
      <c r="AK53" s="798"/>
      <c r="AL53"/>
      <c r="AM53" s="1384" t="s">
        <v>1640</v>
      </c>
      <c r="AN53" s="1647">
        <v>4</v>
      </c>
      <c r="AO53" s="532" t="s">
        <v>1350</v>
      </c>
      <c r="AP53" s="532" t="s">
        <v>1351</v>
      </c>
      <c r="AQ53" s="532" t="s">
        <v>1352</v>
      </c>
      <c r="AR53" s="532" t="s">
        <v>1353</v>
      </c>
      <c r="AS53" s="1712" t="s">
        <v>1816</v>
      </c>
      <c r="AT53" s="532" t="s">
        <v>1815</v>
      </c>
      <c r="AU53" s="532" t="s">
        <v>1814</v>
      </c>
      <c r="AV53" s="532" t="s">
        <v>1813</v>
      </c>
      <c r="AW53" s="1351"/>
      <c r="AX53" s="1351"/>
      <c r="AY53" s="1351"/>
      <c r="AZ53" s="1351"/>
      <c r="BA53" s="1351"/>
      <c r="BB53" s="1351"/>
      <c r="BC53" s="1353"/>
      <c r="BD53" s="1354"/>
      <c r="BE53" s="1354"/>
      <c r="BF53" s="1351"/>
      <c r="BG53" s="1351"/>
      <c r="BH53" s="1737"/>
      <c r="BI53" s="1351"/>
      <c r="BJ53" s="1351"/>
      <c r="BK53" s="1351"/>
      <c r="BL53" s="1351"/>
      <c r="BM53" s="1351"/>
      <c r="BN53" s="1351"/>
      <c r="BO53" s="1351"/>
      <c r="BP53" s="1353"/>
      <c r="BQ53" s="1351"/>
      <c r="BR53" s="1351"/>
      <c r="BS53" s="1351"/>
      <c r="BT53" s="952"/>
      <c r="BU53" s="1363"/>
      <c r="BV53" s="1363"/>
      <c r="BW53" s="1351"/>
      <c r="BX53" s="1351"/>
      <c r="BY53" s="1351"/>
      <c r="BZ53" s="1351"/>
      <c r="CA53" s="1351"/>
      <c r="CB53" s="1351"/>
      <c r="CC53" s="1351"/>
      <c r="CD53" s="1351"/>
      <c r="CE53" s="1351"/>
    </row>
    <row r="54" spans="1:84" s="532" customFormat="1" ht="20.25" customHeight="1">
      <c r="B54" s="1637"/>
      <c r="F54"/>
      <c r="G54" s="121"/>
      <c r="H54" s="1715"/>
      <c r="I54" s="1715"/>
      <c r="J54" s="121"/>
      <c r="K54" s="1660"/>
      <c r="L54" s="1660"/>
      <c r="M54" s="1660"/>
      <c r="N54" s="1660"/>
      <c r="O54" s="1660"/>
      <c r="P54" s="1660"/>
      <c r="Q54" s="1660"/>
      <c r="R54" s="1660"/>
      <c r="S54" s="1660"/>
      <c r="T54" s="1660"/>
      <c r="U54" s="1660"/>
      <c r="V54" s="1660"/>
      <c r="W54" s="1660"/>
      <c r="X54" s="1660"/>
      <c r="Y54" s="1660"/>
      <c r="Z54" s="1660"/>
      <c r="AA54" s="1660"/>
      <c r="AB54" s="1704"/>
      <c r="AG54" s="1116"/>
      <c r="AH54" s="121"/>
      <c r="AI54" s="121"/>
      <c r="AJ54" s="121"/>
      <c r="AK54" s="121"/>
      <c r="AL54"/>
      <c r="AN54" s="605"/>
      <c r="AO54" s="121"/>
      <c r="AP54" s="121"/>
      <c r="AQ54" s="121"/>
      <c r="AR54" s="121"/>
      <c r="AS54" s="1707"/>
      <c r="AT54" s="1707"/>
      <c r="AU54" s="1707"/>
      <c r="AV54" s="1707"/>
      <c r="AW54" s="121"/>
      <c r="AX54"/>
      <c r="AY54" s="537"/>
      <c r="AZ54" s="537"/>
      <c r="BA54" s="1247"/>
      <c r="BB54" s="537"/>
      <c r="BC54" s="537"/>
      <c r="BD54" s="537"/>
      <c r="BE54" s="537"/>
      <c r="BF54" s="537"/>
      <c r="BG54" s="1372"/>
      <c r="BH54" s="1736"/>
      <c r="BI54" s="1736"/>
      <c r="BJ54" s="1372"/>
      <c r="BK54" s="1372"/>
      <c r="BL54" s="1372"/>
      <c r="BM54" s="1372"/>
      <c r="BN54" s="1372"/>
      <c r="BO54" s="1372"/>
      <c r="BP54" s="1372"/>
      <c r="BQ54" s="1372"/>
      <c r="BR54" s="1372"/>
      <c r="BS54" s="1372"/>
      <c r="BT54" s="952"/>
      <c r="BU54" s="952"/>
    </row>
    <row r="55" spans="1:84" s="532" customFormat="1" ht="20.25" customHeight="1">
      <c r="A55" s="1557" t="s">
        <v>1870</v>
      </c>
      <c r="B55" s="24"/>
      <c r="F55"/>
      <c r="G55" s="121"/>
      <c r="H55" s="1715"/>
      <c r="I55" s="1715"/>
      <c r="J55" s="121"/>
      <c r="K55" s="1660"/>
      <c r="L55" s="1660"/>
      <c r="M55" s="1660"/>
      <c r="N55" s="1660"/>
      <c r="O55" s="1660"/>
      <c r="P55" s="1660"/>
      <c r="Q55" s="1660"/>
      <c r="R55" s="1660"/>
      <c r="S55" s="1660"/>
      <c r="T55" s="1660"/>
      <c r="U55" s="1660"/>
      <c r="V55" s="1660"/>
      <c r="W55" s="1660"/>
      <c r="X55" s="1660"/>
      <c r="Y55" s="1660"/>
      <c r="Z55" s="1660"/>
      <c r="AA55" s="1660"/>
      <c r="AB55" s="803"/>
      <c r="AG55" s="1116"/>
      <c r="AH55" s="121"/>
      <c r="AI55" s="121"/>
      <c r="AJ55" s="121"/>
      <c r="AK55" s="121"/>
      <c r="AL55"/>
      <c r="AN55" s="605"/>
      <c r="AW55" s="121"/>
      <c r="AX55"/>
      <c r="AY55" s="537"/>
      <c r="AZ55" s="537"/>
      <c r="BA55" s="1247"/>
      <c r="BB55" s="537"/>
      <c r="BC55" s="537"/>
      <c r="BD55" s="537"/>
      <c r="BE55" s="537"/>
      <c r="BF55" s="537"/>
      <c r="BG55" s="1372"/>
      <c r="BH55" s="1736"/>
      <c r="BI55" s="1736"/>
      <c r="BJ55" s="1372"/>
      <c r="BK55" s="1372"/>
      <c r="BL55" s="1372"/>
      <c r="BM55" s="1372"/>
      <c r="BN55" s="1372"/>
      <c r="BO55" s="1372"/>
      <c r="BP55" s="1372"/>
      <c r="BQ55" s="1372"/>
      <c r="BR55" s="1372"/>
      <c r="BS55" s="1372"/>
      <c r="BT55" s="952"/>
      <c r="BU55" s="952"/>
      <c r="CE55" s="1372"/>
      <c r="CF55" s="1372"/>
    </row>
    <row r="56" spans="1:84" s="532" customFormat="1" ht="20.25" customHeight="1">
      <c r="A56" s="24"/>
      <c r="B56" s="24"/>
      <c r="D56" s="799"/>
      <c r="E56" s="799"/>
      <c r="F56"/>
      <c r="G56" s="121"/>
      <c r="H56" s="1715"/>
      <c r="I56" s="1715"/>
      <c r="J56" s="121"/>
      <c r="K56" s="1660"/>
      <c r="L56" s="1660"/>
      <c r="M56" s="1660"/>
      <c r="N56" s="1660"/>
      <c r="O56" s="1660"/>
      <c r="P56" s="1660"/>
      <c r="Q56" s="1660"/>
      <c r="R56" s="1660"/>
      <c r="S56" s="1660"/>
      <c r="T56" s="1660"/>
      <c r="U56" s="1660"/>
      <c r="V56" s="1660"/>
      <c r="W56" s="1660"/>
      <c r="X56" s="1660"/>
      <c r="Y56" s="1660"/>
      <c r="Z56" s="1660"/>
      <c r="AA56" s="1660"/>
      <c r="AB56" s="804"/>
      <c r="AC56" s="800"/>
      <c r="AD56" s="800"/>
      <c r="AE56" s="800"/>
      <c r="AF56" s="800"/>
      <c r="AG56" s="1116"/>
      <c r="AH56" s="121"/>
      <c r="AI56" s="121"/>
      <c r="AJ56" s="121"/>
      <c r="AK56" s="121"/>
      <c r="AL56"/>
      <c r="AM56" s="38"/>
      <c r="AN56" s="510"/>
      <c r="AW56" s="121"/>
      <c r="AX56"/>
      <c r="AY56" s="537"/>
      <c r="AZ56" s="537"/>
      <c r="BA56" s="1247"/>
      <c r="BB56" s="537"/>
      <c r="BC56" s="537"/>
      <c r="BD56" s="537"/>
      <c r="BE56" s="537"/>
      <c r="BF56" s="537"/>
      <c r="BH56" s="1736"/>
      <c r="BI56" s="1736"/>
      <c r="BT56" s="952"/>
      <c r="BU56" s="952"/>
      <c r="BV56" s="1372"/>
      <c r="BW56" s="1372"/>
      <c r="BX56" s="1372"/>
      <c r="BY56" s="1372"/>
      <c r="BZ56" s="1372"/>
      <c r="CA56" s="1372"/>
      <c r="CB56" s="1372"/>
      <c r="CC56" s="1372"/>
      <c r="CD56" s="1372"/>
      <c r="CE56" s="1372"/>
      <c r="CF56" s="1372"/>
    </row>
    <row r="57" spans="1:84" s="532" customFormat="1" ht="12" customHeight="1">
      <c r="A57" s="24"/>
      <c r="B57" s="24"/>
      <c r="F57"/>
      <c r="G57" s="121"/>
      <c r="H57" s="1715"/>
      <c r="I57" s="1715"/>
      <c r="J57" s="121"/>
      <c r="K57" s="1660"/>
      <c r="L57" s="1660"/>
      <c r="M57" s="1660"/>
      <c r="N57" s="1660"/>
      <c r="O57" s="1660"/>
      <c r="P57" s="1660"/>
      <c r="Q57" s="1660"/>
      <c r="R57" s="1660"/>
      <c r="S57" s="1660"/>
      <c r="T57" s="1660"/>
      <c r="U57" s="1660"/>
      <c r="V57" s="1660"/>
      <c r="W57" s="1660"/>
      <c r="X57" s="1660"/>
      <c r="Y57" s="1660"/>
      <c r="Z57" s="1660"/>
      <c r="AA57" s="1660"/>
      <c r="AB57" s="803"/>
      <c r="AG57" s="1116"/>
      <c r="AH57" s="121"/>
      <c r="AI57" s="121"/>
      <c r="AJ57" s="121"/>
      <c r="AK57" s="121"/>
      <c r="AL57"/>
      <c r="AN57" s="605"/>
      <c r="AO57" s="121"/>
      <c r="AP57" s="121"/>
      <c r="AQ57" s="121"/>
      <c r="AR57" s="121"/>
      <c r="AS57" s="1707"/>
      <c r="AT57" s="1707"/>
      <c r="AU57" s="1707"/>
      <c r="AV57" s="1707"/>
      <c r="AW57"/>
      <c r="AX57"/>
      <c r="AY57" s="537"/>
      <c r="AZ57" s="537"/>
      <c r="BA57" s="1247"/>
      <c r="BB57" s="537"/>
      <c r="BC57" s="537"/>
      <c r="BD57" s="537"/>
      <c r="BE57" s="537"/>
      <c r="BF57" s="537"/>
      <c r="BH57" s="1736"/>
      <c r="BI57" s="1736"/>
      <c r="BJ57" s="1372"/>
      <c r="BK57" s="1372"/>
      <c r="BL57" s="1372"/>
      <c r="BM57" s="1372"/>
      <c r="BN57" s="1372"/>
      <c r="BO57" s="1372"/>
      <c r="BP57" s="1372"/>
      <c r="BQ57" s="1372"/>
      <c r="BR57" s="1372"/>
      <c r="BS57" s="1372"/>
      <c r="BT57" s="952"/>
      <c r="BU57" s="952"/>
      <c r="BV57" s="1372"/>
      <c r="BW57" s="1372"/>
      <c r="BX57" s="1372"/>
      <c r="BY57" s="1372"/>
      <c r="BZ57" s="1372"/>
      <c r="CA57" s="1372"/>
      <c r="CB57" s="1372"/>
      <c r="CC57" s="1372"/>
      <c r="CD57" s="1372"/>
      <c r="CE57" s="1372"/>
    </row>
    <row r="58" spans="1:84" s="532" customFormat="1" ht="21" customHeight="1">
      <c r="A58" s="24"/>
      <c r="B58" s="24"/>
      <c r="F58" s="1635"/>
      <c r="G58" s="1635"/>
      <c r="H58" s="1715"/>
      <c r="I58" s="1715"/>
      <c r="J58" s="1635"/>
      <c r="K58" s="1660"/>
      <c r="L58" s="1660"/>
      <c r="M58" s="1660"/>
      <c r="N58" s="1660"/>
      <c r="O58" s="1660"/>
      <c r="P58" s="1660"/>
      <c r="Q58" s="1660"/>
      <c r="R58" s="1660"/>
      <c r="S58" s="1660"/>
      <c r="T58" s="1660"/>
      <c r="U58" s="1660"/>
      <c r="V58" s="1660"/>
      <c r="W58" s="1660"/>
      <c r="X58" s="1660"/>
      <c r="Y58" s="1660"/>
      <c r="Z58" s="1660"/>
      <c r="AA58" s="1660"/>
      <c r="AB58" s="803"/>
      <c r="AG58" s="1116"/>
      <c r="AH58" s="1635"/>
      <c r="AI58" s="1635"/>
      <c r="AJ58" s="1635"/>
      <c r="AK58" s="1635"/>
      <c r="AL58" s="1635"/>
      <c r="AN58" s="605"/>
      <c r="AO58" s="1635"/>
      <c r="AP58" s="1635"/>
      <c r="AQ58" s="1635"/>
      <c r="AR58" s="1635"/>
      <c r="AS58" s="1707"/>
      <c r="AT58" s="1707"/>
      <c r="AU58" s="1707"/>
      <c r="AV58" s="1707"/>
      <c r="BH58" s="1736"/>
      <c r="BI58" s="1736"/>
      <c r="BJ58" s="1372"/>
      <c r="BK58" s="1372"/>
      <c r="BL58" s="1372"/>
      <c r="BM58" s="1372"/>
      <c r="BN58" s="1372"/>
      <c r="BO58" s="1372"/>
      <c r="BP58" s="1372"/>
      <c r="BQ58" s="1372"/>
      <c r="BR58" s="1372"/>
      <c r="BS58" s="1372"/>
      <c r="BT58" s="952"/>
      <c r="BU58" s="952"/>
      <c r="BV58" s="1372"/>
      <c r="BW58" s="1372"/>
      <c r="BX58" s="1372"/>
      <c r="BY58" s="1372"/>
      <c r="BZ58" s="1372"/>
      <c r="CA58" s="1372"/>
      <c r="CB58" s="1372"/>
      <c r="CC58" s="1372"/>
      <c r="CD58" s="1372"/>
    </row>
    <row r="59" spans="1:84" s="532" customFormat="1" ht="20.25" customHeight="1">
      <c r="A59" s="24"/>
      <c r="B59" s="24"/>
      <c r="F59" s="1635"/>
      <c r="G59" s="1635"/>
      <c r="H59" s="1715"/>
      <c r="I59" s="1715"/>
      <c r="J59" s="1635"/>
      <c r="K59" s="1660"/>
      <c r="L59" s="1660"/>
      <c r="M59" s="1660"/>
      <c r="N59" s="1660"/>
      <c r="O59" s="1660"/>
      <c r="P59" s="1660"/>
      <c r="Q59" s="1660"/>
      <c r="R59" s="1660"/>
      <c r="S59" s="1660"/>
      <c r="T59" s="1660"/>
      <c r="U59" s="1660"/>
      <c r="V59" s="1660"/>
      <c r="W59" s="1660"/>
      <c r="X59" s="1660"/>
      <c r="Y59" s="1660"/>
      <c r="Z59" s="1660"/>
      <c r="AA59" s="1660"/>
      <c r="AB59" s="803"/>
      <c r="AG59" s="1116"/>
      <c r="AH59" s="1635"/>
      <c r="AI59" s="1635"/>
      <c r="AJ59" s="1635"/>
      <c r="AK59" s="1635"/>
      <c r="AL59" s="1635"/>
      <c r="AN59" s="605"/>
      <c r="AO59" s="1635"/>
      <c r="AP59" s="1635"/>
      <c r="AQ59" s="1635"/>
      <c r="AR59" s="1635"/>
      <c r="AS59" s="1707"/>
      <c r="AT59" s="1707"/>
      <c r="AU59" s="1707"/>
      <c r="AV59" s="1707"/>
      <c r="BH59" s="1736"/>
      <c r="BI59" s="1736"/>
      <c r="BK59" s="1372"/>
      <c r="BL59" s="1372"/>
      <c r="BM59" s="1372"/>
      <c r="BN59" s="1372"/>
      <c r="BO59" s="1372"/>
      <c r="BP59" s="1372"/>
      <c r="BQ59" s="1372"/>
      <c r="BR59" s="1372"/>
      <c r="BS59" s="1372"/>
      <c r="BT59" s="952"/>
      <c r="BU59" s="952"/>
    </row>
    <row r="60" spans="1:84" s="532" customFormat="1" ht="20.25" customHeight="1">
      <c r="A60" s="24"/>
      <c r="B60" s="24"/>
      <c r="F60" s="1635"/>
      <c r="G60" s="1635"/>
      <c r="H60" s="1715"/>
      <c r="I60" s="1715"/>
      <c r="J60" s="1635"/>
      <c r="K60" s="1660"/>
      <c r="L60" s="1660"/>
      <c r="M60" s="1660"/>
      <c r="N60" s="1660"/>
      <c r="O60" s="1660"/>
      <c r="P60" s="1660"/>
      <c r="Q60" s="1660"/>
      <c r="R60" s="1660"/>
      <c r="S60" s="1660"/>
      <c r="T60" s="1660"/>
      <c r="U60" s="1660"/>
      <c r="V60" s="1660"/>
      <c r="W60" s="1660"/>
      <c r="X60" s="1660"/>
      <c r="Y60" s="1660"/>
      <c r="Z60" s="1660"/>
      <c r="AA60" s="1660"/>
      <c r="AB60" s="803"/>
      <c r="AG60" s="1116"/>
      <c r="AH60" s="1635"/>
      <c r="AI60" s="1635"/>
      <c r="AJ60" s="1635"/>
      <c r="AK60" s="1635"/>
      <c r="AL60" s="1635"/>
      <c r="AN60" s="605"/>
      <c r="AO60" s="1635"/>
      <c r="AP60" s="1635"/>
      <c r="AQ60" s="1635"/>
      <c r="AR60" s="1635"/>
      <c r="AS60" s="1707"/>
      <c r="AT60" s="1707"/>
      <c r="AU60" s="1707"/>
      <c r="AV60" s="1707"/>
      <c r="BH60" s="1736"/>
      <c r="BI60" s="1736"/>
      <c r="BT60" s="952"/>
      <c r="BU60" s="952"/>
      <c r="BV60" s="1372"/>
      <c r="BW60" s="1372"/>
      <c r="CF60" s="1372"/>
    </row>
    <row r="61" spans="1:84" s="532" customFormat="1" ht="20.25" customHeight="1">
      <c r="A61" s="24"/>
      <c r="B61" s="24"/>
      <c r="F61" s="1635"/>
      <c r="G61" s="1635"/>
      <c r="H61" s="1715"/>
      <c r="I61" s="1715"/>
      <c r="J61" s="1635"/>
      <c r="K61" s="1660"/>
      <c r="L61" s="1660"/>
      <c r="M61" s="1660"/>
      <c r="N61" s="1660"/>
      <c r="O61" s="1660"/>
      <c r="P61" s="1660"/>
      <c r="Q61" s="1660"/>
      <c r="R61" s="1660"/>
      <c r="S61" s="1660"/>
      <c r="T61" s="1660"/>
      <c r="U61" s="1660"/>
      <c r="V61" s="1660"/>
      <c r="W61" s="1660"/>
      <c r="X61" s="1660"/>
      <c r="Y61" s="1660"/>
      <c r="Z61" s="1660"/>
      <c r="AA61" s="1660"/>
      <c r="AB61" s="803"/>
      <c r="AG61" s="1116"/>
      <c r="AH61" s="1635"/>
      <c r="AI61" s="1635"/>
      <c r="AJ61" s="1635"/>
      <c r="AK61" s="1635"/>
      <c r="AL61" s="1635"/>
      <c r="AN61" s="605"/>
      <c r="AO61" s="1635"/>
      <c r="AP61" s="1635"/>
      <c r="AQ61" s="1635"/>
      <c r="AR61" s="1635"/>
      <c r="AS61" s="1707"/>
      <c r="AT61" s="1707"/>
      <c r="AU61" s="1707"/>
      <c r="AV61" s="1707"/>
      <c r="BH61" s="1736"/>
      <c r="BI61" s="1736"/>
      <c r="BT61" s="952"/>
      <c r="BU61" s="952"/>
      <c r="BV61" s="1372"/>
      <c r="BW61" s="1372"/>
      <c r="CF61" s="1372"/>
    </row>
    <row r="62" spans="1:84" s="532" customFormat="1">
      <c r="A62" s="22"/>
      <c r="B62" s="24"/>
      <c r="AN62" s="605"/>
      <c r="BH62" s="1736"/>
      <c r="BI62" s="1736"/>
      <c r="BT62" s="952"/>
      <c r="BU62" s="952"/>
      <c r="BW62" s="1372"/>
      <c r="CF62" s="1372"/>
    </row>
    <row r="63" spans="1:84" s="532" customFormat="1">
      <c r="A63" s="22"/>
      <c r="B63" s="22"/>
      <c r="AN63" s="605"/>
      <c r="BH63" s="1736"/>
      <c r="BI63" s="1736"/>
      <c r="BT63" s="952"/>
      <c r="BU63" s="952"/>
    </row>
    <row r="64" spans="1:84" s="532" customFormat="1">
      <c r="A64" s="22"/>
      <c r="B64" s="24"/>
      <c r="AN64" s="605"/>
      <c r="BH64" s="1736"/>
      <c r="BI64" s="1736"/>
      <c r="BT64" s="952"/>
      <c r="BU64" s="952"/>
    </row>
    <row r="65" spans="1:82" s="532" customFormat="1">
      <c r="A65" s="24"/>
      <c r="B65" s="24"/>
      <c r="AN65" s="605"/>
      <c r="BH65" s="1736"/>
      <c r="BI65" s="1736"/>
      <c r="BT65" s="952"/>
      <c r="BU65" s="952"/>
    </row>
    <row r="66" spans="1:82" s="532" customFormat="1">
      <c r="A66" s="24"/>
      <c r="B66" s="22"/>
      <c r="AN66" s="605"/>
      <c r="BH66" s="1736"/>
      <c r="BI66" s="1736"/>
      <c r="BT66" s="952"/>
      <c r="BU66" s="952"/>
    </row>
    <row r="67" spans="1:82" s="532" customFormat="1">
      <c r="A67" s="22"/>
      <c r="B67" s="22"/>
      <c r="C67"/>
      <c r="D67"/>
      <c r="E67"/>
      <c r="F67"/>
      <c r="G67" s="121"/>
      <c r="H67" s="1715"/>
      <c r="I67" s="1715"/>
      <c r="J67" s="121"/>
      <c r="K67" s="1660"/>
      <c r="L67" s="1660"/>
      <c r="M67" s="1660"/>
      <c r="N67" s="1660"/>
      <c r="O67" s="1660"/>
      <c r="P67" s="1660"/>
      <c r="Q67" s="1660"/>
      <c r="R67" s="1660"/>
      <c r="S67" s="1660"/>
      <c r="T67" s="1660"/>
      <c r="U67" s="1660"/>
      <c r="V67" s="1660"/>
      <c r="W67" s="1660"/>
      <c r="X67" s="1660"/>
      <c r="Y67" s="1660"/>
      <c r="Z67" s="1660"/>
      <c r="AA67" s="1660"/>
      <c r="AB67" s="803"/>
      <c r="AC67"/>
      <c r="AD67"/>
      <c r="AE67"/>
      <c r="AF67"/>
      <c r="AG67" s="1116"/>
      <c r="AH67" s="121"/>
      <c r="AI67" s="121"/>
      <c r="AJ67" s="121"/>
      <c r="AK67" s="121"/>
      <c r="AL67"/>
      <c r="AM67" s="1643"/>
      <c r="AN67" s="796"/>
      <c r="AO67" s="121"/>
      <c r="AP67" s="121"/>
      <c r="AQ67" s="121"/>
      <c r="AR67" s="121"/>
      <c r="AS67" s="1707"/>
      <c r="AT67" s="1707"/>
      <c r="AU67" s="1707"/>
      <c r="AV67" s="1707"/>
      <c r="AW67"/>
      <c r="AX67"/>
      <c r="AY67"/>
      <c r="AZ67"/>
      <c r="BA67"/>
      <c r="BB67"/>
      <c r="BC67"/>
      <c r="BD67"/>
      <c r="BE67"/>
      <c r="BF67"/>
      <c r="BG67"/>
      <c r="BH67" s="1736"/>
      <c r="BI67" s="1736"/>
      <c r="BT67" s="952"/>
      <c r="BU67" s="952"/>
    </row>
    <row r="68" spans="1:82" s="532" customFormat="1">
      <c r="A68" s="22"/>
      <c r="B68" s="22"/>
      <c r="C68"/>
      <c r="D68"/>
      <c r="E68"/>
      <c r="F68"/>
      <c r="G68" s="121"/>
      <c r="H68" s="1715"/>
      <c r="I68" s="1715"/>
      <c r="J68" s="121"/>
      <c r="K68" s="1660"/>
      <c r="L68" s="1660"/>
      <c r="M68" s="1660"/>
      <c r="N68" s="1660"/>
      <c r="O68" s="1660"/>
      <c r="P68" s="1660"/>
      <c r="Q68" s="1660"/>
      <c r="R68" s="1660"/>
      <c r="S68" s="1660"/>
      <c r="T68" s="1660"/>
      <c r="U68" s="1660"/>
      <c r="V68" s="1660"/>
      <c r="W68" s="1660"/>
      <c r="X68" s="1660"/>
      <c r="Y68" s="1660"/>
      <c r="Z68" s="1660"/>
      <c r="AA68" s="1660"/>
      <c r="AB68" s="803"/>
      <c r="AC68"/>
      <c r="AD68"/>
      <c r="AE68"/>
      <c r="AF68"/>
      <c r="AG68" s="1116"/>
      <c r="AH68" s="121"/>
      <c r="AI68" s="121"/>
      <c r="AJ68" s="121"/>
      <c r="AK68" s="121"/>
      <c r="AL68"/>
      <c r="AM68" s="1643"/>
      <c r="AN68" s="796"/>
      <c r="AO68" s="121"/>
      <c r="AP68" s="121"/>
      <c r="AQ68" s="121"/>
      <c r="AR68" s="121"/>
      <c r="AS68" s="1707"/>
      <c r="AT68" s="1707"/>
      <c r="AU68" s="1707"/>
      <c r="AV68" s="1707"/>
      <c r="AW68"/>
      <c r="AX68"/>
      <c r="AY68"/>
      <c r="AZ68"/>
      <c r="BA68"/>
      <c r="BB68"/>
      <c r="BC68"/>
      <c r="BD68"/>
      <c r="BE68"/>
      <c r="BF68"/>
      <c r="BG68"/>
      <c r="BH68" s="1736"/>
      <c r="BI68" s="1736"/>
      <c r="BT68" s="952"/>
      <c r="BU68" s="952"/>
    </row>
    <row r="69" spans="1:82" s="532" customFormat="1">
      <c r="A69" s="22"/>
      <c r="B69" s="24"/>
      <c r="C69"/>
      <c r="D69"/>
      <c r="E69"/>
      <c r="F69"/>
      <c r="G69" s="121"/>
      <c r="H69" s="1715"/>
      <c r="I69" s="1715"/>
      <c r="J69" s="121"/>
      <c r="K69" s="1660"/>
      <c r="L69" s="1660"/>
      <c r="M69" s="1660"/>
      <c r="N69" s="1660"/>
      <c r="O69" s="1660"/>
      <c r="P69" s="1660"/>
      <c r="Q69" s="1660"/>
      <c r="R69" s="1660"/>
      <c r="S69" s="1660"/>
      <c r="T69" s="1660"/>
      <c r="U69" s="1660"/>
      <c r="V69" s="1660"/>
      <c r="W69" s="1660"/>
      <c r="X69" s="1660"/>
      <c r="Y69" s="1660"/>
      <c r="Z69" s="1660"/>
      <c r="AA69" s="1660"/>
      <c r="AB69" s="803"/>
      <c r="AC69"/>
      <c r="AD69"/>
      <c r="AE69"/>
      <c r="AF69"/>
      <c r="AG69" s="1116"/>
      <c r="AH69" s="121"/>
      <c r="AI69" s="121"/>
      <c r="AJ69" s="121"/>
      <c r="AK69" s="121"/>
      <c r="AL69"/>
      <c r="AM69" s="1643"/>
      <c r="AN69" s="796"/>
      <c r="AO69" s="121"/>
      <c r="AP69" s="121"/>
      <c r="AQ69" s="121"/>
      <c r="AR69" s="121"/>
      <c r="AS69" s="1707"/>
      <c r="AT69" s="1707"/>
      <c r="AU69" s="1707"/>
      <c r="AV69" s="1707"/>
      <c r="AW69"/>
      <c r="AX69"/>
      <c r="AY69"/>
      <c r="AZ69"/>
      <c r="BA69"/>
      <c r="BB69"/>
      <c r="BC69"/>
      <c r="BD69"/>
      <c r="BE69"/>
      <c r="BF69"/>
      <c r="BG69"/>
      <c r="BH69" s="1736"/>
      <c r="BI69" s="1736"/>
      <c r="BT69" s="952"/>
      <c r="BU69" s="952"/>
    </row>
    <row r="70" spans="1:82" s="532" customFormat="1">
      <c r="A70" s="24"/>
      <c r="B70" s="24"/>
      <c r="C70"/>
      <c r="D70"/>
      <c r="E70"/>
      <c r="F70"/>
      <c r="G70" s="121"/>
      <c r="H70" s="1715"/>
      <c r="I70" s="1715"/>
      <c r="J70" s="121"/>
      <c r="K70" s="1660"/>
      <c r="L70" s="1660"/>
      <c r="M70" s="1660"/>
      <c r="N70" s="1660"/>
      <c r="O70" s="1660"/>
      <c r="P70" s="1660"/>
      <c r="Q70" s="1660"/>
      <c r="R70" s="1660"/>
      <c r="S70" s="1660"/>
      <c r="T70" s="1660"/>
      <c r="U70" s="1660"/>
      <c r="V70" s="1660"/>
      <c r="W70" s="1660"/>
      <c r="X70" s="1660"/>
      <c r="Y70" s="1660"/>
      <c r="Z70" s="1660"/>
      <c r="AA70" s="1660"/>
      <c r="AB70" s="803"/>
      <c r="AC70"/>
      <c r="AD70"/>
      <c r="AE70"/>
      <c r="AF70"/>
      <c r="AG70" s="1116"/>
      <c r="AH70" s="121"/>
      <c r="AI70" s="121"/>
      <c r="AJ70" s="121"/>
      <c r="AK70" s="121"/>
      <c r="AL70"/>
      <c r="AM70" s="1643"/>
      <c r="AN70" s="796"/>
      <c r="AO70" s="121"/>
      <c r="AP70" s="121"/>
      <c r="AQ70" s="121"/>
      <c r="AR70" s="121"/>
      <c r="AS70" s="1707"/>
      <c r="AT70" s="1707"/>
      <c r="AU70" s="1707"/>
      <c r="AV70" s="1707"/>
      <c r="AW70"/>
      <c r="AX70"/>
      <c r="AY70"/>
      <c r="AZ70"/>
      <c r="BA70"/>
      <c r="BB70"/>
      <c r="BC70"/>
      <c r="BD70"/>
      <c r="BE70"/>
      <c r="BF70"/>
      <c r="BG70"/>
      <c r="BH70" s="1736"/>
      <c r="BI70" s="1736"/>
      <c r="BJ70"/>
      <c r="BK70"/>
      <c r="BL70"/>
      <c r="BM70"/>
      <c r="BN70"/>
      <c r="BO70"/>
      <c r="BP70"/>
      <c r="BQ70"/>
      <c r="BR70"/>
      <c r="BS70"/>
      <c r="BT70" s="952"/>
      <c r="BU70" s="952"/>
    </row>
    <row r="71" spans="1:82" s="532" customFormat="1">
      <c r="A71" s="24"/>
      <c r="B71" s="24"/>
      <c r="C71"/>
      <c r="D71"/>
      <c r="E71"/>
      <c r="F71"/>
      <c r="G71" s="121"/>
      <c r="H71" s="1715"/>
      <c r="I71" s="1715"/>
      <c r="J71" s="121"/>
      <c r="K71" s="1660"/>
      <c r="L71" s="1660"/>
      <c r="M71" s="1660"/>
      <c r="N71" s="1660"/>
      <c r="O71" s="1660"/>
      <c r="P71" s="1660"/>
      <c r="Q71" s="1660"/>
      <c r="R71" s="1660"/>
      <c r="S71" s="1660"/>
      <c r="T71" s="1660"/>
      <c r="U71" s="1660"/>
      <c r="V71" s="1660"/>
      <c r="W71" s="1660"/>
      <c r="X71" s="1660"/>
      <c r="Y71" s="1660"/>
      <c r="Z71" s="1660"/>
      <c r="AA71" s="1660"/>
      <c r="AB71" s="803"/>
      <c r="AC71"/>
      <c r="AD71"/>
      <c r="AE71"/>
      <c r="AF71"/>
      <c r="AG71" s="1116"/>
      <c r="AH71" s="121"/>
      <c r="AI71" s="121"/>
      <c r="AJ71" s="121"/>
      <c r="AK71" s="121"/>
      <c r="AL71"/>
      <c r="AM71" s="1643"/>
      <c r="AN71" s="796"/>
      <c r="AO71" s="121"/>
      <c r="AP71" s="121"/>
      <c r="AQ71" s="121"/>
      <c r="AR71" s="121"/>
      <c r="AS71" s="1707"/>
      <c r="AT71" s="1707"/>
      <c r="AU71" s="1707"/>
      <c r="AV71" s="1707"/>
      <c r="AW71"/>
      <c r="AX71"/>
      <c r="AY71"/>
      <c r="AZ71"/>
      <c r="BA71"/>
      <c r="BB71"/>
      <c r="BC71"/>
      <c r="BD71"/>
      <c r="BE71"/>
      <c r="BF71"/>
      <c r="BG71"/>
      <c r="BH71" s="1736"/>
      <c r="BI71" s="1736"/>
      <c r="BJ71"/>
      <c r="BK71"/>
      <c r="BL71"/>
      <c r="BM71"/>
      <c r="BN71"/>
      <c r="BO71"/>
      <c r="BP71"/>
      <c r="BQ71"/>
      <c r="BR71"/>
      <c r="BS71"/>
      <c r="BT71" s="952"/>
      <c r="BU71" s="952"/>
    </row>
    <row r="72" spans="1:82">
      <c r="BV72" s="532"/>
      <c r="BW72" s="532"/>
      <c r="BX72" s="532"/>
      <c r="BY72" s="532"/>
      <c r="BZ72" s="532"/>
      <c r="CA72" s="532"/>
      <c r="CB72" s="532"/>
      <c r="CC72" s="532"/>
      <c r="CD72" s="532"/>
    </row>
  </sheetData>
  <sheetProtection formatColumns="0" insertColumns="0" deleteColumns="0"/>
  <mergeCells count="18">
    <mergeCell ref="A27:A32"/>
    <mergeCell ref="BU14:CE15"/>
    <mergeCell ref="BU2:CE2"/>
    <mergeCell ref="A53:B53"/>
    <mergeCell ref="A52:B52"/>
    <mergeCell ref="A41:A50"/>
    <mergeCell ref="A5:A18"/>
    <mergeCell ref="B5:B17"/>
    <mergeCell ref="B48:B50"/>
    <mergeCell ref="B33:B37"/>
    <mergeCell ref="A33:A40"/>
    <mergeCell ref="B38:B40"/>
    <mergeCell ref="B41:B43"/>
    <mergeCell ref="B44:B47"/>
    <mergeCell ref="B19:B24"/>
    <mergeCell ref="B27:B30"/>
    <mergeCell ref="B31:B32"/>
    <mergeCell ref="A19:A25"/>
  </mergeCells>
  <conditionalFormatting sqref="K25:Z53 K5:Z23">
    <cfRule type="cellIs" dxfId="950" priority="198" operator="equal">
      <formula>4</formula>
    </cfRule>
  </conditionalFormatting>
  <conditionalFormatting sqref="K42:Z43">
    <cfRule type="cellIs" dxfId="949" priority="197" operator="equal">
      <formula>3</formula>
    </cfRule>
  </conditionalFormatting>
  <conditionalFormatting sqref="AB25:AB53 AB5:AB23">
    <cfRule type="cellIs" dxfId="948" priority="2" operator="equal">
      <formula>4</formula>
    </cfRule>
  </conditionalFormatting>
  <conditionalFormatting sqref="AB42:AB43">
    <cfRule type="cellIs" dxfId="947" priority="1" operator="equal">
      <formula>3</formula>
    </cfRule>
  </conditionalFormatting>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3417" r:id="rId3" name="Option Button 105">
              <controlPr defaultSize="0" print="0" autoFill="0" autoLine="0" autoPict="0">
                <anchor moveWithCells="1" sizeWithCells="1">
                  <from>
                    <xdr:col>28</xdr:col>
                    <xdr:colOff>127000</xdr:colOff>
                    <xdr:row>4</xdr:row>
                    <xdr:rowOff>38100</xdr:rowOff>
                  </from>
                  <to>
                    <xdr:col>29</xdr:col>
                    <xdr:colOff>25400</xdr:colOff>
                    <xdr:row>4</xdr:row>
                    <xdr:rowOff>330200</xdr:rowOff>
                  </to>
                </anchor>
              </controlPr>
            </control>
          </mc:Choice>
          <mc:Fallback/>
        </mc:AlternateContent>
        <mc:AlternateContent xmlns:mc="http://schemas.openxmlformats.org/markup-compatibility/2006">
          <mc:Choice Requires="x14">
            <control shapeId="13418" r:id="rId4" name="Option Button 106">
              <controlPr defaultSize="0" print="0" autoFill="0" autoLine="0" autoPict="0">
                <anchor moveWithCells="1" sizeWithCells="1">
                  <from>
                    <xdr:col>29</xdr:col>
                    <xdr:colOff>127000</xdr:colOff>
                    <xdr:row>4</xdr:row>
                    <xdr:rowOff>76200</xdr:rowOff>
                  </from>
                  <to>
                    <xdr:col>30</xdr:col>
                    <xdr:colOff>12700</xdr:colOff>
                    <xdr:row>4</xdr:row>
                    <xdr:rowOff>304800</xdr:rowOff>
                  </to>
                </anchor>
              </controlPr>
            </control>
          </mc:Choice>
          <mc:Fallback/>
        </mc:AlternateContent>
        <mc:AlternateContent xmlns:mc="http://schemas.openxmlformats.org/markup-compatibility/2006">
          <mc:Choice Requires="x14">
            <control shapeId="13419" r:id="rId5" name="Option Button 107">
              <controlPr defaultSize="0" print="0" autoFill="0" autoLine="0" autoPict="0">
                <anchor moveWithCells="1" sizeWithCells="1">
                  <from>
                    <xdr:col>30</xdr:col>
                    <xdr:colOff>114300</xdr:colOff>
                    <xdr:row>4</xdr:row>
                    <xdr:rowOff>50800</xdr:rowOff>
                  </from>
                  <to>
                    <xdr:col>31</xdr:col>
                    <xdr:colOff>12700</xdr:colOff>
                    <xdr:row>4</xdr:row>
                    <xdr:rowOff>342900</xdr:rowOff>
                  </to>
                </anchor>
              </controlPr>
            </control>
          </mc:Choice>
          <mc:Fallback/>
        </mc:AlternateContent>
        <mc:AlternateContent xmlns:mc="http://schemas.openxmlformats.org/markup-compatibility/2006">
          <mc:Choice Requires="x14">
            <control shapeId="13420" r:id="rId6" name="Option Button 108">
              <controlPr defaultSize="0" print="0" autoFill="0" autoLine="0" autoPict="0">
                <anchor moveWithCells="1" sizeWithCells="1">
                  <from>
                    <xdr:col>31</xdr:col>
                    <xdr:colOff>101600</xdr:colOff>
                    <xdr:row>4</xdr:row>
                    <xdr:rowOff>50800</xdr:rowOff>
                  </from>
                  <to>
                    <xdr:col>32</xdr:col>
                    <xdr:colOff>0</xdr:colOff>
                    <xdr:row>4</xdr:row>
                    <xdr:rowOff>342900</xdr:rowOff>
                  </to>
                </anchor>
              </controlPr>
            </control>
          </mc:Choice>
          <mc:Fallback/>
        </mc:AlternateContent>
        <mc:AlternateContent xmlns:mc="http://schemas.openxmlformats.org/markup-compatibility/2006">
          <mc:Choice Requires="x14">
            <control shapeId="14233" r:id="rId7" name="Option Button 921">
              <controlPr defaultSize="0" print="0" autoFill="0" autoLine="0" autoPict="0">
                <anchor moveWithCells="1" sizeWithCells="1">
                  <from>
                    <xdr:col>28</xdr:col>
                    <xdr:colOff>127000</xdr:colOff>
                    <xdr:row>30</xdr:row>
                    <xdr:rowOff>38100</xdr:rowOff>
                  </from>
                  <to>
                    <xdr:col>29</xdr:col>
                    <xdr:colOff>25400</xdr:colOff>
                    <xdr:row>30</xdr:row>
                    <xdr:rowOff>342900</xdr:rowOff>
                  </to>
                </anchor>
              </controlPr>
            </control>
          </mc:Choice>
          <mc:Fallback/>
        </mc:AlternateContent>
        <mc:AlternateContent xmlns:mc="http://schemas.openxmlformats.org/markup-compatibility/2006">
          <mc:Choice Requires="x14">
            <control shapeId="14234" r:id="rId8" name="Option Button 922">
              <controlPr defaultSize="0" print="0" autoFill="0" autoLine="0" autoPict="0">
                <anchor moveWithCells="1" sizeWithCells="1">
                  <from>
                    <xdr:col>29</xdr:col>
                    <xdr:colOff>127000</xdr:colOff>
                    <xdr:row>30</xdr:row>
                    <xdr:rowOff>76200</xdr:rowOff>
                  </from>
                  <to>
                    <xdr:col>30</xdr:col>
                    <xdr:colOff>12700</xdr:colOff>
                    <xdr:row>30</xdr:row>
                    <xdr:rowOff>317500</xdr:rowOff>
                  </to>
                </anchor>
              </controlPr>
            </control>
          </mc:Choice>
          <mc:Fallback/>
        </mc:AlternateContent>
        <mc:AlternateContent xmlns:mc="http://schemas.openxmlformats.org/markup-compatibility/2006">
          <mc:Choice Requires="x14">
            <control shapeId="14268" r:id="rId9" name="Option Button 956">
              <controlPr defaultSize="0" print="0" autoFill="0" autoLine="0" autoPict="0">
                <anchor moveWithCells="1" sizeWithCells="1">
                  <from>
                    <xdr:col>33</xdr:col>
                    <xdr:colOff>127000</xdr:colOff>
                    <xdr:row>39</xdr:row>
                    <xdr:rowOff>38100</xdr:rowOff>
                  </from>
                  <to>
                    <xdr:col>34</xdr:col>
                    <xdr:colOff>25400</xdr:colOff>
                    <xdr:row>39</xdr:row>
                    <xdr:rowOff>330200</xdr:rowOff>
                  </to>
                </anchor>
              </controlPr>
            </control>
          </mc:Choice>
          <mc:Fallback/>
        </mc:AlternateContent>
        <mc:AlternateContent xmlns:mc="http://schemas.openxmlformats.org/markup-compatibility/2006">
          <mc:Choice Requires="x14">
            <control shapeId="14269" r:id="rId10" name="Option Button 957">
              <controlPr defaultSize="0" print="0" autoFill="0" autoLine="0" autoPict="0">
                <anchor moveWithCells="1" sizeWithCells="1">
                  <from>
                    <xdr:col>34</xdr:col>
                    <xdr:colOff>127000</xdr:colOff>
                    <xdr:row>39</xdr:row>
                    <xdr:rowOff>76200</xdr:rowOff>
                  </from>
                  <to>
                    <xdr:col>35</xdr:col>
                    <xdr:colOff>12700</xdr:colOff>
                    <xdr:row>39</xdr:row>
                    <xdr:rowOff>304800</xdr:rowOff>
                  </to>
                </anchor>
              </controlPr>
            </control>
          </mc:Choice>
          <mc:Fallback/>
        </mc:AlternateContent>
        <mc:AlternateContent xmlns:mc="http://schemas.openxmlformats.org/markup-compatibility/2006">
          <mc:Choice Requires="x14">
            <control shapeId="14278" r:id="rId11" name="Option Button 966">
              <controlPr defaultSize="0" print="0" autoFill="0" autoLine="0" autoPict="0">
                <anchor moveWithCells="1" sizeWithCells="1">
                  <from>
                    <xdr:col>28</xdr:col>
                    <xdr:colOff>127000</xdr:colOff>
                    <xdr:row>42</xdr:row>
                    <xdr:rowOff>38100</xdr:rowOff>
                  </from>
                  <to>
                    <xdr:col>29</xdr:col>
                    <xdr:colOff>25400</xdr:colOff>
                    <xdr:row>42</xdr:row>
                    <xdr:rowOff>330200</xdr:rowOff>
                  </to>
                </anchor>
              </controlPr>
            </control>
          </mc:Choice>
          <mc:Fallback/>
        </mc:AlternateContent>
        <mc:AlternateContent xmlns:mc="http://schemas.openxmlformats.org/markup-compatibility/2006">
          <mc:Choice Requires="x14">
            <control shapeId="14279" r:id="rId12" name="Option Button 967">
              <controlPr defaultSize="0" print="0" autoFill="0" autoLine="0" autoPict="0">
                <anchor moveWithCells="1" sizeWithCells="1">
                  <from>
                    <xdr:col>29</xdr:col>
                    <xdr:colOff>127000</xdr:colOff>
                    <xdr:row>42</xdr:row>
                    <xdr:rowOff>76200</xdr:rowOff>
                  </from>
                  <to>
                    <xdr:col>30</xdr:col>
                    <xdr:colOff>12700</xdr:colOff>
                    <xdr:row>42</xdr:row>
                    <xdr:rowOff>304800</xdr:rowOff>
                  </to>
                </anchor>
              </controlPr>
            </control>
          </mc:Choice>
          <mc:Fallback/>
        </mc:AlternateContent>
        <mc:AlternateContent xmlns:mc="http://schemas.openxmlformats.org/markup-compatibility/2006">
          <mc:Choice Requires="x14">
            <control shapeId="14280" r:id="rId13" name="Option Button 968">
              <controlPr defaultSize="0" print="0" autoFill="0" autoLine="0" autoPict="0">
                <anchor moveWithCells="1" sizeWithCells="1">
                  <from>
                    <xdr:col>30</xdr:col>
                    <xdr:colOff>114300</xdr:colOff>
                    <xdr:row>42</xdr:row>
                    <xdr:rowOff>50800</xdr:rowOff>
                  </from>
                  <to>
                    <xdr:col>31</xdr:col>
                    <xdr:colOff>12700</xdr:colOff>
                    <xdr:row>42</xdr:row>
                    <xdr:rowOff>342900</xdr:rowOff>
                  </to>
                </anchor>
              </controlPr>
            </control>
          </mc:Choice>
          <mc:Fallback/>
        </mc:AlternateContent>
        <mc:AlternateContent xmlns:mc="http://schemas.openxmlformats.org/markup-compatibility/2006">
          <mc:Choice Requires="x14">
            <control shapeId="14283" r:id="rId14" name="Option Button 971">
              <controlPr defaultSize="0" print="0" autoFill="0" autoLine="0" autoPict="0">
                <anchor moveWithCells="1" sizeWithCells="1">
                  <from>
                    <xdr:col>33</xdr:col>
                    <xdr:colOff>127000</xdr:colOff>
                    <xdr:row>41</xdr:row>
                    <xdr:rowOff>38100</xdr:rowOff>
                  </from>
                  <to>
                    <xdr:col>34</xdr:col>
                    <xdr:colOff>25400</xdr:colOff>
                    <xdr:row>41</xdr:row>
                    <xdr:rowOff>330200</xdr:rowOff>
                  </to>
                </anchor>
              </controlPr>
            </control>
          </mc:Choice>
          <mc:Fallback/>
        </mc:AlternateContent>
        <mc:AlternateContent xmlns:mc="http://schemas.openxmlformats.org/markup-compatibility/2006">
          <mc:Choice Requires="x14">
            <control shapeId="14284" r:id="rId15" name="Option Button 972">
              <controlPr defaultSize="0" print="0" autoFill="0" autoLine="0" autoPict="0">
                <anchor moveWithCells="1" sizeWithCells="1">
                  <from>
                    <xdr:col>34</xdr:col>
                    <xdr:colOff>127000</xdr:colOff>
                    <xdr:row>41</xdr:row>
                    <xdr:rowOff>76200</xdr:rowOff>
                  </from>
                  <to>
                    <xdr:col>35</xdr:col>
                    <xdr:colOff>12700</xdr:colOff>
                    <xdr:row>41</xdr:row>
                    <xdr:rowOff>304800</xdr:rowOff>
                  </to>
                </anchor>
              </controlPr>
            </control>
          </mc:Choice>
          <mc:Fallback/>
        </mc:AlternateContent>
        <mc:AlternateContent xmlns:mc="http://schemas.openxmlformats.org/markup-compatibility/2006">
          <mc:Choice Requires="x14">
            <control shapeId="14285" r:id="rId16" name="Option Button 973">
              <controlPr defaultSize="0" print="0" autoFill="0" autoLine="0" autoPict="0">
                <anchor moveWithCells="1" sizeWithCells="1">
                  <from>
                    <xdr:col>35</xdr:col>
                    <xdr:colOff>114300</xdr:colOff>
                    <xdr:row>41</xdr:row>
                    <xdr:rowOff>50800</xdr:rowOff>
                  </from>
                  <to>
                    <xdr:col>36</xdr:col>
                    <xdr:colOff>12700</xdr:colOff>
                    <xdr:row>41</xdr:row>
                    <xdr:rowOff>342900</xdr:rowOff>
                  </to>
                </anchor>
              </controlPr>
            </control>
          </mc:Choice>
          <mc:Fallback/>
        </mc:AlternateContent>
        <mc:AlternateContent xmlns:mc="http://schemas.openxmlformats.org/markup-compatibility/2006">
          <mc:Choice Requires="x14">
            <control shapeId="14308" r:id="rId17" name="Option Button 996">
              <controlPr defaultSize="0" print="0" autoFill="0" autoLine="0" autoPict="0">
                <anchor moveWithCells="1" sizeWithCells="1">
                  <from>
                    <xdr:col>33</xdr:col>
                    <xdr:colOff>127000</xdr:colOff>
                    <xdr:row>49</xdr:row>
                    <xdr:rowOff>38100</xdr:rowOff>
                  </from>
                  <to>
                    <xdr:col>34</xdr:col>
                    <xdr:colOff>25400</xdr:colOff>
                    <xdr:row>49</xdr:row>
                    <xdr:rowOff>330200</xdr:rowOff>
                  </to>
                </anchor>
              </controlPr>
            </control>
          </mc:Choice>
          <mc:Fallback/>
        </mc:AlternateContent>
        <mc:AlternateContent xmlns:mc="http://schemas.openxmlformats.org/markup-compatibility/2006">
          <mc:Choice Requires="x14">
            <control shapeId="14309" r:id="rId18" name="Option Button 997">
              <controlPr defaultSize="0" print="0" autoFill="0" autoLine="0" autoPict="0">
                <anchor moveWithCells="1" sizeWithCells="1">
                  <from>
                    <xdr:col>34</xdr:col>
                    <xdr:colOff>127000</xdr:colOff>
                    <xdr:row>49</xdr:row>
                    <xdr:rowOff>76200</xdr:rowOff>
                  </from>
                  <to>
                    <xdr:col>35</xdr:col>
                    <xdr:colOff>12700</xdr:colOff>
                    <xdr:row>49</xdr:row>
                    <xdr:rowOff>304800</xdr:rowOff>
                  </to>
                </anchor>
              </controlPr>
            </control>
          </mc:Choice>
          <mc:Fallback/>
        </mc:AlternateContent>
        <mc:AlternateContent xmlns:mc="http://schemas.openxmlformats.org/markup-compatibility/2006">
          <mc:Choice Requires="x14">
            <control shapeId="14328" r:id="rId19" name="Option Button 1016">
              <controlPr defaultSize="0" print="0" autoFill="0" autoLine="0" autoPict="0">
                <anchor moveWithCells="1" sizeWithCells="1">
                  <from>
                    <xdr:col>33</xdr:col>
                    <xdr:colOff>127000</xdr:colOff>
                    <xdr:row>7</xdr:row>
                    <xdr:rowOff>38100</xdr:rowOff>
                  </from>
                  <to>
                    <xdr:col>34</xdr:col>
                    <xdr:colOff>25400</xdr:colOff>
                    <xdr:row>7</xdr:row>
                    <xdr:rowOff>330200</xdr:rowOff>
                  </to>
                </anchor>
              </controlPr>
            </control>
          </mc:Choice>
          <mc:Fallback/>
        </mc:AlternateContent>
        <mc:AlternateContent xmlns:mc="http://schemas.openxmlformats.org/markup-compatibility/2006">
          <mc:Choice Requires="x14">
            <control shapeId="14329" r:id="rId20" name="Option Button 1017">
              <controlPr defaultSize="0" print="0" autoFill="0" autoLine="0" autoPict="0">
                <anchor moveWithCells="1" sizeWithCells="1">
                  <from>
                    <xdr:col>34</xdr:col>
                    <xdr:colOff>127000</xdr:colOff>
                    <xdr:row>7</xdr:row>
                    <xdr:rowOff>76200</xdr:rowOff>
                  </from>
                  <to>
                    <xdr:col>35</xdr:col>
                    <xdr:colOff>12700</xdr:colOff>
                    <xdr:row>7</xdr:row>
                    <xdr:rowOff>304800</xdr:rowOff>
                  </to>
                </anchor>
              </controlPr>
            </control>
          </mc:Choice>
          <mc:Fallback/>
        </mc:AlternateContent>
        <mc:AlternateContent xmlns:mc="http://schemas.openxmlformats.org/markup-compatibility/2006">
          <mc:Choice Requires="x14">
            <control shapeId="14330" r:id="rId21" name="Option Button 1018">
              <controlPr defaultSize="0" print="0" autoFill="0" autoLine="0" autoPict="0">
                <anchor moveWithCells="1" sizeWithCells="1">
                  <from>
                    <xdr:col>35</xdr:col>
                    <xdr:colOff>114300</xdr:colOff>
                    <xdr:row>7</xdr:row>
                    <xdr:rowOff>50800</xdr:rowOff>
                  </from>
                  <to>
                    <xdr:col>36</xdr:col>
                    <xdr:colOff>12700</xdr:colOff>
                    <xdr:row>7</xdr:row>
                    <xdr:rowOff>342900</xdr:rowOff>
                  </to>
                </anchor>
              </controlPr>
            </control>
          </mc:Choice>
          <mc:Fallback/>
        </mc:AlternateContent>
        <mc:AlternateContent xmlns:mc="http://schemas.openxmlformats.org/markup-compatibility/2006">
          <mc:Choice Requires="x14">
            <control shapeId="14331" r:id="rId22" name="Option Button 1019">
              <controlPr defaultSize="0" print="0" autoFill="0" autoLine="0" autoPict="0">
                <anchor moveWithCells="1" sizeWithCells="1">
                  <from>
                    <xdr:col>36</xdr:col>
                    <xdr:colOff>101600</xdr:colOff>
                    <xdr:row>7</xdr:row>
                    <xdr:rowOff>50800</xdr:rowOff>
                  </from>
                  <to>
                    <xdr:col>37</xdr:col>
                    <xdr:colOff>0</xdr:colOff>
                    <xdr:row>7</xdr:row>
                    <xdr:rowOff>342900</xdr:rowOff>
                  </to>
                </anchor>
              </controlPr>
            </control>
          </mc:Choice>
          <mc:Fallback/>
        </mc:AlternateContent>
        <mc:AlternateContent xmlns:mc="http://schemas.openxmlformats.org/markup-compatibility/2006">
          <mc:Choice Requires="x14">
            <control shapeId="14323" r:id="rId23" name="Option Button 1011">
              <controlPr defaultSize="0" print="0" autoFill="0" autoLine="0" autoPict="0">
                <anchor moveWithCells="1" sizeWithCells="1">
                  <from>
                    <xdr:col>28</xdr:col>
                    <xdr:colOff>127000</xdr:colOff>
                    <xdr:row>6</xdr:row>
                    <xdr:rowOff>38100</xdr:rowOff>
                  </from>
                  <to>
                    <xdr:col>29</xdr:col>
                    <xdr:colOff>25400</xdr:colOff>
                    <xdr:row>6</xdr:row>
                    <xdr:rowOff>330200</xdr:rowOff>
                  </to>
                </anchor>
              </controlPr>
            </control>
          </mc:Choice>
          <mc:Fallback/>
        </mc:AlternateContent>
        <mc:AlternateContent xmlns:mc="http://schemas.openxmlformats.org/markup-compatibility/2006">
          <mc:Choice Requires="x14">
            <control shapeId="14324" r:id="rId24" name="Option Button 1012">
              <controlPr defaultSize="0" print="0" autoFill="0" autoLine="0" autoPict="0">
                <anchor moveWithCells="1" sizeWithCells="1">
                  <from>
                    <xdr:col>29</xdr:col>
                    <xdr:colOff>127000</xdr:colOff>
                    <xdr:row>6</xdr:row>
                    <xdr:rowOff>76200</xdr:rowOff>
                  </from>
                  <to>
                    <xdr:col>30</xdr:col>
                    <xdr:colOff>12700</xdr:colOff>
                    <xdr:row>6</xdr:row>
                    <xdr:rowOff>304800</xdr:rowOff>
                  </to>
                </anchor>
              </controlPr>
            </control>
          </mc:Choice>
          <mc:Fallback/>
        </mc:AlternateContent>
        <mc:AlternateContent xmlns:mc="http://schemas.openxmlformats.org/markup-compatibility/2006">
          <mc:Choice Requires="x14">
            <control shapeId="14325" r:id="rId25" name="Option Button 1013">
              <controlPr defaultSize="0" print="0" autoFill="0" autoLine="0" autoPict="0">
                <anchor moveWithCells="1" sizeWithCells="1">
                  <from>
                    <xdr:col>30</xdr:col>
                    <xdr:colOff>114300</xdr:colOff>
                    <xdr:row>6</xdr:row>
                    <xdr:rowOff>50800</xdr:rowOff>
                  </from>
                  <to>
                    <xdr:col>31</xdr:col>
                    <xdr:colOff>12700</xdr:colOff>
                    <xdr:row>6</xdr:row>
                    <xdr:rowOff>342900</xdr:rowOff>
                  </to>
                </anchor>
              </controlPr>
            </control>
          </mc:Choice>
          <mc:Fallback/>
        </mc:AlternateContent>
        <mc:AlternateContent xmlns:mc="http://schemas.openxmlformats.org/markup-compatibility/2006">
          <mc:Choice Requires="x14">
            <control shapeId="14326" r:id="rId26" name="Option Button 1014">
              <controlPr defaultSize="0" print="0" autoFill="0" autoLine="0" autoPict="0">
                <anchor moveWithCells="1" sizeWithCells="1">
                  <from>
                    <xdr:col>31</xdr:col>
                    <xdr:colOff>101600</xdr:colOff>
                    <xdr:row>6</xdr:row>
                    <xdr:rowOff>50800</xdr:rowOff>
                  </from>
                  <to>
                    <xdr:col>32</xdr:col>
                    <xdr:colOff>0</xdr:colOff>
                    <xdr:row>6</xdr:row>
                    <xdr:rowOff>342900</xdr:rowOff>
                  </to>
                </anchor>
              </controlPr>
            </control>
          </mc:Choice>
          <mc:Fallback/>
        </mc:AlternateContent>
        <mc:AlternateContent xmlns:mc="http://schemas.openxmlformats.org/markup-compatibility/2006">
          <mc:Choice Requires="x14">
            <control shapeId="14332" r:id="rId27" name="Group Box 1020">
              <controlPr defaultSize="0" autoFill="0" autoPict="0">
                <anchor moveWithCells="1">
                  <from>
                    <xdr:col>28</xdr:col>
                    <xdr:colOff>0</xdr:colOff>
                    <xdr:row>4</xdr:row>
                    <xdr:rowOff>12700</xdr:rowOff>
                  </from>
                  <to>
                    <xdr:col>32</xdr:col>
                    <xdr:colOff>0</xdr:colOff>
                    <xdr:row>4</xdr:row>
                    <xdr:rowOff>342900</xdr:rowOff>
                  </to>
                </anchor>
              </controlPr>
            </control>
          </mc:Choice>
          <mc:Fallback/>
        </mc:AlternateContent>
        <mc:AlternateContent xmlns:mc="http://schemas.openxmlformats.org/markup-compatibility/2006">
          <mc:Choice Requires="x14">
            <control shapeId="14333" r:id="rId28" name="Group Box 1021">
              <controlPr defaultSize="0" autoFill="0" autoPict="0">
                <anchor moveWithCells="1">
                  <from>
                    <xdr:col>28</xdr:col>
                    <xdr:colOff>0</xdr:colOff>
                    <xdr:row>6</xdr:row>
                    <xdr:rowOff>12700</xdr:rowOff>
                  </from>
                  <to>
                    <xdr:col>32</xdr:col>
                    <xdr:colOff>0</xdr:colOff>
                    <xdr:row>6</xdr:row>
                    <xdr:rowOff>342900</xdr:rowOff>
                  </to>
                </anchor>
              </controlPr>
            </control>
          </mc:Choice>
          <mc:Fallback/>
        </mc:AlternateContent>
        <mc:AlternateContent xmlns:mc="http://schemas.openxmlformats.org/markup-compatibility/2006">
          <mc:Choice Requires="x14">
            <control shapeId="14334" r:id="rId29" name="Group Box 1022">
              <controlPr defaultSize="0" autoFill="0" autoPict="0">
                <anchor moveWithCells="1">
                  <from>
                    <xdr:col>33</xdr:col>
                    <xdr:colOff>0</xdr:colOff>
                    <xdr:row>7</xdr:row>
                    <xdr:rowOff>12700</xdr:rowOff>
                  </from>
                  <to>
                    <xdr:col>37</xdr:col>
                    <xdr:colOff>0</xdr:colOff>
                    <xdr:row>7</xdr:row>
                    <xdr:rowOff>342900</xdr:rowOff>
                  </to>
                </anchor>
              </controlPr>
            </control>
          </mc:Choice>
          <mc:Fallback/>
        </mc:AlternateContent>
        <mc:AlternateContent xmlns:mc="http://schemas.openxmlformats.org/markup-compatibility/2006">
          <mc:Choice Requires="x14">
            <control shapeId="24576" r:id="rId30" name="Group Box 1024">
              <controlPr defaultSize="0" autoFill="0" autoPict="0">
                <anchor moveWithCells="1">
                  <from>
                    <xdr:col>28</xdr:col>
                    <xdr:colOff>0</xdr:colOff>
                    <xdr:row>9</xdr:row>
                    <xdr:rowOff>12700</xdr:rowOff>
                  </from>
                  <to>
                    <xdr:col>32</xdr:col>
                    <xdr:colOff>0</xdr:colOff>
                    <xdr:row>9</xdr:row>
                    <xdr:rowOff>342900</xdr:rowOff>
                  </to>
                </anchor>
              </controlPr>
            </control>
          </mc:Choice>
          <mc:Fallback/>
        </mc:AlternateContent>
        <mc:AlternateContent xmlns:mc="http://schemas.openxmlformats.org/markup-compatibility/2006">
          <mc:Choice Requires="x14">
            <control shapeId="24577" r:id="rId31" name="Group Box 1025">
              <controlPr defaultSize="0" autoFill="0" autoPict="0">
                <anchor moveWithCells="1">
                  <from>
                    <xdr:col>28</xdr:col>
                    <xdr:colOff>0</xdr:colOff>
                    <xdr:row>10</xdr:row>
                    <xdr:rowOff>12700</xdr:rowOff>
                  </from>
                  <to>
                    <xdr:col>32</xdr:col>
                    <xdr:colOff>0</xdr:colOff>
                    <xdr:row>10</xdr:row>
                    <xdr:rowOff>342900</xdr:rowOff>
                  </to>
                </anchor>
              </controlPr>
            </control>
          </mc:Choice>
          <mc:Fallback/>
        </mc:AlternateContent>
        <mc:AlternateContent xmlns:mc="http://schemas.openxmlformats.org/markup-compatibility/2006">
          <mc:Choice Requires="x14">
            <control shapeId="24578" r:id="rId32" name="Group Box 1026">
              <controlPr defaultSize="0" autoFill="0" autoPict="0">
                <anchor moveWithCells="1">
                  <from>
                    <xdr:col>28</xdr:col>
                    <xdr:colOff>0</xdr:colOff>
                    <xdr:row>11</xdr:row>
                    <xdr:rowOff>12700</xdr:rowOff>
                  </from>
                  <to>
                    <xdr:col>32</xdr:col>
                    <xdr:colOff>0</xdr:colOff>
                    <xdr:row>11</xdr:row>
                    <xdr:rowOff>342900</xdr:rowOff>
                  </to>
                </anchor>
              </controlPr>
            </control>
          </mc:Choice>
          <mc:Fallback/>
        </mc:AlternateContent>
        <mc:AlternateContent xmlns:mc="http://schemas.openxmlformats.org/markup-compatibility/2006">
          <mc:Choice Requires="x14">
            <control shapeId="24579" r:id="rId33" name="Group Box 1027">
              <controlPr defaultSize="0" autoFill="0" autoPict="0">
                <anchor moveWithCells="1">
                  <from>
                    <xdr:col>28</xdr:col>
                    <xdr:colOff>0</xdr:colOff>
                    <xdr:row>12</xdr:row>
                    <xdr:rowOff>12700</xdr:rowOff>
                  </from>
                  <to>
                    <xdr:col>32</xdr:col>
                    <xdr:colOff>0</xdr:colOff>
                    <xdr:row>12</xdr:row>
                    <xdr:rowOff>342900</xdr:rowOff>
                  </to>
                </anchor>
              </controlPr>
            </control>
          </mc:Choice>
          <mc:Fallback/>
        </mc:AlternateContent>
        <mc:AlternateContent xmlns:mc="http://schemas.openxmlformats.org/markup-compatibility/2006">
          <mc:Choice Requires="x14">
            <control shapeId="24580" r:id="rId34" name="Group Box 1028">
              <controlPr defaultSize="0" autoFill="0" autoPict="0">
                <anchor moveWithCells="1">
                  <from>
                    <xdr:col>28</xdr:col>
                    <xdr:colOff>0</xdr:colOff>
                    <xdr:row>13</xdr:row>
                    <xdr:rowOff>12700</xdr:rowOff>
                  </from>
                  <to>
                    <xdr:col>32</xdr:col>
                    <xdr:colOff>0</xdr:colOff>
                    <xdr:row>13</xdr:row>
                    <xdr:rowOff>342900</xdr:rowOff>
                  </to>
                </anchor>
              </controlPr>
            </control>
          </mc:Choice>
          <mc:Fallback/>
        </mc:AlternateContent>
        <mc:AlternateContent xmlns:mc="http://schemas.openxmlformats.org/markup-compatibility/2006">
          <mc:Choice Requires="x14">
            <control shapeId="24581" r:id="rId35" name="Group Box 1029">
              <controlPr defaultSize="0" autoFill="0" autoPict="0">
                <anchor moveWithCells="1">
                  <from>
                    <xdr:col>28</xdr:col>
                    <xdr:colOff>0</xdr:colOff>
                    <xdr:row>14</xdr:row>
                    <xdr:rowOff>12700</xdr:rowOff>
                  </from>
                  <to>
                    <xdr:col>32</xdr:col>
                    <xdr:colOff>0</xdr:colOff>
                    <xdr:row>14</xdr:row>
                    <xdr:rowOff>342900</xdr:rowOff>
                  </to>
                </anchor>
              </controlPr>
            </control>
          </mc:Choice>
          <mc:Fallback/>
        </mc:AlternateContent>
        <mc:AlternateContent xmlns:mc="http://schemas.openxmlformats.org/markup-compatibility/2006">
          <mc:Choice Requires="x14">
            <control shapeId="24582" r:id="rId36" name="Group Box 1030">
              <controlPr defaultSize="0" autoFill="0" autoPict="0">
                <anchor moveWithCells="1">
                  <from>
                    <xdr:col>28</xdr:col>
                    <xdr:colOff>0</xdr:colOff>
                    <xdr:row>15</xdr:row>
                    <xdr:rowOff>12700</xdr:rowOff>
                  </from>
                  <to>
                    <xdr:col>32</xdr:col>
                    <xdr:colOff>0</xdr:colOff>
                    <xdr:row>15</xdr:row>
                    <xdr:rowOff>342900</xdr:rowOff>
                  </to>
                </anchor>
              </controlPr>
            </control>
          </mc:Choice>
          <mc:Fallback/>
        </mc:AlternateContent>
        <mc:AlternateContent xmlns:mc="http://schemas.openxmlformats.org/markup-compatibility/2006">
          <mc:Choice Requires="x14">
            <control shapeId="24583" r:id="rId37" name="Group Box 1031">
              <controlPr defaultSize="0" autoFill="0" autoPict="0">
                <anchor moveWithCells="1">
                  <from>
                    <xdr:col>28</xdr:col>
                    <xdr:colOff>0</xdr:colOff>
                    <xdr:row>16</xdr:row>
                    <xdr:rowOff>12700</xdr:rowOff>
                  </from>
                  <to>
                    <xdr:col>32</xdr:col>
                    <xdr:colOff>0</xdr:colOff>
                    <xdr:row>16</xdr:row>
                    <xdr:rowOff>342900</xdr:rowOff>
                  </to>
                </anchor>
              </controlPr>
            </control>
          </mc:Choice>
          <mc:Fallback/>
        </mc:AlternateContent>
        <mc:AlternateContent xmlns:mc="http://schemas.openxmlformats.org/markup-compatibility/2006">
          <mc:Choice Requires="x14">
            <control shapeId="24584" r:id="rId38" name="Group Box 1032">
              <controlPr defaultSize="0" autoFill="0" autoPict="0">
                <anchor moveWithCells="1">
                  <from>
                    <xdr:col>28</xdr:col>
                    <xdr:colOff>0</xdr:colOff>
                    <xdr:row>17</xdr:row>
                    <xdr:rowOff>12700</xdr:rowOff>
                  </from>
                  <to>
                    <xdr:col>32</xdr:col>
                    <xdr:colOff>0</xdr:colOff>
                    <xdr:row>17</xdr:row>
                    <xdr:rowOff>342900</xdr:rowOff>
                  </to>
                </anchor>
              </controlPr>
            </control>
          </mc:Choice>
          <mc:Fallback/>
        </mc:AlternateContent>
        <mc:AlternateContent xmlns:mc="http://schemas.openxmlformats.org/markup-compatibility/2006">
          <mc:Choice Requires="x14">
            <control shapeId="24585" r:id="rId39" name="Group Box 1033">
              <controlPr defaultSize="0" autoFill="0" autoPict="0">
                <anchor moveWithCells="1">
                  <from>
                    <xdr:col>28</xdr:col>
                    <xdr:colOff>0</xdr:colOff>
                    <xdr:row>19</xdr:row>
                    <xdr:rowOff>12700</xdr:rowOff>
                  </from>
                  <to>
                    <xdr:col>32</xdr:col>
                    <xdr:colOff>0</xdr:colOff>
                    <xdr:row>19</xdr:row>
                    <xdr:rowOff>342900</xdr:rowOff>
                  </to>
                </anchor>
              </controlPr>
            </control>
          </mc:Choice>
          <mc:Fallback/>
        </mc:AlternateContent>
        <mc:AlternateContent xmlns:mc="http://schemas.openxmlformats.org/markup-compatibility/2006">
          <mc:Choice Requires="x14">
            <control shapeId="24586" r:id="rId40" name="Group Box 1034">
              <controlPr defaultSize="0" autoFill="0" autoPict="0">
                <anchor moveWithCells="1">
                  <from>
                    <xdr:col>28</xdr:col>
                    <xdr:colOff>0</xdr:colOff>
                    <xdr:row>20</xdr:row>
                    <xdr:rowOff>12700</xdr:rowOff>
                  </from>
                  <to>
                    <xdr:col>32</xdr:col>
                    <xdr:colOff>0</xdr:colOff>
                    <xdr:row>20</xdr:row>
                    <xdr:rowOff>342900</xdr:rowOff>
                  </to>
                </anchor>
              </controlPr>
            </control>
          </mc:Choice>
          <mc:Fallback/>
        </mc:AlternateContent>
        <mc:AlternateContent xmlns:mc="http://schemas.openxmlformats.org/markup-compatibility/2006">
          <mc:Choice Requires="x14">
            <control shapeId="24587" r:id="rId41" name="Group Box 1035">
              <controlPr defaultSize="0" autoFill="0" autoPict="0">
                <anchor moveWithCells="1">
                  <from>
                    <xdr:col>33</xdr:col>
                    <xdr:colOff>0</xdr:colOff>
                    <xdr:row>21</xdr:row>
                    <xdr:rowOff>12700</xdr:rowOff>
                  </from>
                  <to>
                    <xdr:col>36</xdr:col>
                    <xdr:colOff>127000</xdr:colOff>
                    <xdr:row>21</xdr:row>
                    <xdr:rowOff>342900</xdr:rowOff>
                  </to>
                </anchor>
              </controlPr>
            </control>
          </mc:Choice>
          <mc:Fallback/>
        </mc:AlternateContent>
        <mc:AlternateContent xmlns:mc="http://schemas.openxmlformats.org/markup-compatibility/2006">
          <mc:Choice Requires="x14">
            <control shapeId="24588" r:id="rId42" name="Group Box 1036">
              <controlPr defaultSize="0" autoFill="0" autoPict="0">
                <anchor moveWithCells="1">
                  <from>
                    <xdr:col>28</xdr:col>
                    <xdr:colOff>0</xdr:colOff>
                    <xdr:row>22</xdr:row>
                    <xdr:rowOff>12700</xdr:rowOff>
                  </from>
                  <to>
                    <xdr:col>32</xdr:col>
                    <xdr:colOff>0</xdr:colOff>
                    <xdr:row>22</xdr:row>
                    <xdr:rowOff>342900</xdr:rowOff>
                  </to>
                </anchor>
              </controlPr>
            </control>
          </mc:Choice>
          <mc:Fallback/>
        </mc:AlternateContent>
        <mc:AlternateContent xmlns:mc="http://schemas.openxmlformats.org/markup-compatibility/2006">
          <mc:Choice Requires="x14">
            <control shapeId="24589" r:id="rId43" name="Group Box 1037">
              <controlPr defaultSize="0" autoFill="0" autoPict="0">
                <anchor moveWithCells="1">
                  <from>
                    <xdr:col>33</xdr:col>
                    <xdr:colOff>0</xdr:colOff>
                    <xdr:row>23</xdr:row>
                    <xdr:rowOff>12700</xdr:rowOff>
                  </from>
                  <to>
                    <xdr:col>37</xdr:col>
                    <xdr:colOff>0</xdr:colOff>
                    <xdr:row>23</xdr:row>
                    <xdr:rowOff>342900</xdr:rowOff>
                  </to>
                </anchor>
              </controlPr>
            </control>
          </mc:Choice>
          <mc:Fallback/>
        </mc:AlternateContent>
        <mc:AlternateContent xmlns:mc="http://schemas.openxmlformats.org/markup-compatibility/2006">
          <mc:Choice Requires="x14">
            <control shapeId="24590" r:id="rId44" name="Group Box 1038">
              <controlPr defaultSize="0" autoFill="0" autoPict="0">
                <anchor moveWithCells="1">
                  <from>
                    <xdr:col>28</xdr:col>
                    <xdr:colOff>0</xdr:colOff>
                    <xdr:row>24</xdr:row>
                    <xdr:rowOff>12700</xdr:rowOff>
                  </from>
                  <to>
                    <xdr:col>32</xdr:col>
                    <xdr:colOff>0</xdr:colOff>
                    <xdr:row>24</xdr:row>
                    <xdr:rowOff>342900</xdr:rowOff>
                  </to>
                </anchor>
              </controlPr>
            </control>
          </mc:Choice>
          <mc:Fallback/>
        </mc:AlternateContent>
        <mc:AlternateContent xmlns:mc="http://schemas.openxmlformats.org/markup-compatibility/2006">
          <mc:Choice Requires="x14">
            <control shapeId="24591" r:id="rId45" name="Group Box 1039">
              <controlPr defaultSize="0" autoFill="0" autoPict="0">
                <anchor moveWithCells="1">
                  <from>
                    <xdr:col>28</xdr:col>
                    <xdr:colOff>0</xdr:colOff>
                    <xdr:row>27</xdr:row>
                    <xdr:rowOff>12700</xdr:rowOff>
                  </from>
                  <to>
                    <xdr:col>32</xdr:col>
                    <xdr:colOff>0</xdr:colOff>
                    <xdr:row>27</xdr:row>
                    <xdr:rowOff>342900</xdr:rowOff>
                  </to>
                </anchor>
              </controlPr>
            </control>
          </mc:Choice>
          <mc:Fallback/>
        </mc:AlternateContent>
        <mc:AlternateContent xmlns:mc="http://schemas.openxmlformats.org/markup-compatibility/2006">
          <mc:Choice Requires="x14">
            <control shapeId="24592" r:id="rId46" name="Group Box 1040">
              <controlPr defaultSize="0" autoFill="0" autoPict="0">
                <anchor moveWithCells="1">
                  <from>
                    <xdr:col>28</xdr:col>
                    <xdr:colOff>0</xdr:colOff>
                    <xdr:row>28</xdr:row>
                    <xdr:rowOff>12700</xdr:rowOff>
                  </from>
                  <to>
                    <xdr:col>32</xdr:col>
                    <xdr:colOff>0</xdr:colOff>
                    <xdr:row>28</xdr:row>
                    <xdr:rowOff>342900</xdr:rowOff>
                  </to>
                </anchor>
              </controlPr>
            </control>
          </mc:Choice>
          <mc:Fallback/>
        </mc:AlternateContent>
        <mc:AlternateContent xmlns:mc="http://schemas.openxmlformats.org/markup-compatibility/2006">
          <mc:Choice Requires="x14">
            <control shapeId="24593" r:id="rId47" name="Group Box 1041">
              <controlPr defaultSize="0" autoFill="0" autoPict="0">
                <anchor moveWithCells="1">
                  <from>
                    <xdr:col>28</xdr:col>
                    <xdr:colOff>0</xdr:colOff>
                    <xdr:row>29</xdr:row>
                    <xdr:rowOff>12700</xdr:rowOff>
                  </from>
                  <to>
                    <xdr:col>32</xdr:col>
                    <xdr:colOff>0</xdr:colOff>
                    <xdr:row>29</xdr:row>
                    <xdr:rowOff>342900</xdr:rowOff>
                  </to>
                </anchor>
              </controlPr>
            </control>
          </mc:Choice>
          <mc:Fallback/>
        </mc:AlternateContent>
        <mc:AlternateContent xmlns:mc="http://schemas.openxmlformats.org/markup-compatibility/2006">
          <mc:Choice Requires="x14">
            <control shapeId="24594" r:id="rId48" name="Group Box 1042">
              <controlPr defaultSize="0" autoFill="0" autoPict="0">
                <anchor moveWithCells="1">
                  <from>
                    <xdr:col>28</xdr:col>
                    <xdr:colOff>0</xdr:colOff>
                    <xdr:row>30</xdr:row>
                    <xdr:rowOff>12700</xdr:rowOff>
                  </from>
                  <to>
                    <xdr:col>32</xdr:col>
                    <xdr:colOff>0</xdr:colOff>
                    <xdr:row>30</xdr:row>
                    <xdr:rowOff>342900</xdr:rowOff>
                  </to>
                </anchor>
              </controlPr>
            </control>
          </mc:Choice>
          <mc:Fallback/>
        </mc:AlternateContent>
        <mc:AlternateContent xmlns:mc="http://schemas.openxmlformats.org/markup-compatibility/2006">
          <mc:Choice Requires="x14">
            <control shapeId="24595" r:id="rId49" name="Group Box 1043">
              <controlPr defaultSize="0" autoFill="0" autoPict="0">
                <anchor moveWithCells="1">
                  <from>
                    <xdr:col>33</xdr:col>
                    <xdr:colOff>0</xdr:colOff>
                    <xdr:row>31</xdr:row>
                    <xdr:rowOff>12700</xdr:rowOff>
                  </from>
                  <to>
                    <xdr:col>37</xdr:col>
                    <xdr:colOff>0</xdr:colOff>
                    <xdr:row>31</xdr:row>
                    <xdr:rowOff>342900</xdr:rowOff>
                  </to>
                </anchor>
              </controlPr>
            </control>
          </mc:Choice>
          <mc:Fallback/>
        </mc:AlternateContent>
        <mc:AlternateContent xmlns:mc="http://schemas.openxmlformats.org/markup-compatibility/2006">
          <mc:Choice Requires="x14">
            <control shapeId="24596" r:id="rId50" name="Group Box 1044">
              <controlPr defaultSize="0" autoFill="0" autoPict="0">
                <anchor moveWithCells="1">
                  <from>
                    <xdr:col>28</xdr:col>
                    <xdr:colOff>0</xdr:colOff>
                    <xdr:row>33</xdr:row>
                    <xdr:rowOff>12700</xdr:rowOff>
                  </from>
                  <to>
                    <xdr:col>32</xdr:col>
                    <xdr:colOff>0</xdr:colOff>
                    <xdr:row>33</xdr:row>
                    <xdr:rowOff>342900</xdr:rowOff>
                  </to>
                </anchor>
              </controlPr>
            </control>
          </mc:Choice>
          <mc:Fallback/>
        </mc:AlternateContent>
        <mc:AlternateContent xmlns:mc="http://schemas.openxmlformats.org/markup-compatibility/2006">
          <mc:Choice Requires="x14">
            <control shapeId="24597" r:id="rId51" name="Group Box 1045">
              <controlPr defaultSize="0" autoFill="0" autoPict="0">
                <anchor moveWithCells="1">
                  <from>
                    <xdr:col>28</xdr:col>
                    <xdr:colOff>0</xdr:colOff>
                    <xdr:row>34</xdr:row>
                    <xdr:rowOff>12700</xdr:rowOff>
                  </from>
                  <to>
                    <xdr:col>32</xdr:col>
                    <xdr:colOff>0</xdr:colOff>
                    <xdr:row>34</xdr:row>
                    <xdr:rowOff>342900</xdr:rowOff>
                  </to>
                </anchor>
              </controlPr>
            </control>
          </mc:Choice>
          <mc:Fallback/>
        </mc:AlternateContent>
        <mc:AlternateContent xmlns:mc="http://schemas.openxmlformats.org/markup-compatibility/2006">
          <mc:Choice Requires="x14">
            <control shapeId="24598" r:id="rId52" name="Group Box 1046">
              <controlPr defaultSize="0" autoFill="0" autoPict="0">
                <anchor moveWithCells="1">
                  <from>
                    <xdr:col>33</xdr:col>
                    <xdr:colOff>0</xdr:colOff>
                    <xdr:row>35</xdr:row>
                    <xdr:rowOff>12700</xdr:rowOff>
                  </from>
                  <to>
                    <xdr:col>37</xdr:col>
                    <xdr:colOff>0</xdr:colOff>
                    <xdr:row>35</xdr:row>
                    <xdr:rowOff>342900</xdr:rowOff>
                  </to>
                </anchor>
              </controlPr>
            </control>
          </mc:Choice>
          <mc:Fallback/>
        </mc:AlternateContent>
        <mc:AlternateContent xmlns:mc="http://schemas.openxmlformats.org/markup-compatibility/2006">
          <mc:Choice Requires="x14">
            <control shapeId="24599" r:id="rId53" name="Group Box 1047">
              <controlPr defaultSize="0" autoFill="0" autoPict="0">
                <anchor moveWithCells="1">
                  <from>
                    <xdr:col>33</xdr:col>
                    <xdr:colOff>0</xdr:colOff>
                    <xdr:row>36</xdr:row>
                    <xdr:rowOff>12700</xdr:rowOff>
                  </from>
                  <to>
                    <xdr:col>37</xdr:col>
                    <xdr:colOff>0</xdr:colOff>
                    <xdr:row>36</xdr:row>
                    <xdr:rowOff>342900</xdr:rowOff>
                  </to>
                </anchor>
              </controlPr>
            </control>
          </mc:Choice>
          <mc:Fallback/>
        </mc:AlternateContent>
        <mc:AlternateContent xmlns:mc="http://schemas.openxmlformats.org/markup-compatibility/2006">
          <mc:Choice Requires="x14">
            <control shapeId="24600" r:id="rId54" name="Group Box 1048">
              <controlPr defaultSize="0" autoFill="0" autoPict="0">
                <anchor moveWithCells="1">
                  <from>
                    <xdr:col>28</xdr:col>
                    <xdr:colOff>0</xdr:colOff>
                    <xdr:row>38</xdr:row>
                    <xdr:rowOff>12700</xdr:rowOff>
                  </from>
                  <to>
                    <xdr:col>32</xdr:col>
                    <xdr:colOff>0</xdr:colOff>
                    <xdr:row>38</xdr:row>
                    <xdr:rowOff>342900</xdr:rowOff>
                  </to>
                </anchor>
              </controlPr>
            </control>
          </mc:Choice>
          <mc:Fallback/>
        </mc:AlternateContent>
        <mc:AlternateContent xmlns:mc="http://schemas.openxmlformats.org/markup-compatibility/2006">
          <mc:Choice Requires="x14">
            <control shapeId="24601" r:id="rId55" name="Group Box 1049">
              <controlPr defaultSize="0" autoFill="0" autoPict="0">
                <anchor moveWithCells="1">
                  <from>
                    <xdr:col>33</xdr:col>
                    <xdr:colOff>0</xdr:colOff>
                    <xdr:row>39</xdr:row>
                    <xdr:rowOff>12700</xdr:rowOff>
                  </from>
                  <to>
                    <xdr:col>35</xdr:col>
                    <xdr:colOff>88900</xdr:colOff>
                    <xdr:row>39</xdr:row>
                    <xdr:rowOff>342900</xdr:rowOff>
                  </to>
                </anchor>
              </controlPr>
            </control>
          </mc:Choice>
          <mc:Fallback/>
        </mc:AlternateContent>
        <mc:AlternateContent xmlns:mc="http://schemas.openxmlformats.org/markup-compatibility/2006">
          <mc:Choice Requires="x14">
            <control shapeId="24602" r:id="rId56" name="Group Box 1050">
              <controlPr defaultSize="0" autoFill="0" autoPict="0">
                <anchor moveWithCells="1">
                  <from>
                    <xdr:col>33</xdr:col>
                    <xdr:colOff>0</xdr:colOff>
                    <xdr:row>41</xdr:row>
                    <xdr:rowOff>12700</xdr:rowOff>
                  </from>
                  <to>
                    <xdr:col>36</xdr:col>
                    <xdr:colOff>88900</xdr:colOff>
                    <xdr:row>41</xdr:row>
                    <xdr:rowOff>342900</xdr:rowOff>
                  </to>
                </anchor>
              </controlPr>
            </control>
          </mc:Choice>
          <mc:Fallback/>
        </mc:AlternateContent>
        <mc:AlternateContent xmlns:mc="http://schemas.openxmlformats.org/markup-compatibility/2006">
          <mc:Choice Requires="x14">
            <control shapeId="24603" r:id="rId57" name="Group Box 1051">
              <controlPr defaultSize="0" autoFill="0" autoPict="0">
                <anchor moveWithCells="1">
                  <from>
                    <xdr:col>28</xdr:col>
                    <xdr:colOff>0</xdr:colOff>
                    <xdr:row>42</xdr:row>
                    <xdr:rowOff>12700</xdr:rowOff>
                  </from>
                  <to>
                    <xdr:col>31</xdr:col>
                    <xdr:colOff>139700</xdr:colOff>
                    <xdr:row>42</xdr:row>
                    <xdr:rowOff>342900</xdr:rowOff>
                  </to>
                </anchor>
              </controlPr>
            </control>
          </mc:Choice>
          <mc:Fallback/>
        </mc:AlternateContent>
        <mc:AlternateContent xmlns:mc="http://schemas.openxmlformats.org/markup-compatibility/2006">
          <mc:Choice Requires="x14">
            <control shapeId="24604" r:id="rId58" name="Group Box 1052">
              <controlPr defaultSize="0" autoFill="0" autoPict="0">
                <anchor moveWithCells="1">
                  <from>
                    <xdr:col>33</xdr:col>
                    <xdr:colOff>0</xdr:colOff>
                    <xdr:row>45</xdr:row>
                    <xdr:rowOff>12700</xdr:rowOff>
                  </from>
                  <to>
                    <xdr:col>37</xdr:col>
                    <xdr:colOff>0</xdr:colOff>
                    <xdr:row>45</xdr:row>
                    <xdr:rowOff>342900</xdr:rowOff>
                  </to>
                </anchor>
              </controlPr>
            </control>
          </mc:Choice>
          <mc:Fallback/>
        </mc:AlternateContent>
        <mc:AlternateContent xmlns:mc="http://schemas.openxmlformats.org/markup-compatibility/2006">
          <mc:Choice Requires="x14">
            <control shapeId="24605" r:id="rId59" name="Group Box 1053">
              <controlPr defaultSize="0" autoFill="0" autoPict="0">
                <anchor moveWithCells="1">
                  <from>
                    <xdr:col>28</xdr:col>
                    <xdr:colOff>0</xdr:colOff>
                    <xdr:row>44</xdr:row>
                    <xdr:rowOff>12700</xdr:rowOff>
                  </from>
                  <to>
                    <xdr:col>32</xdr:col>
                    <xdr:colOff>0</xdr:colOff>
                    <xdr:row>44</xdr:row>
                    <xdr:rowOff>342900</xdr:rowOff>
                  </to>
                </anchor>
              </controlPr>
            </control>
          </mc:Choice>
          <mc:Fallback/>
        </mc:AlternateContent>
        <mc:AlternateContent xmlns:mc="http://schemas.openxmlformats.org/markup-compatibility/2006">
          <mc:Choice Requires="x14">
            <control shapeId="24606" r:id="rId60" name="Group Box 1054">
              <controlPr defaultSize="0" autoFill="0" autoPict="0">
                <anchor moveWithCells="1">
                  <from>
                    <xdr:col>33</xdr:col>
                    <xdr:colOff>0</xdr:colOff>
                    <xdr:row>46</xdr:row>
                    <xdr:rowOff>12700</xdr:rowOff>
                  </from>
                  <to>
                    <xdr:col>37</xdr:col>
                    <xdr:colOff>0</xdr:colOff>
                    <xdr:row>46</xdr:row>
                    <xdr:rowOff>342900</xdr:rowOff>
                  </to>
                </anchor>
              </controlPr>
            </control>
          </mc:Choice>
          <mc:Fallback/>
        </mc:AlternateContent>
        <mc:AlternateContent xmlns:mc="http://schemas.openxmlformats.org/markup-compatibility/2006">
          <mc:Choice Requires="x14">
            <control shapeId="24607" r:id="rId61" name="Group Box 1055">
              <controlPr defaultSize="0" autoFill="0" autoPict="0">
                <anchor moveWithCells="1">
                  <from>
                    <xdr:col>28</xdr:col>
                    <xdr:colOff>0</xdr:colOff>
                    <xdr:row>48</xdr:row>
                    <xdr:rowOff>12700</xdr:rowOff>
                  </from>
                  <to>
                    <xdr:col>32</xdr:col>
                    <xdr:colOff>0</xdr:colOff>
                    <xdr:row>48</xdr:row>
                    <xdr:rowOff>342900</xdr:rowOff>
                  </to>
                </anchor>
              </controlPr>
            </control>
          </mc:Choice>
          <mc:Fallback/>
        </mc:AlternateContent>
        <mc:AlternateContent xmlns:mc="http://schemas.openxmlformats.org/markup-compatibility/2006">
          <mc:Choice Requires="x14">
            <control shapeId="24608" r:id="rId62" name="Group Box 1056">
              <controlPr defaultSize="0" autoFill="0" autoPict="0">
                <anchor moveWithCells="1">
                  <from>
                    <xdr:col>33</xdr:col>
                    <xdr:colOff>0</xdr:colOff>
                    <xdr:row>49</xdr:row>
                    <xdr:rowOff>12700</xdr:rowOff>
                  </from>
                  <to>
                    <xdr:col>35</xdr:col>
                    <xdr:colOff>88900</xdr:colOff>
                    <xdr:row>49</xdr:row>
                    <xdr:rowOff>342900</xdr:rowOff>
                  </to>
                </anchor>
              </controlPr>
            </control>
          </mc:Choice>
          <mc:Fallback/>
        </mc:AlternateContent>
        <mc:AlternateContent xmlns:mc="http://schemas.openxmlformats.org/markup-compatibility/2006">
          <mc:Choice Requires="x14">
            <control shapeId="24609" r:id="rId63" name="Group Box 1057">
              <controlPr defaultSize="0" autoFill="0" autoPict="0">
                <anchor moveWithCells="1">
                  <from>
                    <xdr:col>28</xdr:col>
                    <xdr:colOff>0</xdr:colOff>
                    <xdr:row>51</xdr:row>
                    <xdr:rowOff>12700</xdr:rowOff>
                  </from>
                  <to>
                    <xdr:col>32</xdr:col>
                    <xdr:colOff>0</xdr:colOff>
                    <xdr:row>51</xdr:row>
                    <xdr:rowOff>342900</xdr:rowOff>
                  </to>
                </anchor>
              </controlPr>
            </control>
          </mc:Choice>
          <mc:Fallback/>
        </mc:AlternateContent>
        <mc:AlternateContent xmlns:mc="http://schemas.openxmlformats.org/markup-compatibility/2006">
          <mc:Choice Requires="x14">
            <control shapeId="24610" r:id="rId64" name="Group Box 1058">
              <controlPr defaultSize="0" autoFill="0" autoPict="0">
                <anchor moveWithCells="1">
                  <from>
                    <xdr:col>28</xdr:col>
                    <xdr:colOff>0</xdr:colOff>
                    <xdr:row>52</xdr:row>
                    <xdr:rowOff>12700</xdr:rowOff>
                  </from>
                  <to>
                    <xdr:col>32</xdr:col>
                    <xdr:colOff>0</xdr:colOff>
                    <xdr:row>52</xdr:row>
                    <xdr:rowOff>342900</xdr:rowOff>
                  </to>
                </anchor>
              </controlPr>
            </control>
          </mc:Choice>
          <mc:Fallback/>
        </mc:AlternateContent>
        <mc:AlternateContent xmlns:mc="http://schemas.openxmlformats.org/markup-compatibility/2006">
          <mc:Choice Requires="x14">
            <control shapeId="24616" r:id="rId65" name="Group Box 1064">
              <controlPr defaultSize="0" autoFill="0" autoPict="0">
                <anchor moveWithCells="1">
                  <from>
                    <xdr:col>28</xdr:col>
                    <xdr:colOff>0</xdr:colOff>
                    <xdr:row>8</xdr:row>
                    <xdr:rowOff>12700</xdr:rowOff>
                  </from>
                  <to>
                    <xdr:col>32</xdr:col>
                    <xdr:colOff>0</xdr:colOff>
                    <xdr:row>8</xdr:row>
                    <xdr:rowOff>342900</xdr:rowOff>
                  </to>
                </anchor>
              </controlPr>
            </control>
          </mc:Choice>
          <mc:Fallback/>
        </mc:AlternateContent>
        <mc:AlternateContent xmlns:mc="http://schemas.openxmlformats.org/markup-compatibility/2006">
          <mc:Choice Requires="x14">
            <control shapeId="14198" r:id="rId66" name="Option Button 886">
              <controlPr defaultSize="0" print="0" autoFill="0" autoLine="0" autoPict="0">
                <anchor moveWithCells="1" sizeWithCells="1">
                  <from>
                    <xdr:col>33</xdr:col>
                    <xdr:colOff>127000</xdr:colOff>
                    <xdr:row>21</xdr:row>
                    <xdr:rowOff>38100</xdr:rowOff>
                  </from>
                  <to>
                    <xdr:col>34</xdr:col>
                    <xdr:colOff>25400</xdr:colOff>
                    <xdr:row>21</xdr:row>
                    <xdr:rowOff>330200</xdr:rowOff>
                  </to>
                </anchor>
              </controlPr>
            </control>
          </mc:Choice>
          <mc:Fallback/>
        </mc:AlternateContent>
        <mc:AlternateContent xmlns:mc="http://schemas.openxmlformats.org/markup-compatibility/2006">
          <mc:Choice Requires="x14">
            <control shapeId="14199" r:id="rId67" name="Option Button 887">
              <controlPr defaultSize="0" print="0" autoFill="0" autoLine="0" autoPict="0">
                <anchor moveWithCells="1" sizeWithCells="1">
                  <from>
                    <xdr:col>34</xdr:col>
                    <xdr:colOff>127000</xdr:colOff>
                    <xdr:row>21</xdr:row>
                    <xdr:rowOff>76200</xdr:rowOff>
                  </from>
                  <to>
                    <xdr:col>35</xdr:col>
                    <xdr:colOff>12700</xdr:colOff>
                    <xdr:row>21</xdr:row>
                    <xdr:rowOff>304800</xdr:rowOff>
                  </to>
                </anchor>
              </controlPr>
            </control>
          </mc:Choice>
          <mc:Fallback/>
        </mc:AlternateContent>
        <mc:AlternateContent xmlns:mc="http://schemas.openxmlformats.org/markup-compatibility/2006">
          <mc:Choice Requires="x14">
            <control shapeId="24626" r:id="rId68" name="Option Button 1074">
              <controlPr defaultSize="0" print="0" autoFill="0" autoLine="0" autoPict="0">
                <anchor moveWithCells="1" sizeWithCells="1">
                  <from>
                    <xdr:col>35</xdr:col>
                    <xdr:colOff>127000</xdr:colOff>
                    <xdr:row>21</xdr:row>
                    <xdr:rowOff>76200</xdr:rowOff>
                  </from>
                  <to>
                    <xdr:col>36</xdr:col>
                    <xdr:colOff>12700</xdr:colOff>
                    <xdr:row>21</xdr:row>
                    <xdr:rowOff>304800</xdr:rowOff>
                  </to>
                </anchor>
              </controlPr>
            </control>
          </mc:Choice>
          <mc:Fallback/>
        </mc:AlternateContent>
        <mc:AlternateContent xmlns:mc="http://schemas.openxmlformats.org/markup-compatibility/2006">
          <mc:Choice Requires="x14">
            <control shapeId="24627" r:id="rId69" name="Option Button 1075">
              <controlPr defaultSize="0" print="0" autoFill="0" autoLine="0" autoPict="0">
                <anchor moveWithCells="1" sizeWithCells="1">
                  <from>
                    <xdr:col>30</xdr:col>
                    <xdr:colOff>114300</xdr:colOff>
                    <xdr:row>30</xdr:row>
                    <xdr:rowOff>38100</xdr:rowOff>
                  </from>
                  <to>
                    <xdr:col>31</xdr:col>
                    <xdr:colOff>12700</xdr:colOff>
                    <xdr:row>30</xdr:row>
                    <xdr:rowOff>342900</xdr:rowOff>
                  </to>
                </anchor>
              </controlPr>
            </control>
          </mc:Choice>
          <mc:Fallback/>
        </mc:AlternateContent>
        <mc:AlternateContent xmlns:mc="http://schemas.openxmlformats.org/markup-compatibility/2006">
          <mc:Choice Requires="x14">
            <control shapeId="24630" r:id="rId70" name="Option Button 1078">
              <controlPr defaultSize="0" autoFill="0" autoLine="0" autoPict="0">
                <anchor moveWithCells="1">
                  <from>
                    <xdr:col>31</xdr:col>
                    <xdr:colOff>101600</xdr:colOff>
                    <xdr:row>30</xdr:row>
                    <xdr:rowOff>38100</xdr:rowOff>
                  </from>
                  <to>
                    <xdr:col>32</xdr:col>
                    <xdr:colOff>0</xdr:colOff>
                    <xdr:row>30</xdr:row>
                    <xdr:rowOff>330200</xdr:rowOff>
                  </to>
                </anchor>
              </controlPr>
            </control>
          </mc:Choice>
          <mc:Fallback/>
        </mc:AlternateContent>
        <mc:AlternateContent xmlns:mc="http://schemas.openxmlformats.org/markup-compatibility/2006">
          <mc:Choice Requires="x14">
            <control shapeId="14143" r:id="rId71" name="Option Button 831">
              <controlPr defaultSize="0" print="0" autoFill="0" autoLine="0" autoPict="0">
                <anchor moveWithCells="1" sizeWithCells="1">
                  <from>
                    <xdr:col>22</xdr:col>
                    <xdr:colOff>12700</xdr:colOff>
                    <xdr:row>8</xdr:row>
                    <xdr:rowOff>38100</xdr:rowOff>
                  </from>
                  <to>
                    <xdr:col>22</xdr:col>
                    <xdr:colOff>317500</xdr:colOff>
                    <xdr:row>8</xdr:row>
                    <xdr:rowOff>254000</xdr:rowOff>
                  </to>
                </anchor>
              </controlPr>
            </control>
          </mc:Choice>
          <mc:Fallback/>
        </mc:AlternateContent>
        <mc:AlternateContent xmlns:mc="http://schemas.openxmlformats.org/markup-compatibility/2006">
          <mc:Choice Requires="x14">
            <control shapeId="14144" r:id="rId72" name="Option Button 832">
              <controlPr defaultSize="0" print="0" autoFill="0" autoLine="0" autoPict="0">
                <anchor moveWithCells="1" sizeWithCells="1">
                  <from>
                    <xdr:col>23</xdr:col>
                    <xdr:colOff>50800</xdr:colOff>
                    <xdr:row>8</xdr:row>
                    <xdr:rowOff>63500</xdr:rowOff>
                  </from>
                  <to>
                    <xdr:col>24</xdr:col>
                    <xdr:colOff>0</xdr:colOff>
                    <xdr:row>8</xdr:row>
                    <xdr:rowOff>241300</xdr:rowOff>
                  </to>
                </anchor>
              </controlPr>
            </control>
          </mc:Choice>
          <mc:Fallback/>
        </mc:AlternateContent>
        <mc:AlternateContent xmlns:mc="http://schemas.openxmlformats.org/markup-compatibility/2006">
          <mc:Choice Requires="x14">
            <control shapeId="14145" r:id="rId73" name="Option Button 833">
              <controlPr defaultSize="0" print="0" autoFill="0" autoLine="0" autoPict="0">
                <anchor moveWithCells="1" sizeWithCells="1">
                  <from>
                    <xdr:col>24</xdr:col>
                    <xdr:colOff>76200</xdr:colOff>
                    <xdr:row>8</xdr:row>
                    <xdr:rowOff>50800</xdr:rowOff>
                  </from>
                  <to>
                    <xdr:col>25</xdr:col>
                    <xdr:colOff>38100</xdr:colOff>
                    <xdr:row>9</xdr:row>
                    <xdr:rowOff>0</xdr:rowOff>
                  </to>
                </anchor>
              </controlPr>
            </control>
          </mc:Choice>
          <mc:Fallback/>
        </mc:AlternateContent>
        <mc:AlternateContent xmlns:mc="http://schemas.openxmlformats.org/markup-compatibility/2006">
          <mc:Choice Requires="x14">
            <control shapeId="14146" r:id="rId74" name="Option Button 834">
              <controlPr defaultSize="0" print="0" autoFill="0" autoLine="0" autoPict="0">
                <anchor moveWithCells="1" sizeWithCells="1">
                  <from>
                    <xdr:col>25</xdr:col>
                    <xdr:colOff>101600</xdr:colOff>
                    <xdr:row>8</xdr:row>
                    <xdr:rowOff>50800</xdr:rowOff>
                  </from>
                  <to>
                    <xdr:col>26</xdr:col>
                    <xdr:colOff>63500</xdr:colOff>
                    <xdr:row>9</xdr:row>
                    <xdr:rowOff>0</xdr:rowOff>
                  </to>
                </anchor>
              </controlPr>
            </control>
          </mc:Choice>
          <mc:Fallback/>
        </mc:AlternateContent>
        <mc:AlternateContent xmlns:mc="http://schemas.openxmlformats.org/markup-compatibility/2006">
          <mc:Choice Requires="x14">
            <control shapeId="14148" r:id="rId75" name="Option Button 836">
              <controlPr defaultSize="0" print="0" autoFill="0" autoLine="0" autoPict="0">
                <anchor moveWithCells="1" sizeWithCells="1">
                  <from>
                    <xdr:col>22</xdr:col>
                    <xdr:colOff>12700</xdr:colOff>
                    <xdr:row>9</xdr:row>
                    <xdr:rowOff>38100</xdr:rowOff>
                  </from>
                  <to>
                    <xdr:col>22</xdr:col>
                    <xdr:colOff>317500</xdr:colOff>
                    <xdr:row>9</xdr:row>
                    <xdr:rowOff>254000</xdr:rowOff>
                  </to>
                </anchor>
              </controlPr>
            </control>
          </mc:Choice>
          <mc:Fallback/>
        </mc:AlternateContent>
        <mc:AlternateContent xmlns:mc="http://schemas.openxmlformats.org/markup-compatibility/2006">
          <mc:Choice Requires="x14">
            <control shapeId="14149" r:id="rId76" name="Option Button 837">
              <controlPr defaultSize="0" print="0" autoFill="0" autoLine="0" autoPict="0">
                <anchor moveWithCells="1" sizeWithCells="1">
                  <from>
                    <xdr:col>23</xdr:col>
                    <xdr:colOff>50800</xdr:colOff>
                    <xdr:row>9</xdr:row>
                    <xdr:rowOff>63500</xdr:rowOff>
                  </from>
                  <to>
                    <xdr:col>24</xdr:col>
                    <xdr:colOff>0</xdr:colOff>
                    <xdr:row>9</xdr:row>
                    <xdr:rowOff>241300</xdr:rowOff>
                  </to>
                </anchor>
              </controlPr>
            </control>
          </mc:Choice>
          <mc:Fallback/>
        </mc:AlternateContent>
        <mc:AlternateContent xmlns:mc="http://schemas.openxmlformats.org/markup-compatibility/2006">
          <mc:Choice Requires="x14">
            <control shapeId="14150" r:id="rId77" name="Option Button 838">
              <controlPr defaultSize="0" print="0" autoFill="0" autoLine="0" autoPict="0">
                <anchor moveWithCells="1" sizeWithCells="1">
                  <from>
                    <xdr:col>24</xdr:col>
                    <xdr:colOff>76200</xdr:colOff>
                    <xdr:row>9</xdr:row>
                    <xdr:rowOff>50800</xdr:rowOff>
                  </from>
                  <to>
                    <xdr:col>25</xdr:col>
                    <xdr:colOff>38100</xdr:colOff>
                    <xdr:row>10</xdr:row>
                    <xdr:rowOff>0</xdr:rowOff>
                  </to>
                </anchor>
              </controlPr>
            </control>
          </mc:Choice>
          <mc:Fallback/>
        </mc:AlternateContent>
        <mc:AlternateContent xmlns:mc="http://schemas.openxmlformats.org/markup-compatibility/2006">
          <mc:Choice Requires="x14">
            <control shapeId="14151" r:id="rId78" name="Option Button 839">
              <controlPr defaultSize="0" print="0" autoFill="0" autoLine="0" autoPict="0">
                <anchor moveWithCells="1" sizeWithCells="1">
                  <from>
                    <xdr:col>25</xdr:col>
                    <xdr:colOff>101600</xdr:colOff>
                    <xdr:row>9</xdr:row>
                    <xdr:rowOff>50800</xdr:rowOff>
                  </from>
                  <to>
                    <xdr:col>26</xdr:col>
                    <xdr:colOff>63500</xdr:colOff>
                    <xdr:row>10</xdr:row>
                    <xdr:rowOff>0</xdr:rowOff>
                  </to>
                </anchor>
              </controlPr>
            </control>
          </mc:Choice>
          <mc:Fallback/>
        </mc:AlternateContent>
        <mc:AlternateContent xmlns:mc="http://schemas.openxmlformats.org/markup-compatibility/2006">
          <mc:Choice Requires="x14">
            <control shapeId="14153" r:id="rId79" name="Option Button 841">
              <controlPr defaultSize="0" print="0" autoFill="0" autoLine="0" autoPict="0">
                <anchor moveWithCells="1" sizeWithCells="1">
                  <from>
                    <xdr:col>22</xdr:col>
                    <xdr:colOff>12700</xdr:colOff>
                    <xdr:row>10</xdr:row>
                    <xdr:rowOff>38100</xdr:rowOff>
                  </from>
                  <to>
                    <xdr:col>22</xdr:col>
                    <xdr:colOff>317500</xdr:colOff>
                    <xdr:row>10</xdr:row>
                    <xdr:rowOff>254000</xdr:rowOff>
                  </to>
                </anchor>
              </controlPr>
            </control>
          </mc:Choice>
          <mc:Fallback/>
        </mc:AlternateContent>
        <mc:AlternateContent xmlns:mc="http://schemas.openxmlformats.org/markup-compatibility/2006">
          <mc:Choice Requires="x14">
            <control shapeId="14154" r:id="rId80" name="Option Button 842">
              <controlPr defaultSize="0" print="0" autoFill="0" autoLine="0" autoPict="0">
                <anchor moveWithCells="1" sizeWithCells="1">
                  <from>
                    <xdr:col>23</xdr:col>
                    <xdr:colOff>50800</xdr:colOff>
                    <xdr:row>10</xdr:row>
                    <xdr:rowOff>63500</xdr:rowOff>
                  </from>
                  <to>
                    <xdr:col>24</xdr:col>
                    <xdr:colOff>0</xdr:colOff>
                    <xdr:row>10</xdr:row>
                    <xdr:rowOff>241300</xdr:rowOff>
                  </to>
                </anchor>
              </controlPr>
            </control>
          </mc:Choice>
          <mc:Fallback/>
        </mc:AlternateContent>
        <mc:AlternateContent xmlns:mc="http://schemas.openxmlformats.org/markup-compatibility/2006">
          <mc:Choice Requires="x14">
            <control shapeId="14155" r:id="rId81" name="Option Button 843">
              <controlPr defaultSize="0" print="0" autoFill="0" autoLine="0" autoPict="0">
                <anchor moveWithCells="1" sizeWithCells="1">
                  <from>
                    <xdr:col>24</xdr:col>
                    <xdr:colOff>76200</xdr:colOff>
                    <xdr:row>10</xdr:row>
                    <xdr:rowOff>50800</xdr:rowOff>
                  </from>
                  <to>
                    <xdr:col>25</xdr:col>
                    <xdr:colOff>38100</xdr:colOff>
                    <xdr:row>11</xdr:row>
                    <xdr:rowOff>0</xdr:rowOff>
                  </to>
                </anchor>
              </controlPr>
            </control>
          </mc:Choice>
          <mc:Fallback/>
        </mc:AlternateContent>
        <mc:AlternateContent xmlns:mc="http://schemas.openxmlformats.org/markup-compatibility/2006">
          <mc:Choice Requires="x14">
            <control shapeId="14156" r:id="rId82" name="Option Button 844">
              <controlPr defaultSize="0" print="0" autoFill="0" autoLine="0" autoPict="0">
                <anchor moveWithCells="1" sizeWithCells="1">
                  <from>
                    <xdr:col>25</xdr:col>
                    <xdr:colOff>101600</xdr:colOff>
                    <xdr:row>10</xdr:row>
                    <xdr:rowOff>50800</xdr:rowOff>
                  </from>
                  <to>
                    <xdr:col>26</xdr:col>
                    <xdr:colOff>63500</xdr:colOff>
                    <xdr:row>11</xdr:row>
                    <xdr:rowOff>0</xdr:rowOff>
                  </to>
                </anchor>
              </controlPr>
            </control>
          </mc:Choice>
          <mc:Fallback/>
        </mc:AlternateContent>
        <mc:AlternateContent xmlns:mc="http://schemas.openxmlformats.org/markup-compatibility/2006">
          <mc:Choice Requires="x14">
            <control shapeId="14158" r:id="rId83" name="Option Button 846">
              <controlPr defaultSize="0" print="0" autoFill="0" autoLine="0" autoPict="0">
                <anchor moveWithCells="1" sizeWithCells="1">
                  <from>
                    <xdr:col>22</xdr:col>
                    <xdr:colOff>12700</xdr:colOff>
                    <xdr:row>11</xdr:row>
                    <xdr:rowOff>38100</xdr:rowOff>
                  </from>
                  <to>
                    <xdr:col>22</xdr:col>
                    <xdr:colOff>317500</xdr:colOff>
                    <xdr:row>11</xdr:row>
                    <xdr:rowOff>254000</xdr:rowOff>
                  </to>
                </anchor>
              </controlPr>
            </control>
          </mc:Choice>
          <mc:Fallback/>
        </mc:AlternateContent>
        <mc:AlternateContent xmlns:mc="http://schemas.openxmlformats.org/markup-compatibility/2006">
          <mc:Choice Requires="x14">
            <control shapeId="14159" r:id="rId84" name="Option Button 847">
              <controlPr defaultSize="0" print="0" autoFill="0" autoLine="0" autoPict="0">
                <anchor moveWithCells="1" sizeWithCells="1">
                  <from>
                    <xdr:col>23</xdr:col>
                    <xdr:colOff>50800</xdr:colOff>
                    <xdr:row>11</xdr:row>
                    <xdr:rowOff>63500</xdr:rowOff>
                  </from>
                  <to>
                    <xdr:col>24</xdr:col>
                    <xdr:colOff>0</xdr:colOff>
                    <xdr:row>11</xdr:row>
                    <xdr:rowOff>241300</xdr:rowOff>
                  </to>
                </anchor>
              </controlPr>
            </control>
          </mc:Choice>
          <mc:Fallback/>
        </mc:AlternateContent>
        <mc:AlternateContent xmlns:mc="http://schemas.openxmlformats.org/markup-compatibility/2006">
          <mc:Choice Requires="x14">
            <control shapeId="14160" r:id="rId85" name="Option Button 848">
              <controlPr defaultSize="0" print="0" autoFill="0" autoLine="0" autoPict="0">
                <anchor moveWithCells="1" sizeWithCells="1">
                  <from>
                    <xdr:col>24</xdr:col>
                    <xdr:colOff>76200</xdr:colOff>
                    <xdr:row>11</xdr:row>
                    <xdr:rowOff>50800</xdr:rowOff>
                  </from>
                  <to>
                    <xdr:col>25</xdr:col>
                    <xdr:colOff>38100</xdr:colOff>
                    <xdr:row>12</xdr:row>
                    <xdr:rowOff>0</xdr:rowOff>
                  </to>
                </anchor>
              </controlPr>
            </control>
          </mc:Choice>
          <mc:Fallback/>
        </mc:AlternateContent>
        <mc:AlternateContent xmlns:mc="http://schemas.openxmlformats.org/markup-compatibility/2006">
          <mc:Choice Requires="x14">
            <control shapeId="14161" r:id="rId86" name="Option Button 849">
              <controlPr defaultSize="0" print="0" autoFill="0" autoLine="0" autoPict="0">
                <anchor moveWithCells="1" sizeWithCells="1">
                  <from>
                    <xdr:col>25</xdr:col>
                    <xdr:colOff>101600</xdr:colOff>
                    <xdr:row>11</xdr:row>
                    <xdr:rowOff>50800</xdr:rowOff>
                  </from>
                  <to>
                    <xdr:col>26</xdr:col>
                    <xdr:colOff>63500</xdr:colOff>
                    <xdr:row>12</xdr:row>
                    <xdr:rowOff>0</xdr:rowOff>
                  </to>
                </anchor>
              </controlPr>
            </control>
          </mc:Choice>
          <mc:Fallback/>
        </mc:AlternateContent>
        <mc:AlternateContent xmlns:mc="http://schemas.openxmlformats.org/markup-compatibility/2006">
          <mc:Choice Requires="x14">
            <control shapeId="14163" r:id="rId87" name="Option Button 851">
              <controlPr defaultSize="0" print="0" autoFill="0" autoLine="0" autoPict="0">
                <anchor moveWithCells="1" sizeWithCells="1">
                  <from>
                    <xdr:col>22</xdr:col>
                    <xdr:colOff>12700</xdr:colOff>
                    <xdr:row>12</xdr:row>
                    <xdr:rowOff>38100</xdr:rowOff>
                  </from>
                  <to>
                    <xdr:col>22</xdr:col>
                    <xdr:colOff>317500</xdr:colOff>
                    <xdr:row>12</xdr:row>
                    <xdr:rowOff>254000</xdr:rowOff>
                  </to>
                </anchor>
              </controlPr>
            </control>
          </mc:Choice>
          <mc:Fallback/>
        </mc:AlternateContent>
        <mc:AlternateContent xmlns:mc="http://schemas.openxmlformats.org/markup-compatibility/2006">
          <mc:Choice Requires="x14">
            <control shapeId="14164" r:id="rId88" name="Option Button 852">
              <controlPr defaultSize="0" print="0" autoFill="0" autoLine="0" autoPict="0">
                <anchor moveWithCells="1" sizeWithCells="1">
                  <from>
                    <xdr:col>23</xdr:col>
                    <xdr:colOff>50800</xdr:colOff>
                    <xdr:row>12</xdr:row>
                    <xdr:rowOff>63500</xdr:rowOff>
                  </from>
                  <to>
                    <xdr:col>24</xdr:col>
                    <xdr:colOff>0</xdr:colOff>
                    <xdr:row>12</xdr:row>
                    <xdr:rowOff>241300</xdr:rowOff>
                  </to>
                </anchor>
              </controlPr>
            </control>
          </mc:Choice>
          <mc:Fallback/>
        </mc:AlternateContent>
        <mc:AlternateContent xmlns:mc="http://schemas.openxmlformats.org/markup-compatibility/2006">
          <mc:Choice Requires="x14">
            <control shapeId="14165" r:id="rId89" name="Option Button 853">
              <controlPr defaultSize="0" print="0" autoFill="0" autoLine="0" autoPict="0">
                <anchor moveWithCells="1" sizeWithCells="1">
                  <from>
                    <xdr:col>24</xdr:col>
                    <xdr:colOff>76200</xdr:colOff>
                    <xdr:row>12</xdr:row>
                    <xdr:rowOff>50800</xdr:rowOff>
                  </from>
                  <to>
                    <xdr:col>25</xdr:col>
                    <xdr:colOff>38100</xdr:colOff>
                    <xdr:row>13</xdr:row>
                    <xdr:rowOff>0</xdr:rowOff>
                  </to>
                </anchor>
              </controlPr>
            </control>
          </mc:Choice>
          <mc:Fallback/>
        </mc:AlternateContent>
        <mc:AlternateContent xmlns:mc="http://schemas.openxmlformats.org/markup-compatibility/2006">
          <mc:Choice Requires="x14">
            <control shapeId="14166" r:id="rId90" name="Option Button 854">
              <controlPr defaultSize="0" print="0" autoFill="0" autoLine="0" autoPict="0">
                <anchor moveWithCells="1" sizeWithCells="1">
                  <from>
                    <xdr:col>25</xdr:col>
                    <xdr:colOff>101600</xdr:colOff>
                    <xdr:row>12</xdr:row>
                    <xdr:rowOff>50800</xdr:rowOff>
                  </from>
                  <to>
                    <xdr:col>26</xdr:col>
                    <xdr:colOff>63500</xdr:colOff>
                    <xdr:row>13</xdr:row>
                    <xdr:rowOff>0</xdr:rowOff>
                  </to>
                </anchor>
              </controlPr>
            </control>
          </mc:Choice>
          <mc:Fallback/>
        </mc:AlternateContent>
        <mc:AlternateContent xmlns:mc="http://schemas.openxmlformats.org/markup-compatibility/2006">
          <mc:Choice Requires="x14">
            <control shapeId="14168" r:id="rId91" name="Option Button 856">
              <controlPr defaultSize="0" print="0" autoFill="0" autoLine="0" autoPict="0">
                <anchor moveWithCells="1" sizeWithCells="1">
                  <from>
                    <xdr:col>22</xdr:col>
                    <xdr:colOff>12700</xdr:colOff>
                    <xdr:row>13</xdr:row>
                    <xdr:rowOff>38100</xdr:rowOff>
                  </from>
                  <to>
                    <xdr:col>22</xdr:col>
                    <xdr:colOff>317500</xdr:colOff>
                    <xdr:row>13</xdr:row>
                    <xdr:rowOff>254000</xdr:rowOff>
                  </to>
                </anchor>
              </controlPr>
            </control>
          </mc:Choice>
          <mc:Fallback/>
        </mc:AlternateContent>
        <mc:AlternateContent xmlns:mc="http://schemas.openxmlformats.org/markup-compatibility/2006">
          <mc:Choice Requires="x14">
            <control shapeId="14169" r:id="rId92" name="Option Button 857">
              <controlPr defaultSize="0" print="0" autoFill="0" autoLine="0" autoPict="0">
                <anchor moveWithCells="1" sizeWithCells="1">
                  <from>
                    <xdr:col>23</xdr:col>
                    <xdr:colOff>50800</xdr:colOff>
                    <xdr:row>13</xdr:row>
                    <xdr:rowOff>63500</xdr:rowOff>
                  </from>
                  <to>
                    <xdr:col>24</xdr:col>
                    <xdr:colOff>0</xdr:colOff>
                    <xdr:row>13</xdr:row>
                    <xdr:rowOff>241300</xdr:rowOff>
                  </to>
                </anchor>
              </controlPr>
            </control>
          </mc:Choice>
          <mc:Fallback/>
        </mc:AlternateContent>
        <mc:AlternateContent xmlns:mc="http://schemas.openxmlformats.org/markup-compatibility/2006">
          <mc:Choice Requires="x14">
            <control shapeId="14170" r:id="rId93" name="Option Button 858">
              <controlPr defaultSize="0" print="0" autoFill="0" autoLine="0" autoPict="0">
                <anchor moveWithCells="1" sizeWithCells="1">
                  <from>
                    <xdr:col>24</xdr:col>
                    <xdr:colOff>76200</xdr:colOff>
                    <xdr:row>13</xdr:row>
                    <xdr:rowOff>50800</xdr:rowOff>
                  </from>
                  <to>
                    <xdr:col>25</xdr:col>
                    <xdr:colOff>38100</xdr:colOff>
                    <xdr:row>14</xdr:row>
                    <xdr:rowOff>0</xdr:rowOff>
                  </to>
                </anchor>
              </controlPr>
            </control>
          </mc:Choice>
          <mc:Fallback/>
        </mc:AlternateContent>
        <mc:AlternateContent xmlns:mc="http://schemas.openxmlformats.org/markup-compatibility/2006">
          <mc:Choice Requires="x14">
            <control shapeId="14171" r:id="rId94" name="Option Button 859">
              <controlPr defaultSize="0" print="0" autoFill="0" autoLine="0" autoPict="0">
                <anchor moveWithCells="1" sizeWithCells="1">
                  <from>
                    <xdr:col>25</xdr:col>
                    <xdr:colOff>101600</xdr:colOff>
                    <xdr:row>13</xdr:row>
                    <xdr:rowOff>50800</xdr:rowOff>
                  </from>
                  <to>
                    <xdr:col>26</xdr:col>
                    <xdr:colOff>63500</xdr:colOff>
                    <xdr:row>14</xdr:row>
                    <xdr:rowOff>0</xdr:rowOff>
                  </to>
                </anchor>
              </controlPr>
            </control>
          </mc:Choice>
          <mc:Fallback/>
        </mc:AlternateContent>
        <mc:AlternateContent xmlns:mc="http://schemas.openxmlformats.org/markup-compatibility/2006">
          <mc:Choice Requires="x14">
            <control shapeId="14173" r:id="rId95" name="Option Button 861">
              <controlPr defaultSize="0" print="0" autoFill="0" autoLine="0" autoPict="0">
                <anchor moveWithCells="1" sizeWithCells="1">
                  <from>
                    <xdr:col>22</xdr:col>
                    <xdr:colOff>12700</xdr:colOff>
                    <xdr:row>14</xdr:row>
                    <xdr:rowOff>38100</xdr:rowOff>
                  </from>
                  <to>
                    <xdr:col>22</xdr:col>
                    <xdr:colOff>317500</xdr:colOff>
                    <xdr:row>14</xdr:row>
                    <xdr:rowOff>254000</xdr:rowOff>
                  </to>
                </anchor>
              </controlPr>
            </control>
          </mc:Choice>
          <mc:Fallback/>
        </mc:AlternateContent>
        <mc:AlternateContent xmlns:mc="http://schemas.openxmlformats.org/markup-compatibility/2006">
          <mc:Choice Requires="x14">
            <control shapeId="14174" r:id="rId96" name="Option Button 862">
              <controlPr defaultSize="0" print="0" autoFill="0" autoLine="0" autoPict="0">
                <anchor moveWithCells="1" sizeWithCells="1">
                  <from>
                    <xdr:col>23</xdr:col>
                    <xdr:colOff>50800</xdr:colOff>
                    <xdr:row>14</xdr:row>
                    <xdr:rowOff>63500</xdr:rowOff>
                  </from>
                  <to>
                    <xdr:col>24</xdr:col>
                    <xdr:colOff>0</xdr:colOff>
                    <xdr:row>14</xdr:row>
                    <xdr:rowOff>241300</xdr:rowOff>
                  </to>
                </anchor>
              </controlPr>
            </control>
          </mc:Choice>
          <mc:Fallback/>
        </mc:AlternateContent>
        <mc:AlternateContent xmlns:mc="http://schemas.openxmlformats.org/markup-compatibility/2006">
          <mc:Choice Requires="x14">
            <control shapeId="14175" r:id="rId97" name="Option Button 863">
              <controlPr defaultSize="0" print="0" autoFill="0" autoLine="0" autoPict="0">
                <anchor moveWithCells="1" sizeWithCells="1">
                  <from>
                    <xdr:col>24</xdr:col>
                    <xdr:colOff>76200</xdr:colOff>
                    <xdr:row>14</xdr:row>
                    <xdr:rowOff>50800</xdr:rowOff>
                  </from>
                  <to>
                    <xdr:col>25</xdr:col>
                    <xdr:colOff>38100</xdr:colOff>
                    <xdr:row>15</xdr:row>
                    <xdr:rowOff>0</xdr:rowOff>
                  </to>
                </anchor>
              </controlPr>
            </control>
          </mc:Choice>
          <mc:Fallback/>
        </mc:AlternateContent>
        <mc:AlternateContent xmlns:mc="http://schemas.openxmlformats.org/markup-compatibility/2006">
          <mc:Choice Requires="x14">
            <control shapeId="14176" r:id="rId98" name="Option Button 864">
              <controlPr defaultSize="0" print="0" autoFill="0" autoLine="0" autoPict="0">
                <anchor moveWithCells="1" sizeWithCells="1">
                  <from>
                    <xdr:col>25</xdr:col>
                    <xdr:colOff>101600</xdr:colOff>
                    <xdr:row>14</xdr:row>
                    <xdr:rowOff>50800</xdr:rowOff>
                  </from>
                  <to>
                    <xdr:col>26</xdr:col>
                    <xdr:colOff>63500</xdr:colOff>
                    <xdr:row>15</xdr:row>
                    <xdr:rowOff>0</xdr:rowOff>
                  </to>
                </anchor>
              </controlPr>
            </control>
          </mc:Choice>
          <mc:Fallback/>
        </mc:AlternateContent>
        <mc:AlternateContent xmlns:mc="http://schemas.openxmlformats.org/markup-compatibility/2006">
          <mc:Choice Requires="x14">
            <control shapeId="14178" r:id="rId99" name="Option Button 866">
              <controlPr defaultSize="0" print="0" autoFill="0" autoLine="0" autoPict="0">
                <anchor moveWithCells="1" sizeWithCells="1">
                  <from>
                    <xdr:col>22</xdr:col>
                    <xdr:colOff>12700</xdr:colOff>
                    <xdr:row>15</xdr:row>
                    <xdr:rowOff>38100</xdr:rowOff>
                  </from>
                  <to>
                    <xdr:col>22</xdr:col>
                    <xdr:colOff>317500</xdr:colOff>
                    <xdr:row>15</xdr:row>
                    <xdr:rowOff>254000</xdr:rowOff>
                  </to>
                </anchor>
              </controlPr>
            </control>
          </mc:Choice>
          <mc:Fallback/>
        </mc:AlternateContent>
        <mc:AlternateContent xmlns:mc="http://schemas.openxmlformats.org/markup-compatibility/2006">
          <mc:Choice Requires="x14">
            <control shapeId="14179" r:id="rId100" name="Option Button 867">
              <controlPr defaultSize="0" print="0" autoFill="0" autoLine="0" autoPict="0">
                <anchor moveWithCells="1" sizeWithCells="1">
                  <from>
                    <xdr:col>23</xdr:col>
                    <xdr:colOff>50800</xdr:colOff>
                    <xdr:row>15</xdr:row>
                    <xdr:rowOff>63500</xdr:rowOff>
                  </from>
                  <to>
                    <xdr:col>24</xdr:col>
                    <xdr:colOff>0</xdr:colOff>
                    <xdr:row>15</xdr:row>
                    <xdr:rowOff>241300</xdr:rowOff>
                  </to>
                </anchor>
              </controlPr>
            </control>
          </mc:Choice>
          <mc:Fallback/>
        </mc:AlternateContent>
        <mc:AlternateContent xmlns:mc="http://schemas.openxmlformats.org/markup-compatibility/2006">
          <mc:Choice Requires="x14">
            <control shapeId="14180" r:id="rId101" name="Option Button 868">
              <controlPr defaultSize="0" print="0" autoFill="0" autoLine="0" autoPict="0">
                <anchor moveWithCells="1" sizeWithCells="1">
                  <from>
                    <xdr:col>24</xdr:col>
                    <xdr:colOff>76200</xdr:colOff>
                    <xdr:row>15</xdr:row>
                    <xdr:rowOff>50800</xdr:rowOff>
                  </from>
                  <to>
                    <xdr:col>25</xdr:col>
                    <xdr:colOff>38100</xdr:colOff>
                    <xdr:row>16</xdr:row>
                    <xdr:rowOff>0</xdr:rowOff>
                  </to>
                </anchor>
              </controlPr>
            </control>
          </mc:Choice>
          <mc:Fallback/>
        </mc:AlternateContent>
        <mc:AlternateContent xmlns:mc="http://schemas.openxmlformats.org/markup-compatibility/2006">
          <mc:Choice Requires="x14">
            <control shapeId="14181" r:id="rId102" name="Option Button 869">
              <controlPr defaultSize="0" print="0" autoFill="0" autoLine="0" autoPict="0">
                <anchor moveWithCells="1" sizeWithCells="1">
                  <from>
                    <xdr:col>25</xdr:col>
                    <xdr:colOff>101600</xdr:colOff>
                    <xdr:row>15</xdr:row>
                    <xdr:rowOff>50800</xdr:rowOff>
                  </from>
                  <to>
                    <xdr:col>26</xdr:col>
                    <xdr:colOff>63500</xdr:colOff>
                    <xdr:row>16</xdr:row>
                    <xdr:rowOff>0</xdr:rowOff>
                  </to>
                </anchor>
              </controlPr>
            </control>
          </mc:Choice>
          <mc:Fallback/>
        </mc:AlternateContent>
        <mc:AlternateContent xmlns:mc="http://schemas.openxmlformats.org/markup-compatibility/2006">
          <mc:Choice Requires="x14">
            <control shapeId="14183" r:id="rId103" name="Option Button 871">
              <controlPr defaultSize="0" print="0" autoFill="0" autoLine="0" autoPict="0">
                <anchor moveWithCells="1" sizeWithCells="1">
                  <from>
                    <xdr:col>22</xdr:col>
                    <xdr:colOff>12700</xdr:colOff>
                    <xdr:row>16</xdr:row>
                    <xdr:rowOff>38100</xdr:rowOff>
                  </from>
                  <to>
                    <xdr:col>22</xdr:col>
                    <xdr:colOff>317500</xdr:colOff>
                    <xdr:row>16</xdr:row>
                    <xdr:rowOff>254000</xdr:rowOff>
                  </to>
                </anchor>
              </controlPr>
            </control>
          </mc:Choice>
          <mc:Fallback/>
        </mc:AlternateContent>
        <mc:AlternateContent xmlns:mc="http://schemas.openxmlformats.org/markup-compatibility/2006">
          <mc:Choice Requires="x14">
            <control shapeId="14184" r:id="rId104" name="Option Button 872">
              <controlPr defaultSize="0" print="0" autoFill="0" autoLine="0" autoPict="0">
                <anchor moveWithCells="1" sizeWithCells="1">
                  <from>
                    <xdr:col>23</xdr:col>
                    <xdr:colOff>50800</xdr:colOff>
                    <xdr:row>16</xdr:row>
                    <xdr:rowOff>63500</xdr:rowOff>
                  </from>
                  <to>
                    <xdr:col>24</xdr:col>
                    <xdr:colOff>0</xdr:colOff>
                    <xdr:row>16</xdr:row>
                    <xdr:rowOff>241300</xdr:rowOff>
                  </to>
                </anchor>
              </controlPr>
            </control>
          </mc:Choice>
          <mc:Fallback/>
        </mc:AlternateContent>
        <mc:AlternateContent xmlns:mc="http://schemas.openxmlformats.org/markup-compatibility/2006">
          <mc:Choice Requires="x14">
            <control shapeId="14185" r:id="rId105" name="Option Button 873">
              <controlPr defaultSize="0" print="0" autoFill="0" autoLine="0" autoPict="0">
                <anchor moveWithCells="1" sizeWithCells="1">
                  <from>
                    <xdr:col>24</xdr:col>
                    <xdr:colOff>76200</xdr:colOff>
                    <xdr:row>16</xdr:row>
                    <xdr:rowOff>50800</xdr:rowOff>
                  </from>
                  <to>
                    <xdr:col>25</xdr:col>
                    <xdr:colOff>38100</xdr:colOff>
                    <xdr:row>17</xdr:row>
                    <xdr:rowOff>0</xdr:rowOff>
                  </to>
                </anchor>
              </controlPr>
            </control>
          </mc:Choice>
          <mc:Fallback/>
        </mc:AlternateContent>
        <mc:AlternateContent xmlns:mc="http://schemas.openxmlformats.org/markup-compatibility/2006">
          <mc:Choice Requires="x14">
            <control shapeId="14186" r:id="rId106" name="Option Button 874">
              <controlPr defaultSize="0" print="0" autoFill="0" autoLine="0" autoPict="0">
                <anchor moveWithCells="1" sizeWithCells="1">
                  <from>
                    <xdr:col>25</xdr:col>
                    <xdr:colOff>101600</xdr:colOff>
                    <xdr:row>16</xdr:row>
                    <xdr:rowOff>50800</xdr:rowOff>
                  </from>
                  <to>
                    <xdr:col>26</xdr:col>
                    <xdr:colOff>63500</xdr:colOff>
                    <xdr:row>17</xdr:row>
                    <xdr:rowOff>0</xdr:rowOff>
                  </to>
                </anchor>
              </controlPr>
            </control>
          </mc:Choice>
          <mc:Fallback/>
        </mc:AlternateContent>
        <mc:AlternateContent xmlns:mc="http://schemas.openxmlformats.org/markup-compatibility/2006">
          <mc:Choice Requires="x14">
            <control shapeId="14188" r:id="rId107" name="Option Button 876">
              <controlPr defaultSize="0" print="0" autoFill="0" autoLine="0" autoPict="0">
                <anchor moveWithCells="1" sizeWithCells="1">
                  <from>
                    <xdr:col>22</xdr:col>
                    <xdr:colOff>12700</xdr:colOff>
                    <xdr:row>19</xdr:row>
                    <xdr:rowOff>38100</xdr:rowOff>
                  </from>
                  <to>
                    <xdr:col>22</xdr:col>
                    <xdr:colOff>317500</xdr:colOff>
                    <xdr:row>19</xdr:row>
                    <xdr:rowOff>254000</xdr:rowOff>
                  </to>
                </anchor>
              </controlPr>
            </control>
          </mc:Choice>
          <mc:Fallback/>
        </mc:AlternateContent>
        <mc:AlternateContent xmlns:mc="http://schemas.openxmlformats.org/markup-compatibility/2006">
          <mc:Choice Requires="x14">
            <control shapeId="14189" r:id="rId108" name="Option Button 877">
              <controlPr defaultSize="0" print="0" autoFill="0" autoLine="0" autoPict="0">
                <anchor moveWithCells="1" sizeWithCells="1">
                  <from>
                    <xdr:col>23</xdr:col>
                    <xdr:colOff>50800</xdr:colOff>
                    <xdr:row>19</xdr:row>
                    <xdr:rowOff>63500</xdr:rowOff>
                  </from>
                  <to>
                    <xdr:col>24</xdr:col>
                    <xdr:colOff>0</xdr:colOff>
                    <xdr:row>19</xdr:row>
                    <xdr:rowOff>241300</xdr:rowOff>
                  </to>
                </anchor>
              </controlPr>
            </control>
          </mc:Choice>
          <mc:Fallback/>
        </mc:AlternateContent>
        <mc:AlternateContent xmlns:mc="http://schemas.openxmlformats.org/markup-compatibility/2006">
          <mc:Choice Requires="x14">
            <control shapeId="14190" r:id="rId109" name="Option Button 878">
              <controlPr defaultSize="0" print="0" autoFill="0" autoLine="0" autoPict="0">
                <anchor moveWithCells="1" sizeWithCells="1">
                  <from>
                    <xdr:col>24</xdr:col>
                    <xdr:colOff>76200</xdr:colOff>
                    <xdr:row>19</xdr:row>
                    <xdr:rowOff>50800</xdr:rowOff>
                  </from>
                  <to>
                    <xdr:col>25</xdr:col>
                    <xdr:colOff>38100</xdr:colOff>
                    <xdr:row>20</xdr:row>
                    <xdr:rowOff>0</xdr:rowOff>
                  </to>
                </anchor>
              </controlPr>
            </control>
          </mc:Choice>
          <mc:Fallback/>
        </mc:AlternateContent>
        <mc:AlternateContent xmlns:mc="http://schemas.openxmlformats.org/markup-compatibility/2006">
          <mc:Choice Requires="x14">
            <control shapeId="14191" r:id="rId110" name="Option Button 879">
              <controlPr defaultSize="0" print="0" autoFill="0" autoLine="0" autoPict="0">
                <anchor moveWithCells="1" sizeWithCells="1">
                  <from>
                    <xdr:col>25</xdr:col>
                    <xdr:colOff>101600</xdr:colOff>
                    <xdr:row>19</xdr:row>
                    <xdr:rowOff>50800</xdr:rowOff>
                  </from>
                  <to>
                    <xdr:col>26</xdr:col>
                    <xdr:colOff>63500</xdr:colOff>
                    <xdr:row>20</xdr:row>
                    <xdr:rowOff>0</xdr:rowOff>
                  </to>
                </anchor>
              </controlPr>
            </control>
          </mc:Choice>
          <mc:Fallback/>
        </mc:AlternateContent>
        <mc:AlternateContent xmlns:mc="http://schemas.openxmlformats.org/markup-compatibility/2006">
          <mc:Choice Requires="x14">
            <control shapeId="14193" r:id="rId111" name="Option Button 881">
              <controlPr defaultSize="0" print="0" autoFill="0" autoLine="0" autoPict="0">
                <anchor moveWithCells="1" sizeWithCells="1">
                  <from>
                    <xdr:col>22</xdr:col>
                    <xdr:colOff>12700</xdr:colOff>
                    <xdr:row>20</xdr:row>
                    <xdr:rowOff>38100</xdr:rowOff>
                  </from>
                  <to>
                    <xdr:col>22</xdr:col>
                    <xdr:colOff>317500</xdr:colOff>
                    <xdr:row>20</xdr:row>
                    <xdr:rowOff>254000</xdr:rowOff>
                  </to>
                </anchor>
              </controlPr>
            </control>
          </mc:Choice>
          <mc:Fallback/>
        </mc:AlternateContent>
        <mc:AlternateContent xmlns:mc="http://schemas.openxmlformats.org/markup-compatibility/2006">
          <mc:Choice Requires="x14">
            <control shapeId="14194" r:id="rId112" name="Option Button 882">
              <controlPr defaultSize="0" print="0" autoFill="0" autoLine="0" autoPict="0">
                <anchor moveWithCells="1" sizeWithCells="1">
                  <from>
                    <xdr:col>23</xdr:col>
                    <xdr:colOff>50800</xdr:colOff>
                    <xdr:row>20</xdr:row>
                    <xdr:rowOff>63500</xdr:rowOff>
                  </from>
                  <to>
                    <xdr:col>24</xdr:col>
                    <xdr:colOff>0</xdr:colOff>
                    <xdr:row>20</xdr:row>
                    <xdr:rowOff>241300</xdr:rowOff>
                  </to>
                </anchor>
              </controlPr>
            </control>
          </mc:Choice>
          <mc:Fallback/>
        </mc:AlternateContent>
        <mc:AlternateContent xmlns:mc="http://schemas.openxmlformats.org/markup-compatibility/2006">
          <mc:Choice Requires="x14">
            <control shapeId="14195" r:id="rId113" name="Option Button 883">
              <controlPr defaultSize="0" print="0" autoFill="0" autoLine="0" autoPict="0">
                <anchor moveWithCells="1" sizeWithCells="1">
                  <from>
                    <xdr:col>24</xdr:col>
                    <xdr:colOff>76200</xdr:colOff>
                    <xdr:row>20</xdr:row>
                    <xdr:rowOff>50800</xdr:rowOff>
                  </from>
                  <to>
                    <xdr:col>25</xdr:col>
                    <xdr:colOff>38100</xdr:colOff>
                    <xdr:row>21</xdr:row>
                    <xdr:rowOff>0</xdr:rowOff>
                  </to>
                </anchor>
              </controlPr>
            </control>
          </mc:Choice>
          <mc:Fallback/>
        </mc:AlternateContent>
        <mc:AlternateContent xmlns:mc="http://schemas.openxmlformats.org/markup-compatibility/2006">
          <mc:Choice Requires="x14">
            <control shapeId="14196" r:id="rId114" name="Option Button 884">
              <controlPr defaultSize="0" print="0" autoFill="0" autoLine="0" autoPict="0">
                <anchor moveWithCells="1" sizeWithCells="1">
                  <from>
                    <xdr:col>25</xdr:col>
                    <xdr:colOff>101600</xdr:colOff>
                    <xdr:row>20</xdr:row>
                    <xdr:rowOff>50800</xdr:rowOff>
                  </from>
                  <to>
                    <xdr:col>26</xdr:col>
                    <xdr:colOff>63500</xdr:colOff>
                    <xdr:row>21</xdr:row>
                    <xdr:rowOff>0</xdr:rowOff>
                  </to>
                </anchor>
              </controlPr>
            </control>
          </mc:Choice>
          <mc:Fallback/>
        </mc:AlternateContent>
        <mc:AlternateContent xmlns:mc="http://schemas.openxmlformats.org/markup-compatibility/2006">
          <mc:Choice Requires="x14">
            <control shapeId="14203" r:id="rId115" name="Option Button 891">
              <controlPr defaultSize="0" print="0" autoFill="0" autoLine="0" autoPict="0">
                <anchor moveWithCells="1" sizeWithCells="1">
                  <from>
                    <xdr:col>22</xdr:col>
                    <xdr:colOff>12700</xdr:colOff>
                    <xdr:row>22</xdr:row>
                    <xdr:rowOff>38100</xdr:rowOff>
                  </from>
                  <to>
                    <xdr:col>22</xdr:col>
                    <xdr:colOff>317500</xdr:colOff>
                    <xdr:row>22</xdr:row>
                    <xdr:rowOff>254000</xdr:rowOff>
                  </to>
                </anchor>
              </controlPr>
            </control>
          </mc:Choice>
          <mc:Fallback/>
        </mc:AlternateContent>
        <mc:AlternateContent xmlns:mc="http://schemas.openxmlformats.org/markup-compatibility/2006">
          <mc:Choice Requires="x14">
            <control shapeId="14204" r:id="rId116" name="Option Button 892">
              <controlPr defaultSize="0" print="0" autoFill="0" autoLine="0" autoPict="0">
                <anchor moveWithCells="1" sizeWithCells="1">
                  <from>
                    <xdr:col>23</xdr:col>
                    <xdr:colOff>50800</xdr:colOff>
                    <xdr:row>22</xdr:row>
                    <xdr:rowOff>63500</xdr:rowOff>
                  </from>
                  <to>
                    <xdr:col>24</xdr:col>
                    <xdr:colOff>0</xdr:colOff>
                    <xdr:row>22</xdr:row>
                    <xdr:rowOff>241300</xdr:rowOff>
                  </to>
                </anchor>
              </controlPr>
            </control>
          </mc:Choice>
          <mc:Fallback/>
        </mc:AlternateContent>
        <mc:AlternateContent xmlns:mc="http://schemas.openxmlformats.org/markup-compatibility/2006">
          <mc:Choice Requires="x14">
            <control shapeId="14205" r:id="rId117" name="Option Button 893">
              <controlPr defaultSize="0" print="0" autoFill="0" autoLine="0" autoPict="0">
                <anchor moveWithCells="1" sizeWithCells="1">
                  <from>
                    <xdr:col>24</xdr:col>
                    <xdr:colOff>76200</xdr:colOff>
                    <xdr:row>22</xdr:row>
                    <xdr:rowOff>50800</xdr:rowOff>
                  </from>
                  <to>
                    <xdr:col>25</xdr:col>
                    <xdr:colOff>38100</xdr:colOff>
                    <xdr:row>23</xdr:row>
                    <xdr:rowOff>0</xdr:rowOff>
                  </to>
                </anchor>
              </controlPr>
            </control>
          </mc:Choice>
          <mc:Fallback/>
        </mc:AlternateContent>
        <mc:AlternateContent xmlns:mc="http://schemas.openxmlformats.org/markup-compatibility/2006">
          <mc:Choice Requires="x14">
            <control shapeId="14206" r:id="rId118" name="Option Button 894">
              <controlPr defaultSize="0" print="0" autoFill="0" autoLine="0" autoPict="0">
                <anchor moveWithCells="1" sizeWithCells="1">
                  <from>
                    <xdr:col>25</xdr:col>
                    <xdr:colOff>101600</xdr:colOff>
                    <xdr:row>22</xdr:row>
                    <xdr:rowOff>50800</xdr:rowOff>
                  </from>
                  <to>
                    <xdr:col>26</xdr:col>
                    <xdr:colOff>63500</xdr:colOff>
                    <xdr:row>23</xdr:row>
                    <xdr:rowOff>0</xdr:rowOff>
                  </to>
                </anchor>
              </controlPr>
            </control>
          </mc:Choice>
          <mc:Fallback/>
        </mc:AlternateContent>
        <mc:AlternateContent xmlns:mc="http://schemas.openxmlformats.org/markup-compatibility/2006">
          <mc:Choice Requires="x14">
            <control shapeId="14208" r:id="rId119" name="Option Button 896">
              <controlPr defaultSize="0" print="0" autoFill="0" autoLine="0" autoPict="0">
                <anchor moveWithCells="1" sizeWithCells="1">
                  <from>
                    <xdr:col>26</xdr:col>
                    <xdr:colOff>228600</xdr:colOff>
                    <xdr:row>23</xdr:row>
                    <xdr:rowOff>38100</xdr:rowOff>
                  </from>
                  <to>
                    <xdr:col>27</xdr:col>
                    <xdr:colOff>190500</xdr:colOff>
                    <xdr:row>23</xdr:row>
                    <xdr:rowOff>254000</xdr:rowOff>
                  </to>
                </anchor>
              </controlPr>
            </control>
          </mc:Choice>
          <mc:Fallback/>
        </mc:AlternateContent>
        <mc:AlternateContent xmlns:mc="http://schemas.openxmlformats.org/markup-compatibility/2006">
          <mc:Choice Requires="x14">
            <control shapeId="14209" r:id="rId120" name="Option Button 897">
              <controlPr defaultSize="0" print="0" autoFill="0" autoLine="0" autoPict="0">
                <anchor moveWithCells="1" sizeWithCells="1">
                  <from>
                    <xdr:col>27</xdr:col>
                    <xdr:colOff>266700</xdr:colOff>
                    <xdr:row>23</xdr:row>
                    <xdr:rowOff>63500</xdr:rowOff>
                  </from>
                  <to>
                    <xdr:col>28</xdr:col>
                    <xdr:colOff>165100</xdr:colOff>
                    <xdr:row>23</xdr:row>
                    <xdr:rowOff>241300</xdr:rowOff>
                  </to>
                </anchor>
              </controlPr>
            </control>
          </mc:Choice>
          <mc:Fallback/>
        </mc:AlternateContent>
        <mc:AlternateContent xmlns:mc="http://schemas.openxmlformats.org/markup-compatibility/2006">
          <mc:Choice Requires="x14">
            <control shapeId="14210" r:id="rId121" name="Option Button 898">
              <controlPr defaultSize="0" print="0" autoFill="0" autoLine="0" autoPict="0">
                <anchor moveWithCells="1" sizeWithCells="1">
                  <from>
                    <xdr:col>28</xdr:col>
                    <xdr:colOff>241300</xdr:colOff>
                    <xdr:row>23</xdr:row>
                    <xdr:rowOff>50800</xdr:rowOff>
                  </from>
                  <to>
                    <xdr:col>29</xdr:col>
                    <xdr:colOff>114300</xdr:colOff>
                    <xdr:row>24</xdr:row>
                    <xdr:rowOff>0</xdr:rowOff>
                  </to>
                </anchor>
              </controlPr>
            </control>
          </mc:Choice>
          <mc:Fallback/>
        </mc:AlternateContent>
        <mc:AlternateContent xmlns:mc="http://schemas.openxmlformats.org/markup-compatibility/2006">
          <mc:Choice Requires="x14">
            <control shapeId="14211" r:id="rId122" name="Option Button 899">
              <controlPr defaultSize="0" print="0" autoFill="0" autoLine="0" autoPict="0">
                <anchor moveWithCells="1" sizeWithCells="1">
                  <from>
                    <xdr:col>29</xdr:col>
                    <xdr:colOff>177800</xdr:colOff>
                    <xdr:row>23</xdr:row>
                    <xdr:rowOff>50800</xdr:rowOff>
                  </from>
                  <to>
                    <xdr:col>30</xdr:col>
                    <xdr:colOff>50800</xdr:colOff>
                    <xdr:row>24</xdr:row>
                    <xdr:rowOff>0</xdr:rowOff>
                  </to>
                </anchor>
              </controlPr>
            </control>
          </mc:Choice>
          <mc:Fallback/>
        </mc:AlternateContent>
        <mc:AlternateContent xmlns:mc="http://schemas.openxmlformats.org/markup-compatibility/2006">
          <mc:Choice Requires="x14">
            <control shapeId="14213" r:id="rId123" name="Option Button 901">
              <controlPr defaultSize="0" print="0" autoFill="0" autoLine="0" autoPict="0">
                <anchor moveWithCells="1" sizeWithCells="1">
                  <from>
                    <xdr:col>22</xdr:col>
                    <xdr:colOff>12700</xdr:colOff>
                    <xdr:row>24</xdr:row>
                    <xdr:rowOff>38100</xdr:rowOff>
                  </from>
                  <to>
                    <xdr:col>22</xdr:col>
                    <xdr:colOff>317500</xdr:colOff>
                    <xdr:row>24</xdr:row>
                    <xdr:rowOff>254000</xdr:rowOff>
                  </to>
                </anchor>
              </controlPr>
            </control>
          </mc:Choice>
          <mc:Fallback/>
        </mc:AlternateContent>
        <mc:AlternateContent xmlns:mc="http://schemas.openxmlformats.org/markup-compatibility/2006">
          <mc:Choice Requires="x14">
            <control shapeId="14214" r:id="rId124" name="Option Button 902">
              <controlPr defaultSize="0" print="0" autoFill="0" autoLine="0" autoPict="0">
                <anchor moveWithCells="1" sizeWithCells="1">
                  <from>
                    <xdr:col>23</xdr:col>
                    <xdr:colOff>50800</xdr:colOff>
                    <xdr:row>24</xdr:row>
                    <xdr:rowOff>63500</xdr:rowOff>
                  </from>
                  <to>
                    <xdr:col>24</xdr:col>
                    <xdr:colOff>0</xdr:colOff>
                    <xdr:row>24</xdr:row>
                    <xdr:rowOff>241300</xdr:rowOff>
                  </to>
                </anchor>
              </controlPr>
            </control>
          </mc:Choice>
          <mc:Fallback/>
        </mc:AlternateContent>
        <mc:AlternateContent xmlns:mc="http://schemas.openxmlformats.org/markup-compatibility/2006">
          <mc:Choice Requires="x14">
            <control shapeId="14215" r:id="rId125" name="Option Button 903">
              <controlPr defaultSize="0" print="0" autoFill="0" autoLine="0" autoPict="0">
                <anchor moveWithCells="1" sizeWithCells="1">
                  <from>
                    <xdr:col>24</xdr:col>
                    <xdr:colOff>76200</xdr:colOff>
                    <xdr:row>24</xdr:row>
                    <xdr:rowOff>50800</xdr:rowOff>
                  </from>
                  <to>
                    <xdr:col>25</xdr:col>
                    <xdr:colOff>38100</xdr:colOff>
                    <xdr:row>25</xdr:row>
                    <xdr:rowOff>0</xdr:rowOff>
                  </to>
                </anchor>
              </controlPr>
            </control>
          </mc:Choice>
          <mc:Fallback/>
        </mc:AlternateContent>
        <mc:AlternateContent xmlns:mc="http://schemas.openxmlformats.org/markup-compatibility/2006">
          <mc:Choice Requires="x14">
            <control shapeId="14216" r:id="rId126" name="Option Button 904">
              <controlPr defaultSize="0" print="0" autoFill="0" autoLine="0" autoPict="0">
                <anchor moveWithCells="1" sizeWithCells="1">
                  <from>
                    <xdr:col>25</xdr:col>
                    <xdr:colOff>101600</xdr:colOff>
                    <xdr:row>24</xdr:row>
                    <xdr:rowOff>50800</xdr:rowOff>
                  </from>
                  <to>
                    <xdr:col>26</xdr:col>
                    <xdr:colOff>63500</xdr:colOff>
                    <xdr:row>25</xdr:row>
                    <xdr:rowOff>0</xdr:rowOff>
                  </to>
                </anchor>
              </controlPr>
            </control>
          </mc:Choice>
          <mc:Fallback/>
        </mc:AlternateContent>
        <mc:AlternateContent xmlns:mc="http://schemas.openxmlformats.org/markup-compatibility/2006">
          <mc:Choice Requires="x14">
            <control shapeId="14218" r:id="rId127" name="Option Button 906">
              <controlPr defaultSize="0" print="0" autoFill="0" autoLine="0" autoPict="0">
                <anchor moveWithCells="1" sizeWithCells="1">
                  <from>
                    <xdr:col>22</xdr:col>
                    <xdr:colOff>12700</xdr:colOff>
                    <xdr:row>27</xdr:row>
                    <xdr:rowOff>38100</xdr:rowOff>
                  </from>
                  <to>
                    <xdr:col>22</xdr:col>
                    <xdr:colOff>317500</xdr:colOff>
                    <xdr:row>27</xdr:row>
                    <xdr:rowOff>254000</xdr:rowOff>
                  </to>
                </anchor>
              </controlPr>
            </control>
          </mc:Choice>
          <mc:Fallback/>
        </mc:AlternateContent>
        <mc:AlternateContent xmlns:mc="http://schemas.openxmlformats.org/markup-compatibility/2006">
          <mc:Choice Requires="x14">
            <control shapeId="14219" r:id="rId128" name="Option Button 907">
              <controlPr defaultSize="0" print="0" autoFill="0" autoLine="0" autoPict="0">
                <anchor moveWithCells="1" sizeWithCells="1">
                  <from>
                    <xdr:col>23</xdr:col>
                    <xdr:colOff>50800</xdr:colOff>
                    <xdr:row>27</xdr:row>
                    <xdr:rowOff>63500</xdr:rowOff>
                  </from>
                  <to>
                    <xdr:col>24</xdr:col>
                    <xdr:colOff>0</xdr:colOff>
                    <xdr:row>27</xdr:row>
                    <xdr:rowOff>241300</xdr:rowOff>
                  </to>
                </anchor>
              </controlPr>
            </control>
          </mc:Choice>
          <mc:Fallback/>
        </mc:AlternateContent>
        <mc:AlternateContent xmlns:mc="http://schemas.openxmlformats.org/markup-compatibility/2006">
          <mc:Choice Requires="x14">
            <control shapeId="14220" r:id="rId129" name="Option Button 908">
              <controlPr defaultSize="0" print="0" autoFill="0" autoLine="0" autoPict="0">
                <anchor moveWithCells="1" sizeWithCells="1">
                  <from>
                    <xdr:col>24</xdr:col>
                    <xdr:colOff>76200</xdr:colOff>
                    <xdr:row>27</xdr:row>
                    <xdr:rowOff>50800</xdr:rowOff>
                  </from>
                  <to>
                    <xdr:col>25</xdr:col>
                    <xdr:colOff>38100</xdr:colOff>
                    <xdr:row>28</xdr:row>
                    <xdr:rowOff>0</xdr:rowOff>
                  </to>
                </anchor>
              </controlPr>
            </control>
          </mc:Choice>
          <mc:Fallback/>
        </mc:AlternateContent>
        <mc:AlternateContent xmlns:mc="http://schemas.openxmlformats.org/markup-compatibility/2006">
          <mc:Choice Requires="x14">
            <control shapeId="14221" r:id="rId130" name="Option Button 909">
              <controlPr defaultSize="0" print="0" autoFill="0" autoLine="0" autoPict="0">
                <anchor moveWithCells="1" sizeWithCells="1">
                  <from>
                    <xdr:col>25</xdr:col>
                    <xdr:colOff>101600</xdr:colOff>
                    <xdr:row>27</xdr:row>
                    <xdr:rowOff>50800</xdr:rowOff>
                  </from>
                  <to>
                    <xdr:col>26</xdr:col>
                    <xdr:colOff>63500</xdr:colOff>
                    <xdr:row>28</xdr:row>
                    <xdr:rowOff>0</xdr:rowOff>
                  </to>
                </anchor>
              </controlPr>
            </control>
          </mc:Choice>
          <mc:Fallback/>
        </mc:AlternateContent>
        <mc:AlternateContent xmlns:mc="http://schemas.openxmlformats.org/markup-compatibility/2006">
          <mc:Choice Requires="x14">
            <control shapeId="14223" r:id="rId131" name="Option Button 911">
              <controlPr defaultSize="0" print="0" autoFill="0" autoLine="0" autoPict="0">
                <anchor moveWithCells="1" sizeWithCells="1">
                  <from>
                    <xdr:col>22</xdr:col>
                    <xdr:colOff>12700</xdr:colOff>
                    <xdr:row>28</xdr:row>
                    <xdr:rowOff>38100</xdr:rowOff>
                  </from>
                  <to>
                    <xdr:col>22</xdr:col>
                    <xdr:colOff>317500</xdr:colOff>
                    <xdr:row>28</xdr:row>
                    <xdr:rowOff>254000</xdr:rowOff>
                  </to>
                </anchor>
              </controlPr>
            </control>
          </mc:Choice>
          <mc:Fallback/>
        </mc:AlternateContent>
        <mc:AlternateContent xmlns:mc="http://schemas.openxmlformats.org/markup-compatibility/2006">
          <mc:Choice Requires="x14">
            <control shapeId="14224" r:id="rId132" name="Option Button 912">
              <controlPr defaultSize="0" print="0" autoFill="0" autoLine="0" autoPict="0">
                <anchor moveWithCells="1" sizeWithCells="1">
                  <from>
                    <xdr:col>23</xdr:col>
                    <xdr:colOff>50800</xdr:colOff>
                    <xdr:row>28</xdr:row>
                    <xdr:rowOff>63500</xdr:rowOff>
                  </from>
                  <to>
                    <xdr:col>24</xdr:col>
                    <xdr:colOff>0</xdr:colOff>
                    <xdr:row>28</xdr:row>
                    <xdr:rowOff>241300</xdr:rowOff>
                  </to>
                </anchor>
              </controlPr>
            </control>
          </mc:Choice>
          <mc:Fallback/>
        </mc:AlternateContent>
        <mc:AlternateContent xmlns:mc="http://schemas.openxmlformats.org/markup-compatibility/2006">
          <mc:Choice Requires="x14">
            <control shapeId="14225" r:id="rId133" name="Option Button 913">
              <controlPr defaultSize="0" print="0" autoFill="0" autoLine="0" autoPict="0">
                <anchor moveWithCells="1" sizeWithCells="1">
                  <from>
                    <xdr:col>24</xdr:col>
                    <xdr:colOff>76200</xdr:colOff>
                    <xdr:row>28</xdr:row>
                    <xdr:rowOff>50800</xdr:rowOff>
                  </from>
                  <to>
                    <xdr:col>25</xdr:col>
                    <xdr:colOff>38100</xdr:colOff>
                    <xdr:row>29</xdr:row>
                    <xdr:rowOff>0</xdr:rowOff>
                  </to>
                </anchor>
              </controlPr>
            </control>
          </mc:Choice>
          <mc:Fallback/>
        </mc:AlternateContent>
        <mc:AlternateContent xmlns:mc="http://schemas.openxmlformats.org/markup-compatibility/2006">
          <mc:Choice Requires="x14">
            <control shapeId="14226" r:id="rId134" name="Option Button 914">
              <controlPr defaultSize="0" print="0" autoFill="0" autoLine="0" autoPict="0">
                <anchor moveWithCells="1" sizeWithCells="1">
                  <from>
                    <xdr:col>25</xdr:col>
                    <xdr:colOff>101600</xdr:colOff>
                    <xdr:row>28</xdr:row>
                    <xdr:rowOff>50800</xdr:rowOff>
                  </from>
                  <to>
                    <xdr:col>26</xdr:col>
                    <xdr:colOff>63500</xdr:colOff>
                    <xdr:row>29</xdr:row>
                    <xdr:rowOff>0</xdr:rowOff>
                  </to>
                </anchor>
              </controlPr>
            </control>
          </mc:Choice>
          <mc:Fallback/>
        </mc:AlternateContent>
        <mc:AlternateContent xmlns:mc="http://schemas.openxmlformats.org/markup-compatibility/2006">
          <mc:Choice Requires="x14">
            <control shapeId="14228" r:id="rId135" name="Option Button 916">
              <controlPr defaultSize="0" print="0" autoFill="0" autoLine="0" autoPict="0">
                <anchor moveWithCells="1" sizeWithCells="1">
                  <from>
                    <xdr:col>22</xdr:col>
                    <xdr:colOff>12700</xdr:colOff>
                    <xdr:row>29</xdr:row>
                    <xdr:rowOff>38100</xdr:rowOff>
                  </from>
                  <to>
                    <xdr:col>22</xdr:col>
                    <xdr:colOff>317500</xdr:colOff>
                    <xdr:row>29</xdr:row>
                    <xdr:rowOff>254000</xdr:rowOff>
                  </to>
                </anchor>
              </controlPr>
            </control>
          </mc:Choice>
          <mc:Fallback/>
        </mc:AlternateContent>
        <mc:AlternateContent xmlns:mc="http://schemas.openxmlformats.org/markup-compatibility/2006">
          <mc:Choice Requires="x14">
            <control shapeId="14229" r:id="rId136" name="Option Button 917">
              <controlPr defaultSize="0" print="0" autoFill="0" autoLine="0" autoPict="0">
                <anchor moveWithCells="1" sizeWithCells="1">
                  <from>
                    <xdr:col>23</xdr:col>
                    <xdr:colOff>50800</xdr:colOff>
                    <xdr:row>29</xdr:row>
                    <xdr:rowOff>63500</xdr:rowOff>
                  </from>
                  <to>
                    <xdr:col>24</xdr:col>
                    <xdr:colOff>0</xdr:colOff>
                    <xdr:row>29</xdr:row>
                    <xdr:rowOff>241300</xdr:rowOff>
                  </to>
                </anchor>
              </controlPr>
            </control>
          </mc:Choice>
          <mc:Fallback/>
        </mc:AlternateContent>
        <mc:AlternateContent xmlns:mc="http://schemas.openxmlformats.org/markup-compatibility/2006">
          <mc:Choice Requires="x14">
            <control shapeId="14230" r:id="rId137" name="Option Button 918">
              <controlPr defaultSize="0" print="0" autoFill="0" autoLine="0" autoPict="0">
                <anchor moveWithCells="1" sizeWithCells="1">
                  <from>
                    <xdr:col>24</xdr:col>
                    <xdr:colOff>76200</xdr:colOff>
                    <xdr:row>29</xdr:row>
                    <xdr:rowOff>50800</xdr:rowOff>
                  </from>
                  <to>
                    <xdr:col>25</xdr:col>
                    <xdr:colOff>38100</xdr:colOff>
                    <xdr:row>30</xdr:row>
                    <xdr:rowOff>0</xdr:rowOff>
                  </to>
                </anchor>
              </controlPr>
            </control>
          </mc:Choice>
          <mc:Fallback/>
        </mc:AlternateContent>
        <mc:AlternateContent xmlns:mc="http://schemas.openxmlformats.org/markup-compatibility/2006">
          <mc:Choice Requires="x14">
            <control shapeId="14231" r:id="rId138" name="Option Button 919">
              <controlPr defaultSize="0" print="0" autoFill="0" autoLine="0" autoPict="0">
                <anchor moveWithCells="1" sizeWithCells="1">
                  <from>
                    <xdr:col>25</xdr:col>
                    <xdr:colOff>101600</xdr:colOff>
                    <xdr:row>29</xdr:row>
                    <xdr:rowOff>50800</xdr:rowOff>
                  </from>
                  <to>
                    <xdr:col>26</xdr:col>
                    <xdr:colOff>63500</xdr:colOff>
                    <xdr:row>30</xdr:row>
                    <xdr:rowOff>0</xdr:rowOff>
                  </to>
                </anchor>
              </controlPr>
            </control>
          </mc:Choice>
          <mc:Fallback/>
        </mc:AlternateContent>
        <mc:AlternateContent xmlns:mc="http://schemas.openxmlformats.org/markup-compatibility/2006">
          <mc:Choice Requires="x14">
            <control shapeId="14238" r:id="rId139" name="Option Button 926">
              <controlPr defaultSize="0" print="0" autoFill="0" autoLine="0" autoPict="0">
                <anchor moveWithCells="1" sizeWithCells="1">
                  <from>
                    <xdr:col>26</xdr:col>
                    <xdr:colOff>228600</xdr:colOff>
                    <xdr:row>31</xdr:row>
                    <xdr:rowOff>38100</xdr:rowOff>
                  </from>
                  <to>
                    <xdr:col>27</xdr:col>
                    <xdr:colOff>190500</xdr:colOff>
                    <xdr:row>31</xdr:row>
                    <xdr:rowOff>254000</xdr:rowOff>
                  </to>
                </anchor>
              </controlPr>
            </control>
          </mc:Choice>
          <mc:Fallback/>
        </mc:AlternateContent>
        <mc:AlternateContent xmlns:mc="http://schemas.openxmlformats.org/markup-compatibility/2006">
          <mc:Choice Requires="x14">
            <control shapeId="14239" r:id="rId140" name="Option Button 927">
              <controlPr defaultSize="0" print="0" autoFill="0" autoLine="0" autoPict="0">
                <anchor moveWithCells="1" sizeWithCells="1">
                  <from>
                    <xdr:col>27</xdr:col>
                    <xdr:colOff>266700</xdr:colOff>
                    <xdr:row>31</xdr:row>
                    <xdr:rowOff>63500</xdr:rowOff>
                  </from>
                  <to>
                    <xdr:col>28</xdr:col>
                    <xdr:colOff>165100</xdr:colOff>
                    <xdr:row>31</xdr:row>
                    <xdr:rowOff>241300</xdr:rowOff>
                  </to>
                </anchor>
              </controlPr>
            </control>
          </mc:Choice>
          <mc:Fallback/>
        </mc:AlternateContent>
        <mc:AlternateContent xmlns:mc="http://schemas.openxmlformats.org/markup-compatibility/2006">
          <mc:Choice Requires="x14">
            <control shapeId="14240" r:id="rId141" name="Option Button 928">
              <controlPr defaultSize="0" print="0" autoFill="0" autoLine="0" autoPict="0">
                <anchor moveWithCells="1" sizeWithCells="1">
                  <from>
                    <xdr:col>28</xdr:col>
                    <xdr:colOff>241300</xdr:colOff>
                    <xdr:row>31</xdr:row>
                    <xdr:rowOff>50800</xdr:rowOff>
                  </from>
                  <to>
                    <xdr:col>29</xdr:col>
                    <xdr:colOff>114300</xdr:colOff>
                    <xdr:row>32</xdr:row>
                    <xdr:rowOff>0</xdr:rowOff>
                  </to>
                </anchor>
              </controlPr>
            </control>
          </mc:Choice>
          <mc:Fallback/>
        </mc:AlternateContent>
        <mc:AlternateContent xmlns:mc="http://schemas.openxmlformats.org/markup-compatibility/2006">
          <mc:Choice Requires="x14">
            <control shapeId="14241" r:id="rId142" name="Option Button 929">
              <controlPr defaultSize="0" print="0" autoFill="0" autoLine="0" autoPict="0">
                <anchor moveWithCells="1" sizeWithCells="1">
                  <from>
                    <xdr:col>29</xdr:col>
                    <xdr:colOff>177800</xdr:colOff>
                    <xdr:row>31</xdr:row>
                    <xdr:rowOff>50800</xdr:rowOff>
                  </from>
                  <to>
                    <xdr:col>30</xdr:col>
                    <xdr:colOff>50800</xdr:colOff>
                    <xdr:row>32</xdr:row>
                    <xdr:rowOff>0</xdr:rowOff>
                  </to>
                </anchor>
              </controlPr>
            </control>
          </mc:Choice>
          <mc:Fallback/>
        </mc:AlternateContent>
        <mc:AlternateContent xmlns:mc="http://schemas.openxmlformats.org/markup-compatibility/2006">
          <mc:Choice Requires="x14">
            <control shapeId="14243" r:id="rId143" name="Option Button 931">
              <controlPr defaultSize="0" print="0" autoFill="0" autoLine="0" autoPict="0">
                <anchor moveWithCells="1" sizeWithCells="1">
                  <from>
                    <xdr:col>22</xdr:col>
                    <xdr:colOff>12700</xdr:colOff>
                    <xdr:row>33</xdr:row>
                    <xdr:rowOff>38100</xdr:rowOff>
                  </from>
                  <to>
                    <xdr:col>22</xdr:col>
                    <xdr:colOff>317500</xdr:colOff>
                    <xdr:row>33</xdr:row>
                    <xdr:rowOff>254000</xdr:rowOff>
                  </to>
                </anchor>
              </controlPr>
            </control>
          </mc:Choice>
          <mc:Fallback/>
        </mc:AlternateContent>
        <mc:AlternateContent xmlns:mc="http://schemas.openxmlformats.org/markup-compatibility/2006">
          <mc:Choice Requires="x14">
            <control shapeId="14244" r:id="rId144" name="Option Button 932">
              <controlPr defaultSize="0" print="0" autoFill="0" autoLine="0" autoPict="0">
                <anchor moveWithCells="1" sizeWithCells="1">
                  <from>
                    <xdr:col>23</xdr:col>
                    <xdr:colOff>50800</xdr:colOff>
                    <xdr:row>33</xdr:row>
                    <xdr:rowOff>63500</xdr:rowOff>
                  </from>
                  <to>
                    <xdr:col>24</xdr:col>
                    <xdr:colOff>0</xdr:colOff>
                    <xdr:row>33</xdr:row>
                    <xdr:rowOff>241300</xdr:rowOff>
                  </to>
                </anchor>
              </controlPr>
            </control>
          </mc:Choice>
          <mc:Fallback/>
        </mc:AlternateContent>
        <mc:AlternateContent xmlns:mc="http://schemas.openxmlformats.org/markup-compatibility/2006">
          <mc:Choice Requires="x14">
            <control shapeId="14245" r:id="rId145" name="Option Button 933">
              <controlPr defaultSize="0" print="0" autoFill="0" autoLine="0" autoPict="0">
                <anchor moveWithCells="1" sizeWithCells="1">
                  <from>
                    <xdr:col>24</xdr:col>
                    <xdr:colOff>76200</xdr:colOff>
                    <xdr:row>33</xdr:row>
                    <xdr:rowOff>50800</xdr:rowOff>
                  </from>
                  <to>
                    <xdr:col>25</xdr:col>
                    <xdr:colOff>38100</xdr:colOff>
                    <xdr:row>34</xdr:row>
                    <xdr:rowOff>0</xdr:rowOff>
                  </to>
                </anchor>
              </controlPr>
            </control>
          </mc:Choice>
          <mc:Fallback/>
        </mc:AlternateContent>
        <mc:AlternateContent xmlns:mc="http://schemas.openxmlformats.org/markup-compatibility/2006">
          <mc:Choice Requires="x14">
            <control shapeId="14246" r:id="rId146" name="Option Button 934">
              <controlPr defaultSize="0" print="0" autoFill="0" autoLine="0" autoPict="0">
                <anchor moveWithCells="1" sizeWithCells="1">
                  <from>
                    <xdr:col>25</xdr:col>
                    <xdr:colOff>101600</xdr:colOff>
                    <xdr:row>33</xdr:row>
                    <xdr:rowOff>50800</xdr:rowOff>
                  </from>
                  <to>
                    <xdr:col>26</xdr:col>
                    <xdr:colOff>63500</xdr:colOff>
                    <xdr:row>34</xdr:row>
                    <xdr:rowOff>0</xdr:rowOff>
                  </to>
                </anchor>
              </controlPr>
            </control>
          </mc:Choice>
          <mc:Fallback/>
        </mc:AlternateContent>
        <mc:AlternateContent xmlns:mc="http://schemas.openxmlformats.org/markup-compatibility/2006">
          <mc:Choice Requires="x14">
            <control shapeId="14248" r:id="rId147" name="Option Button 936">
              <controlPr defaultSize="0" print="0" autoFill="0" autoLine="0" autoPict="0">
                <anchor moveWithCells="1" sizeWithCells="1">
                  <from>
                    <xdr:col>22</xdr:col>
                    <xdr:colOff>12700</xdr:colOff>
                    <xdr:row>34</xdr:row>
                    <xdr:rowOff>38100</xdr:rowOff>
                  </from>
                  <to>
                    <xdr:col>22</xdr:col>
                    <xdr:colOff>317500</xdr:colOff>
                    <xdr:row>34</xdr:row>
                    <xdr:rowOff>254000</xdr:rowOff>
                  </to>
                </anchor>
              </controlPr>
            </control>
          </mc:Choice>
          <mc:Fallback/>
        </mc:AlternateContent>
        <mc:AlternateContent xmlns:mc="http://schemas.openxmlformats.org/markup-compatibility/2006">
          <mc:Choice Requires="x14">
            <control shapeId="14249" r:id="rId148" name="Option Button 937">
              <controlPr defaultSize="0" print="0" autoFill="0" autoLine="0" autoPict="0">
                <anchor moveWithCells="1" sizeWithCells="1">
                  <from>
                    <xdr:col>23</xdr:col>
                    <xdr:colOff>50800</xdr:colOff>
                    <xdr:row>34</xdr:row>
                    <xdr:rowOff>63500</xdr:rowOff>
                  </from>
                  <to>
                    <xdr:col>24</xdr:col>
                    <xdr:colOff>0</xdr:colOff>
                    <xdr:row>34</xdr:row>
                    <xdr:rowOff>241300</xdr:rowOff>
                  </to>
                </anchor>
              </controlPr>
            </control>
          </mc:Choice>
          <mc:Fallback/>
        </mc:AlternateContent>
        <mc:AlternateContent xmlns:mc="http://schemas.openxmlformats.org/markup-compatibility/2006">
          <mc:Choice Requires="x14">
            <control shapeId="14250" r:id="rId149" name="Option Button 938">
              <controlPr defaultSize="0" print="0" autoFill="0" autoLine="0" autoPict="0">
                <anchor moveWithCells="1" sizeWithCells="1">
                  <from>
                    <xdr:col>24</xdr:col>
                    <xdr:colOff>76200</xdr:colOff>
                    <xdr:row>34</xdr:row>
                    <xdr:rowOff>50800</xdr:rowOff>
                  </from>
                  <to>
                    <xdr:col>25</xdr:col>
                    <xdr:colOff>38100</xdr:colOff>
                    <xdr:row>35</xdr:row>
                    <xdr:rowOff>0</xdr:rowOff>
                  </to>
                </anchor>
              </controlPr>
            </control>
          </mc:Choice>
          <mc:Fallback/>
        </mc:AlternateContent>
        <mc:AlternateContent xmlns:mc="http://schemas.openxmlformats.org/markup-compatibility/2006">
          <mc:Choice Requires="x14">
            <control shapeId="14251" r:id="rId150" name="Option Button 939">
              <controlPr defaultSize="0" print="0" autoFill="0" autoLine="0" autoPict="0">
                <anchor moveWithCells="1" sizeWithCells="1">
                  <from>
                    <xdr:col>25</xdr:col>
                    <xdr:colOff>101600</xdr:colOff>
                    <xdr:row>34</xdr:row>
                    <xdr:rowOff>50800</xdr:rowOff>
                  </from>
                  <to>
                    <xdr:col>26</xdr:col>
                    <xdr:colOff>63500</xdr:colOff>
                    <xdr:row>35</xdr:row>
                    <xdr:rowOff>0</xdr:rowOff>
                  </to>
                </anchor>
              </controlPr>
            </control>
          </mc:Choice>
          <mc:Fallback/>
        </mc:AlternateContent>
        <mc:AlternateContent xmlns:mc="http://schemas.openxmlformats.org/markup-compatibility/2006">
          <mc:Choice Requires="x14">
            <control shapeId="14253" r:id="rId151" name="Option Button 941">
              <controlPr defaultSize="0" print="0" autoFill="0" autoLine="0" autoPict="0">
                <anchor moveWithCells="1" sizeWithCells="1">
                  <from>
                    <xdr:col>26</xdr:col>
                    <xdr:colOff>228600</xdr:colOff>
                    <xdr:row>35</xdr:row>
                    <xdr:rowOff>38100</xdr:rowOff>
                  </from>
                  <to>
                    <xdr:col>27</xdr:col>
                    <xdr:colOff>190500</xdr:colOff>
                    <xdr:row>35</xdr:row>
                    <xdr:rowOff>254000</xdr:rowOff>
                  </to>
                </anchor>
              </controlPr>
            </control>
          </mc:Choice>
          <mc:Fallback/>
        </mc:AlternateContent>
        <mc:AlternateContent xmlns:mc="http://schemas.openxmlformats.org/markup-compatibility/2006">
          <mc:Choice Requires="x14">
            <control shapeId="14254" r:id="rId152" name="Option Button 942">
              <controlPr defaultSize="0" print="0" autoFill="0" autoLine="0" autoPict="0">
                <anchor moveWithCells="1" sizeWithCells="1">
                  <from>
                    <xdr:col>27</xdr:col>
                    <xdr:colOff>266700</xdr:colOff>
                    <xdr:row>35</xdr:row>
                    <xdr:rowOff>63500</xdr:rowOff>
                  </from>
                  <to>
                    <xdr:col>28</xdr:col>
                    <xdr:colOff>165100</xdr:colOff>
                    <xdr:row>35</xdr:row>
                    <xdr:rowOff>241300</xdr:rowOff>
                  </to>
                </anchor>
              </controlPr>
            </control>
          </mc:Choice>
          <mc:Fallback/>
        </mc:AlternateContent>
        <mc:AlternateContent xmlns:mc="http://schemas.openxmlformats.org/markup-compatibility/2006">
          <mc:Choice Requires="x14">
            <control shapeId="14255" r:id="rId153" name="Option Button 943">
              <controlPr defaultSize="0" print="0" autoFill="0" autoLine="0" autoPict="0">
                <anchor moveWithCells="1" sizeWithCells="1">
                  <from>
                    <xdr:col>28</xdr:col>
                    <xdr:colOff>241300</xdr:colOff>
                    <xdr:row>35</xdr:row>
                    <xdr:rowOff>50800</xdr:rowOff>
                  </from>
                  <to>
                    <xdr:col>29</xdr:col>
                    <xdr:colOff>114300</xdr:colOff>
                    <xdr:row>36</xdr:row>
                    <xdr:rowOff>0</xdr:rowOff>
                  </to>
                </anchor>
              </controlPr>
            </control>
          </mc:Choice>
          <mc:Fallback/>
        </mc:AlternateContent>
        <mc:AlternateContent xmlns:mc="http://schemas.openxmlformats.org/markup-compatibility/2006">
          <mc:Choice Requires="x14">
            <control shapeId="14256" r:id="rId154" name="Option Button 944">
              <controlPr defaultSize="0" print="0" autoFill="0" autoLine="0" autoPict="0">
                <anchor moveWithCells="1" sizeWithCells="1">
                  <from>
                    <xdr:col>29</xdr:col>
                    <xdr:colOff>177800</xdr:colOff>
                    <xdr:row>35</xdr:row>
                    <xdr:rowOff>50800</xdr:rowOff>
                  </from>
                  <to>
                    <xdr:col>30</xdr:col>
                    <xdr:colOff>50800</xdr:colOff>
                    <xdr:row>36</xdr:row>
                    <xdr:rowOff>0</xdr:rowOff>
                  </to>
                </anchor>
              </controlPr>
            </control>
          </mc:Choice>
          <mc:Fallback/>
        </mc:AlternateContent>
        <mc:AlternateContent xmlns:mc="http://schemas.openxmlformats.org/markup-compatibility/2006">
          <mc:Choice Requires="x14">
            <control shapeId="14258" r:id="rId155" name="Option Button 946">
              <controlPr defaultSize="0" print="0" autoFill="0" autoLine="0" autoPict="0">
                <anchor moveWithCells="1" sizeWithCells="1">
                  <from>
                    <xdr:col>26</xdr:col>
                    <xdr:colOff>228600</xdr:colOff>
                    <xdr:row>36</xdr:row>
                    <xdr:rowOff>38100</xdr:rowOff>
                  </from>
                  <to>
                    <xdr:col>27</xdr:col>
                    <xdr:colOff>190500</xdr:colOff>
                    <xdr:row>36</xdr:row>
                    <xdr:rowOff>254000</xdr:rowOff>
                  </to>
                </anchor>
              </controlPr>
            </control>
          </mc:Choice>
          <mc:Fallback/>
        </mc:AlternateContent>
        <mc:AlternateContent xmlns:mc="http://schemas.openxmlformats.org/markup-compatibility/2006">
          <mc:Choice Requires="x14">
            <control shapeId="14259" r:id="rId156" name="Option Button 947">
              <controlPr defaultSize="0" print="0" autoFill="0" autoLine="0" autoPict="0">
                <anchor moveWithCells="1" sizeWithCells="1">
                  <from>
                    <xdr:col>27</xdr:col>
                    <xdr:colOff>266700</xdr:colOff>
                    <xdr:row>36</xdr:row>
                    <xdr:rowOff>63500</xdr:rowOff>
                  </from>
                  <to>
                    <xdr:col>28</xdr:col>
                    <xdr:colOff>165100</xdr:colOff>
                    <xdr:row>36</xdr:row>
                    <xdr:rowOff>241300</xdr:rowOff>
                  </to>
                </anchor>
              </controlPr>
            </control>
          </mc:Choice>
          <mc:Fallback/>
        </mc:AlternateContent>
        <mc:AlternateContent xmlns:mc="http://schemas.openxmlformats.org/markup-compatibility/2006">
          <mc:Choice Requires="x14">
            <control shapeId="14260" r:id="rId157" name="Option Button 948">
              <controlPr defaultSize="0" print="0" autoFill="0" autoLine="0" autoPict="0">
                <anchor moveWithCells="1" sizeWithCells="1">
                  <from>
                    <xdr:col>28</xdr:col>
                    <xdr:colOff>241300</xdr:colOff>
                    <xdr:row>36</xdr:row>
                    <xdr:rowOff>50800</xdr:rowOff>
                  </from>
                  <to>
                    <xdr:col>29</xdr:col>
                    <xdr:colOff>114300</xdr:colOff>
                    <xdr:row>37</xdr:row>
                    <xdr:rowOff>0</xdr:rowOff>
                  </to>
                </anchor>
              </controlPr>
            </control>
          </mc:Choice>
          <mc:Fallback/>
        </mc:AlternateContent>
        <mc:AlternateContent xmlns:mc="http://schemas.openxmlformats.org/markup-compatibility/2006">
          <mc:Choice Requires="x14">
            <control shapeId="14261" r:id="rId158" name="Option Button 949">
              <controlPr defaultSize="0" print="0" autoFill="0" autoLine="0" autoPict="0">
                <anchor moveWithCells="1" sizeWithCells="1">
                  <from>
                    <xdr:col>29</xdr:col>
                    <xdr:colOff>177800</xdr:colOff>
                    <xdr:row>36</xdr:row>
                    <xdr:rowOff>50800</xdr:rowOff>
                  </from>
                  <to>
                    <xdr:col>30</xdr:col>
                    <xdr:colOff>50800</xdr:colOff>
                    <xdr:row>37</xdr:row>
                    <xdr:rowOff>0</xdr:rowOff>
                  </to>
                </anchor>
              </controlPr>
            </control>
          </mc:Choice>
          <mc:Fallback/>
        </mc:AlternateContent>
        <mc:AlternateContent xmlns:mc="http://schemas.openxmlformats.org/markup-compatibility/2006">
          <mc:Choice Requires="x14">
            <control shapeId="14263" r:id="rId159" name="Option Button 951">
              <controlPr defaultSize="0" print="0" autoFill="0" autoLine="0" autoPict="0">
                <anchor moveWithCells="1" sizeWithCells="1">
                  <from>
                    <xdr:col>22</xdr:col>
                    <xdr:colOff>12700</xdr:colOff>
                    <xdr:row>38</xdr:row>
                    <xdr:rowOff>38100</xdr:rowOff>
                  </from>
                  <to>
                    <xdr:col>22</xdr:col>
                    <xdr:colOff>317500</xdr:colOff>
                    <xdr:row>38</xdr:row>
                    <xdr:rowOff>254000</xdr:rowOff>
                  </to>
                </anchor>
              </controlPr>
            </control>
          </mc:Choice>
          <mc:Fallback/>
        </mc:AlternateContent>
        <mc:AlternateContent xmlns:mc="http://schemas.openxmlformats.org/markup-compatibility/2006">
          <mc:Choice Requires="x14">
            <control shapeId="14264" r:id="rId160" name="Option Button 952">
              <controlPr defaultSize="0" print="0" autoFill="0" autoLine="0" autoPict="0">
                <anchor moveWithCells="1" sizeWithCells="1">
                  <from>
                    <xdr:col>23</xdr:col>
                    <xdr:colOff>50800</xdr:colOff>
                    <xdr:row>38</xdr:row>
                    <xdr:rowOff>63500</xdr:rowOff>
                  </from>
                  <to>
                    <xdr:col>24</xdr:col>
                    <xdr:colOff>0</xdr:colOff>
                    <xdr:row>38</xdr:row>
                    <xdr:rowOff>241300</xdr:rowOff>
                  </to>
                </anchor>
              </controlPr>
            </control>
          </mc:Choice>
          <mc:Fallback/>
        </mc:AlternateContent>
        <mc:AlternateContent xmlns:mc="http://schemas.openxmlformats.org/markup-compatibility/2006">
          <mc:Choice Requires="x14">
            <control shapeId="14265" r:id="rId161" name="Option Button 953">
              <controlPr defaultSize="0" print="0" autoFill="0" autoLine="0" autoPict="0">
                <anchor moveWithCells="1" sizeWithCells="1">
                  <from>
                    <xdr:col>24</xdr:col>
                    <xdr:colOff>76200</xdr:colOff>
                    <xdr:row>38</xdr:row>
                    <xdr:rowOff>50800</xdr:rowOff>
                  </from>
                  <to>
                    <xdr:col>25</xdr:col>
                    <xdr:colOff>38100</xdr:colOff>
                    <xdr:row>39</xdr:row>
                    <xdr:rowOff>0</xdr:rowOff>
                  </to>
                </anchor>
              </controlPr>
            </control>
          </mc:Choice>
          <mc:Fallback/>
        </mc:AlternateContent>
        <mc:AlternateContent xmlns:mc="http://schemas.openxmlformats.org/markup-compatibility/2006">
          <mc:Choice Requires="x14">
            <control shapeId="14266" r:id="rId162" name="Option Button 954">
              <controlPr defaultSize="0" print="0" autoFill="0" autoLine="0" autoPict="0">
                <anchor moveWithCells="1" sizeWithCells="1">
                  <from>
                    <xdr:col>25</xdr:col>
                    <xdr:colOff>101600</xdr:colOff>
                    <xdr:row>38</xdr:row>
                    <xdr:rowOff>50800</xdr:rowOff>
                  </from>
                  <to>
                    <xdr:col>26</xdr:col>
                    <xdr:colOff>63500</xdr:colOff>
                    <xdr:row>39</xdr:row>
                    <xdr:rowOff>0</xdr:rowOff>
                  </to>
                </anchor>
              </controlPr>
            </control>
          </mc:Choice>
          <mc:Fallback/>
        </mc:AlternateContent>
        <mc:AlternateContent xmlns:mc="http://schemas.openxmlformats.org/markup-compatibility/2006">
          <mc:Choice Requires="x14">
            <control shapeId="14288" r:id="rId163" name="Option Button 976">
              <controlPr defaultSize="0" print="0" autoFill="0" autoLine="0" autoPict="0">
                <anchor moveWithCells="1" sizeWithCells="1">
                  <from>
                    <xdr:col>22</xdr:col>
                    <xdr:colOff>12700</xdr:colOff>
                    <xdr:row>44</xdr:row>
                    <xdr:rowOff>38100</xdr:rowOff>
                  </from>
                  <to>
                    <xdr:col>22</xdr:col>
                    <xdr:colOff>317500</xdr:colOff>
                    <xdr:row>44</xdr:row>
                    <xdr:rowOff>254000</xdr:rowOff>
                  </to>
                </anchor>
              </controlPr>
            </control>
          </mc:Choice>
          <mc:Fallback/>
        </mc:AlternateContent>
        <mc:AlternateContent xmlns:mc="http://schemas.openxmlformats.org/markup-compatibility/2006">
          <mc:Choice Requires="x14">
            <control shapeId="14289" r:id="rId164" name="Option Button 977">
              <controlPr defaultSize="0" print="0" autoFill="0" autoLine="0" autoPict="0">
                <anchor moveWithCells="1" sizeWithCells="1">
                  <from>
                    <xdr:col>23</xdr:col>
                    <xdr:colOff>50800</xdr:colOff>
                    <xdr:row>44</xdr:row>
                    <xdr:rowOff>63500</xdr:rowOff>
                  </from>
                  <to>
                    <xdr:col>24</xdr:col>
                    <xdr:colOff>0</xdr:colOff>
                    <xdr:row>44</xdr:row>
                    <xdr:rowOff>241300</xdr:rowOff>
                  </to>
                </anchor>
              </controlPr>
            </control>
          </mc:Choice>
          <mc:Fallback/>
        </mc:AlternateContent>
        <mc:AlternateContent xmlns:mc="http://schemas.openxmlformats.org/markup-compatibility/2006">
          <mc:Choice Requires="x14">
            <control shapeId="14290" r:id="rId165" name="Option Button 978">
              <controlPr defaultSize="0" print="0" autoFill="0" autoLine="0" autoPict="0">
                <anchor moveWithCells="1" sizeWithCells="1">
                  <from>
                    <xdr:col>24</xdr:col>
                    <xdr:colOff>76200</xdr:colOff>
                    <xdr:row>44</xdr:row>
                    <xdr:rowOff>50800</xdr:rowOff>
                  </from>
                  <to>
                    <xdr:col>25</xdr:col>
                    <xdr:colOff>38100</xdr:colOff>
                    <xdr:row>45</xdr:row>
                    <xdr:rowOff>0</xdr:rowOff>
                  </to>
                </anchor>
              </controlPr>
            </control>
          </mc:Choice>
          <mc:Fallback/>
        </mc:AlternateContent>
        <mc:AlternateContent xmlns:mc="http://schemas.openxmlformats.org/markup-compatibility/2006">
          <mc:Choice Requires="x14">
            <control shapeId="14291" r:id="rId166" name="Option Button 979">
              <controlPr defaultSize="0" print="0" autoFill="0" autoLine="0" autoPict="0">
                <anchor moveWithCells="1" sizeWithCells="1">
                  <from>
                    <xdr:col>25</xdr:col>
                    <xdr:colOff>101600</xdr:colOff>
                    <xdr:row>44</xdr:row>
                    <xdr:rowOff>50800</xdr:rowOff>
                  </from>
                  <to>
                    <xdr:col>26</xdr:col>
                    <xdr:colOff>63500</xdr:colOff>
                    <xdr:row>45</xdr:row>
                    <xdr:rowOff>0</xdr:rowOff>
                  </to>
                </anchor>
              </controlPr>
            </control>
          </mc:Choice>
          <mc:Fallback/>
        </mc:AlternateContent>
        <mc:AlternateContent xmlns:mc="http://schemas.openxmlformats.org/markup-compatibility/2006">
          <mc:Choice Requires="x14">
            <control shapeId="14293" r:id="rId167" name="Option Button 981">
              <controlPr defaultSize="0" print="0" autoFill="0" autoLine="0" autoPict="0">
                <anchor moveWithCells="1" sizeWithCells="1">
                  <from>
                    <xdr:col>26</xdr:col>
                    <xdr:colOff>228600</xdr:colOff>
                    <xdr:row>45</xdr:row>
                    <xdr:rowOff>38100</xdr:rowOff>
                  </from>
                  <to>
                    <xdr:col>27</xdr:col>
                    <xdr:colOff>190500</xdr:colOff>
                    <xdr:row>45</xdr:row>
                    <xdr:rowOff>254000</xdr:rowOff>
                  </to>
                </anchor>
              </controlPr>
            </control>
          </mc:Choice>
          <mc:Fallback/>
        </mc:AlternateContent>
        <mc:AlternateContent xmlns:mc="http://schemas.openxmlformats.org/markup-compatibility/2006">
          <mc:Choice Requires="x14">
            <control shapeId="14294" r:id="rId168" name="Option Button 982">
              <controlPr defaultSize="0" print="0" autoFill="0" autoLine="0" autoPict="0">
                <anchor moveWithCells="1" sizeWithCells="1">
                  <from>
                    <xdr:col>27</xdr:col>
                    <xdr:colOff>266700</xdr:colOff>
                    <xdr:row>45</xdr:row>
                    <xdr:rowOff>63500</xdr:rowOff>
                  </from>
                  <to>
                    <xdr:col>28</xdr:col>
                    <xdr:colOff>165100</xdr:colOff>
                    <xdr:row>45</xdr:row>
                    <xdr:rowOff>241300</xdr:rowOff>
                  </to>
                </anchor>
              </controlPr>
            </control>
          </mc:Choice>
          <mc:Fallback/>
        </mc:AlternateContent>
        <mc:AlternateContent xmlns:mc="http://schemas.openxmlformats.org/markup-compatibility/2006">
          <mc:Choice Requires="x14">
            <control shapeId="14295" r:id="rId169" name="Option Button 983">
              <controlPr defaultSize="0" print="0" autoFill="0" autoLine="0" autoPict="0">
                <anchor moveWithCells="1" sizeWithCells="1">
                  <from>
                    <xdr:col>28</xdr:col>
                    <xdr:colOff>241300</xdr:colOff>
                    <xdr:row>45</xdr:row>
                    <xdr:rowOff>50800</xdr:rowOff>
                  </from>
                  <to>
                    <xdr:col>29</xdr:col>
                    <xdr:colOff>114300</xdr:colOff>
                    <xdr:row>46</xdr:row>
                    <xdr:rowOff>0</xdr:rowOff>
                  </to>
                </anchor>
              </controlPr>
            </control>
          </mc:Choice>
          <mc:Fallback/>
        </mc:AlternateContent>
        <mc:AlternateContent xmlns:mc="http://schemas.openxmlformats.org/markup-compatibility/2006">
          <mc:Choice Requires="x14">
            <control shapeId="14296" r:id="rId170" name="Option Button 984">
              <controlPr defaultSize="0" print="0" autoFill="0" autoLine="0" autoPict="0">
                <anchor moveWithCells="1" sizeWithCells="1">
                  <from>
                    <xdr:col>29</xdr:col>
                    <xdr:colOff>177800</xdr:colOff>
                    <xdr:row>45</xdr:row>
                    <xdr:rowOff>50800</xdr:rowOff>
                  </from>
                  <to>
                    <xdr:col>30</xdr:col>
                    <xdr:colOff>50800</xdr:colOff>
                    <xdr:row>46</xdr:row>
                    <xdr:rowOff>0</xdr:rowOff>
                  </to>
                </anchor>
              </controlPr>
            </control>
          </mc:Choice>
          <mc:Fallback/>
        </mc:AlternateContent>
        <mc:AlternateContent xmlns:mc="http://schemas.openxmlformats.org/markup-compatibility/2006">
          <mc:Choice Requires="x14">
            <control shapeId="14298" r:id="rId171" name="Option Button 986">
              <controlPr defaultSize="0" print="0" autoFill="0" autoLine="0" autoPict="0">
                <anchor moveWithCells="1" sizeWithCells="1">
                  <from>
                    <xdr:col>26</xdr:col>
                    <xdr:colOff>228600</xdr:colOff>
                    <xdr:row>46</xdr:row>
                    <xdr:rowOff>38100</xdr:rowOff>
                  </from>
                  <to>
                    <xdr:col>27</xdr:col>
                    <xdr:colOff>190500</xdr:colOff>
                    <xdr:row>46</xdr:row>
                    <xdr:rowOff>254000</xdr:rowOff>
                  </to>
                </anchor>
              </controlPr>
            </control>
          </mc:Choice>
          <mc:Fallback/>
        </mc:AlternateContent>
        <mc:AlternateContent xmlns:mc="http://schemas.openxmlformats.org/markup-compatibility/2006">
          <mc:Choice Requires="x14">
            <control shapeId="14299" r:id="rId172" name="Option Button 987">
              <controlPr defaultSize="0" print="0" autoFill="0" autoLine="0" autoPict="0">
                <anchor moveWithCells="1" sizeWithCells="1">
                  <from>
                    <xdr:col>27</xdr:col>
                    <xdr:colOff>266700</xdr:colOff>
                    <xdr:row>46</xdr:row>
                    <xdr:rowOff>63500</xdr:rowOff>
                  </from>
                  <to>
                    <xdr:col>28</xdr:col>
                    <xdr:colOff>165100</xdr:colOff>
                    <xdr:row>46</xdr:row>
                    <xdr:rowOff>241300</xdr:rowOff>
                  </to>
                </anchor>
              </controlPr>
            </control>
          </mc:Choice>
          <mc:Fallback/>
        </mc:AlternateContent>
        <mc:AlternateContent xmlns:mc="http://schemas.openxmlformats.org/markup-compatibility/2006">
          <mc:Choice Requires="x14">
            <control shapeId="14300" r:id="rId173" name="Option Button 988">
              <controlPr defaultSize="0" print="0" autoFill="0" autoLine="0" autoPict="0">
                <anchor moveWithCells="1" sizeWithCells="1">
                  <from>
                    <xdr:col>28</xdr:col>
                    <xdr:colOff>241300</xdr:colOff>
                    <xdr:row>46</xdr:row>
                    <xdr:rowOff>50800</xdr:rowOff>
                  </from>
                  <to>
                    <xdr:col>29</xdr:col>
                    <xdr:colOff>114300</xdr:colOff>
                    <xdr:row>47</xdr:row>
                    <xdr:rowOff>0</xdr:rowOff>
                  </to>
                </anchor>
              </controlPr>
            </control>
          </mc:Choice>
          <mc:Fallback/>
        </mc:AlternateContent>
        <mc:AlternateContent xmlns:mc="http://schemas.openxmlformats.org/markup-compatibility/2006">
          <mc:Choice Requires="x14">
            <control shapeId="14301" r:id="rId174" name="Option Button 989">
              <controlPr defaultSize="0" print="0" autoFill="0" autoLine="0" autoPict="0">
                <anchor moveWithCells="1" sizeWithCells="1">
                  <from>
                    <xdr:col>29</xdr:col>
                    <xdr:colOff>177800</xdr:colOff>
                    <xdr:row>46</xdr:row>
                    <xdr:rowOff>50800</xdr:rowOff>
                  </from>
                  <to>
                    <xdr:col>30</xdr:col>
                    <xdr:colOff>50800</xdr:colOff>
                    <xdr:row>47</xdr:row>
                    <xdr:rowOff>0</xdr:rowOff>
                  </to>
                </anchor>
              </controlPr>
            </control>
          </mc:Choice>
          <mc:Fallback/>
        </mc:AlternateContent>
        <mc:AlternateContent xmlns:mc="http://schemas.openxmlformats.org/markup-compatibility/2006">
          <mc:Choice Requires="x14">
            <control shapeId="14303" r:id="rId175" name="Option Button 991">
              <controlPr defaultSize="0" print="0" autoFill="0" autoLine="0" autoPict="0">
                <anchor moveWithCells="1" sizeWithCells="1">
                  <from>
                    <xdr:col>22</xdr:col>
                    <xdr:colOff>12700</xdr:colOff>
                    <xdr:row>48</xdr:row>
                    <xdr:rowOff>38100</xdr:rowOff>
                  </from>
                  <to>
                    <xdr:col>22</xdr:col>
                    <xdr:colOff>317500</xdr:colOff>
                    <xdr:row>48</xdr:row>
                    <xdr:rowOff>254000</xdr:rowOff>
                  </to>
                </anchor>
              </controlPr>
            </control>
          </mc:Choice>
          <mc:Fallback/>
        </mc:AlternateContent>
        <mc:AlternateContent xmlns:mc="http://schemas.openxmlformats.org/markup-compatibility/2006">
          <mc:Choice Requires="x14">
            <control shapeId="14304" r:id="rId176" name="Option Button 992">
              <controlPr defaultSize="0" print="0" autoFill="0" autoLine="0" autoPict="0">
                <anchor moveWithCells="1" sizeWithCells="1">
                  <from>
                    <xdr:col>23</xdr:col>
                    <xdr:colOff>50800</xdr:colOff>
                    <xdr:row>48</xdr:row>
                    <xdr:rowOff>63500</xdr:rowOff>
                  </from>
                  <to>
                    <xdr:col>24</xdr:col>
                    <xdr:colOff>0</xdr:colOff>
                    <xdr:row>48</xdr:row>
                    <xdr:rowOff>241300</xdr:rowOff>
                  </to>
                </anchor>
              </controlPr>
            </control>
          </mc:Choice>
          <mc:Fallback/>
        </mc:AlternateContent>
        <mc:AlternateContent xmlns:mc="http://schemas.openxmlformats.org/markup-compatibility/2006">
          <mc:Choice Requires="x14">
            <control shapeId="14305" r:id="rId177" name="Option Button 993">
              <controlPr defaultSize="0" print="0" autoFill="0" autoLine="0" autoPict="0">
                <anchor moveWithCells="1" sizeWithCells="1">
                  <from>
                    <xdr:col>24</xdr:col>
                    <xdr:colOff>76200</xdr:colOff>
                    <xdr:row>48</xdr:row>
                    <xdr:rowOff>50800</xdr:rowOff>
                  </from>
                  <to>
                    <xdr:col>25</xdr:col>
                    <xdr:colOff>38100</xdr:colOff>
                    <xdr:row>49</xdr:row>
                    <xdr:rowOff>0</xdr:rowOff>
                  </to>
                </anchor>
              </controlPr>
            </control>
          </mc:Choice>
          <mc:Fallback/>
        </mc:AlternateContent>
        <mc:AlternateContent xmlns:mc="http://schemas.openxmlformats.org/markup-compatibility/2006">
          <mc:Choice Requires="x14">
            <control shapeId="14306" r:id="rId178" name="Option Button 994">
              <controlPr defaultSize="0" print="0" autoFill="0" autoLine="0" autoPict="0">
                <anchor moveWithCells="1" sizeWithCells="1">
                  <from>
                    <xdr:col>25</xdr:col>
                    <xdr:colOff>101600</xdr:colOff>
                    <xdr:row>48</xdr:row>
                    <xdr:rowOff>50800</xdr:rowOff>
                  </from>
                  <to>
                    <xdr:col>26</xdr:col>
                    <xdr:colOff>63500</xdr:colOff>
                    <xdr:row>49</xdr:row>
                    <xdr:rowOff>0</xdr:rowOff>
                  </to>
                </anchor>
              </controlPr>
            </control>
          </mc:Choice>
          <mc:Fallback/>
        </mc:AlternateContent>
        <mc:AlternateContent xmlns:mc="http://schemas.openxmlformats.org/markup-compatibility/2006">
          <mc:Choice Requires="x14">
            <control shapeId="14313" r:id="rId179" name="Option Button 1001">
              <controlPr defaultSize="0" print="0" autoFill="0" autoLine="0" autoPict="0">
                <anchor moveWithCells="1" sizeWithCells="1">
                  <from>
                    <xdr:col>22</xdr:col>
                    <xdr:colOff>12700</xdr:colOff>
                    <xdr:row>51</xdr:row>
                    <xdr:rowOff>50800</xdr:rowOff>
                  </from>
                  <to>
                    <xdr:col>22</xdr:col>
                    <xdr:colOff>317500</xdr:colOff>
                    <xdr:row>52</xdr:row>
                    <xdr:rowOff>0</xdr:rowOff>
                  </to>
                </anchor>
              </controlPr>
            </control>
          </mc:Choice>
          <mc:Fallback/>
        </mc:AlternateContent>
        <mc:AlternateContent xmlns:mc="http://schemas.openxmlformats.org/markup-compatibility/2006">
          <mc:Choice Requires="x14">
            <control shapeId="14314" r:id="rId180" name="Option Button 1002">
              <controlPr defaultSize="0" print="0" autoFill="0" autoLine="0" autoPict="0">
                <anchor moveWithCells="1" sizeWithCells="1">
                  <from>
                    <xdr:col>23</xdr:col>
                    <xdr:colOff>50800</xdr:colOff>
                    <xdr:row>51</xdr:row>
                    <xdr:rowOff>76200</xdr:rowOff>
                  </from>
                  <to>
                    <xdr:col>24</xdr:col>
                    <xdr:colOff>0</xdr:colOff>
                    <xdr:row>51</xdr:row>
                    <xdr:rowOff>254000</xdr:rowOff>
                  </to>
                </anchor>
              </controlPr>
            </control>
          </mc:Choice>
          <mc:Fallback/>
        </mc:AlternateContent>
        <mc:AlternateContent xmlns:mc="http://schemas.openxmlformats.org/markup-compatibility/2006">
          <mc:Choice Requires="x14">
            <control shapeId="14315" r:id="rId181" name="Option Button 1003">
              <controlPr defaultSize="0" print="0" autoFill="0" autoLine="0" autoPict="0">
                <anchor moveWithCells="1" sizeWithCells="1">
                  <from>
                    <xdr:col>24</xdr:col>
                    <xdr:colOff>76200</xdr:colOff>
                    <xdr:row>51</xdr:row>
                    <xdr:rowOff>63500</xdr:rowOff>
                  </from>
                  <to>
                    <xdr:col>25</xdr:col>
                    <xdr:colOff>38100</xdr:colOff>
                    <xdr:row>52</xdr:row>
                    <xdr:rowOff>12700</xdr:rowOff>
                  </to>
                </anchor>
              </controlPr>
            </control>
          </mc:Choice>
          <mc:Fallback/>
        </mc:AlternateContent>
        <mc:AlternateContent xmlns:mc="http://schemas.openxmlformats.org/markup-compatibility/2006">
          <mc:Choice Requires="x14">
            <control shapeId="14316" r:id="rId182" name="Option Button 1004">
              <controlPr defaultSize="0" print="0" autoFill="0" autoLine="0" autoPict="0">
                <anchor moveWithCells="1" sizeWithCells="1">
                  <from>
                    <xdr:col>25</xdr:col>
                    <xdr:colOff>101600</xdr:colOff>
                    <xdr:row>51</xdr:row>
                    <xdr:rowOff>63500</xdr:rowOff>
                  </from>
                  <to>
                    <xdr:col>26</xdr:col>
                    <xdr:colOff>63500</xdr:colOff>
                    <xdr:row>52</xdr:row>
                    <xdr:rowOff>12700</xdr:rowOff>
                  </to>
                </anchor>
              </controlPr>
            </control>
          </mc:Choice>
          <mc:Fallback/>
        </mc:AlternateContent>
        <mc:AlternateContent xmlns:mc="http://schemas.openxmlformats.org/markup-compatibility/2006">
          <mc:Choice Requires="x14">
            <control shapeId="14318" r:id="rId183" name="Option Button 1006">
              <controlPr defaultSize="0" print="0" autoFill="0" autoLine="0" autoPict="0">
                <anchor moveWithCells="1" sizeWithCells="1">
                  <from>
                    <xdr:col>22</xdr:col>
                    <xdr:colOff>12700</xdr:colOff>
                    <xdr:row>52</xdr:row>
                    <xdr:rowOff>50800</xdr:rowOff>
                  </from>
                  <to>
                    <xdr:col>22</xdr:col>
                    <xdr:colOff>317500</xdr:colOff>
                    <xdr:row>53</xdr:row>
                    <xdr:rowOff>0</xdr:rowOff>
                  </to>
                </anchor>
              </controlPr>
            </control>
          </mc:Choice>
          <mc:Fallback/>
        </mc:AlternateContent>
        <mc:AlternateContent xmlns:mc="http://schemas.openxmlformats.org/markup-compatibility/2006">
          <mc:Choice Requires="x14">
            <control shapeId="14319" r:id="rId184" name="Option Button 1007">
              <controlPr defaultSize="0" print="0" autoFill="0" autoLine="0" autoPict="0">
                <anchor moveWithCells="1" sizeWithCells="1">
                  <from>
                    <xdr:col>23</xdr:col>
                    <xdr:colOff>50800</xdr:colOff>
                    <xdr:row>52</xdr:row>
                    <xdr:rowOff>76200</xdr:rowOff>
                  </from>
                  <to>
                    <xdr:col>24</xdr:col>
                    <xdr:colOff>0</xdr:colOff>
                    <xdr:row>52</xdr:row>
                    <xdr:rowOff>254000</xdr:rowOff>
                  </to>
                </anchor>
              </controlPr>
            </control>
          </mc:Choice>
          <mc:Fallback/>
        </mc:AlternateContent>
        <mc:AlternateContent xmlns:mc="http://schemas.openxmlformats.org/markup-compatibility/2006">
          <mc:Choice Requires="x14">
            <control shapeId="14320" r:id="rId185" name="Option Button 1008">
              <controlPr defaultSize="0" print="0" autoFill="0" autoLine="0" autoPict="0">
                <anchor moveWithCells="1" sizeWithCells="1">
                  <from>
                    <xdr:col>24</xdr:col>
                    <xdr:colOff>76200</xdr:colOff>
                    <xdr:row>52</xdr:row>
                    <xdr:rowOff>63500</xdr:rowOff>
                  </from>
                  <to>
                    <xdr:col>25</xdr:col>
                    <xdr:colOff>38100</xdr:colOff>
                    <xdr:row>53</xdr:row>
                    <xdr:rowOff>12700</xdr:rowOff>
                  </to>
                </anchor>
              </controlPr>
            </control>
          </mc:Choice>
          <mc:Fallback/>
        </mc:AlternateContent>
        <mc:AlternateContent xmlns:mc="http://schemas.openxmlformats.org/markup-compatibility/2006">
          <mc:Choice Requires="x14">
            <control shapeId="14321" r:id="rId186" name="Option Button 1009">
              <controlPr defaultSize="0" print="0" autoFill="0" autoLine="0" autoPict="0">
                <anchor moveWithCells="1" sizeWithCells="1">
                  <from>
                    <xdr:col>25</xdr:col>
                    <xdr:colOff>101600</xdr:colOff>
                    <xdr:row>52</xdr:row>
                    <xdr:rowOff>63500</xdr:rowOff>
                  </from>
                  <to>
                    <xdr:col>26</xdr:col>
                    <xdr:colOff>63500</xdr:colOff>
                    <xdr:row>53</xdr:row>
                    <xdr:rowOff>12700</xdr:rowOff>
                  </to>
                </anchor>
              </controlPr>
            </control>
          </mc:Choice>
          <mc:Fallback/>
        </mc:AlternateContent>
        <mc:AlternateContent xmlns:mc="http://schemas.openxmlformats.org/markup-compatibility/2006">
          <mc:Choice Requires="x14">
            <control shapeId="24612" r:id="rId187" name="Option Button 1060">
              <controlPr defaultSize="0" print="0" autoFill="0" autoLine="0" autoPict="0">
                <anchor moveWithCells="1" sizeWithCells="1">
                  <from>
                    <xdr:col>22</xdr:col>
                    <xdr:colOff>12700</xdr:colOff>
                    <xdr:row>17</xdr:row>
                    <xdr:rowOff>38100</xdr:rowOff>
                  </from>
                  <to>
                    <xdr:col>22</xdr:col>
                    <xdr:colOff>317500</xdr:colOff>
                    <xdr:row>17</xdr:row>
                    <xdr:rowOff>254000</xdr:rowOff>
                  </to>
                </anchor>
              </controlPr>
            </control>
          </mc:Choice>
          <mc:Fallback/>
        </mc:AlternateContent>
        <mc:AlternateContent xmlns:mc="http://schemas.openxmlformats.org/markup-compatibility/2006">
          <mc:Choice Requires="x14">
            <control shapeId="24613" r:id="rId188" name="Option Button 1061">
              <controlPr defaultSize="0" print="0" autoFill="0" autoLine="0" autoPict="0">
                <anchor moveWithCells="1" sizeWithCells="1">
                  <from>
                    <xdr:col>23</xdr:col>
                    <xdr:colOff>50800</xdr:colOff>
                    <xdr:row>17</xdr:row>
                    <xdr:rowOff>63500</xdr:rowOff>
                  </from>
                  <to>
                    <xdr:col>24</xdr:col>
                    <xdr:colOff>0</xdr:colOff>
                    <xdr:row>17</xdr:row>
                    <xdr:rowOff>241300</xdr:rowOff>
                  </to>
                </anchor>
              </controlPr>
            </control>
          </mc:Choice>
          <mc:Fallback/>
        </mc:AlternateContent>
        <mc:AlternateContent xmlns:mc="http://schemas.openxmlformats.org/markup-compatibility/2006">
          <mc:Choice Requires="x14">
            <control shapeId="24614" r:id="rId189" name="Option Button 1062">
              <controlPr defaultSize="0" print="0" autoFill="0" autoLine="0" autoPict="0">
                <anchor moveWithCells="1" sizeWithCells="1">
                  <from>
                    <xdr:col>24</xdr:col>
                    <xdr:colOff>76200</xdr:colOff>
                    <xdr:row>17</xdr:row>
                    <xdr:rowOff>50800</xdr:rowOff>
                  </from>
                  <to>
                    <xdr:col>25</xdr:col>
                    <xdr:colOff>38100</xdr:colOff>
                    <xdr:row>18</xdr:row>
                    <xdr:rowOff>0</xdr:rowOff>
                  </to>
                </anchor>
              </controlPr>
            </control>
          </mc:Choice>
          <mc:Fallback/>
        </mc:AlternateContent>
        <mc:AlternateContent xmlns:mc="http://schemas.openxmlformats.org/markup-compatibility/2006">
          <mc:Choice Requires="x14">
            <control shapeId="24615" r:id="rId190" name="Option Button 1063">
              <controlPr defaultSize="0" print="0" autoFill="0" autoLine="0" autoPict="0">
                <anchor moveWithCells="1" sizeWithCells="1">
                  <from>
                    <xdr:col>25</xdr:col>
                    <xdr:colOff>101600</xdr:colOff>
                    <xdr:row>17</xdr:row>
                    <xdr:rowOff>50800</xdr:rowOff>
                  </from>
                  <to>
                    <xdr:col>26</xdr:col>
                    <xdr:colOff>63500</xdr:colOff>
                    <xdr:row>18</xdr:row>
                    <xdr:rowOff>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autoPageBreaks="0"/>
  </sheetPr>
  <dimension ref="A3:G9"/>
  <sheetViews>
    <sheetView workbookViewId="0">
      <selection activeCell="E19" sqref="E19"/>
    </sheetView>
  </sheetViews>
  <sheetFormatPr baseColWidth="10" defaultColWidth="8.83203125" defaultRowHeight="13" x14ac:dyDescent="0"/>
  <cols>
    <col min="1" max="1" width="3.6640625" customWidth="1"/>
    <col min="2" max="2" width="24.33203125" bestFit="1" customWidth="1"/>
    <col min="3" max="3" width="20.33203125" customWidth="1"/>
    <col min="4" max="4" width="4.33203125" customWidth="1"/>
    <col min="5" max="5" width="12.33203125" bestFit="1" customWidth="1"/>
    <col min="6" max="6" width="10.1640625" bestFit="1" customWidth="1"/>
  </cols>
  <sheetData>
    <row r="3" spans="1:7" s="532" customFormat="1" ht="20">
      <c r="A3" s="541"/>
      <c r="B3" s="537" t="s">
        <v>578</v>
      </c>
      <c r="C3" s="542" t="s">
        <v>81</v>
      </c>
      <c r="E3" s="532" t="s">
        <v>616</v>
      </c>
      <c r="F3" s="554">
        <f>1/Unit.J</f>
        <v>3599999999999999.5</v>
      </c>
      <c r="G3" s="532" t="s">
        <v>78</v>
      </c>
    </row>
    <row r="5" spans="1:7" ht="20">
      <c r="A5" s="540"/>
      <c r="B5" s="537" t="s">
        <v>579</v>
      </c>
      <c r="C5" s="542" t="s">
        <v>583</v>
      </c>
      <c r="E5" s="532" t="s">
        <v>616</v>
      </c>
      <c r="F5" s="554">
        <f>1/Unit.W</f>
        <v>999999999.99999988</v>
      </c>
      <c r="G5" s="532" t="s">
        <v>582</v>
      </c>
    </row>
    <row r="7" spans="1:7" ht="20">
      <c r="A7" s="540"/>
      <c r="B7" s="537" t="s">
        <v>1187</v>
      </c>
      <c r="C7" s="542" t="s">
        <v>1179</v>
      </c>
      <c r="D7" s="121"/>
      <c r="E7" s="532" t="s">
        <v>616</v>
      </c>
      <c r="F7" s="554">
        <f>1/Unit.m2</f>
        <v>1000000</v>
      </c>
      <c r="G7" s="532" t="s">
        <v>1182</v>
      </c>
    </row>
    <row r="9" spans="1:7" s="1763" customFormat="1" ht="15">
      <c r="B9" s="537" t="s">
        <v>1997</v>
      </c>
      <c r="C9" s="542" t="s">
        <v>1974</v>
      </c>
      <c r="E9" s="532" t="s">
        <v>616</v>
      </c>
      <c r="F9" s="554">
        <f>1/GBP</f>
        <v>1000000</v>
      </c>
      <c r="G9" s="532" t="s">
        <v>1964</v>
      </c>
    </row>
  </sheetData>
  <dataValidations count="4">
    <dataValidation type="list" allowBlank="1" showInputMessage="1" showErrorMessage="1" sqref="C3">
      <formula1>Conversions.Energy.Units</formula1>
    </dataValidation>
    <dataValidation type="list" allowBlank="1" showInputMessage="1" showErrorMessage="1" sqref="C5">
      <formula1>Conversions.Power.Units</formula1>
    </dataValidation>
    <dataValidation type="list" allowBlank="1" showInputMessage="1" showErrorMessage="1" sqref="C7">
      <formula1>Conversions.Area.Units</formula1>
    </dataValidation>
    <dataValidation type="list" allowBlank="1" showInputMessage="1" showErrorMessage="1" sqref="C9">
      <formula1>Conversions.Money.Units</formula1>
    </dataValidation>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8" enableFormatConditionsCalculation="0"/>
  <dimension ref="B2:O77"/>
  <sheetViews>
    <sheetView topLeftCell="A28" workbookViewId="0"/>
  </sheetViews>
  <sheetFormatPr baseColWidth="10" defaultColWidth="8.83203125" defaultRowHeight="13" x14ac:dyDescent="0"/>
  <cols>
    <col min="1" max="1" width="8.83203125" style="1803"/>
    <col min="2" max="2" width="37.5" style="1803" bestFit="1" customWidth="1"/>
    <col min="3" max="3" width="8.83203125" style="1803"/>
    <col min="4" max="4" width="10" style="1803" customWidth="1"/>
    <col min="5" max="5" width="10.5" style="1803" customWidth="1"/>
    <col min="6" max="16384" width="8.83203125" style="1803"/>
  </cols>
  <sheetData>
    <row r="2" spans="2:15">
      <c r="O2" s="1811" t="str">
        <f>B4</f>
        <v>Undiscounted mean £/person/year</v>
      </c>
    </row>
    <row r="3" spans="2:15">
      <c r="C3" s="1808"/>
      <c r="D3" s="1808"/>
      <c r="E3" s="1808"/>
    </row>
    <row r="4" spans="2:15">
      <c r="B4" s="1805" t="s">
        <v>2045</v>
      </c>
      <c r="C4" s="1811" t="s">
        <v>1155</v>
      </c>
      <c r="D4" s="1811" t="s">
        <v>2023</v>
      </c>
      <c r="E4" s="1811" t="s">
        <v>1156</v>
      </c>
    </row>
    <row r="5" spans="2:15">
      <c r="B5" s="1803" t="s">
        <v>132</v>
      </c>
      <c r="C5" s="1804">
        <f ca="1">SUMPRODUCT(Costs!AS55:BA55,$C$77:$K$77)/9</f>
        <v>194.5148757268627</v>
      </c>
      <c r="D5" s="1804">
        <f t="shared" ref="D5:D46" ca="1" si="0">E5-C5</f>
        <v>367.54754158368291</v>
      </c>
      <c r="E5" s="1804">
        <f ca="1">SUMPRODUCT(Costs!$AS$102:$BA$102,$C$77:$K$77)/9</f>
        <v>562.06241731054558</v>
      </c>
      <c r="F5" s="1913"/>
    </row>
    <row r="6" spans="2:15">
      <c r="B6" s="1803" t="s">
        <v>2121</v>
      </c>
      <c r="C6" s="1804">
        <f ca="1">SUMPRODUCT(Costs!$AS12:$BA12,$C$77:$K$77)/9</f>
        <v>0</v>
      </c>
      <c r="D6" s="1804">
        <f t="shared" ca="1" si="0"/>
        <v>0</v>
      </c>
      <c r="E6" s="1804">
        <f ca="1">SUMPRODUCT(Costs!$AS59:$BA59,$C$77:$K$77)/9</f>
        <v>0</v>
      </c>
      <c r="F6" s="1913"/>
    </row>
    <row r="7" spans="2:15">
      <c r="B7" s="1803" t="s">
        <v>1825</v>
      </c>
      <c r="C7" s="1804">
        <f ca="1">SUMPRODUCT(Costs!$AS13:$BA13,$C$77:$K$77)/9</f>
        <v>9.2679008467271817</v>
      </c>
      <c r="D7" s="1804">
        <f t="shared" ca="1" si="0"/>
        <v>33.974542718400343</v>
      </c>
      <c r="E7" s="1804">
        <f ca="1">SUMPRODUCT(Costs!$AS60:$BA60,$C$77:$K$77)/9</f>
        <v>43.242443565127523</v>
      </c>
      <c r="F7" s="1913"/>
    </row>
    <row r="8" spans="2:15">
      <c r="B8" s="1803" t="s">
        <v>1026</v>
      </c>
      <c r="C8" s="1804">
        <f ca="1">SUMPRODUCT(Costs!$AS14:$BA14,$C$77:$K$77)/9</f>
        <v>0</v>
      </c>
      <c r="D8" s="1804">
        <f t="shared" ca="1" si="0"/>
        <v>0</v>
      </c>
      <c r="E8" s="1804">
        <f ca="1">SUMPRODUCT(Costs!$AS61:$BA61,$C$77:$K$77)/9</f>
        <v>0</v>
      </c>
      <c r="F8" s="1913"/>
    </row>
    <row r="9" spans="2:15">
      <c r="B9" s="1803" t="s">
        <v>684</v>
      </c>
      <c r="C9" s="1804">
        <f ca="1">SUMPRODUCT(Costs!$AS15:$BA15,$C$77:$K$77)/9</f>
        <v>0</v>
      </c>
      <c r="D9" s="1804">
        <f t="shared" ca="1" si="0"/>
        <v>0</v>
      </c>
      <c r="E9" s="1804">
        <f ca="1">SUMPRODUCT(Costs!$AS62:$BA62,$C$77:$K$77)/9</f>
        <v>0</v>
      </c>
      <c r="F9" s="1913"/>
    </row>
    <row r="10" spans="2:15">
      <c r="B10" s="1803" t="s">
        <v>685</v>
      </c>
      <c r="C10" s="1804">
        <f ca="1">SUMPRODUCT(Costs!$AS16:$BA16,$C$77:$K$77)/9</f>
        <v>0</v>
      </c>
      <c r="D10" s="1804">
        <f t="shared" ca="1" si="0"/>
        <v>0</v>
      </c>
      <c r="E10" s="1804">
        <f ca="1">SUMPRODUCT(Costs!$AS63:$BA63,$C$77:$K$77)/9</f>
        <v>0</v>
      </c>
      <c r="F10" s="1913"/>
    </row>
    <row r="11" spans="2:15">
      <c r="B11" s="1803" t="s">
        <v>63</v>
      </c>
      <c r="C11" s="1804">
        <f ca="1">SUMPRODUCT(Costs!$AS17:$BA17,$C$77:$K$77)/9</f>
        <v>0</v>
      </c>
      <c r="D11" s="1804">
        <f t="shared" ca="1" si="0"/>
        <v>0</v>
      </c>
      <c r="E11" s="1804">
        <f ca="1">SUMPRODUCT(Costs!$AS64:$BA64,$C$77:$K$77)/9</f>
        <v>0</v>
      </c>
      <c r="F11" s="1913"/>
    </row>
    <row r="12" spans="2:15">
      <c r="B12" s="1803" t="s">
        <v>1250</v>
      </c>
      <c r="C12" s="1804">
        <f ca="1">SUMPRODUCT(Costs!$AS18:$BA18,$C$77:$K$77)/9</f>
        <v>0</v>
      </c>
      <c r="D12" s="1804">
        <f t="shared" ca="1" si="0"/>
        <v>0</v>
      </c>
      <c r="E12" s="1804">
        <f ca="1">SUMPRODUCT(Costs!$AS65:$BA65,$C$77:$K$77)/9</f>
        <v>0</v>
      </c>
      <c r="F12" s="1913"/>
    </row>
    <row r="13" spans="2:15">
      <c r="B13" s="1803" t="s">
        <v>3</v>
      </c>
      <c r="C13" s="1804">
        <f ca="1">SUMPRODUCT(Costs!$AS19:$BA19,$C$77:$K$77)/9</f>
        <v>0</v>
      </c>
      <c r="D13" s="1804">
        <f t="shared" ca="1" si="0"/>
        <v>0</v>
      </c>
      <c r="E13" s="1804">
        <f ca="1">SUMPRODUCT(Costs!$AS66:$BA66,$C$77:$K$77)/9</f>
        <v>0</v>
      </c>
      <c r="F13" s="1913"/>
    </row>
    <row r="14" spans="2:15">
      <c r="B14" s="1803" t="s">
        <v>1410</v>
      </c>
      <c r="C14" s="1804">
        <f ca="1">SUMPRODUCT(Costs!$AS20:$BA20,$C$77:$K$77)/9</f>
        <v>0</v>
      </c>
      <c r="D14" s="1804">
        <f t="shared" ca="1" si="0"/>
        <v>0</v>
      </c>
      <c r="E14" s="1804">
        <f ca="1">SUMPRODUCT(Costs!$AS67:$BA67,$C$77:$K$77)/9</f>
        <v>0</v>
      </c>
      <c r="F14" s="1913"/>
    </row>
    <row r="15" spans="2:15">
      <c r="B15" s="1803" t="s">
        <v>1023</v>
      </c>
      <c r="C15" s="1804">
        <f ca="1">SUMPRODUCT(Costs!$AS21:$BA21,$C$77:$K$77)/9</f>
        <v>0</v>
      </c>
      <c r="D15" s="1804">
        <f t="shared" ca="1" si="0"/>
        <v>0</v>
      </c>
      <c r="E15" s="1804">
        <f ca="1">SUMPRODUCT(Costs!$AS68:$BA68,$C$77:$K$77)/9</f>
        <v>0</v>
      </c>
      <c r="F15" s="1913"/>
    </row>
    <row r="16" spans="2:15">
      <c r="B16" s="1803" t="s">
        <v>1024</v>
      </c>
      <c r="C16" s="1804">
        <f ca="1">SUMPRODUCT(Costs!$AS22:$BA22,$C$77:$K$77)/9</f>
        <v>0</v>
      </c>
      <c r="D16" s="1804">
        <f t="shared" ca="1" si="0"/>
        <v>0</v>
      </c>
      <c r="E16" s="1804">
        <f ca="1">SUMPRODUCT(Costs!$AS69:$BA69,$C$77:$K$77)/9</f>
        <v>0</v>
      </c>
      <c r="F16" s="1913"/>
    </row>
    <row r="17" spans="2:6">
      <c r="B17" s="1803" t="s">
        <v>1025</v>
      </c>
      <c r="C17" s="1804">
        <f ca="1">SUMPRODUCT(Costs!$AS23:$BA23,$C$77:$K$77)/9</f>
        <v>0</v>
      </c>
      <c r="D17" s="1804">
        <f t="shared" ca="1" si="0"/>
        <v>0</v>
      </c>
      <c r="E17" s="1804">
        <f ca="1">SUMPRODUCT(Costs!$AS70:$BA70,$C$77:$K$77)/9</f>
        <v>0</v>
      </c>
      <c r="F17" s="1913"/>
    </row>
    <row r="18" spans="2:6">
      <c r="B18" s="1803" t="s">
        <v>1952</v>
      </c>
      <c r="C18" s="1804">
        <f ca="1">SUMPRODUCT(Costs!$AS24:$BA24,$C$77:$K$77)/9</f>
        <v>0</v>
      </c>
      <c r="D18" s="1804">
        <f t="shared" ca="1" si="0"/>
        <v>0</v>
      </c>
      <c r="E18" s="1804">
        <f ca="1">SUMPRODUCT(Costs!$AS71:$BA71,$C$77:$K$77)/9</f>
        <v>0</v>
      </c>
      <c r="F18" s="1913"/>
    </row>
    <row r="19" spans="2:6">
      <c r="B19" s="1803" t="s">
        <v>1044</v>
      </c>
      <c r="C19" s="1804">
        <f ca="1">SUMPRODUCT(Costs!$AS25:$BA25,$C$77:$K$77)/9</f>
        <v>0</v>
      </c>
      <c r="D19" s="1804">
        <f t="shared" ca="1" si="0"/>
        <v>0</v>
      </c>
      <c r="E19" s="1804">
        <f ca="1">SUMPRODUCT(Costs!$AS72:$BA72,$C$77:$K$77)/9</f>
        <v>0</v>
      </c>
      <c r="F19" s="1913"/>
    </row>
    <row r="20" spans="2:6">
      <c r="B20" s="1803" t="s">
        <v>1331</v>
      </c>
      <c r="C20" s="1804">
        <f ca="1">SUMPRODUCT(Costs!$AS26:$BA26,$C$77:$K$77)/9</f>
        <v>0</v>
      </c>
      <c r="D20" s="1804">
        <f t="shared" ca="1" si="0"/>
        <v>0</v>
      </c>
      <c r="E20" s="1804">
        <f ca="1">SUMPRODUCT(Costs!$AS73:$BA73,$C$77:$K$77)/9</f>
        <v>0</v>
      </c>
      <c r="F20" s="1913"/>
    </row>
    <row r="21" spans="2:6">
      <c r="B21" s="1803" t="s">
        <v>1009</v>
      </c>
      <c r="C21" s="1804">
        <f ca="1">SUMPRODUCT(Costs!$AS27:$BA27,$C$77:$K$77)/9</f>
        <v>0</v>
      </c>
      <c r="D21" s="1804">
        <f t="shared" ca="1" si="0"/>
        <v>0</v>
      </c>
      <c r="E21" s="1804">
        <f ca="1">SUMPRODUCT(Costs!$AS74:$BA74,$C$77:$K$77)/9</f>
        <v>0</v>
      </c>
      <c r="F21" s="1913"/>
    </row>
    <row r="22" spans="2:6">
      <c r="B22" s="1803" t="s">
        <v>1225</v>
      </c>
      <c r="C22" s="1804">
        <f ca="1">SUMPRODUCT(Costs!$AS28:$BA28,$C$77:$K$77)/9</f>
        <v>0</v>
      </c>
      <c r="D22" s="1804">
        <f t="shared" ca="1" si="0"/>
        <v>0</v>
      </c>
      <c r="E22" s="1804">
        <f ca="1">SUMPRODUCT(Costs!$AS75:$BA75,$C$77:$K$77)/9</f>
        <v>0</v>
      </c>
      <c r="F22" s="1913"/>
    </row>
    <row r="23" spans="2:6">
      <c r="B23" s="1803" t="s">
        <v>50</v>
      </c>
      <c r="C23" s="1804">
        <f ca="1">SUMPRODUCT(Costs!$AS29:$BA29,$C$77:$K$77)/9</f>
        <v>0</v>
      </c>
      <c r="D23" s="1804">
        <f t="shared" ca="1" si="0"/>
        <v>0</v>
      </c>
      <c r="E23" s="1804">
        <f ca="1">SUMPRODUCT(Costs!$AS76:$BA76,$C$77:$K$77)/9</f>
        <v>0</v>
      </c>
      <c r="F23" s="1913"/>
    </row>
    <row r="24" spans="2:6">
      <c r="B24" s="1803" t="s">
        <v>2137</v>
      </c>
      <c r="C24" s="1804">
        <f ca="1">SUMPRODUCT(Costs!$AS30:$BA30,$C$77:$K$77)/9</f>
        <v>0</v>
      </c>
      <c r="D24" s="1804">
        <f t="shared" ref="D24" ca="1" si="1">E24-C24</f>
        <v>0</v>
      </c>
      <c r="E24" s="1804">
        <f ca="1">SUMPRODUCT(Costs!$AS77:$BA77,$C$77:$K$77)/9</f>
        <v>0</v>
      </c>
      <c r="F24" s="1913"/>
    </row>
    <row r="25" spans="2:6">
      <c r="B25" s="1803" t="s">
        <v>640</v>
      </c>
      <c r="C25" s="1804">
        <f ca="1">SUMPRODUCT(Costs!$AS31:$BA31,$C$77:$K$77)/9</f>
        <v>0</v>
      </c>
      <c r="D25" s="1804">
        <f t="shared" ca="1" si="0"/>
        <v>0</v>
      </c>
      <c r="E25" s="1804">
        <f ca="1">SUMPRODUCT(Costs!$AS78:$BA78,$C$77:$K$77)/9</f>
        <v>0</v>
      </c>
      <c r="F25" s="1913"/>
    </row>
    <row r="26" spans="2:6">
      <c r="B26" s="1803" t="s">
        <v>1192</v>
      </c>
      <c r="C26" s="1804">
        <f ca="1">SUMPRODUCT(Costs!$AS32:$BA32,$C$77:$K$77)/9</f>
        <v>0</v>
      </c>
      <c r="D26" s="1804">
        <f t="shared" ca="1" si="0"/>
        <v>0</v>
      </c>
      <c r="E26" s="1804">
        <f ca="1">SUMPRODUCT(Costs!$AS79:$BA79,$C$77:$K$77)/9</f>
        <v>0</v>
      </c>
      <c r="F26" s="1913"/>
    </row>
    <row r="27" spans="2:6">
      <c r="B27" s="1803" t="s">
        <v>2128</v>
      </c>
      <c r="C27" s="1804">
        <f ca="1">SUMPRODUCT(Costs!$AS33:$BA33,$C$77:$K$77)/9</f>
        <v>0</v>
      </c>
      <c r="D27" s="1804">
        <f t="shared" ca="1" si="0"/>
        <v>0</v>
      </c>
      <c r="E27" s="1804">
        <f ca="1">SUMPRODUCT(Costs!$AS80:$BA80,$C$77:$K$77)/9</f>
        <v>0</v>
      </c>
      <c r="F27" s="1913"/>
    </row>
    <row r="28" spans="2:6">
      <c r="B28" s="1907" t="s">
        <v>2122</v>
      </c>
      <c r="C28" s="1804">
        <f ca="1">SUMPRODUCT(Costs!$AS34:$BA34,$C$77:$K$77)/9</f>
        <v>0</v>
      </c>
      <c r="D28" s="1804">
        <f t="shared" ca="1" si="0"/>
        <v>0</v>
      </c>
      <c r="E28" s="1804">
        <f ca="1">SUMPRODUCT(Costs!$AS81:$BA81,$C$77:$K$77)/9</f>
        <v>0</v>
      </c>
      <c r="F28" s="1913"/>
    </row>
    <row r="29" spans="2:6">
      <c r="B29" s="1803" t="s">
        <v>1411</v>
      </c>
      <c r="C29" s="1804">
        <f ca="1">SUMPRODUCT(Costs!$AS35:$BA35,$C$77:$K$77)/9</f>
        <v>0</v>
      </c>
      <c r="D29" s="1804">
        <f t="shared" ca="1" si="0"/>
        <v>0</v>
      </c>
      <c r="E29" s="1804">
        <f ca="1">SUMPRODUCT(Costs!$AS82:$BA82,$C$77:$K$77)/9</f>
        <v>0</v>
      </c>
      <c r="F29" s="1913"/>
    </row>
    <row r="30" spans="2:6">
      <c r="B30" s="1803" t="s">
        <v>972</v>
      </c>
      <c r="C30" s="1804">
        <f ca="1">SUMPRODUCT(Costs!$AS36:$BA36,$C$77:$K$77)/9</f>
        <v>0</v>
      </c>
      <c r="D30" s="1804">
        <f t="shared" ca="1" si="0"/>
        <v>0</v>
      </c>
      <c r="E30" s="1804">
        <f ca="1">SUMPRODUCT(Costs!$AS83:$BA83,$C$77:$K$77)/9</f>
        <v>0</v>
      </c>
      <c r="F30" s="1913"/>
    </row>
    <row r="31" spans="2:6">
      <c r="B31" s="1803" t="s">
        <v>1412</v>
      </c>
      <c r="C31" s="1804">
        <f ca="1">SUMPRODUCT(Costs!$AS37:$BA37,$C$77:$K$77)/9</f>
        <v>0</v>
      </c>
      <c r="D31" s="1804">
        <f t="shared" ca="1" si="0"/>
        <v>0</v>
      </c>
      <c r="E31" s="1804">
        <f ca="1">SUMPRODUCT(Costs!$AS84:$BA84,$C$77:$K$77)/9</f>
        <v>0</v>
      </c>
      <c r="F31" s="1913"/>
    </row>
    <row r="32" spans="2:6">
      <c r="B32" s="1803" t="s">
        <v>723</v>
      </c>
      <c r="C32" s="1804">
        <f ca="1">SUMPRODUCT(Costs!$AS38:$BA38,$C$77:$K$77)/9</f>
        <v>0</v>
      </c>
      <c r="D32" s="1804">
        <f t="shared" ca="1" si="0"/>
        <v>0</v>
      </c>
      <c r="E32" s="1804">
        <f ca="1">SUMPRODUCT(Costs!$AS85:$BA85,$C$77:$K$77)/9</f>
        <v>0</v>
      </c>
      <c r="F32" s="1913"/>
    </row>
    <row r="33" spans="2:6">
      <c r="B33" s="1803" t="s">
        <v>724</v>
      </c>
      <c r="C33" s="1804">
        <f ca="1">SUMPRODUCT(Costs!$AS39:$BA39,$C$77:$K$77)/9</f>
        <v>0</v>
      </c>
      <c r="D33" s="1804">
        <f t="shared" ca="1" si="0"/>
        <v>0</v>
      </c>
      <c r="E33" s="1804">
        <f ca="1">SUMPRODUCT(Costs!$AS86:$BA86,$C$77:$K$77)/9</f>
        <v>0</v>
      </c>
      <c r="F33" s="1913"/>
    </row>
    <row r="34" spans="2:6">
      <c r="B34" s="1803" t="s">
        <v>425</v>
      </c>
      <c r="C34" s="1804">
        <f ca="1">SUMPRODUCT(Costs!$AS40:$BA40,$C$77:$K$77)/9</f>
        <v>0</v>
      </c>
      <c r="D34" s="1804">
        <f t="shared" ca="1" si="0"/>
        <v>0</v>
      </c>
      <c r="E34" s="1804">
        <f ca="1">SUMPRODUCT(Costs!$AS87:$BA87,$C$77:$K$77)/9</f>
        <v>0</v>
      </c>
      <c r="F34" s="1913"/>
    </row>
    <row r="35" spans="2:6">
      <c r="B35" s="1803" t="s">
        <v>996</v>
      </c>
      <c r="C35" s="1804">
        <f ca="1">SUMPRODUCT(Costs!$AS41:$BA41,$C$77:$K$77)/9</f>
        <v>0</v>
      </c>
      <c r="D35" s="1804">
        <f t="shared" ca="1" si="0"/>
        <v>0</v>
      </c>
      <c r="E35" s="1804">
        <f ca="1">SUMPRODUCT(Costs!$AS88:$BA88,$C$77:$K$77)/9</f>
        <v>0</v>
      </c>
      <c r="F35" s="1913"/>
    </row>
    <row r="36" spans="2:6">
      <c r="B36" s="1803" t="s">
        <v>997</v>
      </c>
      <c r="C36" s="1804">
        <f ca="1">SUMPRODUCT(Costs!$AS42:$BA42,$C$77:$K$77)/9</f>
        <v>0</v>
      </c>
      <c r="D36" s="1804">
        <f t="shared" ca="1" si="0"/>
        <v>0</v>
      </c>
      <c r="E36" s="1804">
        <f ca="1">SUMPRODUCT(Costs!$AS89:$BA89,$C$77:$K$77)/9</f>
        <v>0</v>
      </c>
      <c r="F36" s="1913"/>
    </row>
    <row r="37" spans="2:6">
      <c r="B37" s="1803" t="s">
        <v>726</v>
      </c>
      <c r="C37" s="1804">
        <f ca="1">SUMPRODUCT(Costs!$AS43:$BA43,$C$77:$K$77)/9</f>
        <v>0</v>
      </c>
      <c r="D37" s="1804">
        <f t="shared" ca="1" si="0"/>
        <v>0</v>
      </c>
      <c r="E37" s="1804">
        <f ca="1">SUMPRODUCT(Costs!$AS90:$BA90,$C$77:$K$77)/9</f>
        <v>0</v>
      </c>
      <c r="F37" s="1913"/>
    </row>
    <row r="38" spans="2:6">
      <c r="B38" s="1803" t="s">
        <v>1408</v>
      </c>
      <c r="C38" s="1804">
        <f ca="1">SUMPRODUCT(Costs!$AS44:$BA44,$C$77:$K$77)/9</f>
        <v>0</v>
      </c>
      <c r="D38" s="1804">
        <f t="shared" ca="1" si="0"/>
        <v>0</v>
      </c>
      <c r="E38" s="1804">
        <f ca="1">SUMPRODUCT(Costs!$AS91:$BA91,$C$77:$K$77)/9</f>
        <v>0</v>
      </c>
      <c r="F38" s="1913"/>
    </row>
    <row r="39" spans="2:6">
      <c r="B39" s="1803" t="s">
        <v>729</v>
      </c>
      <c r="C39" s="1804">
        <f ca="1">SUMPRODUCT(Costs!$AS45:$BA45,$C$77:$K$77)/9</f>
        <v>0</v>
      </c>
      <c r="D39" s="1804">
        <f t="shared" ca="1" si="0"/>
        <v>0</v>
      </c>
      <c r="E39" s="1804">
        <f ca="1">SUMPRODUCT(Costs!$AS92:$BA92,$C$77:$K$77)/9</f>
        <v>0</v>
      </c>
      <c r="F39" s="1913"/>
    </row>
    <row r="40" spans="2:6">
      <c r="B40" s="1803" t="s">
        <v>1409</v>
      </c>
      <c r="C40" s="1804">
        <f ca="1">SUMPRODUCT(Costs!$AS46:$BA46,$C$77:$K$77)/9</f>
        <v>0</v>
      </c>
      <c r="D40" s="1804">
        <f t="shared" ca="1" si="0"/>
        <v>0</v>
      </c>
      <c r="E40" s="1804">
        <f ca="1">SUMPRODUCT(Costs!$AS93:$BA93,$C$77:$K$77)/9</f>
        <v>0</v>
      </c>
      <c r="F40" s="1913"/>
    </row>
    <row r="41" spans="2:6">
      <c r="B41" s="1803" t="s">
        <v>423</v>
      </c>
      <c r="C41" s="1804">
        <f ca="1">SUMPRODUCT(Costs!$AS48:$BA48,$C$77:$K$77)/9</f>
        <v>0</v>
      </c>
      <c r="D41" s="1804">
        <f t="shared" ca="1" si="0"/>
        <v>0</v>
      </c>
      <c r="E41" s="1804">
        <f ca="1">SUMPRODUCT(Costs!$AS95:$BA95,$C$77:$K$77)/9</f>
        <v>0</v>
      </c>
      <c r="F41" s="1913"/>
    </row>
    <row r="42" spans="2:6">
      <c r="B42" s="1803" t="s">
        <v>146</v>
      </c>
      <c r="C42" s="1804">
        <f ca="1">SUMPRODUCT(Costs!$AS49:$BA49,$C$77:$K$77)/9</f>
        <v>0</v>
      </c>
      <c r="D42" s="1804">
        <f t="shared" ca="1" si="0"/>
        <v>0</v>
      </c>
      <c r="E42" s="1804">
        <f ca="1">SUMPRODUCT(Costs!$AS96:$BA96,$C$77:$K$77)/9</f>
        <v>0</v>
      </c>
      <c r="F42" s="1913"/>
    </row>
    <row r="43" spans="2:6">
      <c r="B43" s="1803" t="s">
        <v>2123</v>
      </c>
      <c r="C43" s="1804">
        <f ca="1">SUMPRODUCT(Costs!$AS50:$BA50,$C$77:$K$77)/9</f>
        <v>188.1860237724118</v>
      </c>
      <c r="D43" s="1804">
        <f t="shared" ca="1" si="0"/>
        <v>339.29210377550601</v>
      </c>
      <c r="E43" s="1804">
        <f ca="1">SUMPRODUCT(Costs!$AS97:$BA97,$C$77:$K$77)/9</f>
        <v>527.47812754791778</v>
      </c>
      <c r="F43" s="1913"/>
    </row>
    <row r="44" spans="2:6">
      <c r="B44" s="1803" t="s">
        <v>2124</v>
      </c>
      <c r="C44" s="1804">
        <f ca="1">SUMPRODUCT(Costs!$AS51:$BA51,$C$77:$K$77)/9</f>
        <v>5.1238599877316516E-4</v>
      </c>
      <c r="D44" s="1804">
        <f t="shared" ca="1" si="0"/>
        <v>0</v>
      </c>
      <c r="E44" s="1804">
        <f ca="1">SUMPRODUCT(Costs!$AS98:$BA98,$C$77:$K$77)/9</f>
        <v>5.1238599877316516E-4</v>
      </c>
      <c r="F44" s="1913"/>
    </row>
    <row r="45" spans="2:6">
      <c r="B45" s="1803" t="s">
        <v>2125</v>
      </c>
      <c r="C45" s="1804">
        <f ca="1">SUMPRODUCT(Costs!$AS52:$BA52,$C$77:$K$77)/9</f>
        <v>-2.946889994022635</v>
      </c>
      <c r="D45" s="1804">
        <f t="shared" ca="1" si="0"/>
        <v>-5.7976430795842173</v>
      </c>
      <c r="E45" s="1804">
        <f ca="1">SUMPRODUCT(Costs!$AS99:$BA99,$C$77:$K$77)/9</f>
        <v>-8.7445330736068527</v>
      </c>
      <c r="F45" s="1913"/>
    </row>
    <row r="46" spans="2:6">
      <c r="B46" s="1803" t="s">
        <v>675</v>
      </c>
      <c r="C46" s="1804">
        <f ca="1">SUMPRODUCT(Costs!$AS53:$BA53,$C$77:$K$77)/9</f>
        <v>0</v>
      </c>
      <c r="D46" s="1804">
        <f t="shared" ca="1" si="0"/>
        <v>0</v>
      </c>
      <c r="E46" s="1804">
        <f ca="1">SUMPRODUCT(Costs!$AS100:$BA100,$C$77:$K$77)/9</f>
        <v>0</v>
      </c>
      <c r="F46" s="1913"/>
    </row>
    <row r="51" spans="2:11">
      <c r="B51" s="1805" t="s">
        <v>2046</v>
      </c>
      <c r="C51" s="1817">
        <v>2010</v>
      </c>
      <c r="D51" s="1817">
        <v>2015</v>
      </c>
      <c r="E51" s="1817">
        <v>2020</v>
      </c>
      <c r="F51" s="1817">
        <v>2025</v>
      </c>
      <c r="G51" s="1817">
        <v>2030</v>
      </c>
      <c r="H51" s="1817">
        <v>2035</v>
      </c>
      <c r="I51" s="1817">
        <v>2040</v>
      </c>
      <c r="J51" s="1817">
        <v>2045</v>
      </c>
      <c r="K51" s="1817">
        <v>2050</v>
      </c>
    </row>
    <row r="52" spans="2:11">
      <c r="B52" s="1803" t="s">
        <v>2027</v>
      </c>
      <c r="C52" s="1808">
        <f ca="1">Costs!F55*C77</f>
        <v>0</v>
      </c>
      <c r="D52" s="1808">
        <f ca="1">Costs!G55*D77</f>
        <v>1.725852144848437</v>
      </c>
      <c r="E52" s="1808">
        <f ca="1">Costs!H55*E77</f>
        <v>2.2079926025032153</v>
      </c>
      <c r="F52" s="1808">
        <f ca="1">Costs!I55*F77</f>
        <v>5.7525096318415203</v>
      </c>
      <c r="G52" s="1808">
        <f ca="1">Costs!J55*G77</f>
        <v>11.81240595246793</v>
      </c>
      <c r="H52" s="1808">
        <f ca="1">Costs!K55*H77</f>
        <v>15.176521724995142</v>
      </c>
      <c r="I52" s="1808">
        <f ca="1">Costs!L55*I77</f>
        <v>14.852861360611918</v>
      </c>
      <c r="J52" s="1808">
        <f ca="1">Costs!M55*J77</f>
        <v>14.556577590724816</v>
      </c>
      <c r="K52" s="1808">
        <f ca="1">Costs!N55*K77</f>
        <v>14.350885035637058</v>
      </c>
    </row>
    <row r="53" spans="2:11">
      <c r="B53" s="1803" t="s">
        <v>2028</v>
      </c>
      <c r="C53" s="1808">
        <f ca="1">Costs!F102*C77</f>
        <v>0</v>
      </c>
      <c r="D53" s="1808">
        <f ca="1">Costs!G102*D77</f>
        <v>7.7025798582236424</v>
      </c>
      <c r="E53" s="1808">
        <f ca="1">Costs!H102*E77</f>
        <v>11.048140762895718</v>
      </c>
      <c r="F53" s="1808">
        <f ca="1">Costs!I102*F77</f>
        <v>27.034657779374076</v>
      </c>
      <c r="G53" s="1808">
        <f ca="1">Costs!J102*G77</f>
        <v>55.513918778747311</v>
      </c>
      <c r="H53" s="1808">
        <f ca="1">Costs!K102*H77</f>
        <v>71.324012887421276</v>
      </c>
      <c r="I53" s="1808">
        <f ca="1">Costs!L102*I77</f>
        <v>69.802929439005226</v>
      </c>
      <c r="J53" s="1808">
        <f ca="1">Costs!M102*J77</f>
        <v>68.41050581225565</v>
      </c>
      <c r="K53" s="1808">
        <f ca="1">Costs!N102*K77</f>
        <v>67.906649031985083</v>
      </c>
    </row>
    <row r="54" spans="2:11">
      <c r="B54" s="1803" t="s">
        <v>2029</v>
      </c>
      <c r="C54" s="1808">
        <f ca="1">Costs!S55*C77</f>
        <v>0</v>
      </c>
      <c r="D54" s="1808">
        <f ca="1">Costs!T55*D77</f>
        <v>6.3753506669611285E-2</v>
      </c>
      <c r="E54" s="1808">
        <f ca="1">Costs!U55*E77</f>
        <v>8.6058726860671855E-2</v>
      </c>
      <c r="F54" s="1808">
        <f ca="1">Costs!V55*F77</f>
        <v>0.21762356270931876</v>
      </c>
      <c r="G54" s="1808">
        <f ca="1">Costs!W55*G77</f>
        <v>0.44687589105729209</v>
      </c>
      <c r="H54" s="1808">
        <f ca="1">Costs!X55*H77</f>
        <v>0.57414397171057341</v>
      </c>
      <c r="I54" s="1808">
        <f ca="1">Costs!Y55*I77</f>
        <v>0.56189955560129945</v>
      </c>
      <c r="J54" s="1808">
        <f ca="1">Costs!Z55*J77</f>
        <v>0.55069082520320056</v>
      </c>
      <c r="K54" s="1808">
        <f ca="1">Costs!AA55*K77</f>
        <v>0.54502545282002224</v>
      </c>
    </row>
    <row r="55" spans="2:11">
      <c r="B55" s="1803" t="s">
        <v>2030</v>
      </c>
      <c r="C55" s="1808">
        <f ca="1">Costs!S102*C77</f>
        <v>0</v>
      </c>
      <c r="D55" s="1808">
        <f ca="1">Costs!T102*D77</f>
        <v>0.23840548938119568</v>
      </c>
      <c r="E55" s="1808">
        <f ca="1">Costs!U102*E77</f>
        <v>0.3117767332238337</v>
      </c>
      <c r="F55" s="1808">
        <f ca="1">Costs!V102*F77</f>
        <v>0.80235640823075216</v>
      </c>
      <c r="G55" s="1808">
        <f ca="1">Costs!W102*G77</f>
        <v>1.6475869175644755</v>
      </c>
      <c r="H55" s="1808">
        <f ca="1">Costs!X102*H77</f>
        <v>2.1168116596103688</v>
      </c>
      <c r="I55" s="1808">
        <f ca="1">Costs!Y102*I77</f>
        <v>2.0716677165188653</v>
      </c>
      <c r="J55" s="1808">
        <f ca="1">Costs!Z102*J77</f>
        <v>2.0303422435274223</v>
      </c>
      <c r="K55" s="1808">
        <f ca="1">Costs!AA102*K77</f>
        <v>1.9970640081465332</v>
      </c>
    </row>
    <row r="56" spans="2:11">
      <c r="B56" s="1803" t="s">
        <v>2031</v>
      </c>
      <c r="C56" s="1808">
        <f ca="1">Costs!AF55*C77</f>
        <v>442.62078855995543</v>
      </c>
      <c r="D56" s="1808">
        <f ca="1">Costs!AG55*D77</f>
        <v>342.03141362109761</v>
      </c>
      <c r="E56" s="1808">
        <f ca="1">Costs!AH55*E77</f>
        <v>258.31851687173179</v>
      </c>
      <c r="F56" s="1808">
        <f ca="1">Costs!AI55*F77</f>
        <v>195.60790945324774</v>
      </c>
      <c r="G56" s="1808">
        <f ca="1">Costs!AJ55*G77</f>
        <v>144.9682459640218</v>
      </c>
      <c r="H56" s="1808">
        <f ca="1">Costs!AK55*H77</f>
        <v>110.44074139307186</v>
      </c>
      <c r="I56" s="1808">
        <f ca="1">Costs!AL55*I77</f>
        <v>84.524463235146499</v>
      </c>
      <c r="J56" s="1808">
        <f ca="1">Costs!AM55*J77</f>
        <v>64.971012572574821</v>
      </c>
      <c r="K56" s="1808">
        <f ca="1">Costs!AN55*K77</f>
        <v>23.669112334654766</v>
      </c>
    </row>
    <row r="57" spans="2:11">
      <c r="B57" s="1803" t="s">
        <v>2032</v>
      </c>
      <c r="C57" s="1808">
        <f ca="1">Costs!AF102*C77</f>
        <v>1244.8047687448793</v>
      </c>
      <c r="D57" s="1808">
        <f ca="1">Costs!AG102*D77</f>
        <v>958.50108091442337</v>
      </c>
      <c r="E57" s="1808">
        <f ca="1">Costs!AH102*E77</f>
        <v>723.30700279677956</v>
      </c>
      <c r="F57" s="1808">
        <f ca="1">Costs!AI102*F77</f>
        <v>547.31854069286976</v>
      </c>
      <c r="G57" s="1808">
        <f ca="1">Costs!AJ102*G77</f>
        <v>406.08732282662567</v>
      </c>
      <c r="H57" s="1808">
        <f ca="1">Costs!AK102*H77</f>
        <v>309.17966554597496</v>
      </c>
      <c r="I57" s="1808">
        <f ca="1">Costs!AL102*I77</f>
        <v>236.44372856600054</v>
      </c>
      <c r="J57" s="1808">
        <f ca="1">Costs!AM102*J77</f>
        <v>181.5684800632348</v>
      </c>
      <c r="K57" s="1808">
        <f ca="1">Costs!AN102*K77</f>
        <v>61.391760118010787</v>
      </c>
    </row>
    <row r="58" spans="2:11">
      <c r="B58" s="1803" t="s">
        <v>2033</v>
      </c>
      <c r="C58" s="1808">
        <f ca="1">Costs!AS55*C77</f>
        <v>442.62078855995543</v>
      </c>
      <c r="D58" s="1808">
        <f ca="1">Costs!AT55*D77</f>
        <v>343.82101927261567</v>
      </c>
      <c r="E58" s="1808">
        <f ca="1">Costs!AU55*E77</f>
        <v>260.61256820109566</v>
      </c>
      <c r="F58" s="1808">
        <f ca="1">Costs!AV55*F77</f>
        <v>201.57804264779858</v>
      </c>
      <c r="G58" s="1808">
        <f ca="1">Costs!AW55*G77</f>
        <v>157.22752780754703</v>
      </c>
      <c r="H58" s="1808">
        <f ca="1">Costs!AX55*H77</f>
        <v>126.19140708977758</v>
      </c>
      <c r="I58" s="1808">
        <f ca="1">Costs!AY55*I77</f>
        <v>99.939224151359724</v>
      </c>
      <c r="J58" s="1808">
        <f ca="1">Costs!AZ55*J77</f>
        <v>80.07828098850284</v>
      </c>
      <c r="K58" s="1808">
        <f ca="1">Costs!BA55*K77</f>
        <v>38.565022823111853</v>
      </c>
    </row>
    <row r="59" spans="2:11">
      <c r="B59" s="1803" t="s">
        <v>2034</v>
      </c>
      <c r="C59" s="1808">
        <f ca="1">Costs!AS102*C77</f>
        <v>1244.8047687448793</v>
      </c>
      <c r="D59" s="1808">
        <f ca="1">Costs!AT102*D77</f>
        <v>966.44206626202822</v>
      </c>
      <c r="E59" s="1808">
        <f ca="1">Costs!AU102*E77</f>
        <v>734.66692029289902</v>
      </c>
      <c r="F59" s="1808">
        <f ca="1">Costs!AV102*F77</f>
        <v>575.1555548804746</v>
      </c>
      <c r="G59" s="1808">
        <f ca="1">Costs!AW102*G77</f>
        <v>463.24882852293746</v>
      </c>
      <c r="H59" s="1808">
        <f ca="1">Costs!AX102*H77</f>
        <v>382.62049009300659</v>
      </c>
      <c r="I59" s="1808">
        <f ca="1">Costs!AY102*I77</f>
        <v>308.31832572152462</v>
      </c>
      <c r="J59" s="1808">
        <f ca="1">Costs!AZ102*J77</f>
        <v>252.00932811901788</v>
      </c>
      <c r="K59" s="1808">
        <f ca="1">Costs!BA102*K77</f>
        <v>131.29547315814241</v>
      </c>
    </row>
    <row r="74" spans="2:11">
      <c r="C74" s="1817">
        <v>2010</v>
      </c>
      <c r="D74" s="1817">
        <v>2015</v>
      </c>
      <c r="E74" s="1817">
        <v>2020</v>
      </c>
      <c r="F74" s="1817">
        <v>2025</v>
      </c>
      <c r="G74" s="1817">
        <v>2030</v>
      </c>
      <c r="H74" s="1817">
        <v>2035</v>
      </c>
      <c r="I74" s="1817">
        <v>2040</v>
      </c>
      <c r="J74" s="1817">
        <v>2045</v>
      </c>
      <c r="K74" s="1817">
        <v>2050</v>
      </c>
    </row>
    <row r="75" spans="2:11">
      <c r="B75" s="1803" t="s">
        <v>2047</v>
      </c>
      <c r="C75" s="1803">
        <f>'Global assumptions'!C6</f>
        <v>62222403</v>
      </c>
      <c r="D75" s="1803">
        <f>'Global assumptions'!C7</f>
        <v>64344156</v>
      </c>
      <c r="E75" s="1803">
        <f>'Global assumptions'!C8</f>
        <v>66521962</v>
      </c>
      <c r="F75" s="1803">
        <f>'Global assumptions'!C9</f>
        <v>68647528</v>
      </c>
      <c r="G75" s="1803">
        <f>'Global assumptions'!C10</f>
        <v>70575666</v>
      </c>
      <c r="H75" s="1803">
        <f>'Global assumptions'!C11</f>
        <v>72278230.000000015</v>
      </c>
      <c r="I75" s="1803">
        <f>'Global assumptions'!C12</f>
        <v>73853253</v>
      </c>
      <c r="J75" s="1803">
        <f>'Global assumptions'!C13</f>
        <v>75356458</v>
      </c>
      <c r="K75" s="1803">
        <f>'Global assumptions'!C14</f>
        <v>76789483</v>
      </c>
    </row>
    <row r="76" spans="2:11">
      <c r="B76" s="1803" t="str">
        <f>"Conversion factor £/person/year for each "&amp;Preferences.moneyunits</f>
        <v>Conversion factor £/person/year for each £m</v>
      </c>
      <c r="C76" s="1818">
        <f t="shared" ref="C76:K76" si="2">GBP*C75</f>
        <v>62.222403</v>
      </c>
      <c r="D76" s="1818">
        <f t="shared" si="2"/>
        <v>64.344155999999998</v>
      </c>
      <c r="E76" s="1818">
        <f t="shared" si="2"/>
        <v>66.521962000000002</v>
      </c>
      <c r="F76" s="1818">
        <f t="shared" si="2"/>
        <v>68.647527999999994</v>
      </c>
      <c r="G76" s="1818">
        <f t="shared" si="2"/>
        <v>70.575665999999998</v>
      </c>
      <c r="H76" s="1818">
        <f t="shared" si="2"/>
        <v>72.278230000000008</v>
      </c>
      <c r="I76" s="1818">
        <f t="shared" si="2"/>
        <v>73.853252999999995</v>
      </c>
      <c r="J76" s="1818">
        <f t="shared" si="2"/>
        <v>75.356458000000003</v>
      </c>
      <c r="K76" s="1818">
        <f t="shared" si="2"/>
        <v>76.78948299999999</v>
      </c>
    </row>
    <row r="77" spans="2:11">
      <c r="B77" s="1803" t="str">
        <f>"Conversion factor "&amp;Preferences.moneyunits&amp;" per £/person/year"</f>
        <v>Conversion factor £m per £/person/year</v>
      </c>
      <c r="C77" s="1819">
        <f>1/C76</f>
        <v>1.6071381878324437E-2</v>
      </c>
      <c r="D77" s="1819">
        <f t="shared" ref="D77:K77" si="3">1/D76</f>
        <v>1.5541426947926708E-2</v>
      </c>
      <c r="E77" s="1819">
        <f t="shared" si="3"/>
        <v>1.5032629374341064E-2</v>
      </c>
      <c r="F77" s="1819">
        <f t="shared" si="3"/>
        <v>1.4567166934255813E-2</v>
      </c>
      <c r="G77" s="1819">
        <f t="shared" si="3"/>
        <v>1.4169189703431208E-2</v>
      </c>
      <c r="H77" s="1819">
        <f t="shared" si="3"/>
        <v>1.3835424580817763E-2</v>
      </c>
      <c r="I77" s="1819">
        <f t="shared" si="3"/>
        <v>1.3540364972142799E-2</v>
      </c>
      <c r="J77" s="1819">
        <f t="shared" si="3"/>
        <v>1.3270262782255503E-2</v>
      </c>
      <c r="K77" s="1819">
        <f t="shared" si="3"/>
        <v>1.3022616651814157E-2</v>
      </c>
    </row>
  </sheetData>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5" enableFormatConditionsCalculation="0"/>
  <dimension ref="C1:CS103"/>
  <sheetViews>
    <sheetView topLeftCell="A21" workbookViewId="0">
      <selection activeCell="D49" sqref="D49"/>
    </sheetView>
  </sheetViews>
  <sheetFormatPr baseColWidth="10" defaultColWidth="8.83203125" defaultRowHeight="13" x14ac:dyDescent="0"/>
  <cols>
    <col min="1" max="2" width="8.83203125" style="1763"/>
    <col min="3" max="3" width="5.5" style="1763" bestFit="1" customWidth="1"/>
    <col min="4" max="4" width="39" style="1763" customWidth="1"/>
    <col min="5" max="5" width="2" style="1763" customWidth="1"/>
    <col min="6" max="6" width="19.33203125" style="1763" customWidth="1"/>
    <col min="7" max="7" width="14.5" style="1763" customWidth="1"/>
    <col min="8" max="14" width="15.1640625" style="1763" bestFit="1" customWidth="1"/>
    <col min="15" max="15" width="15.1640625" style="1956" customWidth="1"/>
    <col min="16" max="16" width="16.5" style="1763" bestFit="1" customWidth="1"/>
    <col min="17" max="18" width="2.83203125" style="1763" customWidth="1"/>
    <col min="19" max="19" width="14.5" style="1763" customWidth="1"/>
    <col min="20" max="27" width="9.33203125" style="1763" bestFit="1" customWidth="1"/>
    <col min="28" max="28" width="9.33203125" style="1956" customWidth="1"/>
    <col min="29" max="29" width="9.5" style="1763" bestFit="1" customWidth="1"/>
    <col min="30" max="31" width="2.83203125" style="1763" customWidth="1"/>
    <col min="32" max="40" width="9.33203125" style="1763" bestFit="1" customWidth="1"/>
    <col min="41" max="41" width="9.33203125" style="1956" customWidth="1"/>
    <col min="42" max="42" width="9.5" style="1763" bestFit="1" customWidth="1"/>
    <col min="43" max="44" width="3" style="1763" customWidth="1"/>
    <col min="45" max="53" width="9.33203125" style="1763" bestFit="1" customWidth="1"/>
    <col min="54" max="54" width="9.33203125" style="1956" customWidth="1"/>
    <col min="55" max="55" width="10.5" style="1763" bestFit="1" customWidth="1"/>
    <col min="56" max="57" width="3" style="1914" customWidth="1"/>
    <col min="58" max="59" width="9.1640625" style="1914" customWidth="1"/>
    <col min="60" max="61" width="3" style="1914" customWidth="1"/>
    <col min="62" max="70" width="8.83203125" style="1763"/>
    <col min="71" max="71" width="8.83203125" style="1956"/>
    <col min="72" max="73" width="3" style="1914" customWidth="1"/>
    <col min="74" max="74" width="8.83203125" style="1763"/>
    <col min="75" max="75" width="9.1640625" style="1763" customWidth="1"/>
    <col min="76" max="82" width="8.83203125" style="1763"/>
    <col min="83" max="83" width="8.83203125" style="1956"/>
    <col min="84" max="84" width="8.83203125" style="1763"/>
    <col min="85" max="86" width="3" style="1914" customWidth="1"/>
    <col min="87" max="95" width="8.83203125" style="1763"/>
    <col min="96" max="96" width="8.83203125" style="1956"/>
    <col min="97" max="97" width="16.5" style="1763" bestFit="1" customWidth="1"/>
    <col min="98" max="16384" width="8.83203125" style="1763"/>
  </cols>
  <sheetData>
    <row r="1" spans="3:97">
      <c r="G1" s="1918" t="s">
        <v>2150</v>
      </c>
      <c r="H1" s="1402"/>
      <c r="I1" s="1402"/>
    </row>
    <row r="2" spans="3:97">
      <c r="D2" s="1877" t="s">
        <v>2148</v>
      </c>
      <c r="F2" s="1876" t="s">
        <v>2138</v>
      </c>
      <c r="G2" s="1876" t="s">
        <v>2139</v>
      </c>
      <c r="H2" s="1909" t="s">
        <v>2140</v>
      </c>
    </row>
    <row r="3" spans="3:97">
      <c r="D3" s="1763" t="s">
        <v>1155</v>
      </c>
      <c r="F3" s="1131">
        <f ca="1">BC55</f>
        <v>296951.48288617219</v>
      </c>
      <c r="G3" s="1915">
        <f>4559320.98205634*(MGBP)</f>
        <v>4559320.9820563402</v>
      </c>
      <c r="H3" s="1915">
        <f ca="1">F3-G3</f>
        <v>-4262369.4991701683</v>
      </c>
      <c r="I3" s="1763" t="str">
        <f>Preferences.moneyunits</f>
        <v>£m</v>
      </c>
      <c r="J3" s="1909" t="s">
        <v>2141</v>
      </c>
      <c r="K3" s="1916">
        <f ca="1">F3-G4</f>
        <v>-7350651.7493583579</v>
      </c>
      <c r="L3" s="1909" t="str">
        <f>Preferences.moneyunits</f>
        <v>£m</v>
      </c>
    </row>
    <row r="4" spans="3:97">
      <c r="D4" s="1763" t="s">
        <v>1156</v>
      </c>
      <c r="F4" s="1131">
        <f ca="1">BC102</f>
        <v>854083.81075861724</v>
      </c>
      <c r="G4" s="1915">
        <f>7647603.23224453*(MGBP)</f>
        <v>7647603.2322445298</v>
      </c>
      <c r="H4" s="1915">
        <f ca="1">F4-G4</f>
        <v>-6793519.4214859121</v>
      </c>
      <c r="I4" s="1763" t="str">
        <f>Preferences.moneyunits</f>
        <v>£m</v>
      </c>
      <c r="J4" s="1909" t="s">
        <v>2142</v>
      </c>
      <c r="K4" s="1916">
        <f ca="1">F4-G3</f>
        <v>-3705237.171297723</v>
      </c>
      <c r="L4" s="1909" t="str">
        <f>Preferences.moneyunits</f>
        <v>£m</v>
      </c>
    </row>
    <row r="6" spans="3:97" s="1914" customFormat="1">
      <c r="D6" s="1877" t="s">
        <v>2149</v>
      </c>
      <c r="F6" s="1876" t="s">
        <v>2138</v>
      </c>
      <c r="G6" s="1876" t="s">
        <v>2139</v>
      </c>
      <c r="H6" s="1914" t="s">
        <v>2140</v>
      </c>
      <c r="O6" s="1956"/>
      <c r="AB6" s="1956"/>
      <c r="AO6" s="1956"/>
      <c r="BB6" s="1956"/>
      <c r="BS6" s="1956"/>
      <c r="CE6" s="1956"/>
      <c r="CR6" s="1956"/>
    </row>
    <row r="7" spans="3:97" s="1914" customFormat="1">
      <c r="D7" s="1914" t="s">
        <v>1155</v>
      </c>
      <c r="F7" s="1131">
        <f ca="1">CS55</f>
        <v>304409.86497959727</v>
      </c>
      <c r="G7" s="1915">
        <f>6520593.001061*(MGBP)</f>
        <v>6520593.0010609999</v>
      </c>
      <c r="H7" s="1915">
        <f ca="1">F7-G7</f>
        <v>-6216183.1360814031</v>
      </c>
      <c r="I7" s="1914" t="str">
        <f>Preferences.moneyunits</f>
        <v>£m</v>
      </c>
      <c r="J7" s="1914" t="s">
        <v>2141</v>
      </c>
      <c r="K7" s="1916">
        <f ca="1">F7-G8</f>
        <v>-10249666.986511404</v>
      </c>
      <c r="L7" s="1914" t="str">
        <f>Preferences.moneyunits</f>
        <v>£m</v>
      </c>
      <c r="O7" s="1956"/>
      <c r="AB7" s="1956"/>
      <c r="AO7" s="1956"/>
      <c r="BB7" s="1956"/>
      <c r="BS7" s="1956"/>
      <c r="CE7" s="1956"/>
      <c r="CR7" s="1956"/>
    </row>
    <row r="8" spans="3:97" s="1914" customFormat="1">
      <c r="D8" s="1914" t="s">
        <v>1156</v>
      </c>
      <c r="F8" s="1131">
        <f ca="1">CS102</f>
        <v>889144.57319611451</v>
      </c>
      <c r="G8" s="1915">
        <f>10554076.851491*(MGBP)</f>
        <v>10554076.851491001</v>
      </c>
      <c r="H8" s="1915">
        <f ca="1">F8-G8</f>
        <v>-9664932.2782948855</v>
      </c>
      <c r="I8" s="1914" t="str">
        <f>Preferences.moneyunits</f>
        <v>£m</v>
      </c>
      <c r="J8" s="1914" t="s">
        <v>2142</v>
      </c>
      <c r="K8" s="1916">
        <f ca="1">F8-G7</f>
        <v>-5631448.427864885</v>
      </c>
      <c r="L8" s="1914" t="str">
        <f>Preferences.moneyunits</f>
        <v>£m</v>
      </c>
      <c r="O8" s="1956"/>
      <c r="AB8" s="1956"/>
      <c r="AO8" s="1956"/>
      <c r="BB8" s="1956"/>
      <c r="BS8" s="1956"/>
      <c r="CE8" s="1956"/>
      <c r="CR8" s="1956"/>
    </row>
    <row r="9" spans="3:97" s="1914" customFormat="1">
      <c r="O9" s="1956"/>
      <c r="AB9" s="1956"/>
      <c r="AO9" s="1956"/>
      <c r="BB9" s="1956"/>
      <c r="BS9" s="1956"/>
      <c r="CE9" s="1956"/>
      <c r="CR9" s="1956"/>
    </row>
    <row r="10" spans="3:97">
      <c r="F10" s="21" t="s">
        <v>1944</v>
      </c>
      <c r="G10" s="1763" t="s">
        <v>1945</v>
      </c>
      <c r="S10" s="21" t="s">
        <v>1946</v>
      </c>
      <c r="T10" s="1763" t="s">
        <v>1947</v>
      </c>
      <c r="AF10" s="21" t="s">
        <v>1948</v>
      </c>
      <c r="AG10" s="1763" t="s">
        <v>1949</v>
      </c>
      <c r="AS10" s="21" t="s">
        <v>1950</v>
      </c>
      <c r="BF10" s="1975" t="s">
        <v>2143</v>
      </c>
      <c r="BG10" s="1975"/>
      <c r="BJ10" s="21" t="s">
        <v>2145</v>
      </c>
      <c r="BK10" s="1914"/>
      <c r="BL10" s="1914"/>
      <c r="BM10" s="1914"/>
      <c r="BN10" s="1914"/>
      <c r="BO10" s="1914"/>
      <c r="BP10" s="1914"/>
      <c r="BQ10" s="1914"/>
      <c r="BR10" s="1914"/>
      <c r="BV10" s="21" t="s">
        <v>2146</v>
      </c>
      <c r="BW10" s="1914"/>
      <c r="BX10" s="1914"/>
      <c r="BY10" s="1914"/>
      <c r="BZ10" s="1914"/>
      <c r="CA10" s="1914"/>
      <c r="CB10" s="1914"/>
      <c r="CC10" s="1914"/>
      <c r="CD10" s="1914"/>
      <c r="CI10" s="21" t="s">
        <v>2147</v>
      </c>
      <c r="CJ10" s="1914"/>
      <c r="CK10" s="1914"/>
      <c r="CL10" s="1914"/>
      <c r="CM10" s="1914"/>
      <c r="CN10" s="1914"/>
      <c r="CO10" s="1914"/>
      <c r="CP10" s="1914"/>
      <c r="CQ10" s="1914"/>
      <c r="CS10" s="1914"/>
    </row>
    <row r="11" spans="3:97">
      <c r="D11" s="530" t="str">
        <f>Preferences.moneyunits</f>
        <v>£m</v>
      </c>
      <c r="F11" s="530">
        <v>2010</v>
      </c>
      <c r="G11" s="530">
        <v>2015</v>
      </c>
      <c r="H11" s="530">
        <v>2020</v>
      </c>
      <c r="I11" s="530">
        <v>2025</v>
      </c>
      <c r="J11" s="530">
        <v>2030</v>
      </c>
      <c r="K11" s="530">
        <v>2035</v>
      </c>
      <c r="L11" s="530">
        <v>2040</v>
      </c>
      <c r="M11" s="530">
        <v>2045</v>
      </c>
      <c r="N11" s="530">
        <v>2050</v>
      </c>
      <c r="O11" s="609" t="s">
        <v>2201</v>
      </c>
      <c r="P11" s="609" t="s">
        <v>1951</v>
      </c>
      <c r="Q11" s="530"/>
      <c r="R11" s="530"/>
      <c r="S11" s="530">
        <v>2010</v>
      </c>
      <c r="T11" s="530">
        <v>2015</v>
      </c>
      <c r="U11" s="530">
        <v>2020</v>
      </c>
      <c r="V11" s="530">
        <v>2025</v>
      </c>
      <c r="W11" s="530">
        <v>2030</v>
      </c>
      <c r="X11" s="530">
        <v>2035</v>
      </c>
      <c r="Y11" s="530">
        <v>2040</v>
      </c>
      <c r="Z11" s="530">
        <v>2045</v>
      </c>
      <c r="AA11" s="530">
        <v>2050</v>
      </c>
      <c r="AB11" s="609" t="s">
        <v>2201</v>
      </c>
      <c r="AC11" s="609" t="s">
        <v>1951</v>
      </c>
      <c r="AD11" s="530"/>
      <c r="AE11" s="530"/>
      <c r="AF11" s="530">
        <v>2010</v>
      </c>
      <c r="AG11" s="530">
        <v>2015</v>
      </c>
      <c r="AH11" s="530">
        <v>2020</v>
      </c>
      <c r="AI11" s="530">
        <v>2025</v>
      </c>
      <c r="AJ11" s="530">
        <v>2030</v>
      </c>
      <c r="AK11" s="530">
        <v>2035</v>
      </c>
      <c r="AL11" s="530">
        <v>2040</v>
      </c>
      <c r="AM11" s="530">
        <v>2045</v>
      </c>
      <c r="AN11" s="530">
        <v>2050</v>
      </c>
      <c r="AO11" s="609" t="s">
        <v>2201</v>
      </c>
      <c r="AP11" s="609" t="s">
        <v>1951</v>
      </c>
      <c r="AQ11" s="530"/>
      <c r="AR11" s="530"/>
      <c r="AS11" s="530">
        <v>2010</v>
      </c>
      <c r="AT11" s="530">
        <v>2015</v>
      </c>
      <c r="AU11" s="530">
        <v>2020</v>
      </c>
      <c r="AV11" s="530">
        <v>2025</v>
      </c>
      <c r="AW11" s="530">
        <v>2030</v>
      </c>
      <c r="AX11" s="530">
        <v>2035</v>
      </c>
      <c r="AY11" s="530">
        <v>2040</v>
      </c>
      <c r="AZ11" s="530">
        <v>2045</v>
      </c>
      <c r="BA11" s="530">
        <v>2050</v>
      </c>
      <c r="BB11" s="609" t="s">
        <v>2201</v>
      </c>
      <c r="BC11" s="609" t="s">
        <v>1951</v>
      </c>
      <c r="BD11" s="1877"/>
      <c r="BE11" s="1877"/>
      <c r="BF11" s="1876" t="s">
        <v>2144</v>
      </c>
      <c r="BG11" s="1876" t="s">
        <v>2054</v>
      </c>
      <c r="BH11" s="1877"/>
      <c r="BI11" s="1877"/>
      <c r="BJ11" s="1877">
        <v>2010</v>
      </c>
      <c r="BK11" s="1877">
        <v>2015</v>
      </c>
      <c r="BL11" s="1877">
        <v>2020</v>
      </c>
      <c r="BM11" s="1877">
        <v>2025</v>
      </c>
      <c r="BN11" s="1877">
        <v>2030</v>
      </c>
      <c r="BO11" s="1877">
        <v>2035</v>
      </c>
      <c r="BP11" s="1877">
        <v>2040</v>
      </c>
      <c r="BQ11" s="1877">
        <v>2045</v>
      </c>
      <c r="BR11" s="1877">
        <v>2050</v>
      </c>
      <c r="BS11" s="609" t="s">
        <v>2201</v>
      </c>
      <c r="BT11" s="1877"/>
      <c r="BU11" s="1877"/>
      <c r="BV11" s="1877">
        <v>2010</v>
      </c>
      <c r="BW11" s="1877">
        <v>2015</v>
      </c>
      <c r="BX11" s="1877">
        <v>2020</v>
      </c>
      <c r="BY11" s="1877">
        <v>2025</v>
      </c>
      <c r="BZ11" s="1877">
        <v>2030</v>
      </c>
      <c r="CA11" s="1877">
        <v>2035</v>
      </c>
      <c r="CB11" s="1877">
        <v>2040</v>
      </c>
      <c r="CC11" s="1877">
        <v>2045</v>
      </c>
      <c r="CD11" s="1877">
        <v>2050</v>
      </c>
      <c r="CE11" s="609" t="s">
        <v>2201</v>
      </c>
      <c r="CF11" s="609" t="s">
        <v>1951</v>
      </c>
      <c r="CG11" s="1877"/>
      <c r="CH11" s="1877"/>
      <c r="CI11" s="1877">
        <v>2010</v>
      </c>
      <c r="CJ11" s="1877">
        <v>2015</v>
      </c>
      <c r="CK11" s="1877">
        <v>2020</v>
      </c>
      <c r="CL11" s="1877">
        <v>2025</v>
      </c>
      <c r="CM11" s="1877">
        <v>2030</v>
      </c>
      <c r="CN11" s="1877">
        <v>2035</v>
      </c>
      <c r="CO11" s="1877">
        <v>2040</v>
      </c>
      <c r="CP11" s="1877">
        <v>2045</v>
      </c>
      <c r="CQ11" s="1877">
        <v>2050</v>
      </c>
      <c r="CR11" s="609" t="s">
        <v>2201</v>
      </c>
      <c r="CS11" s="609" t="s">
        <v>1951</v>
      </c>
    </row>
    <row r="12" spans="3:97">
      <c r="C12" s="1763" t="s">
        <v>623</v>
      </c>
      <c r="D12" s="1763" t="s">
        <v>1524</v>
      </c>
      <c r="F12" s="1131">
        <f t="shared" ref="F12:O27" ca="1" si="0">IFERROR(INDEX(INDIRECT($C12&amp;".Costs["&amp;F$11&amp;"]"), MATCH($F$10, INDIRECT($C12&amp;".Costs[Vector]"), 0)),0)</f>
        <v>0</v>
      </c>
      <c r="G12" s="1131">
        <f t="shared" ca="1" si="0"/>
        <v>0</v>
      </c>
      <c r="H12" s="1131">
        <f t="shared" ca="1" si="0"/>
        <v>0</v>
      </c>
      <c r="I12" s="1131">
        <f t="shared" ca="1" si="0"/>
        <v>0</v>
      </c>
      <c r="J12" s="1131">
        <f t="shared" ca="1" si="0"/>
        <v>0</v>
      </c>
      <c r="K12" s="1131">
        <f t="shared" ca="1" si="0"/>
        <v>0</v>
      </c>
      <c r="L12" s="1131">
        <f t="shared" ca="1" si="0"/>
        <v>0</v>
      </c>
      <c r="M12" s="1131">
        <f t="shared" ca="1" si="0"/>
        <v>0</v>
      </c>
      <c r="N12" s="1131">
        <f t="shared" ca="1" si="0"/>
        <v>0</v>
      </c>
      <c r="O12" s="1131">
        <f t="shared" ca="1" si="0"/>
        <v>0</v>
      </c>
      <c r="P12" s="1131">
        <f t="shared" ref="P12:P55" ca="1" si="1">(SUMPRODUCT(G12:O12,discount_factors)*5)+F12</f>
        <v>0</v>
      </c>
      <c r="Q12" s="1131"/>
      <c r="R12" s="1131"/>
      <c r="S12" s="1131">
        <f t="shared" ref="S12:AB27" ca="1" si="2">IFERROR(INDEX(INDIRECT($C12&amp;".Costs["&amp;S$11&amp;"]"), MATCH($S$10, INDIRECT($C12&amp;".Costs[Vector]"), 0)),0)</f>
        <v>0</v>
      </c>
      <c r="T12" s="1131">
        <f t="shared" ca="1" si="2"/>
        <v>0</v>
      </c>
      <c r="U12" s="1131">
        <f t="shared" ca="1" si="2"/>
        <v>0</v>
      </c>
      <c r="V12" s="1131">
        <f t="shared" ca="1" si="2"/>
        <v>0</v>
      </c>
      <c r="W12" s="1131">
        <f t="shared" ca="1" si="2"/>
        <v>0</v>
      </c>
      <c r="X12" s="1131">
        <f t="shared" ca="1" si="2"/>
        <v>0</v>
      </c>
      <c r="Y12" s="1131">
        <f t="shared" ca="1" si="2"/>
        <v>0</v>
      </c>
      <c r="Z12" s="1131">
        <f t="shared" ca="1" si="2"/>
        <v>0</v>
      </c>
      <c r="AA12" s="1131">
        <f t="shared" ca="1" si="2"/>
        <v>0</v>
      </c>
      <c r="AB12" s="1131">
        <f t="shared" ca="1" si="2"/>
        <v>0</v>
      </c>
      <c r="AC12" s="1131">
        <f t="shared" ref="AC12:AC55" ca="1" si="3">(SUMPRODUCT(T12:AB12,discount_factors)*5)+S12</f>
        <v>0</v>
      </c>
      <c r="AD12" s="1131"/>
      <c r="AE12" s="1131"/>
      <c r="AF12" s="1131">
        <f t="shared" ref="AF12:AO27" ca="1" si="4">IFERROR(INDEX(INDIRECT($C12&amp;".Costs["&amp;AF$11&amp;"]"), MATCH($AF$10, INDIRECT($C12&amp;".Costs[Vector]"), 0)),0)</f>
        <v>0</v>
      </c>
      <c r="AG12" s="1131">
        <f t="shared" ca="1" si="4"/>
        <v>0</v>
      </c>
      <c r="AH12" s="1131">
        <f t="shared" ca="1" si="4"/>
        <v>0</v>
      </c>
      <c r="AI12" s="1131">
        <f t="shared" ca="1" si="4"/>
        <v>0</v>
      </c>
      <c r="AJ12" s="1131">
        <f t="shared" ca="1" si="4"/>
        <v>0</v>
      </c>
      <c r="AK12" s="1131">
        <f t="shared" ca="1" si="4"/>
        <v>0</v>
      </c>
      <c r="AL12" s="1131">
        <f t="shared" ca="1" si="4"/>
        <v>0</v>
      </c>
      <c r="AM12" s="1131">
        <f t="shared" ca="1" si="4"/>
        <v>0</v>
      </c>
      <c r="AN12" s="1131">
        <f t="shared" ca="1" si="4"/>
        <v>0</v>
      </c>
      <c r="AO12" s="1131">
        <f t="shared" ca="1" si="4"/>
        <v>0</v>
      </c>
      <c r="AP12" s="1131">
        <f t="shared" ref="AP12:AP55" ca="1" si="5">(SUMPRODUCT(AG12:AO12,discount_factors)*5)+AF12</f>
        <v>0</v>
      </c>
      <c r="AQ12" s="1131"/>
      <c r="AR12" s="1131"/>
      <c r="AS12" s="1131">
        <f t="shared" ref="AS12:AS54" ca="1" si="6">SUM(F12,S12,AF12)</f>
        <v>0</v>
      </c>
      <c r="AT12" s="1131">
        <f t="shared" ref="AT12:AT54" ca="1" si="7">SUM(G12,T12,AG12)</f>
        <v>0</v>
      </c>
      <c r="AU12" s="1131">
        <f t="shared" ref="AU12:AU54" ca="1" si="8">SUM(H12,U12,AH12)</f>
        <v>0</v>
      </c>
      <c r="AV12" s="1131">
        <f t="shared" ref="AV12:AV54" ca="1" si="9">SUM(I12,V12,AI12)</f>
        <v>0</v>
      </c>
      <c r="AW12" s="1131">
        <f t="shared" ref="AW12:AW54" ca="1" si="10">SUM(J12,W12,AJ12)</f>
        <v>0</v>
      </c>
      <c r="AX12" s="1131">
        <f t="shared" ref="AX12:AX54" ca="1" si="11">SUM(K12,X12,AK12)</f>
        <v>0</v>
      </c>
      <c r="AY12" s="1131">
        <f t="shared" ref="AY12:AY54" ca="1" si="12">SUM(L12,Y12,AL12)</f>
        <v>0</v>
      </c>
      <c r="AZ12" s="1131">
        <f t="shared" ref="AZ12:AZ54" ca="1" si="13">SUM(M12,Z12,AM12)</f>
        <v>0</v>
      </c>
      <c r="BA12" s="1131">
        <f t="shared" ref="BA12:BB54" ca="1" si="14">SUM(N12,AA12,AN12)</f>
        <v>0</v>
      </c>
      <c r="BB12" s="1131">
        <f t="shared" ca="1" si="14"/>
        <v>0</v>
      </c>
      <c r="BC12" s="1131">
        <f t="shared" ref="BC12:BC55" ca="1" si="15">(SUMPRODUCT(AT12:BB12,discount_factors)*5)+AS12</f>
        <v>0</v>
      </c>
      <c r="BD12" s="1131"/>
      <c r="BE12" s="1131"/>
      <c r="BF12" s="19">
        <f>'Global cost assumptions'!E33</f>
        <v>0.1</v>
      </c>
      <c r="BG12" s="1131">
        <f>'Global cost assumptions'!F33</f>
        <v>30</v>
      </c>
      <c r="BH12" s="1131"/>
      <c r="BI12" s="1131"/>
      <c r="BJ12" s="27">
        <f ca="1">-PMT($BF12,$BG12,F12*3)</f>
        <v>0</v>
      </c>
      <c r="BK12" s="27">
        <f t="shared" ref="BK12:BS12" ca="1" si="16">-PMT($BF12,$BG12,G12*5)</f>
        <v>0</v>
      </c>
      <c r="BL12" s="27">
        <f t="shared" ca="1" si="16"/>
        <v>0</v>
      </c>
      <c r="BM12" s="27">
        <f t="shared" ca="1" si="16"/>
        <v>0</v>
      </c>
      <c r="BN12" s="27">
        <f t="shared" ca="1" si="16"/>
        <v>0</v>
      </c>
      <c r="BO12" s="27">
        <f t="shared" ca="1" si="16"/>
        <v>0</v>
      </c>
      <c r="BP12" s="27">
        <f t="shared" ca="1" si="16"/>
        <v>0</v>
      </c>
      <c r="BQ12" s="27">
        <f t="shared" ca="1" si="16"/>
        <v>0</v>
      </c>
      <c r="BR12" s="27">
        <f t="shared" ca="1" si="16"/>
        <v>0</v>
      </c>
      <c r="BS12" s="27">
        <f t="shared" ca="1" si="16"/>
        <v>0</v>
      </c>
      <c r="BT12" s="1131"/>
      <c r="BU12" s="1131"/>
      <c r="BV12" s="1409">
        <f ca="1">BJ12</f>
        <v>0</v>
      </c>
      <c r="BW12" s="1917">
        <f ca="1">BK12+IF(BW$11-$BV$11&lt;$BG12,$BJ12,0)</f>
        <v>0</v>
      </c>
      <c r="BX12" s="1917">
        <f ca="1">BL12+IF(BX$11-$BV$11&lt;$BG12,$BJ12,0)+IF(BX$11-$BW$11&lt;$BG12,$BK12,0)</f>
        <v>0</v>
      </c>
      <c r="BY12" s="1917">
        <f ca="1">BM12+IF(BY$11-$BV$11&lt;$BG12,$BJ12,0)+IF(BY$11-$BW$11&lt;$BG12,$BK12,0)+IF(BY$11-$BX$11&lt;$BG12,$BL12,0)</f>
        <v>0</v>
      </c>
      <c r="BZ12" s="1917">
        <f ca="1">BN12+IF(BZ$11-$BV$11&lt;$BG12,$BJ12,0)+IF(BZ$11-$BW$11&lt;$BG12,$BK12,0)+IF(BZ$11-$BX$11&lt;$BG12,$BL12,0)+IF(BZ$11-$BY$11&lt;$BG12,$BM12,0)</f>
        <v>0</v>
      </c>
      <c r="CA12" s="1917">
        <f ca="1">BO12+IF(CA$11-$BV$11&lt;$BG12,$BJ12,0)+IF(CA$11-$BW$11&lt;$BG12,$BK12,0)+IF(CA$11-$BX$11&lt;$BG12,$BL12,0)+IF(CA$11-$BY$11&lt;$BG12,$BM12,0)+IF(CA$11-$BZ$11&lt;$BG12,$BN12,0)</f>
        <v>0</v>
      </c>
      <c r="CB12" s="1917">
        <f ca="1">BP12+IF(CB$11-$BV$11&lt;$BG12,$BJ12,0)+IF(CB$11-$BW$11&lt;$BG12,$BK12,0)+IF(CB$11-$BX$11&lt;$BG12,$BL12,0)+IF(CB$11-$BY$11&lt;$BG12,$BM12,0)+IF(CB$11-$BZ$11&lt;$BG12,$BN12,0)+IF(CB$11-$CA$11&lt;$BG12,$BO12,0)</f>
        <v>0</v>
      </c>
      <c r="CC12" s="1917">
        <f ca="1">BQ12+IF(CC$11-$BV$11&lt;$BG12,$BJ12,0)+IF(CC$11-$BW$11&lt;$BG12,$BK12,0)+IF(CC$11-$BX$11&lt;$BG12,$BL12,0)+IF(CC$11-$BY$11&lt;$BG12,$BM12,0)+IF(CC$11-$BZ$11&lt;$BG12,$BN12,0)+IF(CC$11-$CA$11&lt;$BG12,$BO12,0)+IF(CC$11-$BZ$11&lt;$BG12,$BN12,0)+IF(CC$11-$CB$11&lt;$BG12,$BP12,0)</f>
        <v>0</v>
      </c>
      <c r="CD12" s="1917">
        <f ca="1">BR12+IF(CD$11-$BV$11&lt;$BG12,$BJ12,0)+IF(CD$11-$BW$11&lt;$BG12,$BK12,0)+IF(CD$11-$BX$11&lt;$BG12,$BL12,0)+IF(CD$11-$BY$11&lt;$BG12,$BM12,0)+IF(CD$11-$BZ$11&lt;$BG12,$BN12,0)+IF(CD$11-$CA$11&lt;$BG12,$BO12,0)+IF(CD$11-$BZ$11&lt;$BG12,$BN12,0)+IF(CD$11-$CB$11&lt;$BG12,$BP12,0)+IF(CD$11-$CC$11&lt;$BG12,$BQ12,0)</f>
        <v>0</v>
      </c>
      <c r="CE12" s="1917">
        <f ca="1">BS12</f>
        <v>0</v>
      </c>
      <c r="CF12" s="1131">
        <f t="shared" ref="CF12:CF55" ca="1" si="17">(SUMPRODUCT(BW12:CE12,discount_factors)*5)+BV12</f>
        <v>0</v>
      </c>
      <c r="CG12" s="1131"/>
      <c r="CH12" s="1131"/>
      <c r="CI12" s="1409">
        <f t="shared" ref="CI12:CR12" ca="1" si="18">S12+AF12+BV12</f>
        <v>0</v>
      </c>
      <c r="CJ12" s="1409">
        <f t="shared" ca="1" si="18"/>
        <v>0</v>
      </c>
      <c r="CK12" s="1409">
        <f t="shared" ca="1" si="18"/>
        <v>0</v>
      </c>
      <c r="CL12" s="1409">
        <f t="shared" ca="1" si="18"/>
        <v>0</v>
      </c>
      <c r="CM12" s="1409">
        <f t="shared" ca="1" si="18"/>
        <v>0</v>
      </c>
      <c r="CN12" s="1409">
        <f t="shared" ca="1" si="18"/>
        <v>0</v>
      </c>
      <c r="CO12" s="1409">
        <f t="shared" ca="1" si="18"/>
        <v>0</v>
      </c>
      <c r="CP12" s="1409">
        <f t="shared" ca="1" si="18"/>
        <v>0</v>
      </c>
      <c r="CQ12" s="1409">
        <f t="shared" ca="1" si="18"/>
        <v>0</v>
      </c>
      <c r="CR12" s="1409">
        <f t="shared" ca="1" si="18"/>
        <v>0</v>
      </c>
      <c r="CS12" s="1131">
        <f t="shared" ref="CS12:CS55" ca="1" si="19">(SUMPRODUCT(CJ12:CR12,discount_factors)*5)+CI12</f>
        <v>0</v>
      </c>
    </row>
    <row r="13" spans="3:97">
      <c r="C13" s="1763" t="s">
        <v>679</v>
      </c>
      <c r="D13" s="1763" t="s">
        <v>1033</v>
      </c>
      <c r="F13" s="1131">
        <f t="shared" ca="1" si="0"/>
        <v>0</v>
      </c>
      <c r="G13" s="1131">
        <f t="shared" ca="1" si="0"/>
        <v>111.04849964106242</v>
      </c>
      <c r="H13" s="1131">
        <f t="shared" ca="1" si="0"/>
        <v>146.88</v>
      </c>
      <c r="I13" s="1131">
        <f t="shared" ca="1" si="0"/>
        <v>394.89556602211042</v>
      </c>
      <c r="J13" s="1131">
        <f t="shared" ca="1" si="0"/>
        <v>833.66841715778855</v>
      </c>
      <c r="K13" s="1131">
        <f t="shared" ca="1" si="0"/>
        <v>1096.9321278391958</v>
      </c>
      <c r="L13" s="1131">
        <f t="shared" ca="1" si="0"/>
        <v>1096.932127839196</v>
      </c>
      <c r="M13" s="1131">
        <f t="shared" ca="1" si="0"/>
        <v>1096.9321278391958</v>
      </c>
      <c r="N13" s="1131">
        <f t="shared" ca="1" si="0"/>
        <v>1096.9321278391958</v>
      </c>
      <c r="O13" s="1131">
        <f t="shared" ca="1" si="0"/>
        <v>0</v>
      </c>
      <c r="P13" s="1131">
        <f t="shared" ca="1" si="1"/>
        <v>11676.030291988587</v>
      </c>
      <c r="Q13" s="1131"/>
      <c r="R13" s="1131"/>
      <c r="S13" s="1131">
        <f t="shared" ca="1" si="2"/>
        <v>0</v>
      </c>
      <c r="T13" s="1131">
        <f t="shared" ca="1" si="2"/>
        <v>4.1021655786965088</v>
      </c>
      <c r="U13" s="1131">
        <f t="shared" ca="1" si="2"/>
        <v>5.7247953579939921</v>
      </c>
      <c r="V13" s="1131">
        <f t="shared" ca="1" si="2"/>
        <v>14.939319614547715</v>
      </c>
      <c r="W13" s="1131">
        <f t="shared" ca="1" si="2"/>
        <v>31.538563630711835</v>
      </c>
      <c r="X13" s="1131">
        <f t="shared" ca="1" si="2"/>
        <v>41.498110040410324</v>
      </c>
      <c r="Y13" s="1131">
        <f t="shared" ca="1" si="2"/>
        <v>41.498110040410332</v>
      </c>
      <c r="Z13" s="1131">
        <f t="shared" ca="1" si="2"/>
        <v>41.498110040410324</v>
      </c>
      <c r="AA13" s="1131">
        <f t="shared" ca="1" si="2"/>
        <v>41.498110040410324</v>
      </c>
      <c r="AB13" s="1131">
        <f t="shared" ca="1" si="2"/>
        <v>0</v>
      </c>
      <c r="AC13" s="1131">
        <f t="shared" ca="1" si="3"/>
        <v>441.89631525495315</v>
      </c>
      <c r="AD13" s="1131"/>
      <c r="AE13" s="1131"/>
      <c r="AF13" s="1131">
        <f t="shared" ca="1" si="4"/>
        <v>0</v>
      </c>
      <c r="AG13" s="1131">
        <f t="shared" ca="1" si="4"/>
        <v>0</v>
      </c>
      <c r="AH13" s="1131">
        <f t="shared" ca="1" si="4"/>
        <v>0</v>
      </c>
      <c r="AI13" s="1131">
        <f t="shared" ca="1" si="4"/>
        <v>0</v>
      </c>
      <c r="AJ13" s="1131">
        <f t="shared" ca="1" si="4"/>
        <v>0</v>
      </c>
      <c r="AK13" s="1131">
        <f t="shared" ca="1" si="4"/>
        <v>0</v>
      </c>
      <c r="AL13" s="1131">
        <f t="shared" ca="1" si="4"/>
        <v>0</v>
      </c>
      <c r="AM13" s="1131">
        <f t="shared" ca="1" si="4"/>
        <v>0</v>
      </c>
      <c r="AN13" s="1131">
        <f t="shared" ca="1" si="4"/>
        <v>0</v>
      </c>
      <c r="AO13" s="1131">
        <f t="shared" ca="1" si="4"/>
        <v>0</v>
      </c>
      <c r="AP13" s="1131">
        <f t="shared" ca="1" si="5"/>
        <v>0</v>
      </c>
      <c r="AQ13" s="1131"/>
      <c r="AR13" s="1131"/>
      <c r="AS13" s="1131">
        <f t="shared" ca="1" si="6"/>
        <v>0</v>
      </c>
      <c r="AT13" s="1131">
        <f t="shared" ca="1" si="7"/>
        <v>115.15066521975893</v>
      </c>
      <c r="AU13" s="1131">
        <f t="shared" ca="1" si="8"/>
        <v>152.60479535799399</v>
      </c>
      <c r="AV13" s="1131">
        <f t="shared" ca="1" si="9"/>
        <v>409.83488563665816</v>
      </c>
      <c r="AW13" s="1131">
        <f t="shared" ca="1" si="10"/>
        <v>865.20698078850035</v>
      </c>
      <c r="AX13" s="1131">
        <f t="shared" ca="1" si="11"/>
        <v>1138.430237879606</v>
      </c>
      <c r="AY13" s="1131">
        <f t="shared" ca="1" si="12"/>
        <v>1138.4302378796065</v>
      </c>
      <c r="AZ13" s="1131">
        <f t="shared" ca="1" si="13"/>
        <v>1138.430237879606</v>
      </c>
      <c r="BA13" s="1131">
        <f t="shared" ca="1" si="14"/>
        <v>1138.430237879606</v>
      </c>
      <c r="BB13" s="1131">
        <f t="shared" ref="BB13:BB54" ca="1" si="20">SUM(O13,AB13,AO13)</f>
        <v>0</v>
      </c>
      <c r="BC13" s="1131">
        <f t="shared" ca="1" si="15"/>
        <v>12117.926607243538</v>
      </c>
      <c r="BD13" s="1131"/>
      <c r="BE13" s="1131"/>
      <c r="BF13" s="19">
        <f>'Global cost assumptions'!E34</f>
        <v>0.1</v>
      </c>
      <c r="BG13" s="1131">
        <f>'Global cost assumptions'!F34</f>
        <v>30</v>
      </c>
      <c r="BH13" s="1131"/>
      <c r="BI13" s="1131"/>
      <c r="BJ13" s="27">
        <f t="shared" ref="BJ13:BJ53" ca="1" si="21">-PMT($BF13,$BG13,F13*3)</f>
        <v>0</v>
      </c>
      <c r="BK13" s="27">
        <f t="shared" ref="BK13:BK53" ca="1" si="22">-PMT($BF13,$BG13,G13*5)</f>
        <v>58.899706807533953</v>
      </c>
      <c r="BL13" s="27">
        <f t="shared" ref="BL13:BL53" ca="1" si="23">-PMT($BF13,$BG13,H13*5)</f>
        <v>77.904599916734355</v>
      </c>
      <c r="BM13" s="27">
        <f t="shared" ref="BM13:BM53" ca="1" si="24">-PMT($BF13,$BG13,I13*5)</f>
        <v>209.45112390961918</v>
      </c>
      <c r="BN13" s="27">
        <f t="shared" ref="BN13:BN53" ca="1" si="25">-PMT($BF13,$BG13,J13*5)</f>
        <v>442.17459492030724</v>
      </c>
      <c r="BO13" s="27">
        <f t="shared" ref="BO13:BO53" ca="1" si="26">-PMT($BF13,$BG13,K13*5)</f>
        <v>581.80867752672009</v>
      </c>
      <c r="BP13" s="27">
        <f t="shared" ref="BP13:BP53" ca="1" si="27">-PMT($BF13,$BG13,L13*5)</f>
        <v>581.8086775267202</v>
      </c>
      <c r="BQ13" s="27">
        <f t="shared" ref="BQ13:BQ53" ca="1" si="28">-PMT($BF13,$BG13,M13*5)</f>
        <v>581.80867752672009</v>
      </c>
      <c r="BR13" s="27">
        <f t="shared" ref="BR13:BR53" ca="1" si="29">-PMT($BF13,$BG13,N13*5)</f>
        <v>581.80867752672009</v>
      </c>
      <c r="BS13" s="27">
        <f t="shared" ref="BS13:BS54" ca="1" si="30">-PMT($BF13,$BG13,O13*5)</f>
        <v>0</v>
      </c>
      <c r="BT13" s="1131"/>
      <c r="BU13" s="1131"/>
      <c r="BV13" s="1409">
        <f t="shared" ref="BV13:BV53" ca="1" si="31">BJ13</f>
        <v>0</v>
      </c>
      <c r="BW13" s="1917">
        <f t="shared" ref="BW13:BW53" ca="1" si="32">BK13+IF(BW$11-$BV$11&lt;$BG13,$BJ13,0)</f>
        <v>58.899706807533953</v>
      </c>
      <c r="BX13" s="1917">
        <f t="shared" ref="BX13:BX53" ca="1" si="33">BL13+IF(BX$11-$BV$11&lt;$BG13,$BJ13,0)+IF(BX$11-$BW$11&lt;$BG13,$BK13,0)</f>
        <v>136.80430672426832</v>
      </c>
      <c r="BY13" s="1917">
        <f t="shared" ref="BY13:BY53" ca="1" si="34">BM13+IF(BY$11-$BV$11&lt;$BG13,$BJ13,0)+IF(BY$11-$BW$11&lt;$BG13,$BK13,0)+IF(BY$11-$BX$11&lt;$BG13,$BL13,0)</f>
        <v>346.2554306338875</v>
      </c>
      <c r="BZ13" s="1917">
        <f t="shared" ref="BZ13:BZ53" ca="1" si="35">BN13+IF(BZ$11-$BV$11&lt;$BG13,$BJ13,0)+IF(BZ$11-$BW$11&lt;$BG13,$BK13,0)+IF(BZ$11-$BX$11&lt;$BG13,$BL13,0)+IF(BZ$11-$BY$11&lt;$BG13,$BM13,0)</f>
        <v>788.4300255541948</v>
      </c>
      <c r="CA13" s="1917">
        <f t="shared" ref="CA13:CA53" ca="1" si="36">BO13+IF(CA$11-$BV$11&lt;$BG13,$BJ13,0)+IF(CA$11-$BW$11&lt;$BG13,$BK13,0)+IF(CA$11-$BX$11&lt;$BG13,$BL13,0)+IF(CA$11-$BY$11&lt;$BG13,$BM13,0)+IF(CA$11-$BZ$11&lt;$BG13,$BN13,0)</f>
        <v>1370.2387030809148</v>
      </c>
      <c r="CB13" s="1917">
        <f t="shared" ref="CB13:CB53" ca="1" si="37">BP13+IF(CB$11-$BV$11&lt;$BG13,$BJ13,0)+IF(CB$11-$BW$11&lt;$BG13,$BK13,0)+IF(CB$11-$BX$11&lt;$BG13,$BL13,0)+IF(CB$11-$BY$11&lt;$BG13,$BM13,0)+IF(CB$11-$BZ$11&lt;$BG13,$BN13,0)+IF(CB$11-$CA$11&lt;$BG13,$BO13,0)</f>
        <v>1952.0473806076352</v>
      </c>
      <c r="CC13" s="1917">
        <f t="shared" ref="CC13:CC53" ca="1" si="38">BQ13+IF(CC$11-$BV$11&lt;$BG13,$BJ13,0)+IF(CC$11-$BW$11&lt;$BG13,$BK13,0)+IF(CC$11-$BX$11&lt;$BG13,$BL13,0)+IF(CC$11-$BY$11&lt;$BG13,$BM13,0)+IF(CC$11-$BZ$11&lt;$BG13,$BN13,0)+IF(CC$11-$CA$11&lt;$BG13,$BO13,0)+IF(CC$11-$BZ$11&lt;$BG13,$BN13,0)+IF(CC$11-$CB$11&lt;$BG13,$BP13,0)</f>
        <v>2917.1309462471286</v>
      </c>
      <c r="CD13" s="1917">
        <f t="shared" ref="CD13:CD53" ca="1" si="39">BR13+IF(CD$11-$BV$11&lt;$BG13,$BJ13,0)+IF(CD$11-$BW$11&lt;$BG13,$BK13,0)+IF(CD$11-$BX$11&lt;$BG13,$BL13,0)+IF(CD$11-$BY$11&lt;$BG13,$BM13,0)+IF(CD$11-$BZ$11&lt;$BG13,$BN13,0)+IF(CD$11-$CA$11&lt;$BG13,$BO13,0)+IF(CD$11-$BZ$11&lt;$BG13,$BN13,0)+IF(CD$11-$CB$11&lt;$BG13,$BP13,0)+IF(CD$11-$CC$11&lt;$BG13,$BQ13,0)</f>
        <v>3421.0350238571145</v>
      </c>
      <c r="CE13" s="1917">
        <f t="shared" ref="CE13:CE54" ca="1" si="40">BS13</f>
        <v>0</v>
      </c>
      <c r="CF13" s="1131">
        <f t="shared" ca="1" si="17"/>
        <v>19141.126046194426</v>
      </c>
      <c r="CG13" s="1131"/>
      <c r="CH13" s="1131"/>
      <c r="CI13" s="1409">
        <f t="shared" ref="CI13:CI53" ca="1" si="41">S13+AF13+BV13</f>
        <v>0</v>
      </c>
      <c r="CJ13" s="1409">
        <f t="shared" ref="CJ13:CJ53" ca="1" si="42">T13+AG13+BW13</f>
        <v>63.00187238623046</v>
      </c>
      <c r="CK13" s="1409">
        <f t="shared" ref="CK13:CK53" ca="1" si="43">U13+AH13+BX13</f>
        <v>142.52910208226231</v>
      </c>
      <c r="CL13" s="1409">
        <f t="shared" ref="CL13:CL53" ca="1" si="44">V13+AI13+BY13</f>
        <v>361.19475024843524</v>
      </c>
      <c r="CM13" s="1409">
        <f t="shared" ref="CM13:CM53" ca="1" si="45">W13+AJ13+BZ13</f>
        <v>819.96858918490659</v>
      </c>
      <c r="CN13" s="1409">
        <f t="shared" ref="CN13:CN53" ca="1" si="46">X13+AK13+CA13</f>
        <v>1411.7368131213252</v>
      </c>
      <c r="CO13" s="1409">
        <f t="shared" ref="CO13:CO53" ca="1" si="47">Y13+AL13+CB13</f>
        <v>1993.5454906480456</v>
      </c>
      <c r="CP13" s="1409">
        <f t="shared" ref="CP13:CP53" ca="1" si="48">Z13+AM13+CC13</f>
        <v>2958.6290562875388</v>
      </c>
      <c r="CQ13" s="1409">
        <f t="shared" ref="CQ13:CQ53" ca="1" si="49">AA13+AN13+CD13</f>
        <v>3462.5331338975247</v>
      </c>
      <c r="CR13" s="1409">
        <f t="shared" ref="CR13:CR54" ca="1" si="50">AB13+AO13+CE13</f>
        <v>0</v>
      </c>
      <c r="CS13" s="1131">
        <f t="shared" ca="1" si="19"/>
        <v>19583.022361449381</v>
      </c>
    </row>
    <row r="14" spans="3:97">
      <c r="C14" s="1763" t="s">
        <v>635</v>
      </c>
      <c r="D14" s="1763" t="s">
        <v>1026</v>
      </c>
      <c r="F14" s="1131">
        <f t="shared" ca="1" si="0"/>
        <v>0</v>
      </c>
      <c r="G14" s="1131">
        <f t="shared" ca="1" si="0"/>
        <v>0</v>
      </c>
      <c r="H14" s="1131">
        <f t="shared" ca="1" si="0"/>
        <v>0</v>
      </c>
      <c r="I14" s="1131">
        <f t="shared" ca="1" si="0"/>
        <v>0</v>
      </c>
      <c r="J14" s="1131">
        <f t="shared" ca="1" si="0"/>
        <v>0</v>
      </c>
      <c r="K14" s="1131">
        <f t="shared" ca="1" si="0"/>
        <v>0</v>
      </c>
      <c r="L14" s="1131">
        <f t="shared" ca="1" si="0"/>
        <v>0</v>
      </c>
      <c r="M14" s="1131">
        <f t="shared" ca="1" si="0"/>
        <v>0</v>
      </c>
      <c r="N14" s="1131">
        <f t="shared" ca="1" si="0"/>
        <v>0</v>
      </c>
      <c r="O14" s="1131">
        <f t="shared" ca="1" si="0"/>
        <v>0</v>
      </c>
      <c r="P14" s="1131">
        <f t="shared" ca="1" si="1"/>
        <v>0</v>
      </c>
      <c r="Q14" s="1131"/>
      <c r="R14" s="1131"/>
      <c r="S14" s="1131">
        <f t="shared" ca="1" si="2"/>
        <v>0</v>
      </c>
      <c r="T14" s="1131">
        <f t="shared" ca="1" si="2"/>
        <v>0</v>
      </c>
      <c r="U14" s="1131">
        <f t="shared" ca="1" si="2"/>
        <v>0</v>
      </c>
      <c r="V14" s="1131">
        <f t="shared" ca="1" si="2"/>
        <v>0</v>
      </c>
      <c r="W14" s="1131">
        <f t="shared" ca="1" si="2"/>
        <v>0</v>
      </c>
      <c r="X14" s="1131">
        <f t="shared" ca="1" si="2"/>
        <v>0</v>
      </c>
      <c r="Y14" s="1131">
        <f t="shared" ca="1" si="2"/>
        <v>0</v>
      </c>
      <c r="Z14" s="1131">
        <f t="shared" ca="1" si="2"/>
        <v>0</v>
      </c>
      <c r="AA14" s="1131">
        <f t="shared" ca="1" si="2"/>
        <v>0</v>
      </c>
      <c r="AB14" s="1131">
        <f t="shared" ca="1" si="2"/>
        <v>0</v>
      </c>
      <c r="AC14" s="1131">
        <f t="shared" ca="1" si="3"/>
        <v>0</v>
      </c>
      <c r="AD14" s="1131"/>
      <c r="AE14" s="1131"/>
      <c r="AF14" s="1131">
        <f t="shared" ca="1" si="4"/>
        <v>0</v>
      </c>
      <c r="AG14" s="1131">
        <f t="shared" ca="1" si="4"/>
        <v>0</v>
      </c>
      <c r="AH14" s="1131">
        <f t="shared" ca="1" si="4"/>
        <v>0</v>
      </c>
      <c r="AI14" s="1131">
        <f t="shared" ca="1" si="4"/>
        <v>0</v>
      </c>
      <c r="AJ14" s="1131">
        <f t="shared" ca="1" si="4"/>
        <v>0</v>
      </c>
      <c r="AK14" s="1131">
        <f t="shared" ca="1" si="4"/>
        <v>0</v>
      </c>
      <c r="AL14" s="1131">
        <f t="shared" ca="1" si="4"/>
        <v>0</v>
      </c>
      <c r="AM14" s="1131">
        <f t="shared" ca="1" si="4"/>
        <v>0</v>
      </c>
      <c r="AN14" s="1131">
        <f t="shared" ca="1" si="4"/>
        <v>0</v>
      </c>
      <c r="AO14" s="1131">
        <f t="shared" ca="1" si="4"/>
        <v>0</v>
      </c>
      <c r="AP14" s="1131">
        <f t="shared" ca="1" si="5"/>
        <v>0</v>
      </c>
      <c r="AQ14" s="1131"/>
      <c r="AR14" s="1131"/>
      <c r="AS14" s="1131">
        <f t="shared" ca="1" si="6"/>
        <v>0</v>
      </c>
      <c r="AT14" s="1131">
        <f t="shared" ca="1" si="7"/>
        <v>0</v>
      </c>
      <c r="AU14" s="1131">
        <f t="shared" ca="1" si="8"/>
        <v>0</v>
      </c>
      <c r="AV14" s="1131">
        <f t="shared" ca="1" si="9"/>
        <v>0</v>
      </c>
      <c r="AW14" s="1131">
        <f t="shared" ca="1" si="10"/>
        <v>0</v>
      </c>
      <c r="AX14" s="1131">
        <f t="shared" ca="1" si="11"/>
        <v>0</v>
      </c>
      <c r="AY14" s="1131">
        <f t="shared" ca="1" si="12"/>
        <v>0</v>
      </c>
      <c r="AZ14" s="1131">
        <f t="shared" ca="1" si="13"/>
        <v>0</v>
      </c>
      <c r="BA14" s="1131">
        <f t="shared" ca="1" si="14"/>
        <v>0</v>
      </c>
      <c r="BB14" s="1131">
        <f t="shared" ca="1" si="20"/>
        <v>0</v>
      </c>
      <c r="BC14" s="1131">
        <f t="shared" ca="1" si="15"/>
        <v>0</v>
      </c>
      <c r="BD14" s="1131"/>
      <c r="BE14" s="1131"/>
      <c r="BF14" s="19">
        <f>'Global cost assumptions'!E35</f>
        <v>0.1</v>
      </c>
      <c r="BG14" s="1131">
        <v>60</v>
      </c>
      <c r="BH14" s="1131"/>
      <c r="BI14" s="1131"/>
      <c r="BJ14" s="27">
        <f t="shared" ca="1" si="21"/>
        <v>0</v>
      </c>
      <c r="BK14" s="27">
        <f t="shared" ca="1" si="22"/>
        <v>0</v>
      </c>
      <c r="BL14" s="27">
        <f t="shared" ca="1" si="23"/>
        <v>0</v>
      </c>
      <c r="BM14" s="27">
        <f ca="1">-PMT($BF14,$BG14,I14*5)</f>
        <v>0</v>
      </c>
      <c r="BN14" s="27">
        <f t="shared" ca="1" si="25"/>
        <v>0</v>
      </c>
      <c r="BO14" s="27">
        <f t="shared" ca="1" si="26"/>
        <v>0</v>
      </c>
      <c r="BP14" s="27">
        <f t="shared" ca="1" si="27"/>
        <v>0</v>
      </c>
      <c r="BQ14" s="27">
        <f t="shared" ca="1" si="28"/>
        <v>0</v>
      </c>
      <c r="BR14" s="27">
        <f t="shared" ca="1" si="29"/>
        <v>0</v>
      </c>
      <c r="BS14" s="27">
        <f t="shared" ca="1" si="30"/>
        <v>0</v>
      </c>
      <c r="BT14" s="1131"/>
      <c r="BU14" s="1131"/>
      <c r="BV14" s="1409">
        <f t="shared" ca="1" si="31"/>
        <v>0</v>
      </c>
      <c r="BW14" s="1917">
        <f t="shared" ca="1" si="32"/>
        <v>0</v>
      </c>
      <c r="BX14" s="1917">
        <f ca="1">BL14+IF(BX$11-$BV$11&lt;$BG14,$BJ14,0)+IF(BX$11-$BW$11&lt;$BG14,$BK14,0)</f>
        <v>0</v>
      </c>
      <c r="BY14" s="1917">
        <f ca="1">BM14+IF(BY$11-$BV$11&lt;$BG14,$BJ14,0)+IF(BY$11-$BW$11&lt;$BG14,$BK14,0)+IF(BY$11-$BX$11&lt;$BG14,$BL14,0)</f>
        <v>0</v>
      </c>
      <c r="BZ14" s="1917">
        <f t="shared" ca="1" si="35"/>
        <v>0</v>
      </c>
      <c r="CA14" s="1917">
        <f t="shared" ca="1" si="36"/>
        <v>0</v>
      </c>
      <c r="CB14" s="1917">
        <f t="shared" ca="1" si="37"/>
        <v>0</v>
      </c>
      <c r="CC14" s="1917">
        <f t="shared" ca="1" si="38"/>
        <v>0</v>
      </c>
      <c r="CD14" s="1917">
        <f t="shared" ca="1" si="39"/>
        <v>0</v>
      </c>
      <c r="CE14" s="1917">
        <f t="shared" ca="1" si="40"/>
        <v>0</v>
      </c>
      <c r="CF14" s="1131">
        <f t="shared" ca="1" si="17"/>
        <v>0</v>
      </c>
      <c r="CG14" s="1131"/>
      <c r="CH14" s="1131"/>
      <c r="CI14" s="1409">
        <f ca="1">S14+AF14+BV14</f>
        <v>0</v>
      </c>
      <c r="CJ14" s="1409">
        <f t="shared" ca="1" si="42"/>
        <v>0</v>
      </c>
      <c r="CK14" s="1409">
        <f t="shared" ca="1" si="43"/>
        <v>0</v>
      </c>
      <c r="CL14" s="1409">
        <f t="shared" ca="1" si="44"/>
        <v>0</v>
      </c>
      <c r="CM14" s="1409">
        <f t="shared" ca="1" si="45"/>
        <v>0</v>
      </c>
      <c r="CN14" s="1409">
        <f t="shared" ca="1" si="46"/>
        <v>0</v>
      </c>
      <c r="CO14" s="1409">
        <f t="shared" ca="1" si="47"/>
        <v>0</v>
      </c>
      <c r="CP14" s="1409">
        <f t="shared" ca="1" si="48"/>
        <v>0</v>
      </c>
      <c r="CQ14" s="1409">
        <f t="shared" ca="1" si="49"/>
        <v>0</v>
      </c>
      <c r="CR14" s="1409">
        <f t="shared" ca="1" si="50"/>
        <v>0</v>
      </c>
      <c r="CS14" s="1131">
        <f t="shared" ca="1" si="19"/>
        <v>0</v>
      </c>
    </row>
    <row r="15" spans="3:97">
      <c r="C15" s="1763" t="s">
        <v>1070</v>
      </c>
      <c r="D15" s="1763" t="s">
        <v>684</v>
      </c>
      <c r="F15" s="1131">
        <f t="shared" ca="1" si="0"/>
        <v>0</v>
      </c>
      <c r="G15" s="1131">
        <f t="shared" ca="1" si="0"/>
        <v>0</v>
      </c>
      <c r="H15" s="1131">
        <f ca="1">IFERROR(INDEX(INDIRECT($C15&amp;".Costs["&amp;H$11&amp;"]"), MATCH($F$10, INDIRECT($C15&amp;".Costs[Vector]"), 0)),0)</f>
        <v>0</v>
      </c>
      <c r="I15" s="1131">
        <f ca="1">IFERROR(INDEX(INDIRECT($C15&amp;".Costs["&amp;I$11&amp;"]"), MATCH($F$10, INDIRECT($C15&amp;".Costs[Vector]"), 0)),0)</f>
        <v>0</v>
      </c>
      <c r="J15" s="1131">
        <f t="shared" ca="1" si="0"/>
        <v>0</v>
      </c>
      <c r="K15" s="1131">
        <f t="shared" ca="1" si="0"/>
        <v>0</v>
      </c>
      <c r="L15" s="1131">
        <f t="shared" ca="1" si="0"/>
        <v>0</v>
      </c>
      <c r="M15" s="1131">
        <f t="shared" ca="1" si="0"/>
        <v>0</v>
      </c>
      <c r="N15" s="1131">
        <f t="shared" ca="1" si="0"/>
        <v>0</v>
      </c>
      <c r="O15" s="1131">
        <f t="shared" ca="1" si="0"/>
        <v>0</v>
      </c>
      <c r="P15" s="1131">
        <f t="shared" ca="1" si="1"/>
        <v>0</v>
      </c>
      <c r="Q15" s="1131"/>
      <c r="R15" s="1131"/>
      <c r="S15" s="1131">
        <f t="shared" ca="1" si="2"/>
        <v>0</v>
      </c>
      <c r="T15" s="1131">
        <f t="shared" ca="1" si="2"/>
        <v>0</v>
      </c>
      <c r="U15" s="1131">
        <f t="shared" ca="1" si="2"/>
        <v>0</v>
      </c>
      <c r="V15" s="1131">
        <f t="shared" ca="1" si="2"/>
        <v>0</v>
      </c>
      <c r="W15" s="1131">
        <f t="shared" ca="1" si="2"/>
        <v>0</v>
      </c>
      <c r="X15" s="1131">
        <f t="shared" ca="1" si="2"/>
        <v>0</v>
      </c>
      <c r="Y15" s="1131">
        <f t="shared" ca="1" si="2"/>
        <v>0</v>
      </c>
      <c r="Z15" s="1131">
        <f t="shared" ca="1" si="2"/>
        <v>0</v>
      </c>
      <c r="AA15" s="1131">
        <f t="shared" ca="1" si="2"/>
        <v>0</v>
      </c>
      <c r="AB15" s="1131">
        <f t="shared" ca="1" si="2"/>
        <v>0</v>
      </c>
      <c r="AC15" s="1131">
        <f t="shared" ca="1" si="3"/>
        <v>0</v>
      </c>
      <c r="AD15" s="1131"/>
      <c r="AE15" s="1131"/>
      <c r="AF15" s="1131">
        <f t="shared" ca="1" si="4"/>
        <v>0</v>
      </c>
      <c r="AG15" s="1131">
        <f t="shared" ca="1" si="4"/>
        <v>0</v>
      </c>
      <c r="AH15" s="1131">
        <f t="shared" ca="1" si="4"/>
        <v>0</v>
      </c>
      <c r="AI15" s="1131">
        <f t="shared" ca="1" si="4"/>
        <v>0</v>
      </c>
      <c r="AJ15" s="1131">
        <f t="shared" ca="1" si="4"/>
        <v>0</v>
      </c>
      <c r="AK15" s="1131">
        <f t="shared" ca="1" si="4"/>
        <v>0</v>
      </c>
      <c r="AL15" s="1131">
        <f t="shared" ca="1" si="4"/>
        <v>0</v>
      </c>
      <c r="AM15" s="1131">
        <f t="shared" ca="1" si="4"/>
        <v>0</v>
      </c>
      <c r="AN15" s="1131">
        <f t="shared" ca="1" si="4"/>
        <v>0</v>
      </c>
      <c r="AO15" s="1131">
        <f t="shared" ca="1" si="4"/>
        <v>0</v>
      </c>
      <c r="AP15" s="1131">
        <f t="shared" ca="1" si="5"/>
        <v>0</v>
      </c>
      <c r="AQ15" s="1131"/>
      <c r="AR15" s="1131"/>
      <c r="AS15" s="1131">
        <f t="shared" ca="1" si="6"/>
        <v>0</v>
      </c>
      <c r="AT15" s="1131">
        <f t="shared" ca="1" si="7"/>
        <v>0</v>
      </c>
      <c r="AU15" s="1131">
        <f t="shared" ca="1" si="8"/>
        <v>0</v>
      </c>
      <c r="AV15" s="1131">
        <f t="shared" ca="1" si="9"/>
        <v>0</v>
      </c>
      <c r="AW15" s="1131">
        <f t="shared" ca="1" si="10"/>
        <v>0</v>
      </c>
      <c r="AX15" s="1131">
        <f t="shared" ca="1" si="11"/>
        <v>0</v>
      </c>
      <c r="AY15" s="1131">
        <f t="shared" ca="1" si="12"/>
        <v>0</v>
      </c>
      <c r="AZ15" s="1131">
        <f t="shared" ca="1" si="13"/>
        <v>0</v>
      </c>
      <c r="BA15" s="1131">
        <f t="shared" ca="1" si="14"/>
        <v>0</v>
      </c>
      <c r="BB15" s="1131">
        <f t="shared" ca="1" si="20"/>
        <v>0</v>
      </c>
      <c r="BC15" s="1131">
        <f t="shared" ca="1" si="15"/>
        <v>0</v>
      </c>
      <c r="BD15" s="1131"/>
      <c r="BE15" s="1131"/>
      <c r="BF15" s="19">
        <f>'Global cost assumptions'!E36</f>
        <v>0.1</v>
      </c>
      <c r="BG15" s="1131">
        <f>'Global cost assumptions'!F36</f>
        <v>30</v>
      </c>
      <c r="BH15" s="1131"/>
      <c r="BI15" s="1131"/>
      <c r="BJ15" s="27">
        <f t="shared" ca="1" si="21"/>
        <v>0</v>
      </c>
      <c r="BK15" s="27">
        <f t="shared" ca="1" si="22"/>
        <v>0</v>
      </c>
      <c r="BL15" s="27">
        <f t="shared" ca="1" si="23"/>
        <v>0</v>
      </c>
      <c r="BM15" s="27">
        <f t="shared" ca="1" si="24"/>
        <v>0</v>
      </c>
      <c r="BN15" s="27">
        <f t="shared" ca="1" si="25"/>
        <v>0</v>
      </c>
      <c r="BO15" s="27">
        <f t="shared" ca="1" si="26"/>
        <v>0</v>
      </c>
      <c r="BP15" s="27">
        <f t="shared" ca="1" si="27"/>
        <v>0</v>
      </c>
      <c r="BQ15" s="27">
        <f t="shared" ca="1" si="28"/>
        <v>0</v>
      </c>
      <c r="BR15" s="27">
        <f t="shared" ca="1" si="29"/>
        <v>0</v>
      </c>
      <c r="BS15" s="27">
        <f t="shared" ca="1" si="30"/>
        <v>0</v>
      </c>
      <c r="BT15" s="1131"/>
      <c r="BU15" s="1131"/>
      <c r="BV15" s="1409">
        <f t="shared" ca="1" si="31"/>
        <v>0</v>
      </c>
      <c r="BW15" s="1917">
        <f t="shared" ca="1" si="32"/>
        <v>0</v>
      </c>
      <c r="BX15" s="1917">
        <f t="shared" ca="1" si="33"/>
        <v>0</v>
      </c>
      <c r="BY15" s="1917">
        <f t="shared" ca="1" si="34"/>
        <v>0</v>
      </c>
      <c r="BZ15" s="1917">
        <f t="shared" ca="1" si="35"/>
        <v>0</v>
      </c>
      <c r="CA15" s="1917">
        <f t="shared" ca="1" si="36"/>
        <v>0</v>
      </c>
      <c r="CB15" s="1917">
        <f t="shared" ca="1" si="37"/>
        <v>0</v>
      </c>
      <c r="CC15" s="1917">
        <f t="shared" ca="1" si="38"/>
        <v>0</v>
      </c>
      <c r="CD15" s="1917">
        <f t="shared" ca="1" si="39"/>
        <v>0</v>
      </c>
      <c r="CE15" s="1917">
        <f t="shared" ca="1" si="40"/>
        <v>0</v>
      </c>
      <c r="CF15" s="1131">
        <f t="shared" ca="1" si="17"/>
        <v>0</v>
      </c>
      <c r="CG15" s="1131"/>
      <c r="CH15" s="1131"/>
      <c r="CI15" s="1409">
        <f t="shared" ca="1" si="41"/>
        <v>0</v>
      </c>
      <c r="CJ15" s="1409">
        <f t="shared" ca="1" si="42"/>
        <v>0</v>
      </c>
      <c r="CK15" s="1409">
        <f t="shared" ca="1" si="43"/>
        <v>0</v>
      </c>
      <c r="CL15" s="1409">
        <f t="shared" ca="1" si="44"/>
        <v>0</v>
      </c>
      <c r="CM15" s="1409">
        <f t="shared" ca="1" si="45"/>
        <v>0</v>
      </c>
      <c r="CN15" s="1409">
        <f t="shared" ca="1" si="46"/>
        <v>0</v>
      </c>
      <c r="CO15" s="1409">
        <f t="shared" ca="1" si="47"/>
        <v>0</v>
      </c>
      <c r="CP15" s="1409">
        <f t="shared" ca="1" si="48"/>
        <v>0</v>
      </c>
      <c r="CQ15" s="1409">
        <f t="shared" ca="1" si="49"/>
        <v>0</v>
      </c>
      <c r="CR15" s="1409">
        <f t="shared" ca="1" si="50"/>
        <v>0</v>
      </c>
      <c r="CS15" s="1131">
        <f t="shared" ca="1" si="19"/>
        <v>0</v>
      </c>
    </row>
    <row r="16" spans="3:97">
      <c r="C16" s="1763" t="s">
        <v>1071</v>
      </c>
      <c r="D16" s="1763" t="s">
        <v>685</v>
      </c>
      <c r="F16" s="1131">
        <f t="shared" ca="1" si="0"/>
        <v>0</v>
      </c>
      <c r="G16" s="1131">
        <f t="shared" ca="1" si="0"/>
        <v>0</v>
      </c>
      <c r="H16" s="1131">
        <f t="shared" ca="1" si="0"/>
        <v>0</v>
      </c>
      <c r="I16" s="1131">
        <f t="shared" ca="1" si="0"/>
        <v>0</v>
      </c>
      <c r="J16" s="1131">
        <f t="shared" ca="1" si="0"/>
        <v>0</v>
      </c>
      <c r="K16" s="1131">
        <f t="shared" ca="1" si="0"/>
        <v>0</v>
      </c>
      <c r="L16" s="1131">
        <f t="shared" ca="1" si="0"/>
        <v>0</v>
      </c>
      <c r="M16" s="1131">
        <f t="shared" ca="1" si="0"/>
        <v>0</v>
      </c>
      <c r="N16" s="1131">
        <f t="shared" ca="1" si="0"/>
        <v>0</v>
      </c>
      <c r="O16" s="1131">
        <f t="shared" ca="1" si="0"/>
        <v>0</v>
      </c>
      <c r="P16" s="1131">
        <f t="shared" ca="1" si="1"/>
        <v>0</v>
      </c>
      <c r="Q16" s="1131"/>
      <c r="R16" s="1131"/>
      <c r="S16" s="1131">
        <f t="shared" ca="1" si="2"/>
        <v>0</v>
      </c>
      <c r="T16" s="1131">
        <f t="shared" ca="1" si="2"/>
        <v>0</v>
      </c>
      <c r="U16" s="1131">
        <f t="shared" ca="1" si="2"/>
        <v>0</v>
      </c>
      <c r="V16" s="1131">
        <f t="shared" ca="1" si="2"/>
        <v>0</v>
      </c>
      <c r="W16" s="1131">
        <f t="shared" ca="1" si="2"/>
        <v>0</v>
      </c>
      <c r="X16" s="1131">
        <f t="shared" ca="1" si="2"/>
        <v>0</v>
      </c>
      <c r="Y16" s="1131">
        <f t="shared" ca="1" si="2"/>
        <v>0</v>
      </c>
      <c r="Z16" s="1131">
        <f t="shared" ca="1" si="2"/>
        <v>0</v>
      </c>
      <c r="AA16" s="1131">
        <f t="shared" ca="1" si="2"/>
        <v>0</v>
      </c>
      <c r="AB16" s="1131">
        <f t="shared" ca="1" si="2"/>
        <v>0</v>
      </c>
      <c r="AC16" s="1131">
        <f t="shared" ca="1" si="3"/>
        <v>0</v>
      </c>
      <c r="AD16" s="1131"/>
      <c r="AE16" s="1131"/>
      <c r="AF16" s="1131">
        <f t="shared" ca="1" si="4"/>
        <v>0</v>
      </c>
      <c r="AG16" s="1131">
        <f t="shared" ca="1" si="4"/>
        <v>0</v>
      </c>
      <c r="AH16" s="1131">
        <f t="shared" ca="1" si="4"/>
        <v>0</v>
      </c>
      <c r="AI16" s="1131">
        <f t="shared" ca="1" si="4"/>
        <v>0</v>
      </c>
      <c r="AJ16" s="1131">
        <f t="shared" ca="1" si="4"/>
        <v>0</v>
      </c>
      <c r="AK16" s="1131">
        <f t="shared" ca="1" si="4"/>
        <v>0</v>
      </c>
      <c r="AL16" s="1131">
        <f t="shared" ca="1" si="4"/>
        <v>0</v>
      </c>
      <c r="AM16" s="1131">
        <f t="shared" ca="1" si="4"/>
        <v>0</v>
      </c>
      <c r="AN16" s="1131">
        <f t="shared" ca="1" si="4"/>
        <v>0</v>
      </c>
      <c r="AO16" s="1131">
        <f t="shared" ca="1" si="4"/>
        <v>0</v>
      </c>
      <c r="AP16" s="1131">
        <f t="shared" ca="1" si="5"/>
        <v>0</v>
      </c>
      <c r="AQ16" s="1131"/>
      <c r="AR16" s="1131"/>
      <c r="AS16" s="1131">
        <f t="shared" ca="1" si="6"/>
        <v>0</v>
      </c>
      <c r="AT16" s="1131">
        <f t="shared" ca="1" si="7"/>
        <v>0</v>
      </c>
      <c r="AU16" s="1131">
        <f t="shared" ca="1" si="8"/>
        <v>0</v>
      </c>
      <c r="AV16" s="1131">
        <f t="shared" ca="1" si="9"/>
        <v>0</v>
      </c>
      <c r="AW16" s="1131">
        <f t="shared" ca="1" si="10"/>
        <v>0</v>
      </c>
      <c r="AX16" s="1131">
        <f t="shared" ca="1" si="11"/>
        <v>0</v>
      </c>
      <c r="AY16" s="1131">
        <f t="shared" ca="1" si="12"/>
        <v>0</v>
      </c>
      <c r="AZ16" s="1131">
        <f t="shared" ca="1" si="13"/>
        <v>0</v>
      </c>
      <c r="BA16" s="1131">
        <f t="shared" ca="1" si="14"/>
        <v>0</v>
      </c>
      <c r="BB16" s="1131">
        <f t="shared" ca="1" si="20"/>
        <v>0</v>
      </c>
      <c r="BC16" s="1131">
        <f t="shared" ca="1" si="15"/>
        <v>0</v>
      </c>
      <c r="BD16" s="1131"/>
      <c r="BE16" s="1131"/>
      <c r="BF16" s="19">
        <f>'Global cost assumptions'!E37</f>
        <v>0.1</v>
      </c>
      <c r="BG16" s="1131">
        <f>'Global cost assumptions'!F37</f>
        <v>30</v>
      </c>
      <c r="BH16" s="1131"/>
      <c r="BI16" s="1131"/>
      <c r="BJ16" s="27">
        <f t="shared" ca="1" si="21"/>
        <v>0</v>
      </c>
      <c r="BK16" s="27">
        <f t="shared" ca="1" si="22"/>
        <v>0</v>
      </c>
      <c r="BL16" s="27">
        <f t="shared" ca="1" si="23"/>
        <v>0</v>
      </c>
      <c r="BM16" s="27">
        <f t="shared" ca="1" si="24"/>
        <v>0</v>
      </c>
      <c r="BN16" s="27">
        <f t="shared" ca="1" si="25"/>
        <v>0</v>
      </c>
      <c r="BO16" s="27">
        <f t="shared" ca="1" si="26"/>
        <v>0</v>
      </c>
      <c r="BP16" s="27">
        <f t="shared" ca="1" si="27"/>
        <v>0</v>
      </c>
      <c r="BQ16" s="27">
        <f t="shared" ca="1" si="28"/>
        <v>0</v>
      </c>
      <c r="BR16" s="27">
        <f t="shared" ca="1" si="29"/>
        <v>0</v>
      </c>
      <c r="BS16" s="27">
        <f t="shared" ca="1" si="30"/>
        <v>0</v>
      </c>
      <c r="BT16" s="1131"/>
      <c r="BU16" s="1131"/>
      <c r="BV16" s="1409">
        <f t="shared" ca="1" si="31"/>
        <v>0</v>
      </c>
      <c r="BW16" s="1917">
        <f t="shared" ca="1" si="32"/>
        <v>0</v>
      </c>
      <c r="BX16" s="1917">
        <f t="shared" ca="1" si="33"/>
        <v>0</v>
      </c>
      <c r="BY16" s="1917">
        <f t="shared" ca="1" si="34"/>
        <v>0</v>
      </c>
      <c r="BZ16" s="1917">
        <f t="shared" ca="1" si="35"/>
        <v>0</v>
      </c>
      <c r="CA16" s="1917">
        <f t="shared" ca="1" si="36"/>
        <v>0</v>
      </c>
      <c r="CB16" s="1917">
        <f t="shared" ca="1" si="37"/>
        <v>0</v>
      </c>
      <c r="CC16" s="1917">
        <f t="shared" ca="1" si="38"/>
        <v>0</v>
      </c>
      <c r="CD16" s="1917">
        <f t="shared" ca="1" si="39"/>
        <v>0</v>
      </c>
      <c r="CE16" s="1917">
        <f t="shared" ca="1" si="40"/>
        <v>0</v>
      </c>
      <c r="CF16" s="1131">
        <f t="shared" ca="1" si="17"/>
        <v>0</v>
      </c>
      <c r="CG16" s="1131"/>
      <c r="CH16" s="1131"/>
      <c r="CI16" s="1409">
        <f t="shared" ca="1" si="41"/>
        <v>0</v>
      </c>
      <c r="CJ16" s="1409">
        <f t="shared" ca="1" si="42"/>
        <v>0</v>
      </c>
      <c r="CK16" s="1409">
        <f t="shared" ca="1" si="43"/>
        <v>0</v>
      </c>
      <c r="CL16" s="1409">
        <f t="shared" ca="1" si="44"/>
        <v>0</v>
      </c>
      <c r="CM16" s="1409">
        <f t="shared" ca="1" si="45"/>
        <v>0</v>
      </c>
      <c r="CN16" s="1409">
        <f t="shared" ca="1" si="46"/>
        <v>0</v>
      </c>
      <c r="CO16" s="1409">
        <f t="shared" ca="1" si="47"/>
        <v>0</v>
      </c>
      <c r="CP16" s="1409">
        <f t="shared" ca="1" si="48"/>
        <v>0</v>
      </c>
      <c r="CQ16" s="1409">
        <f t="shared" ca="1" si="49"/>
        <v>0</v>
      </c>
      <c r="CR16" s="1409">
        <f t="shared" ca="1" si="50"/>
        <v>0</v>
      </c>
      <c r="CS16" s="1131">
        <f t="shared" ca="1" si="19"/>
        <v>0</v>
      </c>
    </row>
    <row r="17" spans="3:97">
      <c r="C17" s="1763" t="s">
        <v>650</v>
      </c>
      <c r="D17" s="1763" t="s">
        <v>63</v>
      </c>
      <c r="F17" s="1131">
        <f t="shared" ca="1" si="0"/>
        <v>0</v>
      </c>
      <c r="G17" s="1131">
        <f t="shared" ca="1" si="0"/>
        <v>0</v>
      </c>
      <c r="H17" s="1131">
        <f t="shared" ca="1" si="0"/>
        <v>0</v>
      </c>
      <c r="I17" s="1131">
        <f t="shared" ca="1" si="0"/>
        <v>0</v>
      </c>
      <c r="J17" s="1131">
        <f t="shared" ca="1" si="0"/>
        <v>0</v>
      </c>
      <c r="K17" s="1131">
        <f t="shared" ca="1" si="0"/>
        <v>0</v>
      </c>
      <c r="L17" s="1131">
        <f t="shared" ca="1" si="0"/>
        <v>0</v>
      </c>
      <c r="M17" s="1131">
        <f t="shared" ca="1" si="0"/>
        <v>0</v>
      </c>
      <c r="N17" s="1131">
        <f t="shared" ca="1" si="0"/>
        <v>0</v>
      </c>
      <c r="O17" s="1131">
        <f t="shared" ca="1" si="0"/>
        <v>0</v>
      </c>
      <c r="P17" s="1131">
        <f t="shared" ca="1" si="1"/>
        <v>0</v>
      </c>
      <c r="Q17" s="1131"/>
      <c r="R17" s="1131"/>
      <c r="S17" s="1131">
        <f t="shared" ca="1" si="2"/>
        <v>0</v>
      </c>
      <c r="T17" s="1131">
        <f t="shared" ca="1" si="2"/>
        <v>0</v>
      </c>
      <c r="U17" s="1131">
        <f t="shared" ca="1" si="2"/>
        <v>0</v>
      </c>
      <c r="V17" s="1131">
        <f t="shared" ca="1" si="2"/>
        <v>0</v>
      </c>
      <c r="W17" s="1131">
        <f t="shared" ca="1" si="2"/>
        <v>0</v>
      </c>
      <c r="X17" s="1131">
        <f t="shared" ca="1" si="2"/>
        <v>0</v>
      </c>
      <c r="Y17" s="1131">
        <f t="shared" ca="1" si="2"/>
        <v>0</v>
      </c>
      <c r="Z17" s="1131">
        <f t="shared" ca="1" si="2"/>
        <v>0</v>
      </c>
      <c r="AA17" s="1131">
        <f t="shared" ca="1" si="2"/>
        <v>0</v>
      </c>
      <c r="AB17" s="1131">
        <f t="shared" ca="1" si="2"/>
        <v>0</v>
      </c>
      <c r="AC17" s="1131">
        <f t="shared" ca="1" si="3"/>
        <v>0</v>
      </c>
      <c r="AD17" s="1131"/>
      <c r="AE17" s="1131"/>
      <c r="AF17" s="1131">
        <f t="shared" ca="1" si="4"/>
        <v>0</v>
      </c>
      <c r="AG17" s="1131">
        <f t="shared" ca="1" si="4"/>
        <v>0</v>
      </c>
      <c r="AH17" s="1131">
        <f t="shared" ca="1" si="4"/>
        <v>0</v>
      </c>
      <c r="AI17" s="1131">
        <f t="shared" ca="1" si="4"/>
        <v>0</v>
      </c>
      <c r="AJ17" s="1131">
        <f t="shared" ca="1" si="4"/>
        <v>0</v>
      </c>
      <c r="AK17" s="1131">
        <f t="shared" ca="1" si="4"/>
        <v>0</v>
      </c>
      <c r="AL17" s="1131">
        <f t="shared" ca="1" si="4"/>
        <v>0</v>
      </c>
      <c r="AM17" s="1131">
        <f t="shared" ca="1" si="4"/>
        <v>0</v>
      </c>
      <c r="AN17" s="1131">
        <f t="shared" ca="1" si="4"/>
        <v>0</v>
      </c>
      <c r="AO17" s="1131">
        <f t="shared" ca="1" si="4"/>
        <v>0</v>
      </c>
      <c r="AP17" s="1131">
        <f t="shared" ca="1" si="5"/>
        <v>0</v>
      </c>
      <c r="AQ17" s="1131"/>
      <c r="AR17" s="1131"/>
      <c r="AS17" s="1131">
        <f t="shared" ca="1" si="6"/>
        <v>0</v>
      </c>
      <c r="AT17" s="1131">
        <f t="shared" ca="1" si="7"/>
        <v>0</v>
      </c>
      <c r="AU17" s="1131">
        <f t="shared" ca="1" si="8"/>
        <v>0</v>
      </c>
      <c r="AV17" s="1131">
        <f t="shared" ca="1" si="9"/>
        <v>0</v>
      </c>
      <c r="AW17" s="1131">
        <f t="shared" ca="1" si="10"/>
        <v>0</v>
      </c>
      <c r="AX17" s="1131">
        <f t="shared" ca="1" si="11"/>
        <v>0</v>
      </c>
      <c r="AY17" s="1131">
        <f t="shared" ca="1" si="12"/>
        <v>0</v>
      </c>
      <c r="AZ17" s="1131">
        <f t="shared" ca="1" si="13"/>
        <v>0</v>
      </c>
      <c r="BA17" s="1131">
        <f t="shared" ca="1" si="14"/>
        <v>0</v>
      </c>
      <c r="BB17" s="1131">
        <f t="shared" ca="1" si="20"/>
        <v>0</v>
      </c>
      <c r="BC17" s="1131">
        <f t="shared" ca="1" si="15"/>
        <v>0</v>
      </c>
      <c r="BD17" s="1131"/>
      <c r="BE17" s="1131"/>
      <c r="BF17" s="19">
        <f>'Global cost assumptions'!E38</f>
        <v>0.1</v>
      </c>
      <c r="BG17" s="1131">
        <f>'Global cost assumptions'!F38</f>
        <v>30</v>
      </c>
      <c r="BH17" s="1131"/>
      <c r="BI17" s="1131"/>
      <c r="BJ17" s="27">
        <f t="shared" ca="1" si="21"/>
        <v>0</v>
      </c>
      <c r="BK17" s="27">
        <f t="shared" ca="1" si="22"/>
        <v>0</v>
      </c>
      <c r="BL17" s="27">
        <f t="shared" ca="1" si="23"/>
        <v>0</v>
      </c>
      <c r="BM17" s="27">
        <f t="shared" ca="1" si="24"/>
        <v>0</v>
      </c>
      <c r="BN17" s="27">
        <f t="shared" ca="1" si="25"/>
        <v>0</v>
      </c>
      <c r="BO17" s="27">
        <f t="shared" ca="1" si="26"/>
        <v>0</v>
      </c>
      <c r="BP17" s="27">
        <f t="shared" ca="1" si="27"/>
        <v>0</v>
      </c>
      <c r="BQ17" s="27">
        <f t="shared" ca="1" si="28"/>
        <v>0</v>
      </c>
      <c r="BR17" s="27">
        <f t="shared" ca="1" si="29"/>
        <v>0</v>
      </c>
      <c r="BS17" s="27">
        <f t="shared" ca="1" si="30"/>
        <v>0</v>
      </c>
      <c r="BT17" s="1131"/>
      <c r="BU17" s="1131"/>
      <c r="BV17" s="1409">
        <f t="shared" ca="1" si="31"/>
        <v>0</v>
      </c>
      <c r="BW17" s="1917">
        <f t="shared" ca="1" si="32"/>
        <v>0</v>
      </c>
      <c r="BX17" s="1917">
        <f t="shared" ca="1" si="33"/>
        <v>0</v>
      </c>
      <c r="BY17" s="1917">
        <f t="shared" ca="1" si="34"/>
        <v>0</v>
      </c>
      <c r="BZ17" s="1917">
        <f t="shared" ca="1" si="35"/>
        <v>0</v>
      </c>
      <c r="CA17" s="1917">
        <f t="shared" ca="1" si="36"/>
        <v>0</v>
      </c>
      <c r="CB17" s="1917">
        <f t="shared" ca="1" si="37"/>
        <v>0</v>
      </c>
      <c r="CC17" s="1917">
        <f t="shared" ca="1" si="38"/>
        <v>0</v>
      </c>
      <c r="CD17" s="1917">
        <f t="shared" ca="1" si="39"/>
        <v>0</v>
      </c>
      <c r="CE17" s="1917">
        <f t="shared" ca="1" si="40"/>
        <v>0</v>
      </c>
      <c r="CF17" s="1131">
        <f t="shared" ca="1" si="17"/>
        <v>0</v>
      </c>
      <c r="CG17" s="1131"/>
      <c r="CH17" s="1131"/>
      <c r="CI17" s="1409">
        <f t="shared" ca="1" si="41"/>
        <v>0</v>
      </c>
      <c r="CJ17" s="1409">
        <f t="shared" ca="1" si="42"/>
        <v>0</v>
      </c>
      <c r="CK17" s="1409">
        <f t="shared" ca="1" si="43"/>
        <v>0</v>
      </c>
      <c r="CL17" s="1409">
        <f t="shared" ca="1" si="44"/>
        <v>0</v>
      </c>
      <c r="CM17" s="1409">
        <f t="shared" ca="1" si="45"/>
        <v>0</v>
      </c>
      <c r="CN17" s="1409">
        <f t="shared" ca="1" si="46"/>
        <v>0</v>
      </c>
      <c r="CO17" s="1409">
        <f t="shared" ca="1" si="47"/>
        <v>0</v>
      </c>
      <c r="CP17" s="1409">
        <f t="shared" ca="1" si="48"/>
        <v>0</v>
      </c>
      <c r="CQ17" s="1409">
        <f t="shared" ca="1" si="49"/>
        <v>0</v>
      </c>
      <c r="CR17" s="1409">
        <f t="shared" ca="1" si="50"/>
        <v>0</v>
      </c>
      <c r="CS17" s="1131">
        <f t="shared" ca="1" si="19"/>
        <v>0</v>
      </c>
    </row>
    <row r="18" spans="3:97">
      <c r="C18" s="1763" t="s">
        <v>652</v>
      </c>
      <c r="D18" s="1763" t="s">
        <v>1250</v>
      </c>
      <c r="F18" s="1131">
        <f t="shared" ca="1" si="0"/>
        <v>0</v>
      </c>
      <c r="G18" s="1131">
        <f t="shared" ca="1" si="0"/>
        <v>0</v>
      </c>
      <c r="H18" s="1131">
        <f t="shared" ca="1" si="0"/>
        <v>0</v>
      </c>
      <c r="I18" s="1131">
        <f t="shared" ca="1" si="0"/>
        <v>0</v>
      </c>
      <c r="J18" s="1131">
        <f t="shared" ca="1" si="0"/>
        <v>0</v>
      </c>
      <c r="K18" s="1131">
        <f t="shared" ca="1" si="0"/>
        <v>0</v>
      </c>
      <c r="L18" s="1131">
        <f t="shared" ca="1" si="0"/>
        <v>0</v>
      </c>
      <c r="M18" s="1131">
        <f t="shared" ca="1" si="0"/>
        <v>0</v>
      </c>
      <c r="N18" s="1131">
        <f t="shared" ca="1" si="0"/>
        <v>0</v>
      </c>
      <c r="O18" s="1131">
        <f t="shared" ca="1" si="0"/>
        <v>0</v>
      </c>
      <c r="P18" s="1131">
        <f t="shared" ca="1" si="1"/>
        <v>0</v>
      </c>
      <c r="Q18" s="1131"/>
      <c r="R18" s="1131"/>
      <c r="S18" s="1131">
        <f t="shared" ca="1" si="2"/>
        <v>0</v>
      </c>
      <c r="T18" s="1131">
        <f t="shared" ca="1" si="2"/>
        <v>0</v>
      </c>
      <c r="U18" s="1131">
        <f t="shared" ca="1" si="2"/>
        <v>0</v>
      </c>
      <c r="V18" s="1131">
        <f t="shared" ca="1" si="2"/>
        <v>0</v>
      </c>
      <c r="W18" s="1131">
        <f t="shared" ca="1" si="2"/>
        <v>0</v>
      </c>
      <c r="X18" s="1131">
        <f t="shared" ca="1" si="2"/>
        <v>0</v>
      </c>
      <c r="Y18" s="1131">
        <f t="shared" ca="1" si="2"/>
        <v>0</v>
      </c>
      <c r="Z18" s="1131">
        <f t="shared" ca="1" si="2"/>
        <v>0</v>
      </c>
      <c r="AA18" s="1131">
        <f t="shared" ca="1" si="2"/>
        <v>0</v>
      </c>
      <c r="AB18" s="1131">
        <f t="shared" ca="1" si="2"/>
        <v>0</v>
      </c>
      <c r="AC18" s="1131">
        <f t="shared" ca="1" si="3"/>
        <v>0</v>
      </c>
      <c r="AD18" s="1131"/>
      <c r="AE18" s="1131"/>
      <c r="AF18" s="1131">
        <f t="shared" ca="1" si="4"/>
        <v>0</v>
      </c>
      <c r="AG18" s="1131">
        <f t="shared" ca="1" si="4"/>
        <v>0</v>
      </c>
      <c r="AH18" s="1131">
        <f t="shared" ca="1" si="4"/>
        <v>0</v>
      </c>
      <c r="AI18" s="1131">
        <f t="shared" ca="1" si="4"/>
        <v>0</v>
      </c>
      <c r="AJ18" s="1131">
        <f t="shared" ca="1" si="4"/>
        <v>0</v>
      </c>
      <c r="AK18" s="1131">
        <f t="shared" ca="1" si="4"/>
        <v>0</v>
      </c>
      <c r="AL18" s="1131">
        <f t="shared" ca="1" si="4"/>
        <v>0</v>
      </c>
      <c r="AM18" s="1131">
        <f t="shared" ca="1" si="4"/>
        <v>0</v>
      </c>
      <c r="AN18" s="1131">
        <f t="shared" ca="1" si="4"/>
        <v>0</v>
      </c>
      <c r="AO18" s="1131">
        <f t="shared" ca="1" si="4"/>
        <v>0</v>
      </c>
      <c r="AP18" s="1131">
        <f t="shared" ca="1" si="5"/>
        <v>0</v>
      </c>
      <c r="AQ18" s="1131"/>
      <c r="AR18" s="1131"/>
      <c r="AS18" s="1131">
        <f t="shared" ca="1" si="6"/>
        <v>0</v>
      </c>
      <c r="AT18" s="1131">
        <f t="shared" ca="1" si="7"/>
        <v>0</v>
      </c>
      <c r="AU18" s="1131">
        <f t="shared" ca="1" si="8"/>
        <v>0</v>
      </c>
      <c r="AV18" s="1131">
        <f t="shared" ca="1" si="9"/>
        <v>0</v>
      </c>
      <c r="AW18" s="1131">
        <f t="shared" ca="1" si="10"/>
        <v>0</v>
      </c>
      <c r="AX18" s="1131">
        <f t="shared" ca="1" si="11"/>
        <v>0</v>
      </c>
      <c r="AY18" s="1131">
        <f t="shared" ca="1" si="12"/>
        <v>0</v>
      </c>
      <c r="AZ18" s="1131">
        <f t="shared" ca="1" si="13"/>
        <v>0</v>
      </c>
      <c r="BA18" s="1131">
        <f t="shared" ca="1" si="14"/>
        <v>0</v>
      </c>
      <c r="BB18" s="1131">
        <f t="shared" ca="1" si="20"/>
        <v>0</v>
      </c>
      <c r="BC18" s="1131">
        <f t="shared" ca="1" si="15"/>
        <v>0</v>
      </c>
      <c r="BD18" s="1131"/>
      <c r="BE18" s="1131"/>
      <c r="BF18" s="19">
        <f>'Global cost assumptions'!E39</f>
        <v>0.1</v>
      </c>
      <c r="BG18" s="1131">
        <f>'Global cost assumptions'!F39</f>
        <v>30</v>
      </c>
      <c r="BH18" s="1131"/>
      <c r="BI18" s="1131"/>
      <c r="BJ18" s="27">
        <f t="shared" ca="1" si="21"/>
        <v>0</v>
      </c>
      <c r="BK18" s="27">
        <f t="shared" ca="1" si="22"/>
        <v>0</v>
      </c>
      <c r="BL18" s="27">
        <f t="shared" ca="1" si="23"/>
        <v>0</v>
      </c>
      <c r="BM18" s="27">
        <f t="shared" ca="1" si="24"/>
        <v>0</v>
      </c>
      <c r="BN18" s="27">
        <f t="shared" ca="1" si="25"/>
        <v>0</v>
      </c>
      <c r="BO18" s="27">
        <f t="shared" ca="1" si="26"/>
        <v>0</v>
      </c>
      <c r="BP18" s="27">
        <f t="shared" ca="1" si="27"/>
        <v>0</v>
      </c>
      <c r="BQ18" s="27">
        <f t="shared" ca="1" si="28"/>
        <v>0</v>
      </c>
      <c r="BR18" s="27">
        <f t="shared" ca="1" si="29"/>
        <v>0</v>
      </c>
      <c r="BS18" s="27">
        <f t="shared" ca="1" si="30"/>
        <v>0</v>
      </c>
      <c r="BT18" s="1131"/>
      <c r="BU18" s="1131"/>
      <c r="BV18" s="1409">
        <f t="shared" ca="1" si="31"/>
        <v>0</v>
      </c>
      <c r="BW18" s="1917">
        <f t="shared" ca="1" si="32"/>
        <v>0</v>
      </c>
      <c r="BX18" s="1917">
        <f t="shared" ca="1" si="33"/>
        <v>0</v>
      </c>
      <c r="BY18" s="1917">
        <f t="shared" ca="1" si="34"/>
        <v>0</v>
      </c>
      <c r="BZ18" s="1917">
        <f t="shared" ca="1" si="35"/>
        <v>0</v>
      </c>
      <c r="CA18" s="1917">
        <f t="shared" ca="1" si="36"/>
        <v>0</v>
      </c>
      <c r="CB18" s="1917">
        <f t="shared" ca="1" si="37"/>
        <v>0</v>
      </c>
      <c r="CC18" s="1917">
        <f t="shared" ca="1" si="38"/>
        <v>0</v>
      </c>
      <c r="CD18" s="1917">
        <f t="shared" ca="1" si="39"/>
        <v>0</v>
      </c>
      <c r="CE18" s="1917">
        <f t="shared" ca="1" si="40"/>
        <v>0</v>
      </c>
      <c r="CF18" s="1131">
        <f t="shared" ca="1" si="17"/>
        <v>0</v>
      </c>
      <c r="CG18" s="1131"/>
      <c r="CH18" s="1131"/>
      <c r="CI18" s="1409">
        <f t="shared" ca="1" si="41"/>
        <v>0</v>
      </c>
      <c r="CJ18" s="1409">
        <f t="shared" ca="1" si="42"/>
        <v>0</v>
      </c>
      <c r="CK18" s="1409">
        <f t="shared" ca="1" si="43"/>
        <v>0</v>
      </c>
      <c r="CL18" s="1409">
        <f t="shared" ca="1" si="44"/>
        <v>0</v>
      </c>
      <c r="CM18" s="1409">
        <f t="shared" ca="1" si="45"/>
        <v>0</v>
      </c>
      <c r="CN18" s="1409">
        <f t="shared" ca="1" si="46"/>
        <v>0</v>
      </c>
      <c r="CO18" s="1409">
        <f t="shared" ca="1" si="47"/>
        <v>0</v>
      </c>
      <c r="CP18" s="1409">
        <f t="shared" ca="1" si="48"/>
        <v>0</v>
      </c>
      <c r="CQ18" s="1409">
        <f t="shared" ca="1" si="49"/>
        <v>0</v>
      </c>
      <c r="CR18" s="1409">
        <f t="shared" ca="1" si="50"/>
        <v>0</v>
      </c>
      <c r="CS18" s="1131">
        <f t="shared" ca="1" si="19"/>
        <v>0</v>
      </c>
    </row>
    <row r="19" spans="3:97">
      <c r="C19" s="1763" t="s">
        <v>653</v>
      </c>
      <c r="D19" s="1763" t="s">
        <v>3</v>
      </c>
      <c r="F19" s="1131">
        <f t="shared" ca="1" si="0"/>
        <v>0</v>
      </c>
      <c r="G19" s="1131">
        <f t="shared" ca="1" si="0"/>
        <v>0</v>
      </c>
      <c r="H19" s="1131">
        <f t="shared" ca="1" si="0"/>
        <v>0</v>
      </c>
      <c r="I19" s="1131">
        <f t="shared" ca="1" si="0"/>
        <v>0</v>
      </c>
      <c r="J19" s="1131">
        <f t="shared" ca="1" si="0"/>
        <v>0</v>
      </c>
      <c r="K19" s="1131">
        <f t="shared" ca="1" si="0"/>
        <v>0</v>
      </c>
      <c r="L19" s="1131">
        <f t="shared" ca="1" si="0"/>
        <v>0</v>
      </c>
      <c r="M19" s="1131">
        <f t="shared" ca="1" si="0"/>
        <v>0</v>
      </c>
      <c r="N19" s="1131">
        <f t="shared" ca="1" si="0"/>
        <v>0</v>
      </c>
      <c r="O19" s="1131">
        <f t="shared" ca="1" si="0"/>
        <v>0</v>
      </c>
      <c r="P19" s="1131">
        <f t="shared" ca="1" si="1"/>
        <v>0</v>
      </c>
      <c r="Q19" s="1131"/>
      <c r="R19" s="1131"/>
      <c r="S19" s="1131">
        <f t="shared" ca="1" si="2"/>
        <v>0</v>
      </c>
      <c r="T19" s="1131">
        <f t="shared" ca="1" si="2"/>
        <v>0</v>
      </c>
      <c r="U19" s="1131">
        <f t="shared" ca="1" si="2"/>
        <v>0</v>
      </c>
      <c r="V19" s="1131">
        <f t="shared" ca="1" si="2"/>
        <v>0</v>
      </c>
      <c r="W19" s="1131">
        <f t="shared" ca="1" si="2"/>
        <v>0</v>
      </c>
      <c r="X19" s="1131">
        <f t="shared" ca="1" si="2"/>
        <v>0</v>
      </c>
      <c r="Y19" s="1131">
        <f t="shared" ca="1" si="2"/>
        <v>0</v>
      </c>
      <c r="Z19" s="1131">
        <f t="shared" ca="1" si="2"/>
        <v>0</v>
      </c>
      <c r="AA19" s="1131">
        <f t="shared" ca="1" si="2"/>
        <v>0</v>
      </c>
      <c r="AB19" s="1131">
        <f t="shared" ca="1" si="2"/>
        <v>0</v>
      </c>
      <c r="AC19" s="1131">
        <f t="shared" ca="1" si="3"/>
        <v>0</v>
      </c>
      <c r="AD19" s="1131"/>
      <c r="AE19" s="1131"/>
      <c r="AF19" s="1131">
        <f t="shared" ca="1" si="4"/>
        <v>0</v>
      </c>
      <c r="AG19" s="1131">
        <f t="shared" ca="1" si="4"/>
        <v>0</v>
      </c>
      <c r="AH19" s="1131">
        <f t="shared" ca="1" si="4"/>
        <v>0</v>
      </c>
      <c r="AI19" s="1131">
        <f t="shared" ca="1" si="4"/>
        <v>0</v>
      </c>
      <c r="AJ19" s="1131">
        <f t="shared" ca="1" si="4"/>
        <v>0</v>
      </c>
      <c r="AK19" s="1131">
        <f t="shared" ca="1" si="4"/>
        <v>0</v>
      </c>
      <c r="AL19" s="1131">
        <f t="shared" ca="1" si="4"/>
        <v>0</v>
      </c>
      <c r="AM19" s="1131">
        <f t="shared" ca="1" si="4"/>
        <v>0</v>
      </c>
      <c r="AN19" s="1131">
        <f t="shared" ca="1" si="4"/>
        <v>0</v>
      </c>
      <c r="AO19" s="1131">
        <f t="shared" ca="1" si="4"/>
        <v>0</v>
      </c>
      <c r="AP19" s="1131">
        <f t="shared" ca="1" si="5"/>
        <v>0</v>
      </c>
      <c r="AQ19" s="1131"/>
      <c r="AR19" s="1131"/>
      <c r="AS19" s="1131">
        <f t="shared" ca="1" si="6"/>
        <v>0</v>
      </c>
      <c r="AT19" s="1131">
        <f t="shared" ca="1" si="7"/>
        <v>0</v>
      </c>
      <c r="AU19" s="1131">
        <f t="shared" ca="1" si="8"/>
        <v>0</v>
      </c>
      <c r="AV19" s="1131">
        <f t="shared" ca="1" si="9"/>
        <v>0</v>
      </c>
      <c r="AW19" s="1131">
        <f t="shared" ca="1" si="10"/>
        <v>0</v>
      </c>
      <c r="AX19" s="1131">
        <f t="shared" ca="1" si="11"/>
        <v>0</v>
      </c>
      <c r="AY19" s="1131">
        <f t="shared" ca="1" si="12"/>
        <v>0</v>
      </c>
      <c r="AZ19" s="1131">
        <f t="shared" ca="1" si="13"/>
        <v>0</v>
      </c>
      <c r="BA19" s="1131">
        <f t="shared" ca="1" si="14"/>
        <v>0</v>
      </c>
      <c r="BB19" s="1131">
        <f t="shared" ca="1" si="20"/>
        <v>0</v>
      </c>
      <c r="BC19" s="1131">
        <f t="shared" ca="1" si="15"/>
        <v>0</v>
      </c>
      <c r="BD19" s="1131"/>
      <c r="BE19" s="1131"/>
      <c r="BF19" s="19">
        <f>'Global cost assumptions'!E40</f>
        <v>0.1</v>
      </c>
      <c r="BG19" s="1131">
        <f>'Global cost assumptions'!F40</f>
        <v>30</v>
      </c>
      <c r="BH19" s="1131"/>
      <c r="BI19" s="1131"/>
      <c r="BJ19" s="27">
        <f t="shared" ca="1" si="21"/>
        <v>0</v>
      </c>
      <c r="BK19" s="27">
        <f t="shared" ca="1" si="22"/>
        <v>0</v>
      </c>
      <c r="BL19" s="27">
        <f t="shared" ca="1" si="23"/>
        <v>0</v>
      </c>
      <c r="BM19" s="27">
        <f t="shared" ca="1" si="24"/>
        <v>0</v>
      </c>
      <c r="BN19" s="27">
        <f t="shared" ca="1" si="25"/>
        <v>0</v>
      </c>
      <c r="BO19" s="27">
        <f t="shared" ca="1" si="26"/>
        <v>0</v>
      </c>
      <c r="BP19" s="27">
        <f t="shared" ca="1" si="27"/>
        <v>0</v>
      </c>
      <c r="BQ19" s="27">
        <f t="shared" ca="1" si="28"/>
        <v>0</v>
      </c>
      <c r="BR19" s="27">
        <f t="shared" ca="1" si="29"/>
        <v>0</v>
      </c>
      <c r="BS19" s="27">
        <f t="shared" ca="1" si="30"/>
        <v>0</v>
      </c>
      <c r="BT19" s="1131"/>
      <c r="BU19" s="1131"/>
      <c r="BV19" s="1409">
        <f t="shared" ca="1" si="31"/>
        <v>0</v>
      </c>
      <c r="BW19" s="1917">
        <f t="shared" ca="1" si="32"/>
        <v>0</v>
      </c>
      <c r="BX19" s="1917">
        <f t="shared" ca="1" si="33"/>
        <v>0</v>
      </c>
      <c r="BY19" s="1917">
        <f t="shared" ca="1" si="34"/>
        <v>0</v>
      </c>
      <c r="BZ19" s="1917">
        <f t="shared" ca="1" si="35"/>
        <v>0</v>
      </c>
      <c r="CA19" s="1917">
        <f t="shared" ca="1" si="36"/>
        <v>0</v>
      </c>
      <c r="CB19" s="1917">
        <f t="shared" ca="1" si="37"/>
        <v>0</v>
      </c>
      <c r="CC19" s="1917">
        <f t="shared" ca="1" si="38"/>
        <v>0</v>
      </c>
      <c r="CD19" s="1917">
        <f t="shared" ca="1" si="39"/>
        <v>0</v>
      </c>
      <c r="CE19" s="1917">
        <f t="shared" ca="1" si="40"/>
        <v>0</v>
      </c>
      <c r="CF19" s="1131">
        <f t="shared" ca="1" si="17"/>
        <v>0</v>
      </c>
      <c r="CG19" s="1131"/>
      <c r="CH19" s="1131"/>
      <c r="CI19" s="1409">
        <f t="shared" ca="1" si="41"/>
        <v>0</v>
      </c>
      <c r="CJ19" s="1409">
        <f t="shared" ca="1" si="42"/>
        <v>0</v>
      </c>
      <c r="CK19" s="1409">
        <f t="shared" ca="1" si="43"/>
        <v>0</v>
      </c>
      <c r="CL19" s="1409">
        <f t="shared" ca="1" si="44"/>
        <v>0</v>
      </c>
      <c r="CM19" s="1409">
        <f t="shared" ca="1" si="45"/>
        <v>0</v>
      </c>
      <c r="CN19" s="1409">
        <f t="shared" ca="1" si="46"/>
        <v>0</v>
      </c>
      <c r="CO19" s="1409">
        <f t="shared" ca="1" si="47"/>
        <v>0</v>
      </c>
      <c r="CP19" s="1409">
        <f t="shared" ca="1" si="48"/>
        <v>0</v>
      </c>
      <c r="CQ19" s="1409">
        <f t="shared" ca="1" si="49"/>
        <v>0</v>
      </c>
      <c r="CR19" s="1409">
        <f t="shared" ca="1" si="50"/>
        <v>0</v>
      </c>
      <c r="CS19" s="1131">
        <f t="shared" ca="1" si="19"/>
        <v>0</v>
      </c>
    </row>
    <row r="20" spans="3:97">
      <c r="C20" s="1763" t="s">
        <v>654</v>
      </c>
      <c r="D20" s="1763" t="s">
        <v>1410</v>
      </c>
      <c r="F20" s="1131">
        <f t="shared" ca="1" si="0"/>
        <v>0</v>
      </c>
      <c r="G20" s="1131">
        <f t="shared" ca="1" si="0"/>
        <v>0</v>
      </c>
      <c r="H20" s="1131">
        <f t="shared" ca="1" si="0"/>
        <v>0</v>
      </c>
      <c r="I20" s="1131">
        <f t="shared" ca="1" si="0"/>
        <v>0</v>
      </c>
      <c r="J20" s="1131">
        <f t="shared" ca="1" si="0"/>
        <v>0</v>
      </c>
      <c r="K20" s="1131">
        <f t="shared" ca="1" si="0"/>
        <v>0</v>
      </c>
      <c r="L20" s="1131">
        <f t="shared" ca="1" si="0"/>
        <v>0</v>
      </c>
      <c r="M20" s="1131">
        <f t="shared" ca="1" si="0"/>
        <v>0</v>
      </c>
      <c r="N20" s="1131">
        <f t="shared" ca="1" si="0"/>
        <v>0</v>
      </c>
      <c r="O20" s="1131">
        <f t="shared" ca="1" si="0"/>
        <v>0</v>
      </c>
      <c r="P20" s="1131">
        <f t="shared" ca="1" si="1"/>
        <v>0</v>
      </c>
      <c r="Q20" s="1131"/>
      <c r="R20" s="1131"/>
      <c r="S20" s="1131">
        <f t="shared" ca="1" si="2"/>
        <v>0</v>
      </c>
      <c r="T20" s="1131">
        <f t="shared" ca="1" si="2"/>
        <v>0</v>
      </c>
      <c r="U20" s="1131">
        <f t="shared" ca="1" si="2"/>
        <v>0</v>
      </c>
      <c r="V20" s="1131">
        <f t="shared" ca="1" si="2"/>
        <v>0</v>
      </c>
      <c r="W20" s="1131">
        <f t="shared" ca="1" si="2"/>
        <v>0</v>
      </c>
      <c r="X20" s="1131">
        <f t="shared" ca="1" si="2"/>
        <v>0</v>
      </c>
      <c r="Y20" s="1131">
        <f t="shared" ca="1" si="2"/>
        <v>0</v>
      </c>
      <c r="Z20" s="1131">
        <f t="shared" ca="1" si="2"/>
        <v>0</v>
      </c>
      <c r="AA20" s="1131">
        <f t="shared" ca="1" si="2"/>
        <v>0</v>
      </c>
      <c r="AB20" s="1131">
        <f t="shared" ca="1" si="2"/>
        <v>0</v>
      </c>
      <c r="AC20" s="1131">
        <f t="shared" ca="1" si="3"/>
        <v>0</v>
      </c>
      <c r="AD20" s="1131"/>
      <c r="AE20" s="1131"/>
      <c r="AF20" s="1131">
        <f t="shared" ca="1" si="4"/>
        <v>0</v>
      </c>
      <c r="AG20" s="1131">
        <f t="shared" ca="1" si="4"/>
        <v>0</v>
      </c>
      <c r="AH20" s="1131">
        <f t="shared" ca="1" si="4"/>
        <v>0</v>
      </c>
      <c r="AI20" s="1131">
        <f t="shared" ca="1" si="4"/>
        <v>0</v>
      </c>
      <c r="AJ20" s="1131">
        <f t="shared" ca="1" si="4"/>
        <v>0</v>
      </c>
      <c r="AK20" s="1131">
        <f t="shared" ca="1" si="4"/>
        <v>0</v>
      </c>
      <c r="AL20" s="1131">
        <f t="shared" ca="1" si="4"/>
        <v>0</v>
      </c>
      <c r="AM20" s="1131">
        <f t="shared" ca="1" si="4"/>
        <v>0</v>
      </c>
      <c r="AN20" s="1131">
        <f t="shared" ca="1" si="4"/>
        <v>0</v>
      </c>
      <c r="AO20" s="1131">
        <f t="shared" ca="1" si="4"/>
        <v>0</v>
      </c>
      <c r="AP20" s="1131">
        <f t="shared" ca="1" si="5"/>
        <v>0</v>
      </c>
      <c r="AQ20" s="1131"/>
      <c r="AR20" s="1131"/>
      <c r="AS20" s="1131">
        <f t="shared" ca="1" si="6"/>
        <v>0</v>
      </c>
      <c r="AT20" s="1131">
        <f t="shared" ca="1" si="7"/>
        <v>0</v>
      </c>
      <c r="AU20" s="1131">
        <f t="shared" ca="1" si="8"/>
        <v>0</v>
      </c>
      <c r="AV20" s="1131">
        <f t="shared" ca="1" si="9"/>
        <v>0</v>
      </c>
      <c r="AW20" s="1131">
        <f t="shared" ca="1" si="10"/>
        <v>0</v>
      </c>
      <c r="AX20" s="1131">
        <f t="shared" ca="1" si="11"/>
        <v>0</v>
      </c>
      <c r="AY20" s="1131">
        <f t="shared" ca="1" si="12"/>
        <v>0</v>
      </c>
      <c r="AZ20" s="1131">
        <f t="shared" ca="1" si="13"/>
        <v>0</v>
      </c>
      <c r="BA20" s="1131">
        <f t="shared" ca="1" si="14"/>
        <v>0</v>
      </c>
      <c r="BB20" s="1131">
        <f t="shared" ca="1" si="20"/>
        <v>0</v>
      </c>
      <c r="BC20" s="1131">
        <f t="shared" ca="1" si="15"/>
        <v>0</v>
      </c>
      <c r="BD20" s="1131"/>
      <c r="BE20" s="1131"/>
      <c r="BF20" s="19">
        <f>'Global cost assumptions'!E41</f>
        <v>0.1</v>
      </c>
      <c r="BG20" s="1131">
        <f>'Global cost assumptions'!F41</f>
        <v>30</v>
      </c>
      <c r="BH20" s="1131"/>
      <c r="BI20" s="1131"/>
      <c r="BJ20" s="27">
        <f t="shared" ca="1" si="21"/>
        <v>0</v>
      </c>
      <c r="BK20" s="27">
        <f t="shared" ca="1" si="22"/>
        <v>0</v>
      </c>
      <c r="BL20" s="27">
        <f t="shared" ca="1" si="23"/>
        <v>0</v>
      </c>
      <c r="BM20" s="27">
        <f t="shared" ca="1" si="24"/>
        <v>0</v>
      </c>
      <c r="BN20" s="27">
        <f t="shared" ca="1" si="25"/>
        <v>0</v>
      </c>
      <c r="BO20" s="27">
        <f t="shared" ca="1" si="26"/>
        <v>0</v>
      </c>
      <c r="BP20" s="27">
        <f t="shared" ca="1" si="27"/>
        <v>0</v>
      </c>
      <c r="BQ20" s="27">
        <f t="shared" ca="1" si="28"/>
        <v>0</v>
      </c>
      <c r="BR20" s="27">
        <f t="shared" ca="1" si="29"/>
        <v>0</v>
      </c>
      <c r="BS20" s="27">
        <f t="shared" ca="1" si="30"/>
        <v>0</v>
      </c>
      <c r="BT20" s="1131"/>
      <c r="BU20" s="1131"/>
      <c r="BV20" s="1409">
        <f t="shared" ca="1" si="31"/>
        <v>0</v>
      </c>
      <c r="BW20" s="1917">
        <f t="shared" ca="1" si="32"/>
        <v>0</v>
      </c>
      <c r="BX20" s="1917">
        <f t="shared" ca="1" si="33"/>
        <v>0</v>
      </c>
      <c r="BY20" s="1917">
        <f t="shared" ca="1" si="34"/>
        <v>0</v>
      </c>
      <c r="BZ20" s="1917">
        <f t="shared" ca="1" si="35"/>
        <v>0</v>
      </c>
      <c r="CA20" s="1917">
        <f t="shared" ca="1" si="36"/>
        <v>0</v>
      </c>
      <c r="CB20" s="1917">
        <f t="shared" ca="1" si="37"/>
        <v>0</v>
      </c>
      <c r="CC20" s="1917">
        <f t="shared" ca="1" si="38"/>
        <v>0</v>
      </c>
      <c r="CD20" s="1917">
        <f t="shared" ca="1" si="39"/>
        <v>0</v>
      </c>
      <c r="CE20" s="1917">
        <f t="shared" ca="1" si="40"/>
        <v>0</v>
      </c>
      <c r="CF20" s="1131">
        <f t="shared" ca="1" si="17"/>
        <v>0</v>
      </c>
      <c r="CG20" s="1131"/>
      <c r="CH20" s="1131"/>
      <c r="CI20" s="1409">
        <f t="shared" ca="1" si="41"/>
        <v>0</v>
      </c>
      <c r="CJ20" s="1409">
        <f t="shared" ca="1" si="42"/>
        <v>0</v>
      </c>
      <c r="CK20" s="1409">
        <f t="shared" ca="1" si="43"/>
        <v>0</v>
      </c>
      <c r="CL20" s="1409">
        <f t="shared" ca="1" si="44"/>
        <v>0</v>
      </c>
      <c r="CM20" s="1409">
        <f t="shared" ca="1" si="45"/>
        <v>0</v>
      </c>
      <c r="CN20" s="1409">
        <f t="shared" ca="1" si="46"/>
        <v>0</v>
      </c>
      <c r="CO20" s="1409">
        <f t="shared" ca="1" si="47"/>
        <v>0</v>
      </c>
      <c r="CP20" s="1409">
        <f t="shared" ca="1" si="48"/>
        <v>0</v>
      </c>
      <c r="CQ20" s="1409">
        <f t="shared" ca="1" si="49"/>
        <v>0</v>
      </c>
      <c r="CR20" s="1409">
        <f t="shared" ca="1" si="50"/>
        <v>0</v>
      </c>
      <c r="CS20" s="1131">
        <f t="shared" ca="1" si="19"/>
        <v>0</v>
      </c>
    </row>
    <row r="21" spans="3:97">
      <c r="C21" s="1763" t="s">
        <v>743</v>
      </c>
      <c r="D21" s="1763" t="s">
        <v>1023</v>
      </c>
      <c r="F21" s="1131">
        <f t="shared" ca="1" si="0"/>
        <v>0</v>
      </c>
      <c r="G21" s="1131">
        <f t="shared" ca="1" si="0"/>
        <v>0</v>
      </c>
      <c r="H21" s="1131">
        <f t="shared" ca="1" si="0"/>
        <v>0</v>
      </c>
      <c r="I21" s="1131">
        <f t="shared" ca="1" si="0"/>
        <v>0</v>
      </c>
      <c r="J21" s="1131">
        <f t="shared" ca="1" si="0"/>
        <v>0</v>
      </c>
      <c r="K21" s="1131">
        <f t="shared" ca="1" si="0"/>
        <v>0</v>
      </c>
      <c r="L21" s="1131">
        <f t="shared" ca="1" si="0"/>
        <v>0</v>
      </c>
      <c r="M21" s="1131">
        <f t="shared" ca="1" si="0"/>
        <v>0</v>
      </c>
      <c r="N21" s="1131">
        <f t="shared" ca="1" si="0"/>
        <v>0</v>
      </c>
      <c r="O21" s="1131">
        <f t="shared" ca="1" si="0"/>
        <v>0</v>
      </c>
      <c r="P21" s="1131">
        <f t="shared" ca="1" si="1"/>
        <v>0</v>
      </c>
      <c r="Q21" s="1131"/>
      <c r="R21" s="1131"/>
      <c r="S21" s="1131">
        <f t="shared" ca="1" si="2"/>
        <v>0</v>
      </c>
      <c r="T21" s="1131">
        <f t="shared" ca="1" si="2"/>
        <v>0</v>
      </c>
      <c r="U21" s="1131">
        <f t="shared" ca="1" si="2"/>
        <v>0</v>
      </c>
      <c r="V21" s="1131">
        <f t="shared" ca="1" si="2"/>
        <v>0</v>
      </c>
      <c r="W21" s="1131">
        <f t="shared" ca="1" si="2"/>
        <v>0</v>
      </c>
      <c r="X21" s="1131">
        <f t="shared" ca="1" si="2"/>
        <v>0</v>
      </c>
      <c r="Y21" s="1131">
        <f t="shared" ca="1" si="2"/>
        <v>0</v>
      </c>
      <c r="Z21" s="1131">
        <f t="shared" ca="1" si="2"/>
        <v>0</v>
      </c>
      <c r="AA21" s="1131">
        <f t="shared" ca="1" si="2"/>
        <v>0</v>
      </c>
      <c r="AB21" s="1131">
        <f t="shared" ca="1" si="2"/>
        <v>0</v>
      </c>
      <c r="AC21" s="1131">
        <f t="shared" ca="1" si="3"/>
        <v>0</v>
      </c>
      <c r="AD21" s="1131"/>
      <c r="AE21" s="1131"/>
      <c r="AF21" s="1131">
        <f t="shared" ca="1" si="4"/>
        <v>0</v>
      </c>
      <c r="AG21" s="1131">
        <f t="shared" ca="1" si="4"/>
        <v>0</v>
      </c>
      <c r="AH21" s="1131">
        <f t="shared" ca="1" si="4"/>
        <v>0</v>
      </c>
      <c r="AI21" s="1131">
        <f t="shared" ca="1" si="4"/>
        <v>0</v>
      </c>
      <c r="AJ21" s="1131">
        <f t="shared" ca="1" si="4"/>
        <v>0</v>
      </c>
      <c r="AK21" s="1131">
        <f t="shared" ca="1" si="4"/>
        <v>0</v>
      </c>
      <c r="AL21" s="1131">
        <f t="shared" ca="1" si="4"/>
        <v>0</v>
      </c>
      <c r="AM21" s="1131">
        <f t="shared" ca="1" si="4"/>
        <v>0</v>
      </c>
      <c r="AN21" s="1131">
        <f t="shared" ca="1" si="4"/>
        <v>0</v>
      </c>
      <c r="AO21" s="1131">
        <f t="shared" ca="1" si="4"/>
        <v>0</v>
      </c>
      <c r="AP21" s="1131">
        <f t="shared" ca="1" si="5"/>
        <v>0</v>
      </c>
      <c r="AQ21" s="1131"/>
      <c r="AR21" s="1131"/>
      <c r="AS21" s="1131">
        <f t="shared" ca="1" si="6"/>
        <v>0</v>
      </c>
      <c r="AT21" s="1131">
        <f t="shared" ca="1" si="7"/>
        <v>0</v>
      </c>
      <c r="AU21" s="1131">
        <f t="shared" ca="1" si="8"/>
        <v>0</v>
      </c>
      <c r="AV21" s="1131">
        <f t="shared" ca="1" si="9"/>
        <v>0</v>
      </c>
      <c r="AW21" s="1131">
        <f t="shared" ca="1" si="10"/>
        <v>0</v>
      </c>
      <c r="AX21" s="1131">
        <f t="shared" ca="1" si="11"/>
        <v>0</v>
      </c>
      <c r="AY21" s="1131">
        <f t="shared" ca="1" si="12"/>
        <v>0</v>
      </c>
      <c r="AZ21" s="1131">
        <f t="shared" ca="1" si="13"/>
        <v>0</v>
      </c>
      <c r="BA21" s="1131">
        <f t="shared" ca="1" si="14"/>
        <v>0</v>
      </c>
      <c r="BB21" s="1131">
        <f t="shared" ca="1" si="20"/>
        <v>0</v>
      </c>
      <c r="BC21" s="1131">
        <f t="shared" ca="1" si="15"/>
        <v>0</v>
      </c>
      <c r="BD21" s="1131"/>
      <c r="BE21" s="1131"/>
      <c r="BF21" s="19">
        <f>'Global cost assumptions'!E42</f>
        <v>0.1</v>
      </c>
      <c r="BG21" s="1131">
        <f>'Global cost assumptions'!F42</f>
        <v>30</v>
      </c>
      <c r="BH21" s="1131"/>
      <c r="BI21" s="1131"/>
      <c r="BJ21" s="27">
        <f t="shared" ca="1" si="21"/>
        <v>0</v>
      </c>
      <c r="BK21" s="27">
        <f t="shared" ca="1" si="22"/>
        <v>0</v>
      </c>
      <c r="BL21" s="27">
        <f t="shared" ca="1" si="23"/>
        <v>0</v>
      </c>
      <c r="BM21" s="27">
        <f t="shared" ca="1" si="24"/>
        <v>0</v>
      </c>
      <c r="BN21" s="27">
        <f t="shared" ca="1" si="25"/>
        <v>0</v>
      </c>
      <c r="BO21" s="27">
        <f t="shared" ca="1" si="26"/>
        <v>0</v>
      </c>
      <c r="BP21" s="27">
        <f t="shared" ca="1" si="27"/>
        <v>0</v>
      </c>
      <c r="BQ21" s="27">
        <f t="shared" ca="1" si="28"/>
        <v>0</v>
      </c>
      <c r="BR21" s="27">
        <f t="shared" ca="1" si="29"/>
        <v>0</v>
      </c>
      <c r="BS21" s="27">
        <f t="shared" ca="1" si="30"/>
        <v>0</v>
      </c>
      <c r="BT21" s="1131"/>
      <c r="BU21" s="1131"/>
      <c r="BV21" s="1409">
        <f t="shared" ca="1" si="31"/>
        <v>0</v>
      </c>
      <c r="BW21" s="1917">
        <f t="shared" ca="1" si="32"/>
        <v>0</v>
      </c>
      <c r="BX21" s="1917">
        <f t="shared" ca="1" si="33"/>
        <v>0</v>
      </c>
      <c r="BY21" s="1917">
        <f t="shared" ca="1" si="34"/>
        <v>0</v>
      </c>
      <c r="BZ21" s="1917">
        <f t="shared" ca="1" si="35"/>
        <v>0</v>
      </c>
      <c r="CA21" s="1917">
        <f t="shared" ca="1" si="36"/>
        <v>0</v>
      </c>
      <c r="CB21" s="1917">
        <f t="shared" ca="1" si="37"/>
        <v>0</v>
      </c>
      <c r="CC21" s="1917">
        <f t="shared" ca="1" si="38"/>
        <v>0</v>
      </c>
      <c r="CD21" s="1917">
        <f t="shared" ca="1" si="39"/>
        <v>0</v>
      </c>
      <c r="CE21" s="1917">
        <f t="shared" ca="1" si="40"/>
        <v>0</v>
      </c>
      <c r="CF21" s="1131">
        <f t="shared" ca="1" si="17"/>
        <v>0</v>
      </c>
      <c r="CG21" s="1131"/>
      <c r="CH21" s="1131"/>
      <c r="CI21" s="1409">
        <f t="shared" ca="1" si="41"/>
        <v>0</v>
      </c>
      <c r="CJ21" s="1409">
        <f t="shared" ca="1" si="42"/>
        <v>0</v>
      </c>
      <c r="CK21" s="1409">
        <f t="shared" ca="1" si="43"/>
        <v>0</v>
      </c>
      <c r="CL21" s="1409">
        <f t="shared" ca="1" si="44"/>
        <v>0</v>
      </c>
      <c r="CM21" s="1409">
        <f t="shared" ca="1" si="45"/>
        <v>0</v>
      </c>
      <c r="CN21" s="1409">
        <f t="shared" ca="1" si="46"/>
        <v>0</v>
      </c>
      <c r="CO21" s="1409">
        <f t="shared" ca="1" si="47"/>
        <v>0</v>
      </c>
      <c r="CP21" s="1409">
        <f t="shared" ca="1" si="48"/>
        <v>0</v>
      </c>
      <c r="CQ21" s="1409">
        <f t="shared" ca="1" si="49"/>
        <v>0</v>
      </c>
      <c r="CR21" s="1409">
        <f t="shared" ca="1" si="50"/>
        <v>0</v>
      </c>
      <c r="CS21" s="1131">
        <f t="shared" ca="1" si="19"/>
        <v>0</v>
      </c>
    </row>
    <row r="22" spans="3:97">
      <c r="C22" s="1763" t="s">
        <v>973</v>
      </c>
      <c r="D22" s="1763" t="s">
        <v>1024</v>
      </c>
      <c r="F22" s="1131">
        <f t="shared" ref="F22:O37" ca="1" si="51">IFERROR(INDEX(INDIRECT($C22&amp;".Costs["&amp;F$11&amp;"]"), MATCH($F$10, INDIRECT($C22&amp;".Costs[Vector]"), 0)),0)</f>
        <v>0</v>
      </c>
      <c r="G22" s="1131">
        <f t="shared" ca="1" si="51"/>
        <v>0</v>
      </c>
      <c r="H22" s="1131">
        <f t="shared" ca="1" si="51"/>
        <v>0</v>
      </c>
      <c r="I22" s="1131">
        <f t="shared" ca="1" si="51"/>
        <v>0</v>
      </c>
      <c r="J22" s="1131">
        <f t="shared" ca="1" si="51"/>
        <v>0</v>
      </c>
      <c r="K22" s="1131">
        <f t="shared" ca="1" si="51"/>
        <v>0</v>
      </c>
      <c r="L22" s="1131">
        <f t="shared" ca="1" si="51"/>
        <v>0</v>
      </c>
      <c r="M22" s="1131">
        <f t="shared" ca="1" si="51"/>
        <v>0</v>
      </c>
      <c r="N22" s="1131">
        <f t="shared" ca="1" si="51"/>
        <v>0</v>
      </c>
      <c r="O22" s="1131">
        <f t="shared" ca="1" si="0"/>
        <v>0</v>
      </c>
      <c r="P22" s="1131">
        <f t="shared" ca="1" si="1"/>
        <v>0</v>
      </c>
      <c r="Q22" s="1131"/>
      <c r="R22" s="1131"/>
      <c r="S22" s="1131">
        <f t="shared" ref="S22:AB37" ca="1" si="52">IFERROR(INDEX(INDIRECT($C22&amp;".Costs["&amp;S$11&amp;"]"), MATCH($S$10, INDIRECT($C22&amp;".Costs[Vector]"), 0)),0)</f>
        <v>0</v>
      </c>
      <c r="T22" s="1131">
        <f t="shared" ca="1" si="52"/>
        <v>0</v>
      </c>
      <c r="U22" s="1131">
        <f t="shared" ca="1" si="52"/>
        <v>0</v>
      </c>
      <c r="V22" s="1131">
        <f t="shared" ca="1" si="52"/>
        <v>0</v>
      </c>
      <c r="W22" s="1131">
        <f t="shared" ca="1" si="52"/>
        <v>0</v>
      </c>
      <c r="X22" s="1131">
        <f t="shared" ca="1" si="52"/>
        <v>0</v>
      </c>
      <c r="Y22" s="1131">
        <f t="shared" ca="1" si="52"/>
        <v>0</v>
      </c>
      <c r="Z22" s="1131">
        <f t="shared" ca="1" si="52"/>
        <v>0</v>
      </c>
      <c r="AA22" s="1131">
        <f t="shared" ca="1" si="52"/>
        <v>0</v>
      </c>
      <c r="AB22" s="1131">
        <f t="shared" ca="1" si="2"/>
        <v>0</v>
      </c>
      <c r="AC22" s="1131">
        <f t="shared" ca="1" si="3"/>
        <v>0</v>
      </c>
      <c r="AD22" s="1131"/>
      <c r="AE22" s="1131"/>
      <c r="AF22" s="1131">
        <f t="shared" ref="AF22:AO37" ca="1" si="53">IFERROR(INDEX(INDIRECT($C22&amp;".Costs["&amp;AF$11&amp;"]"), MATCH($AF$10, INDIRECT($C22&amp;".Costs[Vector]"), 0)),0)</f>
        <v>0</v>
      </c>
      <c r="AG22" s="1131">
        <f t="shared" ca="1" si="53"/>
        <v>0</v>
      </c>
      <c r="AH22" s="1131">
        <f t="shared" ca="1" si="53"/>
        <v>0</v>
      </c>
      <c r="AI22" s="1131">
        <f t="shared" ca="1" si="53"/>
        <v>0</v>
      </c>
      <c r="AJ22" s="1131">
        <f t="shared" ca="1" si="53"/>
        <v>0</v>
      </c>
      <c r="AK22" s="1131">
        <f t="shared" ca="1" si="53"/>
        <v>0</v>
      </c>
      <c r="AL22" s="1131">
        <f t="shared" ca="1" si="53"/>
        <v>0</v>
      </c>
      <c r="AM22" s="1131">
        <f t="shared" ca="1" si="53"/>
        <v>0</v>
      </c>
      <c r="AN22" s="1131">
        <f t="shared" ca="1" si="53"/>
        <v>0</v>
      </c>
      <c r="AO22" s="1131">
        <f t="shared" ca="1" si="4"/>
        <v>0</v>
      </c>
      <c r="AP22" s="1131">
        <f t="shared" ca="1" si="5"/>
        <v>0</v>
      </c>
      <c r="AQ22" s="1131"/>
      <c r="AR22" s="1131"/>
      <c r="AS22" s="1131">
        <f t="shared" ca="1" si="6"/>
        <v>0</v>
      </c>
      <c r="AT22" s="1131">
        <f t="shared" ca="1" si="7"/>
        <v>0</v>
      </c>
      <c r="AU22" s="1131">
        <f t="shared" ca="1" si="8"/>
        <v>0</v>
      </c>
      <c r="AV22" s="1131">
        <f t="shared" ca="1" si="9"/>
        <v>0</v>
      </c>
      <c r="AW22" s="1131">
        <f t="shared" ca="1" si="10"/>
        <v>0</v>
      </c>
      <c r="AX22" s="1131">
        <f t="shared" ca="1" si="11"/>
        <v>0</v>
      </c>
      <c r="AY22" s="1131">
        <f t="shared" ca="1" si="12"/>
        <v>0</v>
      </c>
      <c r="AZ22" s="1131">
        <f t="shared" ca="1" si="13"/>
        <v>0</v>
      </c>
      <c r="BA22" s="1131">
        <f t="shared" ca="1" si="14"/>
        <v>0</v>
      </c>
      <c r="BB22" s="1131">
        <f t="shared" ca="1" si="20"/>
        <v>0</v>
      </c>
      <c r="BC22" s="1131">
        <f t="shared" ca="1" si="15"/>
        <v>0</v>
      </c>
      <c r="BD22" s="1131"/>
      <c r="BE22" s="1131"/>
      <c r="BF22" s="19">
        <f>'Global cost assumptions'!E43</f>
        <v>0.1</v>
      </c>
      <c r="BG22" s="1131">
        <f>'Global cost assumptions'!F43</f>
        <v>30</v>
      </c>
      <c r="BH22" s="1131"/>
      <c r="BI22" s="1131"/>
      <c r="BJ22" s="27">
        <f t="shared" ca="1" si="21"/>
        <v>0</v>
      </c>
      <c r="BK22" s="27">
        <f t="shared" ca="1" si="22"/>
        <v>0</v>
      </c>
      <c r="BL22" s="27">
        <f t="shared" ca="1" si="23"/>
        <v>0</v>
      </c>
      <c r="BM22" s="27">
        <f t="shared" ca="1" si="24"/>
        <v>0</v>
      </c>
      <c r="BN22" s="27">
        <f t="shared" ca="1" si="25"/>
        <v>0</v>
      </c>
      <c r="BO22" s="27">
        <f t="shared" ca="1" si="26"/>
        <v>0</v>
      </c>
      <c r="BP22" s="27">
        <f t="shared" ca="1" si="27"/>
        <v>0</v>
      </c>
      <c r="BQ22" s="27">
        <f t="shared" ca="1" si="28"/>
        <v>0</v>
      </c>
      <c r="BR22" s="27">
        <f t="shared" ca="1" si="29"/>
        <v>0</v>
      </c>
      <c r="BS22" s="27">
        <f t="shared" ca="1" si="30"/>
        <v>0</v>
      </c>
      <c r="BT22" s="1131"/>
      <c r="BU22" s="1131"/>
      <c r="BV22" s="1409">
        <f t="shared" ca="1" si="31"/>
        <v>0</v>
      </c>
      <c r="BW22" s="1917">
        <f t="shared" ca="1" si="32"/>
        <v>0</v>
      </c>
      <c r="BX22" s="1917">
        <f t="shared" ca="1" si="33"/>
        <v>0</v>
      </c>
      <c r="BY22" s="1917">
        <f t="shared" ca="1" si="34"/>
        <v>0</v>
      </c>
      <c r="BZ22" s="1917">
        <f t="shared" ca="1" si="35"/>
        <v>0</v>
      </c>
      <c r="CA22" s="1917">
        <f t="shared" ca="1" si="36"/>
        <v>0</v>
      </c>
      <c r="CB22" s="1917">
        <f t="shared" ca="1" si="37"/>
        <v>0</v>
      </c>
      <c r="CC22" s="1917">
        <f t="shared" ca="1" si="38"/>
        <v>0</v>
      </c>
      <c r="CD22" s="1917">
        <f t="shared" ca="1" si="39"/>
        <v>0</v>
      </c>
      <c r="CE22" s="1917">
        <f t="shared" ca="1" si="40"/>
        <v>0</v>
      </c>
      <c r="CF22" s="1131">
        <f t="shared" ca="1" si="17"/>
        <v>0</v>
      </c>
      <c r="CG22" s="1131"/>
      <c r="CH22" s="1131"/>
      <c r="CI22" s="1409">
        <f t="shared" ca="1" si="41"/>
        <v>0</v>
      </c>
      <c r="CJ22" s="1409">
        <f t="shared" ca="1" si="42"/>
        <v>0</v>
      </c>
      <c r="CK22" s="1409">
        <f t="shared" ca="1" si="43"/>
        <v>0</v>
      </c>
      <c r="CL22" s="1409">
        <f t="shared" ca="1" si="44"/>
        <v>0</v>
      </c>
      <c r="CM22" s="1409">
        <f t="shared" ca="1" si="45"/>
        <v>0</v>
      </c>
      <c r="CN22" s="1409">
        <f t="shared" ca="1" si="46"/>
        <v>0</v>
      </c>
      <c r="CO22" s="1409">
        <f t="shared" ca="1" si="47"/>
        <v>0</v>
      </c>
      <c r="CP22" s="1409">
        <f t="shared" ca="1" si="48"/>
        <v>0</v>
      </c>
      <c r="CQ22" s="1409">
        <f t="shared" ca="1" si="49"/>
        <v>0</v>
      </c>
      <c r="CR22" s="1409">
        <f t="shared" ca="1" si="50"/>
        <v>0</v>
      </c>
      <c r="CS22" s="1131">
        <f t="shared" ca="1" si="19"/>
        <v>0</v>
      </c>
    </row>
    <row r="23" spans="3:97">
      <c r="C23" s="1763" t="s">
        <v>1021</v>
      </c>
      <c r="D23" s="1763" t="s">
        <v>1025</v>
      </c>
      <c r="F23" s="1131">
        <f t="shared" ca="1" si="51"/>
        <v>0</v>
      </c>
      <c r="G23" s="1131">
        <f t="shared" ca="1" si="51"/>
        <v>0</v>
      </c>
      <c r="H23" s="1131">
        <f t="shared" ca="1" si="51"/>
        <v>0</v>
      </c>
      <c r="I23" s="1131">
        <f t="shared" ca="1" si="51"/>
        <v>0</v>
      </c>
      <c r="J23" s="1131">
        <f t="shared" ca="1" si="51"/>
        <v>0</v>
      </c>
      <c r="K23" s="1131">
        <f t="shared" ca="1" si="51"/>
        <v>0</v>
      </c>
      <c r="L23" s="1131">
        <f t="shared" ca="1" si="51"/>
        <v>0</v>
      </c>
      <c r="M23" s="1131">
        <f t="shared" ca="1" si="51"/>
        <v>0</v>
      </c>
      <c r="N23" s="1131">
        <f t="shared" ca="1" si="51"/>
        <v>0</v>
      </c>
      <c r="O23" s="1131">
        <f t="shared" ca="1" si="0"/>
        <v>0</v>
      </c>
      <c r="P23" s="1131">
        <f t="shared" ca="1" si="1"/>
        <v>0</v>
      </c>
      <c r="Q23" s="1131"/>
      <c r="R23" s="1131"/>
      <c r="S23" s="1131">
        <f t="shared" ca="1" si="52"/>
        <v>0</v>
      </c>
      <c r="T23" s="1131">
        <f t="shared" ca="1" si="52"/>
        <v>0</v>
      </c>
      <c r="U23" s="1131">
        <f t="shared" ca="1" si="52"/>
        <v>0</v>
      </c>
      <c r="V23" s="1131">
        <f t="shared" ca="1" si="52"/>
        <v>0</v>
      </c>
      <c r="W23" s="1131">
        <f t="shared" ca="1" si="52"/>
        <v>0</v>
      </c>
      <c r="X23" s="1131">
        <f t="shared" ca="1" si="52"/>
        <v>0</v>
      </c>
      <c r="Y23" s="1131">
        <f t="shared" ca="1" si="52"/>
        <v>0</v>
      </c>
      <c r="Z23" s="1131">
        <f t="shared" ca="1" si="52"/>
        <v>0</v>
      </c>
      <c r="AA23" s="1131">
        <f t="shared" ca="1" si="52"/>
        <v>0</v>
      </c>
      <c r="AB23" s="1131">
        <f t="shared" ca="1" si="2"/>
        <v>0</v>
      </c>
      <c r="AC23" s="1131">
        <f t="shared" ca="1" si="3"/>
        <v>0</v>
      </c>
      <c r="AD23" s="1131"/>
      <c r="AE23" s="1131"/>
      <c r="AF23" s="1131">
        <f t="shared" ca="1" si="53"/>
        <v>0</v>
      </c>
      <c r="AG23" s="1131">
        <f t="shared" ca="1" si="53"/>
        <v>0</v>
      </c>
      <c r="AH23" s="1131">
        <f t="shared" ca="1" si="53"/>
        <v>0</v>
      </c>
      <c r="AI23" s="1131">
        <f t="shared" ca="1" si="53"/>
        <v>0</v>
      </c>
      <c r="AJ23" s="1131">
        <f t="shared" ca="1" si="53"/>
        <v>0</v>
      </c>
      <c r="AK23" s="1131">
        <f t="shared" ca="1" si="53"/>
        <v>0</v>
      </c>
      <c r="AL23" s="1131">
        <f t="shared" ca="1" si="53"/>
        <v>0</v>
      </c>
      <c r="AM23" s="1131">
        <f t="shared" ca="1" si="53"/>
        <v>0</v>
      </c>
      <c r="AN23" s="1131">
        <f t="shared" ca="1" si="53"/>
        <v>0</v>
      </c>
      <c r="AO23" s="1131">
        <f t="shared" ca="1" si="4"/>
        <v>0</v>
      </c>
      <c r="AP23" s="1131">
        <f t="shared" ca="1" si="5"/>
        <v>0</v>
      </c>
      <c r="AQ23" s="1131"/>
      <c r="AR23" s="1131"/>
      <c r="AS23" s="1131">
        <f t="shared" ca="1" si="6"/>
        <v>0</v>
      </c>
      <c r="AT23" s="1131">
        <f t="shared" ca="1" si="7"/>
        <v>0</v>
      </c>
      <c r="AU23" s="1131">
        <f t="shared" ca="1" si="8"/>
        <v>0</v>
      </c>
      <c r="AV23" s="1131">
        <f t="shared" ca="1" si="9"/>
        <v>0</v>
      </c>
      <c r="AW23" s="1131">
        <f t="shared" ca="1" si="10"/>
        <v>0</v>
      </c>
      <c r="AX23" s="1131">
        <f t="shared" ca="1" si="11"/>
        <v>0</v>
      </c>
      <c r="AY23" s="1131">
        <f t="shared" ca="1" si="12"/>
        <v>0</v>
      </c>
      <c r="AZ23" s="1131">
        <f t="shared" ca="1" si="13"/>
        <v>0</v>
      </c>
      <c r="BA23" s="1131">
        <f t="shared" ca="1" si="14"/>
        <v>0</v>
      </c>
      <c r="BB23" s="1131">
        <f t="shared" ca="1" si="20"/>
        <v>0</v>
      </c>
      <c r="BC23" s="1131">
        <f t="shared" ca="1" si="15"/>
        <v>0</v>
      </c>
      <c r="BD23" s="1131"/>
      <c r="BE23" s="1131"/>
      <c r="BF23" s="19">
        <f>'Global cost assumptions'!E44</f>
        <v>0.1</v>
      </c>
      <c r="BG23" s="1131">
        <f>'Global cost assumptions'!F44</f>
        <v>30</v>
      </c>
      <c r="BH23" s="1131"/>
      <c r="BI23" s="1131"/>
      <c r="BJ23" s="27">
        <f t="shared" ca="1" si="21"/>
        <v>0</v>
      </c>
      <c r="BK23" s="27">
        <f t="shared" ca="1" si="22"/>
        <v>0</v>
      </c>
      <c r="BL23" s="27">
        <f t="shared" ca="1" si="23"/>
        <v>0</v>
      </c>
      <c r="BM23" s="27">
        <f t="shared" ca="1" si="24"/>
        <v>0</v>
      </c>
      <c r="BN23" s="27">
        <f t="shared" ca="1" si="25"/>
        <v>0</v>
      </c>
      <c r="BO23" s="27">
        <f t="shared" ca="1" si="26"/>
        <v>0</v>
      </c>
      <c r="BP23" s="27">
        <f t="shared" ca="1" si="27"/>
        <v>0</v>
      </c>
      <c r="BQ23" s="27">
        <f t="shared" ca="1" si="28"/>
        <v>0</v>
      </c>
      <c r="BR23" s="27">
        <f t="shared" ca="1" si="29"/>
        <v>0</v>
      </c>
      <c r="BS23" s="27">
        <f t="shared" ca="1" si="30"/>
        <v>0</v>
      </c>
      <c r="BT23" s="1131"/>
      <c r="BU23" s="1131"/>
      <c r="BV23" s="1409">
        <f t="shared" ca="1" si="31"/>
        <v>0</v>
      </c>
      <c r="BW23" s="1917">
        <f t="shared" ca="1" si="32"/>
        <v>0</v>
      </c>
      <c r="BX23" s="1917">
        <f t="shared" ca="1" si="33"/>
        <v>0</v>
      </c>
      <c r="BY23" s="1917">
        <f t="shared" ca="1" si="34"/>
        <v>0</v>
      </c>
      <c r="BZ23" s="1917">
        <f t="shared" ca="1" si="35"/>
        <v>0</v>
      </c>
      <c r="CA23" s="1917">
        <f t="shared" ca="1" si="36"/>
        <v>0</v>
      </c>
      <c r="CB23" s="1917">
        <f t="shared" ca="1" si="37"/>
        <v>0</v>
      </c>
      <c r="CC23" s="1917">
        <f t="shared" ca="1" si="38"/>
        <v>0</v>
      </c>
      <c r="CD23" s="1917">
        <f t="shared" ca="1" si="39"/>
        <v>0</v>
      </c>
      <c r="CE23" s="1917">
        <f t="shared" ca="1" si="40"/>
        <v>0</v>
      </c>
      <c r="CF23" s="1131">
        <f t="shared" ca="1" si="17"/>
        <v>0</v>
      </c>
      <c r="CG23" s="1131"/>
      <c r="CH23" s="1131"/>
      <c r="CI23" s="1409">
        <f t="shared" ca="1" si="41"/>
        <v>0</v>
      </c>
      <c r="CJ23" s="1409">
        <f t="shared" ca="1" si="42"/>
        <v>0</v>
      </c>
      <c r="CK23" s="1409">
        <f t="shared" ca="1" si="43"/>
        <v>0</v>
      </c>
      <c r="CL23" s="1409">
        <f t="shared" ca="1" si="44"/>
        <v>0</v>
      </c>
      <c r="CM23" s="1409">
        <f t="shared" ca="1" si="45"/>
        <v>0</v>
      </c>
      <c r="CN23" s="1409">
        <f t="shared" ca="1" si="46"/>
        <v>0</v>
      </c>
      <c r="CO23" s="1409">
        <f t="shared" ca="1" si="47"/>
        <v>0</v>
      </c>
      <c r="CP23" s="1409">
        <f t="shared" ca="1" si="48"/>
        <v>0</v>
      </c>
      <c r="CQ23" s="1409">
        <f t="shared" ca="1" si="49"/>
        <v>0</v>
      </c>
      <c r="CR23" s="1409">
        <f t="shared" ca="1" si="50"/>
        <v>0</v>
      </c>
      <c r="CS23" s="1131">
        <f t="shared" ca="1" si="19"/>
        <v>0</v>
      </c>
    </row>
    <row r="24" spans="3:97">
      <c r="C24" s="1763" t="s">
        <v>734</v>
      </c>
      <c r="D24" s="1763" t="s">
        <v>1952</v>
      </c>
      <c r="F24" s="1131">
        <f t="shared" ca="1" si="51"/>
        <v>0</v>
      </c>
      <c r="G24" s="1131">
        <f t="shared" ca="1" si="51"/>
        <v>0</v>
      </c>
      <c r="H24" s="1131">
        <f t="shared" ca="1" si="51"/>
        <v>0</v>
      </c>
      <c r="I24" s="1131">
        <f t="shared" ca="1" si="51"/>
        <v>0</v>
      </c>
      <c r="J24" s="1131">
        <f t="shared" ca="1" si="51"/>
        <v>0</v>
      </c>
      <c r="K24" s="1131">
        <f t="shared" ca="1" si="51"/>
        <v>0</v>
      </c>
      <c r="L24" s="1131">
        <f t="shared" ca="1" si="51"/>
        <v>0</v>
      </c>
      <c r="M24" s="1131">
        <f t="shared" ca="1" si="51"/>
        <v>0</v>
      </c>
      <c r="N24" s="1131">
        <f t="shared" ca="1" si="51"/>
        <v>0</v>
      </c>
      <c r="O24" s="1131">
        <f t="shared" ca="1" si="0"/>
        <v>0</v>
      </c>
      <c r="P24" s="1131">
        <f t="shared" ca="1" si="1"/>
        <v>0</v>
      </c>
      <c r="Q24" s="1131"/>
      <c r="R24" s="1131"/>
      <c r="S24" s="1131">
        <f t="shared" ca="1" si="52"/>
        <v>0</v>
      </c>
      <c r="T24" s="1131">
        <f t="shared" ca="1" si="52"/>
        <v>0</v>
      </c>
      <c r="U24" s="1131">
        <f t="shared" ca="1" si="52"/>
        <v>0</v>
      </c>
      <c r="V24" s="1131">
        <f t="shared" ca="1" si="52"/>
        <v>0</v>
      </c>
      <c r="W24" s="1131">
        <f t="shared" ca="1" si="52"/>
        <v>0</v>
      </c>
      <c r="X24" s="1131">
        <f t="shared" ca="1" si="52"/>
        <v>0</v>
      </c>
      <c r="Y24" s="1131">
        <f t="shared" ca="1" si="52"/>
        <v>0</v>
      </c>
      <c r="Z24" s="1131">
        <f t="shared" ca="1" si="52"/>
        <v>0</v>
      </c>
      <c r="AA24" s="1131">
        <f t="shared" ca="1" si="52"/>
        <v>0</v>
      </c>
      <c r="AB24" s="1131">
        <f t="shared" ca="1" si="2"/>
        <v>0</v>
      </c>
      <c r="AC24" s="1131">
        <f t="shared" ca="1" si="3"/>
        <v>0</v>
      </c>
      <c r="AD24" s="1131"/>
      <c r="AE24" s="1131"/>
      <c r="AF24" s="1131">
        <f t="shared" ca="1" si="53"/>
        <v>0</v>
      </c>
      <c r="AG24" s="1131">
        <f t="shared" ca="1" si="53"/>
        <v>0</v>
      </c>
      <c r="AH24" s="1131">
        <f t="shared" ca="1" si="53"/>
        <v>0</v>
      </c>
      <c r="AI24" s="1131">
        <f t="shared" ca="1" si="53"/>
        <v>0</v>
      </c>
      <c r="AJ24" s="1131">
        <f t="shared" ca="1" si="53"/>
        <v>0</v>
      </c>
      <c r="AK24" s="1131">
        <f t="shared" ca="1" si="53"/>
        <v>0</v>
      </c>
      <c r="AL24" s="1131">
        <f t="shared" ca="1" si="53"/>
        <v>0</v>
      </c>
      <c r="AM24" s="1131">
        <f t="shared" ca="1" si="53"/>
        <v>0</v>
      </c>
      <c r="AN24" s="1131">
        <f t="shared" ca="1" si="53"/>
        <v>0</v>
      </c>
      <c r="AO24" s="1131">
        <f t="shared" ca="1" si="4"/>
        <v>0</v>
      </c>
      <c r="AP24" s="1131">
        <f t="shared" ca="1" si="5"/>
        <v>0</v>
      </c>
      <c r="AQ24" s="1131"/>
      <c r="AR24" s="1131"/>
      <c r="AS24" s="1131">
        <f t="shared" ca="1" si="6"/>
        <v>0</v>
      </c>
      <c r="AT24" s="1131">
        <f t="shared" ca="1" si="7"/>
        <v>0</v>
      </c>
      <c r="AU24" s="1131">
        <f t="shared" ca="1" si="8"/>
        <v>0</v>
      </c>
      <c r="AV24" s="1131">
        <f t="shared" ca="1" si="9"/>
        <v>0</v>
      </c>
      <c r="AW24" s="1131">
        <f t="shared" ca="1" si="10"/>
        <v>0</v>
      </c>
      <c r="AX24" s="1131">
        <f t="shared" ca="1" si="11"/>
        <v>0</v>
      </c>
      <c r="AY24" s="1131">
        <f t="shared" ca="1" si="12"/>
        <v>0</v>
      </c>
      <c r="AZ24" s="1131">
        <f t="shared" ca="1" si="13"/>
        <v>0</v>
      </c>
      <c r="BA24" s="1131">
        <f t="shared" ca="1" si="14"/>
        <v>0</v>
      </c>
      <c r="BB24" s="1131">
        <f t="shared" ca="1" si="20"/>
        <v>0</v>
      </c>
      <c r="BC24" s="1131">
        <f t="shared" ca="1" si="15"/>
        <v>0</v>
      </c>
      <c r="BD24" s="1131"/>
      <c r="BE24" s="1131"/>
      <c r="BF24" s="19">
        <f>'Global cost assumptions'!E45</f>
        <v>0.1</v>
      </c>
      <c r="BG24" s="1131">
        <f>'Global cost assumptions'!F45</f>
        <v>30</v>
      </c>
      <c r="BH24" s="1131"/>
      <c r="BI24" s="1131"/>
      <c r="BJ24" s="27">
        <f t="shared" ca="1" si="21"/>
        <v>0</v>
      </c>
      <c r="BK24" s="27">
        <f t="shared" ca="1" si="22"/>
        <v>0</v>
      </c>
      <c r="BL24" s="27">
        <f t="shared" ca="1" si="23"/>
        <v>0</v>
      </c>
      <c r="BM24" s="27">
        <f t="shared" ca="1" si="24"/>
        <v>0</v>
      </c>
      <c r="BN24" s="27">
        <f t="shared" ca="1" si="25"/>
        <v>0</v>
      </c>
      <c r="BO24" s="27">
        <f t="shared" ca="1" si="26"/>
        <v>0</v>
      </c>
      <c r="BP24" s="27">
        <f t="shared" ca="1" si="27"/>
        <v>0</v>
      </c>
      <c r="BQ24" s="27">
        <f t="shared" ca="1" si="28"/>
        <v>0</v>
      </c>
      <c r="BR24" s="27">
        <f t="shared" ca="1" si="29"/>
        <v>0</v>
      </c>
      <c r="BS24" s="27">
        <f t="shared" ca="1" si="30"/>
        <v>0</v>
      </c>
      <c r="BT24" s="1131"/>
      <c r="BU24" s="1131"/>
      <c r="BV24" s="1409">
        <f t="shared" ca="1" si="31"/>
        <v>0</v>
      </c>
      <c r="BW24" s="1917">
        <f t="shared" ca="1" si="32"/>
        <v>0</v>
      </c>
      <c r="BX24" s="1917">
        <f t="shared" ca="1" si="33"/>
        <v>0</v>
      </c>
      <c r="BY24" s="1917">
        <f t="shared" ca="1" si="34"/>
        <v>0</v>
      </c>
      <c r="BZ24" s="1917">
        <f t="shared" ca="1" si="35"/>
        <v>0</v>
      </c>
      <c r="CA24" s="1917">
        <f t="shared" ca="1" si="36"/>
        <v>0</v>
      </c>
      <c r="CB24" s="1917">
        <f t="shared" ca="1" si="37"/>
        <v>0</v>
      </c>
      <c r="CC24" s="1917">
        <f t="shared" ca="1" si="38"/>
        <v>0</v>
      </c>
      <c r="CD24" s="1917">
        <f t="shared" ca="1" si="39"/>
        <v>0</v>
      </c>
      <c r="CE24" s="1917">
        <f t="shared" ca="1" si="40"/>
        <v>0</v>
      </c>
      <c r="CF24" s="1131">
        <f t="shared" ca="1" si="17"/>
        <v>0</v>
      </c>
      <c r="CG24" s="1131"/>
      <c r="CH24" s="1131"/>
      <c r="CI24" s="1409">
        <f t="shared" ca="1" si="41"/>
        <v>0</v>
      </c>
      <c r="CJ24" s="1409">
        <f t="shared" ca="1" si="42"/>
        <v>0</v>
      </c>
      <c r="CK24" s="1409">
        <f t="shared" ca="1" si="43"/>
        <v>0</v>
      </c>
      <c r="CL24" s="1409">
        <f t="shared" ca="1" si="44"/>
        <v>0</v>
      </c>
      <c r="CM24" s="1409">
        <f t="shared" ca="1" si="45"/>
        <v>0</v>
      </c>
      <c r="CN24" s="1409">
        <f t="shared" ca="1" si="46"/>
        <v>0</v>
      </c>
      <c r="CO24" s="1409">
        <f t="shared" ca="1" si="47"/>
        <v>0</v>
      </c>
      <c r="CP24" s="1409">
        <f t="shared" ca="1" si="48"/>
        <v>0</v>
      </c>
      <c r="CQ24" s="1409">
        <f t="shared" ca="1" si="49"/>
        <v>0</v>
      </c>
      <c r="CR24" s="1409">
        <f t="shared" ca="1" si="50"/>
        <v>0</v>
      </c>
      <c r="CS24" s="1131">
        <f t="shared" ca="1" si="19"/>
        <v>0</v>
      </c>
    </row>
    <row r="25" spans="3:97">
      <c r="C25" s="1763" t="s">
        <v>1043</v>
      </c>
      <c r="D25" s="1763" t="s">
        <v>1044</v>
      </c>
      <c r="F25" s="1131">
        <f t="shared" ca="1" si="51"/>
        <v>0</v>
      </c>
      <c r="G25" s="1131">
        <f t="shared" ca="1" si="51"/>
        <v>0</v>
      </c>
      <c r="H25" s="1131">
        <f t="shared" ca="1" si="51"/>
        <v>0</v>
      </c>
      <c r="I25" s="1131">
        <f t="shared" ca="1" si="51"/>
        <v>0</v>
      </c>
      <c r="J25" s="1131">
        <f t="shared" ca="1" si="51"/>
        <v>0</v>
      </c>
      <c r="K25" s="1131">
        <f t="shared" ca="1" si="51"/>
        <v>0</v>
      </c>
      <c r="L25" s="1131">
        <f t="shared" ca="1" si="51"/>
        <v>0</v>
      </c>
      <c r="M25" s="1131">
        <f t="shared" ca="1" si="51"/>
        <v>0</v>
      </c>
      <c r="N25" s="1131">
        <f t="shared" ca="1" si="51"/>
        <v>0</v>
      </c>
      <c r="O25" s="1131">
        <f t="shared" ca="1" si="0"/>
        <v>0</v>
      </c>
      <c r="P25" s="1131">
        <f t="shared" ca="1" si="1"/>
        <v>0</v>
      </c>
      <c r="Q25" s="1131"/>
      <c r="R25" s="1131"/>
      <c r="S25" s="1131">
        <f t="shared" ca="1" si="52"/>
        <v>0</v>
      </c>
      <c r="T25" s="1131">
        <f t="shared" ca="1" si="52"/>
        <v>0</v>
      </c>
      <c r="U25" s="1131">
        <f t="shared" ca="1" si="52"/>
        <v>0</v>
      </c>
      <c r="V25" s="1131">
        <f t="shared" ca="1" si="52"/>
        <v>0</v>
      </c>
      <c r="W25" s="1131">
        <f t="shared" ca="1" si="52"/>
        <v>0</v>
      </c>
      <c r="X25" s="1131">
        <f t="shared" ca="1" si="52"/>
        <v>0</v>
      </c>
      <c r="Y25" s="1131">
        <f t="shared" ca="1" si="52"/>
        <v>0</v>
      </c>
      <c r="Z25" s="1131">
        <f t="shared" ca="1" si="52"/>
        <v>0</v>
      </c>
      <c r="AA25" s="1131">
        <f t="shared" ca="1" si="52"/>
        <v>0</v>
      </c>
      <c r="AB25" s="1131">
        <f t="shared" ca="1" si="2"/>
        <v>0</v>
      </c>
      <c r="AC25" s="1131">
        <f t="shared" ca="1" si="3"/>
        <v>0</v>
      </c>
      <c r="AD25" s="1131"/>
      <c r="AE25" s="1131"/>
      <c r="AF25" s="1131">
        <f t="shared" ca="1" si="53"/>
        <v>0</v>
      </c>
      <c r="AG25" s="1131">
        <f t="shared" ca="1" si="53"/>
        <v>0</v>
      </c>
      <c r="AH25" s="1131">
        <f t="shared" ca="1" si="53"/>
        <v>0</v>
      </c>
      <c r="AI25" s="1131">
        <f t="shared" ca="1" si="53"/>
        <v>0</v>
      </c>
      <c r="AJ25" s="1131">
        <f t="shared" ca="1" si="53"/>
        <v>0</v>
      </c>
      <c r="AK25" s="1131">
        <f t="shared" ca="1" si="53"/>
        <v>0</v>
      </c>
      <c r="AL25" s="1131">
        <f t="shared" ca="1" si="53"/>
        <v>0</v>
      </c>
      <c r="AM25" s="1131">
        <f t="shared" ca="1" si="53"/>
        <v>0</v>
      </c>
      <c r="AN25" s="1131">
        <f t="shared" ca="1" si="53"/>
        <v>0</v>
      </c>
      <c r="AO25" s="1131">
        <f t="shared" ca="1" si="4"/>
        <v>0</v>
      </c>
      <c r="AP25" s="1131">
        <f t="shared" ca="1" si="5"/>
        <v>0</v>
      </c>
      <c r="AQ25" s="1131"/>
      <c r="AR25" s="1131"/>
      <c r="AS25" s="1131">
        <f t="shared" ca="1" si="6"/>
        <v>0</v>
      </c>
      <c r="AT25" s="1131">
        <f t="shared" ca="1" si="7"/>
        <v>0</v>
      </c>
      <c r="AU25" s="1131">
        <f t="shared" ca="1" si="8"/>
        <v>0</v>
      </c>
      <c r="AV25" s="1131">
        <f t="shared" ca="1" si="9"/>
        <v>0</v>
      </c>
      <c r="AW25" s="1131">
        <f t="shared" ca="1" si="10"/>
        <v>0</v>
      </c>
      <c r="AX25" s="1131">
        <f t="shared" ca="1" si="11"/>
        <v>0</v>
      </c>
      <c r="AY25" s="1131">
        <f t="shared" ca="1" si="12"/>
        <v>0</v>
      </c>
      <c r="AZ25" s="1131">
        <f t="shared" ca="1" si="13"/>
        <v>0</v>
      </c>
      <c r="BA25" s="1131">
        <f t="shared" ca="1" si="14"/>
        <v>0</v>
      </c>
      <c r="BB25" s="1131">
        <f t="shared" ca="1" si="20"/>
        <v>0</v>
      </c>
      <c r="BC25" s="1131">
        <f t="shared" ca="1" si="15"/>
        <v>0</v>
      </c>
      <c r="BD25" s="1131"/>
      <c r="BE25" s="1131"/>
      <c r="BF25" s="19">
        <f>'Global cost assumptions'!E46</f>
        <v>0.1</v>
      </c>
      <c r="BG25" s="1131">
        <f>'Global cost assumptions'!F46</f>
        <v>30</v>
      </c>
      <c r="BH25" s="1131"/>
      <c r="BI25" s="1131"/>
      <c r="BJ25" s="27">
        <f t="shared" ca="1" si="21"/>
        <v>0</v>
      </c>
      <c r="BK25" s="27">
        <f t="shared" ca="1" si="22"/>
        <v>0</v>
      </c>
      <c r="BL25" s="27">
        <f t="shared" ca="1" si="23"/>
        <v>0</v>
      </c>
      <c r="BM25" s="27">
        <f t="shared" ca="1" si="24"/>
        <v>0</v>
      </c>
      <c r="BN25" s="27">
        <f t="shared" ca="1" si="25"/>
        <v>0</v>
      </c>
      <c r="BO25" s="27">
        <f t="shared" ca="1" si="26"/>
        <v>0</v>
      </c>
      <c r="BP25" s="27">
        <f t="shared" ca="1" si="27"/>
        <v>0</v>
      </c>
      <c r="BQ25" s="27">
        <f t="shared" ca="1" si="28"/>
        <v>0</v>
      </c>
      <c r="BR25" s="27">
        <f t="shared" ca="1" si="29"/>
        <v>0</v>
      </c>
      <c r="BS25" s="27">
        <f t="shared" ca="1" si="30"/>
        <v>0</v>
      </c>
      <c r="BT25" s="1131"/>
      <c r="BU25" s="1131"/>
      <c r="BV25" s="1409">
        <f t="shared" ca="1" si="31"/>
        <v>0</v>
      </c>
      <c r="BW25" s="1917">
        <f t="shared" ca="1" si="32"/>
        <v>0</v>
      </c>
      <c r="BX25" s="1917">
        <f t="shared" ca="1" si="33"/>
        <v>0</v>
      </c>
      <c r="BY25" s="1917">
        <f t="shared" ca="1" si="34"/>
        <v>0</v>
      </c>
      <c r="BZ25" s="1917">
        <f t="shared" ca="1" si="35"/>
        <v>0</v>
      </c>
      <c r="CA25" s="1917">
        <f t="shared" ca="1" si="36"/>
        <v>0</v>
      </c>
      <c r="CB25" s="1917">
        <f t="shared" ca="1" si="37"/>
        <v>0</v>
      </c>
      <c r="CC25" s="1917">
        <f t="shared" ca="1" si="38"/>
        <v>0</v>
      </c>
      <c r="CD25" s="1917">
        <f t="shared" ca="1" si="39"/>
        <v>0</v>
      </c>
      <c r="CE25" s="1917">
        <f t="shared" ca="1" si="40"/>
        <v>0</v>
      </c>
      <c r="CF25" s="1131">
        <f t="shared" ca="1" si="17"/>
        <v>0</v>
      </c>
      <c r="CG25" s="1131"/>
      <c r="CH25" s="1131"/>
      <c r="CI25" s="1409">
        <f t="shared" ca="1" si="41"/>
        <v>0</v>
      </c>
      <c r="CJ25" s="1409">
        <f t="shared" ca="1" si="42"/>
        <v>0</v>
      </c>
      <c r="CK25" s="1409">
        <f t="shared" ca="1" si="43"/>
        <v>0</v>
      </c>
      <c r="CL25" s="1409">
        <f t="shared" ca="1" si="44"/>
        <v>0</v>
      </c>
      <c r="CM25" s="1409">
        <f t="shared" ca="1" si="45"/>
        <v>0</v>
      </c>
      <c r="CN25" s="1409">
        <f t="shared" ca="1" si="46"/>
        <v>0</v>
      </c>
      <c r="CO25" s="1409">
        <f t="shared" ca="1" si="47"/>
        <v>0</v>
      </c>
      <c r="CP25" s="1409">
        <f t="shared" ca="1" si="48"/>
        <v>0</v>
      </c>
      <c r="CQ25" s="1409">
        <f t="shared" ca="1" si="49"/>
        <v>0</v>
      </c>
      <c r="CR25" s="1409">
        <f t="shared" ca="1" si="50"/>
        <v>0</v>
      </c>
      <c r="CS25" s="1131">
        <f t="shared" ca="1" si="19"/>
        <v>0</v>
      </c>
    </row>
    <row r="26" spans="3:97">
      <c r="C26" s="1763" t="s">
        <v>706</v>
      </c>
      <c r="D26" s="1763" t="s">
        <v>1331</v>
      </c>
      <c r="F26" s="1131">
        <f t="shared" ca="1" si="51"/>
        <v>0</v>
      </c>
      <c r="G26" s="1131">
        <f t="shared" ca="1" si="51"/>
        <v>0</v>
      </c>
      <c r="H26" s="1131">
        <f t="shared" ca="1" si="51"/>
        <v>0</v>
      </c>
      <c r="I26" s="1131">
        <f t="shared" ca="1" si="51"/>
        <v>0</v>
      </c>
      <c r="J26" s="1131">
        <f t="shared" ca="1" si="51"/>
        <v>0</v>
      </c>
      <c r="K26" s="1131">
        <f t="shared" ca="1" si="51"/>
        <v>0</v>
      </c>
      <c r="L26" s="1131">
        <f t="shared" ca="1" si="51"/>
        <v>0</v>
      </c>
      <c r="M26" s="1131">
        <f t="shared" ca="1" si="51"/>
        <v>0</v>
      </c>
      <c r="N26" s="1131">
        <f t="shared" ca="1" si="51"/>
        <v>0</v>
      </c>
      <c r="O26" s="1131">
        <f t="shared" ca="1" si="0"/>
        <v>0</v>
      </c>
      <c r="P26" s="1131">
        <f t="shared" ca="1" si="1"/>
        <v>0</v>
      </c>
      <c r="Q26" s="1131"/>
      <c r="R26" s="1131"/>
      <c r="S26" s="1131">
        <f t="shared" ca="1" si="52"/>
        <v>0</v>
      </c>
      <c r="T26" s="1131">
        <f t="shared" ca="1" si="52"/>
        <v>0</v>
      </c>
      <c r="U26" s="1131">
        <f t="shared" ca="1" si="52"/>
        <v>0</v>
      </c>
      <c r="V26" s="1131">
        <f t="shared" ca="1" si="52"/>
        <v>0</v>
      </c>
      <c r="W26" s="1131">
        <f t="shared" ca="1" si="52"/>
        <v>0</v>
      </c>
      <c r="X26" s="1131">
        <f t="shared" ca="1" si="52"/>
        <v>0</v>
      </c>
      <c r="Y26" s="1131">
        <f t="shared" ca="1" si="52"/>
        <v>0</v>
      </c>
      <c r="Z26" s="1131">
        <f t="shared" ca="1" si="52"/>
        <v>0</v>
      </c>
      <c r="AA26" s="1131">
        <f t="shared" ca="1" si="52"/>
        <v>0</v>
      </c>
      <c r="AB26" s="1131">
        <f t="shared" ca="1" si="2"/>
        <v>0</v>
      </c>
      <c r="AC26" s="1131">
        <f t="shared" ca="1" si="3"/>
        <v>0</v>
      </c>
      <c r="AD26" s="1131"/>
      <c r="AE26" s="1131"/>
      <c r="AF26" s="1131">
        <f t="shared" ca="1" si="53"/>
        <v>0</v>
      </c>
      <c r="AG26" s="1131">
        <f t="shared" ca="1" si="53"/>
        <v>0</v>
      </c>
      <c r="AH26" s="1131">
        <f t="shared" ca="1" si="53"/>
        <v>0</v>
      </c>
      <c r="AI26" s="1131">
        <f t="shared" ca="1" si="53"/>
        <v>0</v>
      </c>
      <c r="AJ26" s="1131">
        <f t="shared" ca="1" si="53"/>
        <v>0</v>
      </c>
      <c r="AK26" s="1131">
        <f t="shared" ca="1" si="53"/>
        <v>0</v>
      </c>
      <c r="AL26" s="1131">
        <f t="shared" ca="1" si="53"/>
        <v>0</v>
      </c>
      <c r="AM26" s="1131">
        <f t="shared" ca="1" si="53"/>
        <v>0</v>
      </c>
      <c r="AN26" s="1131">
        <f t="shared" ca="1" si="53"/>
        <v>0</v>
      </c>
      <c r="AO26" s="1131">
        <f t="shared" ca="1" si="4"/>
        <v>0</v>
      </c>
      <c r="AP26" s="1131">
        <f t="shared" ca="1" si="5"/>
        <v>0</v>
      </c>
      <c r="AQ26" s="1131"/>
      <c r="AR26" s="1131"/>
      <c r="AS26" s="1131">
        <f t="shared" ca="1" si="6"/>
        <v>0</v>
      </c>
      <c r="AT26" s="1131">
        <f t="shared" ca="1" si="7"/>
        <v>0</v>
      </c>
      <c r="AU26" s="1131">
        <f t="shared" ca="1" si="8"/>
        <v>0</v>
      </c>
      <c r="AV26" s="1131">
        <f t="shared" ca="1" si="9"/>
        <v>0</v>
      </c>
      <c r="AW26" s="1131">
        <f t="shared" ca="1" si="10"/>
        <v>0</v>
      </c>
      <c r="AX26" s="1131">
        <f t="shared" ca="1" si="11"/>
        <v>0</v>
      </c>
      <c r="AY26" s="1131">
        <f t="shared" ca="1" si="12"/>
        <v>0</v>
      </c>
      <c r="AZ26" s="1131">
        <f t="shared" ca="1" si="13"/>
        <v>0</v>
      </c>
      <c r="BA26" s="1131">
        <f t="shared" ca="1" si="14"/>
        <v>0</v>
      </c>
      <c r="BB26" s="1131">
        <f t="shared" ca="1" si="20"/>
        <v>0</v>
      </c>
      <c r="BC26" s="1131">
        <f t="shared" ca="1" si="15"/>
        <v>0</v>
      </c>
      <c r="BD26" s="1131"/>
      <c r="BE26" s="1131"/>
      <c r="BF26" s="19">
        <f>'Global cost assumptions'!E47</f>
        <v>0.1</v>
      </c>
      <c r="BG26" s="1131">
        <f>'Global cost assumptions'!F47</f>
        <v>30</v>
      </c>
      <c r="BH26" s="1131"/>
      <c r="BI26" s="1131"/>
      <c r="BJ26" s="27">
        <f t="shared" ca="1" si="21"/>
        <v>0</v>
      </c>
      <c r="BK26" s="27">
        <f t="shared" ca="1" si="22"/>
        <v>0</v>
      </c>
      <c r="BL26" s="27">
        <f t="shared" ca="1" si="23"/>
        <v>0</v>
      </c>
      <c r="BM26" s="27">
        <f t="shared" ca="1" si="24"/>
        <v>0</v>
      </c>
      <c r="BN26" s="27">
        <f t="shared" ca="1" si="25"/>
        <v>0</v>
      </c>
      <c r="BO26" s="27">
        <f t="shared" ca="1" si="26"/>
        <v>0</v>
      </c>
      <c r="BP26" s="27">
        <f t="shared" ca="1" si="27"/>
        <v>0</v>
      </c>
      <c r="BQ26" s="27">
        <f t="shared" ca="1" si="28"/>
        <v>0</v>
      </c>
      <c r="BR26" s="27">
        <f t="shared" ca="1" si="29"/>
        <v>0</v>
      </c>
      <c r="BS26" s="27">
        <f t="shared" ca="1" si="30"/>
        <v>0</v>
      </c>
      <c r="BT26" s="1131"/>
      <c r="BU26" s="1131"/>
      <c r="BV26" s="1409">
        <f t="shared" ca="1" si="31"/>
        <v>0</v>
      </c>
      <c r="BW26" s="1917">
        <f t="shared" ca="1" si="32"/>
        <v>0</v>
      </c>
      <c r="BX26" s="1917">
        <f t="shared" ca="1" si="33"/>
        <v>0</v>
      </c>
      <c r="BY26" s="1917">
        <f t="shared" ca="1" si="34"/>
        <v>0</v>
      </c>
      <c r="BZ26" s="1917">
        <f t="shared" ca="1" si="35"/>
        <v>0</v>
      </c>
      <c r="CA26" s="1917">
        <f t="shared" ca="1" si="36"/>
        <v>0</v>
      </c>
      <c r="CB26" s="1917">
        <f t="shared" ca="1" si="37"/>
        <v>0</v>
      </c>
      <c r="CC26" s="1917">
        <f t="shared" ca="1" si="38"/>
        <v>0</v>
      </c>
      <c r="CD26" s="1917">
        <f t="shared" ca="1" si="39"/>
        <v>0</v>
      </c>
      <c r="CE26" s="1917">
        <f t="shared" ca="1" si="40"/>
        <v>0</v>
      </c>
      <c r="CF26" s="1131">
        <f t="shared" ca="1" si="17"/>
        <v>0</v>
      </c>
      <c r="CG26" s="1131"/>
      <c r="CH26" s="1131"/>
      <c r="CI26" s="1409">
        <f t="shared" ca="1" si="41"/>
        <v>0</v>
      </c>
      <c r="CJ26" s="1409">
        <f t="shared" ca="1" si="42"/>
        <v>0</v>
      </c>
      <c r="CK26" s="1409">
        <f t="shared" ca="1" si="43"/>
        <v>0</v>
      </c>
      <c r="CL26" s="1409">
        <f t="shared" ca="1" si="44"/>
        <v>0</v>
      </c>
      <c r="CM26" s="1409">
        <f t="shared" ca="1" si="45"/>
        <v>0</v>
      </c>
      <c r="CN26" s="1409">
        <f t="shared" ca="1" si="46"/>
        <v>0</v>
      </c>
      <c r="CO26" s="1409">
        <f t="shared" ca="1" si="47"/>
        <v>0</v>
      </c>
      <c r="CP26" s="1409">
        <f t="shared" ca="1" si="48"/>
        <v>0</v>
      </c>
      <c r="CQ26" s="1409">
        <f t="shared" ca="1" si="49"/>
        <v>0</v>
      </c>
      <c r="CR26" s="1409">
        <f t="shared" ca="1" si="50"/>
        <v>0</v>
      </c>
      <c r="CS26" s="1131">
        <f t="shared" ca="1" si="19"/>
        <v>0</v>
      </c>
    </row>
    <row r="27" spans="3:97">
      <c r="C27" s="1763" t="s">
        <v>736</v>
      </c>
      <c r="D27" s="1763" t="s">
        <v>1009</v>
      </c>
      <c r="F27" s="1131">
        <f t="shared" ca="1" si="51"/>
        <v>0</v>
      </c>
      <c r="G27" s="1131">
        <f t="shared" ca="1" si="51"/>
        <v>0</v>
      </c>
      <c r="H27" s="1131">
        <f t="shared" ca="1" si="51"/>
        <v>0</v>
      </c>
      <c r="I27" s="1131">
        <f t="shared" ca="1" si="51"/>
        <v>0</v>
      </c>
      <c r="J27" s="1131">
        <f t="shared" ca="1" si="51"/>
        <v>0</v>
      </c>
      <c r="K27" s="1131">
        <f t="shared" ca="1" si="51"/>
        <v>0</v>
      </c>
      <c r="L27" s="1131">
        <f t="shared" ca="1" si="51"/>
        <v>0</v>
      </c>
      <c r="M27" s="1131">
        <f t="shared" ca="1" si="51"/>
        <v>0</v>
      </c>
      <c r="N27" s="1131">
        <f t="shared" ca="1" si="51"/>
        <v>0</v>
      </c>
      <c r="O27" s="1131">
        <f t="shared" ca="1" si="0"/>
        <v>0</v>
      </c>
      <c r="P27" s="1131">
        <f t="shared" ca="1" si="1"/>
        <v>0</v>
      </c>
      <c r="Q27" s="1131"/>
      <c r="R27" s="1131"/>
      <c r="S27" s="1131">
        <f t="shared" ca="1" si="52"/>
        <v>0</v>
      </c>
      <c r="T27" s="1131">
        <f t="shared" ca="1" si="52"/>
        <v>0</v>
      </c>
      <c r="U27" s="1131">
        <f t="shared" ca="1" si="52"/>
        <v>0</v>
      </c>
      <c r="V27" s="1131">
        <f t="shared" ca="1" si="52"/>
        <v>0</v>
      </c>
      <c r="W27" s="1131">
        <f t="shared" ca="1" si="52"/>
        <v>0</v>
      </c>
      <c r="X27" s="1131">
        <f t="shared" ca="1" si="52"/>
        <v>0</v>
      </c>
      <c r="Y27" s="1131">
        <f t="shared" ca="1" si="52"/>
        <v>0</v>
      </c>
      <c r="Z27" s="1131">
        <f t="shared" ca="1" si="52"/>
        <v>0</v>
      </c>
      <c r="AA27" s="1131">
        <f t="shared" ca="1" si="52"/>
        <v>0</v>
      </c>
      <c r="AB27" s="1131">
        <f t="shared" ca="1" si="2"/>
        <v>0</v>
      </c>
      <c r="AC27" s="1131">
        <f t="shared" ca="1" si="3"/>
        <v>0</v>
      </c>
      <c r="AD27" s="1131"/>
      <c r="AE27" s="1131"/>
      <c r="AF27" s="1131">
        <f t="shared" ca="1" si="53"/>
        <v>0</v>
      </c>
      <c r="AG27" s="1131">
        <f t="shared" ca="1" si="53"/>
        <v>0</v>
      </c>
      <c r="AH27" s="1131">
        <f t="shared" ca="1" si="53"/>
        <v>0</v>
      </c>
      <c r="AI27" s="1131">
        <f t="shared" ca="1" si="53"/>
        <v>0</v>
      </c>
      <c r="AJ27" s="1131">
        <f t="shared" ca="1" si="53"/>
        <v>0</v>
      </c>
      <c r="AK27" s="1131">
        <f t="shared" ca="1" si="53"/>
        <v>0</v>
      </c>
      <c r="AL27" s="1131">
        <f t="shared" ca="1" si="53"/>
        <v>0</v>
      </c>
      <c r="AM27" s="1131">
        <f t="shared" ca="1" si="53"/>
        <v>0</v>
      </c>
      <c r="AN27" s="1131">
        <f t="shared" ca="1" si="53"/>
        <v>0</v>
      </c>
      <c r="AO27" s="1131">
        <f t="shared" ca="1" si="4"/>
        <v>0</v>
      </c>
      <c r="AP27" s="1131">
        <f t="shared" ca="1" si="5"/>
        <v>0</v>
      </c>
      <c r="AQ27" s="1131"/>
      <c r="AR27" s="1131"/>
      <c r="AS27" s="1131">
        <f t="shared" ca="1" si="6"/>
        <v>0</v>
      </c>
      <c r="AT27" s="1131">
        <f t="shared" ca="1" si="7"/>
        <v>0</v>
      </c>
      <c r="AU27" s="1131">
        <f t="shared" ca="1" si="8"/>
        <v>0</v>
      </c>
      <c r="AV27" s="1131">
        <f t="shared" ca="1" si="9"/>
        <v>0</v>
      </c>
      <c r="AW27" s="1131">
        <f t="shared" ca="1" si="10"/>
        <v>0</v>
      </c>
      <c r="AX27" s="1131">
        <f t="shared" ca="1" si="11"/>
        <v>0</v>
      </c>
      <c r="AY27" s="1131">
        <f t="shared" ca="1" si="12"/>
        <v>0</v>
      </c>
      <c r="AZ27" s="1131">
        <f t="shared" ca="1" si="13"/>
        <v>0</v>
      </c>
      <c r="BA27" s="1131">
        <f t="shared" ca="1" si="14"/>
        <v>0</v>
      </c>
      <c r="BB27" s="1131">
        <f t="shared" ca="1" si="20"/>
        <v>0</v>
      </c>
      <c r="BC27" s="1131">
        <f t="shared" ca="1" si="15"/>
        <v>0</v>
      </c>
      <c r="BD27" s="1131"/>
      <c r="BE27" s="1131"/>
      <c r="BF27" s="19">
        <f>'Global cost assumptions'!E48</f>
        <v>0.1</v>
      </c>
      <c r="BG27" s="1131">
        <f>'Global cost assumptions'!F48</f>
        <v>30</v>
      </c>
      <c r="BH27" s="1131"/>
      <c r="BI27" s="1131"/>
      <c r="BJ27" s="27">
        <f t="shared" ca="1" si="21"/>
        <v>0</v>
      </c>
      <c r="BK27" s="27">
        <f t="shared" ca="1" si="22"/>
        <v>0</v>
      </c>
      <c r="BL27" s="27">
        <f t="shared" ca="1" si="23"/>
        <v>0</v>
      </c>
      <c r="BM27" s="27">
        <f t="shared" ca="1" si="24"/>
        <v>0</v>
      </c>
      <c r="BN27" s="27">
        <f t="shared" ca="1" si="25"/>
        <v>0</v>
      </c>
      <c r="BO27" s="27">
        <f t="shared" ca="1" si="26"/>
        <v>0</v>
      </c>
      <c r="BP27" s="27">
        <f t="shared" ca="1" si="27"/>
        <v>0</v>
      </c>
      <c r="BQ27" s="27">
        <f t="shared" ca="1" si="28"/>
        <v>0</v>
      </c>
      <c r="BR27" s="27">
        <f t="shared" ca="1" si="29"/>
        <v>0</v>
      </c>
      <c r="BS27" s="27">
        <f t="shared" ca="1" si="30"/>
        <v>0</v>
      </c>
      <c r="BT27" s="1131"/>
      <c r="BU27" s="1131"/>
      <c r="BV27" s="1409">
        <f t="shared" ca="1" si="31"/>
        <v>0</v>
      </c>
      <c r="BW27" s="1917">
        <f t="shared" ca="1" si="32"/>
        <v>0</v>
      </c>
      <c r="BX27" s="1917">
        <f t="shared" ca="1" si="33"/>
        <v>0</v>
      </c>
      <c r="BY27" s="1917">
        <f t="shared" ca="1" si="34"/>
        <v>0</v>
      </c>
      <c r="BZ27" s="1917">
        <f t="shared" ca="1" si="35"/>
        <v>0</v>
      </c>
      <c r="CA27" s="1917">
        <f t="shared" ca="1" si="36"/>
        <v>0</v>
      </c>
      <c r="CB27" s="1917">
        <f t="shared" ca="1" si="37"/>
        <v>0</v>
      </c>
      <c r="CC27" s="1917">
        <f t="shared" ca="1" si="38"/>
        <v>0</v>
      </c>
      <c r="CD27" s="1917">
        <f t="shared" ca="1" si="39"/>
        <v>0</v>
      </c>
      <c r="CE27" s="1917">
        <f t="shared" ca="1" si="40"/>
        <v>0</v>
      </c>
      <c r="CF27" s="1131">
        <f t="shared" ca="1" si="17"/>
        <v>0</v>
      </c>
      <c r="CG27" s="1131"/>
      <c r="CH27" s="1131"/>
      <c r="CI27" s="1409">
        <f t="shared" ca="1" si="41"/>
        <v>0</v>
      </c>
      <c r="CJ27" s="1409">
        <f t="shared" ca="1" si="42"/>
        <v>0</v>
      </c>
      <c r="CK27" s="1409">
        <f t="shared" ca="1" si="43"/>
        <v>0</v>
      </c>
      <c r="CL27" s="1409">
        <f t="shared" ca="1" si="44"/>
        <v>0</v>
      </c>
      <c r="CM27" s="1409">
        <f t="shared" ca="1" si="45"/>
        <v>0</v>
      </c>
      <c r="CN27" s="1409">
        <f t="shared" ca="1" si="46"/>
        <v>0</v>
      </c>
      <c r="CO27" s="1409">
        <f t="shared" ca="1" si="47"/>
        <v>0</v>
      </c>
      <c r="CP27" s="1409">
        <f t="shared" ca="1" si="48"/>
        <v>0</v>
      </c>
      <c r="CQ27" s="1409">
        <f t="shared" ca="1" si="49"/>
        <v>0</v>
      </c>
      <c r="CR27" s="1409">
        <f t="shared" ca="1" si="50"/>
        <v>0</v>
      </c>
      <c r="CS27" s="1131">
        <f t="shared" ca="1" si="19"/>
        <v>0</v>
      </c>
    </row>
    <row r="28" spans="3:97">
      <c r="C28" s="1763" t="s">
        <v>1226</v>
      </c>
      <c r="D28" s="1763" t="s">
        <v>1225</v>
      </c>
      <c r="F28" s="1131">
        <f t="shared" ca="1" si="51"/>
        <v>0</v>
      </c>
      <c r="G28" s="1131">
        <f t="shared" ca="1" si="51"/>
        <v>0</v>
      </c>
      <c r="H28" s="1131">
        <f t="shared" ca="1" si="51"/>
        <v>0</v>
      </c>
      <c r="I28" s="1131">
        <f t="shared" ca="1" si="51"/>
        <v>0</v>
      </c>
      <c r="J28" s="1131">
        <f t="shared" ca="1" si="51"/>
        <v>0</v>
      </c>
      <c r="K28" s="1131">
        <f t="shared" ca="1" si="51"/>
        <v>0</v>
      </c>
      <c r="L28" s="1131">
        <f t="shared" ca="1" si="51"/>
        <v>0</v>
      </c>
      <c r="M28" s="1131">
        <f t="shared" ca="1" si="51"/>
        <v>0</v>
      </c>
      <c r="N28" s="1131">
        <f t="shared" ca="1" si="51"/>
        <v>0</v>
      </c>
      <c r="O28" s="1131">
        <f t="shared" ca="1" si="51"/>
        <v>0</v>
      </c>
      <c r="P28" s="1131">
        <f t="shared" ca="1" si="1"/>
        <v>0</v>
      </c>
      <c r="Q28" s="1131"/>
      <c r="R28" s="1131"/>
      <c r="S28" s="1131">
        <f t="shared" ca="1" si="52"/>
        <v>0</v>
      </c>
      <c r="T28" s="1131">
        <f t="shared" ca="1" si="52"/>
        <v>0</v>
      </c>
      <c r="U28" s="1131">
        <f t="shared" ca="1" si="52"/>
        <v>0</v>
      </c>
      <c r="V28" s="1131">
        <f t="shared" ca="1" si="52"/>
        <v>0</v>
      </c>
      <c r="W28" s="1131">
        <f t="shared" ca="1" si="52"/>
        <v>0</v>
      </c>
      <c r="X28" s="1131">
        <f t="shared" ca="1" si="52"/>
        <v>0</v>
      </c>
      <c r="Y28" s="1131">
        <f t="shared" ca="1" si="52"/>
        <v>0</v>
      </c>
      <c r="Z28" s="1131">
        <f t="shared" ca="1" si="52"/>
        <v>0</v>
      </c>
      <c r="AA28" s="1131">
        <f t="shared" ca="1" si="52"/>
        <v>0</v>
      </c>
      <c r="AB28" s="1131">
        <f t="shared" ca="1" si="52"/>
        <v>0</v>
      </c>
      <c r="AC28" s="1131">
        <f t="shared" ca="1" si="3"/>
        <v>0</v>
      </c>
      <c r="AD28" s="1131"/>
      <c r="AE28" s="1131"/>
      <c r="AF28" s="1131">
        <f t="shared" ca="1" si="53"/>
        <v>0</v>
      </c>
      <c r="AG28" s="1131">
        <f t="shared" ca="1" si="53"/>
        <v>0</v>
      </c>
      <c r="AH28" s="1131">
        <f t="shared" ca="1" si="53"/>
        <v>0</v>
      </c>
      <c r="AI28" s="1131">
        <f t="shared" ca="1" si="53"/>
        <v>0</v>
      </c>
      <c r="AJ28" s="1131">
        <f t="shared" ca="1" si="53"/>
        <v>0</v>
      </c>
      <c r="AK28" s="1131">
        <f t="shared" ca="1" si="53"/>
        <v>0</v>
      </c>
      <c r="AL28" s="1131">
        <f t="shared" ca="1" si="53"/>
        <v>0</v>
      </c>
      <c r="AM28" s="1131">
        <f t="shared" ca="1" si="53"/>
        <v>0</v>
      </c>
      <c r="AN28" s="1131">
        <f t="shared" ca="1" si="53"/>
        <v>0</v>
      </c>
      <c r="AO28" s="1131">
        <f t="shared" ca="1" si="53"/>
        <v>0</v>
      </c>
      <c r="AP28" s="1131">
        <f t="shared" ca="1" si="5"/>
        <v>0</v>
      </c>
      <c r="AQ28" s="1131"/>
      <c r="AR28" s="1131"/>
      <c r="AS28" s="1131">
        <f t="shared" ca="1" si="6"/>
        <v>0</v>
      </c>
      <c r="AT28" s="1131">
        <f t="shared" ca="1" si="7"/>
        <v>0</v>
      </c>
      <c r="AU28" s="1131">
        <f t="shared" ca="1" si="8"/>
        <v>0</v>
      </c>
      <c r="AV28" s="1131">
        <f t="shared" ca="1" si="9"/>
        <v>0</v>
      </c>
      <c r="AW28" s="1131">
        <f t="shared" ca="1" si="10"/>
        <v>0</v>
      </c>
      <c r="AX28" s="1131">
        <f t="shared" ca="1" si="11"/>
        <v>0</v>
      </c>
      <c r="AY28" s="1131">
        <f t="shared" ca="1" si="12"/>
        <v>0</v>
      </c>
      <c r="AZ28" s="1131">
        <f t="shared" ca="1" si="13"/>
        <v>0</v>
      </c>
      <c r="BA28" s="1131">
        <f t="shared" ca="1" si="14"/>
        <v>0</v>
      </c>
      <c r="BB28" s="1131">
        <f t="shared" ca="1" si="20"/>
        <v>0</v>
      </c>
      <c r="BC28" s="1131">
        <f t="shared" ca="1" si="15"/>
        <v>0</v>
      </c>
      <c r="BD28" s="1131"/>
      <c r="BE28" s="1131"/>
      <c r="BF28" s="19">
        <f>'Global cost assumptions'!E49</f>
        <v>0.1</v>
      </c>
      <c r="BG28" s="1131">
        <f>'Global cost assumptions'!F49</f>
        <v>30</v>
      </c>
      <c r="BH28" s="1131"/>
      <c r="BI28" s="1131"/>
      <c r="BJ28" s="27">
        <f t="shared" ca="1" si="21"/>
        <v>0</v>
      </c>
      <c r="BK28" s="27">
        <f t="shared" ca="1" si="22"/>
        <v>0</v>
      </c>
      <c r="BL28" s="27">
        <f t="shared" ca="1" si="23"/>
        <v>0</v>
      </c>
      <c r="BM28" s="27">
        <f t="shared" ca="1" si="24"/>
        <v>0</v>
      </c>
      <c r="BN28" s="27">
        <f t="shared" ca="1" si="25"/>
        <v>0</v>
      </c>
      <c r="BO28" s="27">
        <f t="shared" ca="1" si="26"/>
        <v>0</v>
      </c>
      <c r="BP28" s="27">
        <f t="shared" ca="1" si="27"/>
        <v>0</v>
      </c>
      <c r="BQ28" s="27">
        <f t="shared" ca="1" si="28"/>
        <v>0</v>
      </c>
      <c r="BR28" s="27">
        <f t="shared" ca="1" si="29"/>
        <v>0</v>
      </c>
      <c r="BS28" s="27">
        <f t="shared" ca="1" si="30"/>
        <v>0</v>
      </c>
      <c r="BT28" s="1131"/>
      <c r="BU28" s="1131"/>
      <c r="BV28" s="1409">
        <f t="shared" ca="1" si="31"/>
        <v>0</v>
      </c>
      <c r="BW28" s="1917">
        <f t="shared" ca="1" si="32"/>
        <v>0</v>
      </c>
      <c r="BX28" s="1917">
        <f t="shared" ca="1" si="33"/>
        <v>0</v>
      </c>
      <c r="BY28" s="1917">
        <f t="shared" ca="1" si="34"/>
        <v>0</v>
      </c>
      <c r="BZ28" s="1917">
        <f t="shared" ca="1" si="35"/>
        <v>0</v>
      </c>
      <c r="CA28" s="1917">
        <f t="shared" ca="1" si="36"/>
        <v>0</v>
      </c>
      <c r="CB28" s="1917">
        <f t="shared" ca="1" si="37"/>
        <v>0</v>
      </c>
      <c r="CC28" s="1917">
        <f t="shared" ca="1" si="38"/>
        <v>0</v>
      </c>
      <c r="CD28" s="1917">
        <f t="shared" ca="1" si="39"/>
        <v>0</v>
      </c>
      <c r="CE28" s="1917">
        <f t="shared" ca="1" si="40"/>
        <v>0</v>
      </c>
      <c r="CF28" s="1131">
        <f t="shared" ca="1" si="17"/>
        <v>0</v>
      </c>
      <c r="CG28" s="1131"/>
      <c r="CH28" s="1131"/>
      <c r="CI28" s="1409">
        <f t="shared" ca="1" si="41"/>
        <v>0</v>
      </c>
      <c r="CJ28" s="1409">
        <f t="shared" ca="1" si="42"/>
        <v>0</v>
      </c>
      <c r="CK28" s="1409">
        <f t="shared" ca="1" si="43"/>
        <v>0</v>
      </c>
      <c r="CL28" s="1409">
        <f t="shared" ca="1" si="44"/>
        <v>0</v>
      </c>
      <c r="CM28" s="1409">
        <f t="shared" ca="1" si="45"/>
        <v>0</v>
      </c>
      <c r="CN28" s="1409">
        <f t="shared" ca="1" si="46"/>
        <v>0</v>
      </c>
      <c r="CO28" s="1409">
        <f t="shared" ca="1" si="47"/>
        <v>0</v>
      </c>
      <c r="CP28" s="1409">
        <f t="shared" ca="1" si="48"/>
        <v>0</v>
      </c>
      <c r="CQ28" s="1409">
        <f t="shared" ca="1" si="49"/>
        <v>0</v>
      </c>
      <c r="CR28" s="1409">
        <f t="shared" ca="1" si="50"/>
        <v>0</v>
      </c>
      <c r="CS28" s="1131">
        <f t="shared" ca="1" si="19"/>
        <v>0</v>
      </c>
    </row>
    <row r="29" spans="3:97">
      <c r="C29" s="1909" t="s">
        <v>2135</v>
      </c>
      <c r="D29" s="1909" t="s">
        <v>50</v>
      </c>
      <c r="F29" s="1131">
        <f t="shared" ca="1" si="51"/>
        <v>0</v>
      </c>
      <c r="G29" s="1131">
        <f t="shared" ca="1" si="51"/>
        <v>0</v>
      </c>
      <c r="H29" s="1131">
        <f t="shared" ca="1" si="51"/>
        <v>0</v>
      </c>
      <c r="I29" s="1131">
        <f t="shared" ca="1" si="51"/>
        <v>0</v>
      </c>
      <c r="J29" s="1131">
        <f t="shared" ca="1" si="51"/>
        <v>0</v>
      </c>
      <c r="K29" s="1131">
        <f t="shared" ca="1" si="51"/>
        <v>0</v>
      </c>
      <c r="L29" s="1131">
        <f t="shared" ca="1" si="51"/>
        <v>0</v>
      </c>
      <c r="M29" s="1131">
        <f t="shared" ca="1" si="51"/>
        <v>0</v>
      </c>
      <c r="N29" s="1131">
        <f t="shared" ca="1" si="51"/>
        <v>0</v>
      </c>
      <c r="O29" s="1131">
        <f t="shared" ca="1" si="51"/>
        <v>0</v>
      </c>
      <c r="P29" s="1131">
        <f t="shared" ca="1" si="1"/>
        <v>0</v>
      </c>
      <c r="Q29" s="1131"/>
      <c r="R29" s="1131"/>
      <c r="S29" s="1131">
        <f t="shared" ca="1" si="52"/>
        <v>0</v>
      </c>
      <c r="T29" s="1131">
        <f t="shared" ca="1" si="52"/>
        <v>0</v>
      </c>
      <c r="U29" s="1131">
        <f t="shared" ca="1" si="52"/>
        <v>0</v>
      </c>
      <c r="V29" s="1131">
        <f t="shared" ca="1" si="52"/>
        <v>0</v>
      </c>
      <c r="W29" s="1131">
        <f t="shared" ca="1" si="52"/>
        <v>0</v>
      </c>
      <c r="X29" s="1131">
        <f t="shared" ca="1" si="52"/>
        <v>0</v>
      </c>
      <c r="Y29" s="1131">
        <f t="shared" ca="1" si="52"/>
        <v>0</v>
      </c>
      <c r="Z29" s="1131">
        <f t="shared" ca="1" si="52"/>
        <v>0</v>
      </c>
      <c r="AA29" s="1131">
        <f t="shared" ca="1" si="52"/>
        <v>0</v>
      </c>
      <c r="AB29" s="1131">
        <f t="shared" ca="1" si="52"/>
        <v>0</v>
      </c>
      <c r="AC29" s="1131">
        <f t="shared" ca="1" si="3"/>
        <v>0</v>
      </c>
      <c r="AD29" s="1131"/>
      <c r="AE29" s="1131"/>
      <c r="AF29" s="1131">
        <f t="shared" ca="1" si="53"/>
        <v>0</v>
      </c>
      <c r="AG29" s="1131">
        <f t="shared" ca="1" si="53"/>
        <v>0</v>
      </c>
      <c r="AH29" s="1131">
        <f t="shared" ca="1" si="53"/>
        <v>0</v>
      </c>
      <c r="AI29" s="1131">
        <f t="shared" ca="1" si="53"/>
        <v>0</v>
      </c>
      <c r="AJ29" s="1131">
        <f t="shared" ca="1" si="53"/>
        <v>0</v>
      </c>
      <c r="AK29" s="1131">
        <f t="shared" ca="1" si="53"/>
        <v>0</v>
      </c>
      <c r="AL29" s="1131">
        <f t="shared" ca="1" si="53"/>
        <v>0</v>
      </c>
      <c r="AM29" s="1131">
        <f t="shared" ca="1" si="53"/>
        <v>0</v>
      </c>
      <c r="AN29" s="1131">
        <f t="shared" ca="1" si="53"/>
        <v>0</v>
      </c>
      <c r="AO29" s="1131">
        <f t="shared" ca="1" si="53"/>
        <v>0</v>
      </c>
      <c r="AP29" s="1131">
        <f t="shared" ca="1" si="5"/>
        <v>0</v>
      </c>
      <c r="AQ29" s="1131"/>
      <c r="AR29" s="1131"/>
      <c r="AS29" s="1131">
        <f t="shared" ca="1" si="6"/>
        <v>0</v>
      </c>
      <c r="AT29" s="1131">
        <f t="shared" ca="1" si="7"/>
        <v>0</v>
      </c>
      <c r="AU29" s="1131">
        <f t="shared" ca="1" si="8"/>
        <v>0</v>
      </c>
      <c r="AV29" s="1131">
        <f t="shared" ca="1" si="9"/>
        <v>0</v>
      </c>
      <c r="AW29" s="1131">
        <f t="shared" ca="1" si="10"/>
        <v>0</v>
      </c>
      <c r="AX29" s="1131">
        <f t="shared" ca="1" si="11"/>
        <v>0</v>
      </c>
      <c r="AY29" s="1131">
        <f t="shared" ca="1" si="12"/>
        <v>0</v>
      </c>
      <c r="AZ29" s="1131">
        <f t="shared" ca="1" si="13"/>
        <v>0</v>
      </c>
      <c r="BA29" s="1131">
        <f t="shared" ca="1" si="14"/>
        <v>0</v>
      </c>
      <c r="BB29" s="1131">
        <f t="shared" ca="1" si="20"/>
        <v>0</v>
      </c>
      <c r="BC29" s="1131">
        <f t="shared" ca="1" si="15"/>
        <v>0</v>
      </c>
      <c r="BD29" s="1131"/>
      <c r="BE29" s="1131"/>
      <c r="BF29" s="19">
        <f>'Global cost assumptions'!E50</f>
        <v>0.1</v>
      </c>
      <c r="BG29" s="1131">
        <f>'Global cost assumptions'!F50</f>
        <v>30</v>
      </c>
      <c r="BH29" s="1131"/>
      <c r="BI29" s="1131"/>
      <c r="BJ29" s="27">
        <f t="shared" ca="1" si="21"/>
        <v>0</v>
      </c>
      <c r="BK29" s="27">
        <f t="shared" ca="1" si="22"/>
        <v>0</v>
      </c>
      <c r="BL29" s="27">
        <f t="shared" ca="1" si="23"/>
        <v>0</v>
      </c>
      <c r="BM29" s="27">
        <f t="shared" ca="1" si="24"/>
        <v>0</v>
      </c>
      <c r="BN29" s="27">
        <f t="shared" ca="1" si="25"/>
        <v>0</v>
      </c>
      <c r="BO29" s="27">
        <f t="shared" ca="1" si="26"/>
        <v>0</v>
      </c>
      <c r="BP29" s="27">
        <f t="shared" ca="1" si="27"/>
        <v>0</v>
      </c>
      <c r="BQ29" s="27">
        <f t="shared" ca="1" si="28"/>
        <v>0</v>
      </c>
      <c r="BR29" s="27">
        <f t="shared" ca="1" si="29"/>
        <v>0</v>
      </c>
      <c r="BS29" s="27">
        <f t="shared" ca="1" si="30"/>
        <v>0</v>
      </c>
      <c r="BT29" s="1131"/>
      <c r="BU29" s="1131"/>
      <c r="BV29" s="1409">
        <f t="shared" ca="1" si="31"/>
        <v>0</v>
      </c>
      <c r="BW29" s="1917">
        <f t="shared" ca="1" si="32"/>
        <v>0</v>
      </c>
      <c r="BX29" s="1917">
        <f t="shared" ca="1" si="33"/>
        <v>0</v>
      </c>
      <c r="BY29" s="1917">
        <f t="shared" ca="1" si="34"/>
        <v>0</v>
      </c>
      <c r="BZ29" s="1917">
        <f t="shared" ca="1" si="35"/>
        <v>0</v>
      </c>
      <c r="CA29" s="1917">
        <f t="shared" ca="1" si="36"/>
        <v>0</v>
      </c>
      <c r="CB29" s="1917">
        <f t="shared" ca="1" si="37"/>
        <v>0</v>
      </c>
      <c r="CC29" s="1917">
        <f t="shared" ca="1" si="38"/>
        <v>0</v>
      </c>
      <c r="CD29" s="1917">
        <f t="shared" ca="1" si="39"/>
        <v>0</v>
      </c>
      <c r="CE29" s="1917">
        <f t="shared" ca="1" si="40"/>
        <v>0</v>
      </c>
      <c r="CF29" s="1131">
        <f t="shared" ca="1" si="17"/>
        <v>0</v>
      </c>
      <c r="CG29" s="1131"/>
      <c r="CH29" s="1131"/>
      <c r="CI29" s="1409">
        <f t="shared" ca="1" si="41"/>
        <v>0</v>
      </c>
      <c r="CJ29" s="1409">
        <f t="shared" ca="1" si="42"/>
        <v>0</v>
      </c>
      <c r="CK29" s="1409">
        <f t="shared" ca="1" si="43"/>
        <v>0</v>
      </c>
      <c r="CL29" s="1409">
        <f t="shared" ca="1" si="44"/>
        <v>0</v>
      </c>
      <c r="CM29" s="1409">
        <f t="shared" ca="1" si="45"/>
        <v>0</v>
      </c>
      <c r="CN29" s="1409">
        <f t="shared" ca="1" si="46"/>
        <v>0</v>
      </c>
      <c r="CO29" s="1409">
        <f t="shared" ca="1" si="47"/>
        <v>0</v>
      </c>
      <c r="CP29" s="1409">
        <f t="shared" ca="1" si="48"/>
        <v>0</v>
      </c>
      <c r="CQ29" s="1409">
        <f t="shared" ca="1" si="49"/>
        <v>0</v>
      </c>
      <c r="CR29" s="1409">
        <f t="shared" ca="1" si="50"/>
        <v>0</v>
      </c>
      <c r="CS29" s="1131">
        <f t="shared" ca="1" si="19"/>
        <v>0</v>
      </c>
    </row>
    <row r="30" spans="3:97" s="1909" customFormat="1">
      <c r="C30" s="1909" t="s">
        <v>2136</v>
      </c>
      <c r="D30" s="1909" t="s">
        <v>2134</v>
      </c>
      <c r="F30" s="1131">
        <f t="shared" ca="1" si="51"/>
        <v>0</v>
      </c>
      <c r="G30" s="1131">
        <f t="shared" ca="1" si="51"/>
        <v>0</v>
      </c>
      <c r="H30" s="1131">
        <f t="shared" ca="1" si="51"/>
        <v>0</v>
      </c>
      <c r="I30" s="1131">
        <f t="shared" ca="1" si="51"/>
        <v>0</v>
      </c>
      <c r="J30" s="1131">
        <f t="shared" ca="1" si="51"/>
        <v>0</v>
      </c>
      <c r="K30" s="1131">
        <f t="shared" ca="1" si="51"/>
        <v>0</v>
      </c>
      <c r="L30" s="1131">
        <f t="shared" ca="1" si="51"/>
        <v>0</v>
      </c>
      <c r="M30" s="1131">
        <f t="shared" ca="1" si="51"/>
        <v>0</v>
      </c>
      <c r="N30" s="1131">
        <f t="shared" ca="1" si="51"/>
        <v>0</v>
      </c>
      <c r="O30" s="1131">
        <f t="shared" ca="1" si="51"/>
        <v>0</v>
      </c>
      <c r="P30" s="1131">
        <f t="shared" ca="1" si="1"/>
        <v>0</v>
      </c>
      <c r="Q30" s="1131"/>
      <c r="R30" s="1131"/>
      <c r="S30" s="1131">
        <f t="shared" ca="1" si="52"/>
        <v>0</v>
      </c>
      <c r="T30" s="1131">
        <f t="shared" ca="1" si="52"/>
        <v>0</v>
      </c>
      <c r="U30" s="1131">
        <f t="shared" ca="1" si="52"/>
        <v>0</v>
      </c>
      <c r="V30" s="1131">
        <f t="shared" ca="1" si="52"/>
        <v>0</v>
      </c>
      <c r="W30" s="1131">
        <f t="shared" ca="1" si="52"/>
        <v>0</v>
      </c>
      <c r="X30" s="1131">
        <f t="shared" ca="1" si="52"/>
        <v>0</v>
      </c>
      <c r="Y30" s="1131">
        <f t="shared" ca="1" si="52"/>
        <v>0</v>
      </c>
      <c r="Z30" s="1131">
        <f t="shared" ca="1" si="52"/>
        <v>0</v>
      </c>
      <c r="AA30" s="1131">
        <f t="shared" ca="1" si="52"/>
        <v>0</v>
      </c>
      <c r="AB30" s="1131">
        <f t="shared" ca="1" si="52"/>
        <v>0</v>
      </c>
      <c r="AC30" s="1131">
        <f t="shared" ca="1" si="3"/>
        <v>0</v>
      </c>
      <c r="AD30" s="1131"/>
      <c r="AE30" s="1131"/>
      <c r="AF30" s="1131">
        <f t="shared" ca="1" si="53"/>
        <v>0</v>
      </c>
      <c r="AG30" s="1131">
        <f t="shared" ca="1" si="53"/>
        <v>0</v>
      </c>
      <c r="AH30" s="1131">
        <f t="shared" ca="1" si="53"/>
        <v>0</v>
      </c>
      <c r="AI30" s="1131">
        <f t="shared" ca="1" si="53"/>
        <v>0</v>
      </c>
      <c r="AJ30" s="1131">
        <f t="shared" ca="1" si="53"/>
        <v>0</v>
      </c>
      <c r="AK30" s="1131">
        <f t="shared" ca="1" si="53"/>
        <v>0</v>
      </c>
      <c r="AL30" s="1131">
        <f t="shared" ca="1" si="53"/>
        <v>0</v>
      </c>
      <c r="AM30" s="1131">
        <f t="shared" ca="1" si="53"/>
        <v>0</v>
      </c>
      <c r="AN30" s="1131">
        <f t="shared" ca="1" si="53"/>
        <v>0</v>
      </c>
      <c r="AO30" s="1131">
        <f t="shared" ca="1" si="53"/>
        <v>0</v>
      </c>
      <c r="AP30" s="1131">
        <f t="shared" ca="1" si="5"/>
        <v>0</v>
      </c>
      <c r="AQ30" s="1131"/>
      <c r="AR30" s="1131"/>
      <c r="AS30" s="1131">
        <f t="shared" ref="AS30" ca="1" si="54">SUM(F30,S30,AF30)</f>
        <v>0</v>
      </c>
      <c r="AT30" s="1131">
        <f t="shared" ref="AT30" ca="1" si="55">SUM(G30,T30,AG30)</f>
        <v>0</v>
      </c>
      <c r="AU30" s="1131">
        <f t="shared" ref="AU30" ca="1" si="56">SUM(H30,U30,AH30)</f>
        <v>0</v>
      </c>
      <c r="AV30" s="1131">
        <f t="shared" ref="AV30" ca="1" si="57">SUM(I30,V30,AI30)</f>
        <v>0</v>
      </c>
      <c r="AW30" s="1131">
        <f t="shared" ref="AW30" ca="1" si="58">SUM(J30,W30,AJ30)</f>
        <v>0</v>
      </c>
      <c r="AX30" s="1131">
        <f t="shared" ref="AX30" ca="1" si="59">SUM(K30,X30,AK30)</f>
        <v>0</v>
      </c>
      <c r="AY30" s="1131">
        <f t="shared" ref="AY30" ca="1" si="60">SUM(L30,Y30,AL30)</f>
        <v>0</v>
      </c>
      <c r="AZ30" s="1131">
        <f t="shared" ref="AZ30" ca="1" si="61">SUM(M30,Z30,AM30)</f>
        <v>0</v>
      </c>
      <c r="BA30" s="1131">
        <f t="shared" ref="BA30" ca="1" si="62">SUM(N30,AA30,AN30)</f>
        <v>0</v>
      </c>
      <c r="BB30" s="1131">
        <f t="shared" ca="1" si="20"/>
        <v>0</v>
      </c>
      <c r="BC30" s="1131">
        <f t="shared" ca="1" si="15"/>
        <v>0</v>
      </c>
      <c r="BD30" s="1131"/>
      <c r="BE30" s="1131"/>
      <c r="BF30" s="19">
        <f>'Global cost assumptions'!E51</f>
        <v>0.1</v>
      </c>
      <c r="BG30" s="1131">
        <f>'Global cost assumptions'!F51</f>
        <v>30</v>
      </c>
      <c r="BH30" s="1131"/>
      <c r="BI30" s="1131"/>
      <c r="BJ30" s="27">
        <f t="shared" ca="1" si="21"/>
        <v>0</v>
      </c>
      <c r="BK30" s="27">
        <f t="shared" ca="1" si="22"/>
        <v>0</v>
      </c>
      <c r="BL30" s="27">
        <f t="shared" ca="1" si="23"/>
        <v>0</v>
      </c>
      <c r="BM30" s="27">
        <f t="shared" ca="1" si="24"/>
        <v>0</v>
      </c>
      <c r="BN30" s="27">
        <f t="shared" ca="1" si="25"/>
        <v>0</v>
      </c>
      <c r="BO30" s="27">
        <f t="shared" ca="1" si="26"/>
        <v>0</v>
      </c>
      <c r="BP30" s="27">
        <f t="shared" ca="1" si="27"/>
        <v>0</v>
      </c>
      <c r="BQ30" s="27">
        <f t="shared" ca="1" si="28"/>
        <v>0</v>
      </c>
      <c r="BR30" s="27">
        <f t="shared" ca="1" si="29"/>
        <v>0</v>
      </c>
      <c r="BS30" s="27">
        <f t="shared" ca="1" si="30"/>
        <v>0</v>
      </c>
      <c r="BT30" s="1131"/>
      <c r="BU30" s="1131"/>
      <c r="BV30" s="1409">
        <f t="shared" ca="1" si="31"/>
        <v>0</v>
      </c>
      <c r="BW30" s="1917">
        <f t="shared" ca="1" si="32"/>
        <v>0</v>
      </c>
      <c r="BX30" s="1917">
        <f t="shared" ca="1" si="33"/>
        <v>0</v>
      </c>
      <c r="BY30" s="1917">
        <f t="shared" ca="1" si="34"/>
        <v>0</v>
      </c>
      <c r="BZ30" s="1917">
        <f t="shared" ca="1" si="35"/>
        <v>0</v>
      </c>
      <c r="CA30" s="1917">
        <f t="shared" ca="1" si="36"/>
        <v>0</v>
      </c>
      <c r="CB30" s="1917">
        <f t="shared" ca="1" si="37"/>
        <v>0</v>
      </c>
      <c r="CC30" s="1917">
        <f t="shared" ca="1" si="38"/>
        <v>0</v>
      </c>
      <c r="CD30" s="1917">
        <f t="shared" ca="1" si="39"/>
        <v>0</v>
      </c>
      <c r="CE30" s="1917">
        <f t="shared" ca="1" si="40"/>
        <v>0</v>
      </c>
      <c r="CF30" s="1131">
        <f t="shared" ca="1" si="17"/>
        <v>0</v>
      </c>
      <c r="CG30" s="1131"/>
      <c r="CH30" s="1131"/>
      <c r="CI30" s="1409">
        <f t="shared" ca="1" si="41"/>
        <v>0</v>
      </c>
      <c r="CJ30" s="1409">
        <f t="shared" ca="1" si="42"/>
        <v>0</v>
      </c>
      <c r="CK30" s="1409">
        <f t="shared" ca="1" si="43"/>
        <v>0</v>
      </c>
      <c r="CL30" s="1409">
        <f t="shared" ca="1" si="44"/>
        <v>0</v>
      </c>
      <c r="CM30" s="1409">
        <f t="shared" ca="1" si="45"/>
        <v>0</v>
      </c>
      <c r="CN30" s="1409">
        <f t="shared" ca="1" si="46"/>
        <v>0</v>
      </c>
      <c r="CO30" s="1409">
        <f t="shared" ca="1" si="47"/>
        <v>0</v>
      </c>
      <c r="CP30" s="1409">
        <f t="shared" ca="1" si="48"/>
        <v>0</v>
      </c>
      <c r="CQ30" s="1409">
        <f t="shared" ca="1" si="49"/>
        <v>0</v>
      </c>
      <c r="CR30" s="1409">
        <f t="shared" ca="1" si="50"/>
        <v>0</v>
      </c>
      <c r="CS30" s="1131">
        <f t="shared" ca="1" si="19"/>
        <v>0</v>
      </c>
    </row>
    <row r="31" spans="3:97">
      <c r="C31" s="1763" t="s">
        <v>642</v>
      </c>
      <c r="D31" s="1763" t="s">
        <v>640</v>
      </c>
      <c r="F31" s="1131">
        <f t="shared" ca="1" si="51"/>
        <v>0</v>
      </c>
      <c r="G31" s="1131">
        <f t="shared" ca="1" si="51"/>
        <v>0</v>
      </c>
      <c r="H31" s="1131">
        <f t="shared" ca="1" si="51"/>
        <v>0</v>
      </c>
      <c r="I31" s="1131">
        <f t="shared" ca="1" si="51"/>
        <v>0</v>
      </c>
      <c r="J31" s="1131">
        <f t="shared" ca="1" si="51"/>
        <v>0</v>
      </c>
      <c r="K31" s="1131">
        <f t="shared" ca="1" si="51"/>
        <v>0</v>
      </c>
      <c r="L31" s="1131">
        <f t="shared" ca="1" si="51"/>
        <v>0</v>
      </c>
      <c r="M31" s="1131">
        <f t="shared" ca="1" si="51"/>
        <v>0</v>
      </c>
      <c r="N31" s="1131">
        <f t="shared" ca="1" si="51"/>
        <v>0</v>
      </c>
      <c r="O31" s="1131">
        <f t="shared" ca="1" si="51"/>
        <v>0</v>
      </c>
      <c r="P31" s="1131">
        <f t="shared" ca="1" si="1"/>
        <v>0</v>
      </c>
      <c r="Q31" s="1131"/>
      <c r="R31" s="1131"/>
      <c r="S31" s="1131">
        <f t="shared" ca="1" si="52"/>
        <v>0</v>
      </c>
      <c r="T31" s="1131">
        <f t="shared" ca="1" si="52"/>
        <v>0</v>
      </c>
      <c r="U31" s="1131">
        <f t="shared" ca="1" si="52"/>
        <v>0</v>
      </c>
      <c r="V31" s="1131">
        <f t="shared" ca="1" si="52"/>
        <v>0</v>
      </c>
      <c r="W31" s="1131">
        <f t="shared" ca="1" si="52"/>
        <v>0</v>
      </c>
      <c r="X31" s="1131">
        <f t="shared" ca="1" si="52"/>
        <v>0</v>
      </c>
      <c r="Y31" s="1131">
        <f t="shared" ca="1" si="52"/>
        <v>0</v>
      </c>
      <c r="Z31" s="1131">
        <f t="shared" ca="1" si="52"/>
        <v>0</v>
      </c>
      <c r="AA31" s="1131">
        <f t="shared" ca="1" si="52"/>
        <v>0</v>
      </c>
      <c r="AB31" s="1131">
        <f t="shared" ca="1" si="52"/>
        <v>0</v>
      </c>
      <c r="AC31" s="1131">
        <f t="shared" ca="1" si="3"/>
        <v>0</v>
      </c>
      <c r="AD31" s="1131"/>
      <c r="AE31" s="1131"/>
      <c r="AF31" s="1131">
        <f t="shared" ca="1" si="53"/>
        <v>0</v>
      </c>
      <c r="AG31" s="1131">
        <f t="shared" ca="1" si="53"/>
        <v>0</v>
      </c>
      <c r="AH31" s="1131">
        <f t="shared" ca="1" si="53"/>
        <v>0</v>
      </c>
      <c r="AI31" s="1131">
        <f t="shared" ca="1" si="53"/>
        <v>0</v>
      </c>
      <c r="AJ31" s="1131">
        <f t="shared" ca="1" si="53"/>
        <v>0</v>
      </c>
      <c r="AK31" s="1131">
        <f t="shared" ca="1" si="53"/>
        <v>0</v>
      </c>
      <c r="AL31" s="1131">
        <f t="shared" ca="1" si="53"/>
        <v>0</v>
      </c>
      <c r="AM31" s="1131">
        <f t="shared" ca="1" si="53"/>
        <v>0</v>
      </c>
      <c r="AN31" s="1131">
        <f t="shared" ca="1" si="53"/>
        <v>0</v>
      </c>
      <c r="AO31" s="1131">
        <f t="shared" ca="1" si="53"/>
        <v>0</v>
      </c>
      <c r="AP31" s="1131">
        <f t="shared" ca="1" si="5"/>
        <v>0</v>
      </c>
      <c r="AQ31" s="1131"/>
      <c r="AR31" s="1131"/>
      <c r="AS31" s="1131">
        <f t="shared" ca="1" si="6"/>
        <v>0</v>
      </c>
      <c r="AT31" s="1131">
        <f t="shared" ca="1" si="7"/>
        <v>0</v>
      </c>
      <c r="AU31" s="1131">
        <f t="shared" ca="1" si="8"/>
        <v>0</v>
      </c>
      <c r="AV31" s="1131">
        <f t="shared" ca="1" si="9"/>
        <v>0</v>
      </c>
      <c r="AW31" s="1131">
        <f t="shared" ca="1" si="10"/>
        <v>0</v>
      </c>
      <c r="AX31" s="1131">
        <f t="shared" ca="1" si="11"/>
        <v>0</v>
      </c>
      <c r="AY31" s="1131">
        <f t="shared" ca="1" si="12"/>
        <v>0</v>
      </c>
      <c r="AZ31" s="1131">
        <f t="shared" ca="1" si="13"/>
        <v>0</v>
      </c>
      <c r="BA31" s="1131">
        <f t="shared" ca="1" si="14"/>
        <v>0</v>
      </c>
      <c r="BB31" s="1131">
        <f t="shared" ca="1" si="20"/>
        <v>0</v>
      </c>
      <c r="BC31" s="1131">
        <f t="shared" ca="1" si="15"/>
        <v>0</v>
      </c>
      <c r="BD31" s="1131"/>
      <c r="BE31" s="1131"/>
      <c r="BF31" s="19">
        <f>'Global cost assumptions'!E52</f>
        <v>0.1</v>
      </c>
      <c r="BG31" s="1131">
        <f>'Global cost assumptions'!F52</f>
        <v>30</v>
      </c>
      <c r="BH31" s="1131"/>
      <c r="BI31" s="1131"/>
      <c r="BJ31" s="27">
        <f t="shared" ca="1" si="21"/>
        <v>0</v>
      </c>
      <c r="BK31" s="27">
        <f t="shared" ca="1" si="22"/>
        <v>0</v>
      </c>
      <c r="BL31" s="27">
        <f t="shared" ca="1" si="23"/>
        <v>0</v>
      </c>
      <c r="BM31" s="27">
        <f t="shared" ca="1" si="24"/>
        <v>0</v>
      </c>
      <c r="BN31" s="27">
        <f t="shared" ca="1" si="25"/>
        <v>0</v>
      </c>
      <c r="BO31" s="27">
        <f t="shared" ca="1" si="26"/>
        <v>0</v>
      </c>
      <c r="BP31" s="27">
        <f t="shared" ca="1" si="27"/>
        <v>0</v>
      </c>
      <c r="BQ31" s="27">
        <f t="shared" ca="1" si="28"/>
        <v>0</v>
      </c>
      <c r="BR31" s="27">
        <f t="shared" ca="1" si="29"/>
        <v>0</v>
      </c>
      <c r="BS31" s="27">
        <f t="shared" ca="1" si="30"/>
        <v>0</v>
      </c>
      <c r="BT31" s="1131"/>
      <c r="BU31" s="1131"/>
      <c r="BV31" s="1409">
        <f t="shared" ca="1" si="31"/>
        <v>0</v>
      </c>
      <c r="BW31" s="1917">
        <f t="shared" ca="1" si="32"/>
        <v>0</v>
      </c>
      <c r="BX31" s="1917">
        <f t="shared" ca="1" si="33"/>
        <v>0</v>
      </c>
      <c r="BY31" s="1917">
        <f t="shared" ca="1" si="34"/>
        <v>0</v>
      </c>
      <c r="BZ31" s="1917">
        <f t="shared" ca="1" si="35"/>
        <v>0</v>
      </c>
      <c r="CA31" s="1917">
        <f t="shared" ca="1" si="36"/>
        <v>0</v>
      </c>
      <c r="CB31" s="1917">
        <f t="shared" ca="1" si="37"/>
        <v>0</v>
      </c>
      <c r="CC31" s="1917">
        <f t="shared" ca="1" si="38"/>
        <v>0</v>
      </c>
      <c r="CD31" s="1917">
        <f t="shared" ca="1" si="39"/>
        <v>0</v>
      </c>
      <c r="CE31" s="1917">
        <f t="shared" ca="1" si="40"/>
        <v>0</v>
      </c>
      <c r="CF31" s="1131">
        <f t="shared" ca="1" si="17"/>
        <v>0</v>
      </c>
      <c r="CG31" s="1131"/>
      <c r="CH31" s="1131"/>
      <c r="CI31" s="1409">
        <f t="shared" ca="1" si="41"/>
        <v>0</v>
      </c>
      <c r="CJ31" s="1409">
        <f t="shared" ca="1" si="42"/>
        <v>0</v>
      </c>
      <c r="CK31" s="1409">
        <f t="shared" ca="1" si="43"/>
        <v>0</v>
      </c>
      <c r="CL31" s="1409">
        <f t="shared" ca="1" si="44"/>
        <v>0</v>
      </c>
      <c r="CM31" s="1409">
        <f t="shared" ca="1" si="45"/>
        <v>0</v>
      </c>
      <c r="CN31" s="1409">
        <f t="shared" ca="1" si="46"/>
        <v>0</v>
      </c>
      <c r="CO31" s="1409">
        <f t="shared" ca="1" si="47"/>
        <v>0</v>
      </c>
      <c r="CP31" s="1409">
        <f t="shared" ca="1" si="48"/>
        <v>0</v>
      </c>
      <c r="CQ31" s="1409">
        <f t="shared" ca="1" si="49"/>
        <v>0</v>
      </c>
      <c r="CR31" s="1409">
        <f t="shared" ca="1" si="50"/>
        <v>0</v>
      </c>
      <c r="CS31" s="1131">
        <f t="shared" ca="1" si="19"/>
        <v>0</v>
      </c>
    </row>
    <row r="32" spans="3:97">
      <c r="C32" s="1763" t="s">
        <v>646</v>
      </c>
      <c r="D32" s="1763" t="s">
        <v>1192</v>
      </c>
      <c r="F32" s="1131">
        <f ca="1">IFERROR(INDEX(INDIRECT($C32&amp;".Costs["&amp;F$11&amp;"]"), MATCH($F$10, INDIRECT($C32&amp;".Costs[Vector]"), 0)),0)</f>
        <v>0</v>
      </c>
      <c r="G32" s="1131">
        <f t="shared" ca="1" si="51"/>
        <v>0</v>
      </c>
      <c r="H32" s="1131">
        <f t="shared" ca="1" si="51"/>
        <v>0</v>
      </c>
      <c r="I32" s="1131">
        <f t="shared" ca="1" si="51"/>
        <v>0</v>
      </c>
      <c r="J32" s="1131">
        <f ca="1">IFERROR(INDEX(INDIRECT($C32&amp;".Costs["&amp;J$11&amp;"]"), MATCH($F$10, INDIRECT($C32&amp;".Costs[Vector]"), 0)),0)</f>
        <v>0</v>
      </c>
      <c r="K32" s="1131">
        <f t="shared" ca="1" si="51"/>
        <v>0</v>
      </c>
      <c r="L32" s="1131">
        <f t="shared" ca="1" si="51"/>
        <v>0</v>
      </c>
      <c r="M32" s="1131">
        <f t="shared" ca="1" si="51"/>
        <v>0</v>
      </c>
      <c r="N32" s="1131">
        <f t="shared" ca="1" si="51"/>
        <v>0</v>
      </c>
      <c r="O32" s="1131">
        <f t="shared" ca="1" si="51"/>
        <v>0</v>
      </c>
      <c r="P32" s="1131">
        <f t="shared" ca="1" si="1"/>
        <v>0</v>
      </c>
      <c r="Q32" s="1131"/>
      <c r="R32" s="1131"/>
      <c r="S32" s="1131">
        <f t="shared" ca="1" si="52"/>
        <v>0</v>
      </c>
      <c r="T32" s="1131">
        <f t="shared" ca="1" si="52"/>
        <v>0</v>
      </c>
      <c r="U32" s="1131">
        <f t="shared" ca="1" si="52"/>
        <v>0</v>
      </c>
      <c r="V32" s="1131">
        <f t="shared" ca="1" si="52"/>
        <v>0</v>
      </c>
      <c r="W32" s="1131">
        <f t="shared" ca="1" si="52"/>
        <v>0</v>
      </c>
      <c r="X32" s="1131">
        <f t="shared" ca="1" si="52"/>
        <v>0</v>
      </c>
      <c r="Y32" s="1131">
        <f t="shared" ca="1" si="52"/>
        <v>0</v>
      </c>
      <c r="Z32" s="1131">
        <f t="shared" ca="1" si="52"/>
        <v>0</v>
      </c>
      <c r="AA32" s="1131">
        <f t="shared" ca="1" si="52"/>
        <v>0</v>
      </c>
      <c r="AB32" s="1131">
        <f t="shared" ca="1" si="52"/>
        <v>0</v>
      </c>
      <c r="AC32" s="1131">
        <f t="shared" ca="1" si="3"/>
        <v>0</v>
      </c>
      <c r="AD32" s="1131"/>
      <c r="AE32" s="1131"/>
      <c r="AF32" s="1131">
        <f t="shared" ca="1" si="53"/>
        <v>0</v>
      </c>
      <c r="AG32" s="1131">
        <f t="shared" ca="1" si="53"/>
        <v>0</v>
      </c>
      <c r="AH32" s="1131">
        <f t="shared" ca="1" si="53"/>
        <v>0</v>
      </c>
      <c r="AI32" s="1131">
        <f t="shared" ca="1" si="53"/>
        <v>0</v>
      </c>
      <c r="AJ32" s="1131">
        <f t="shared" ca="1" si="53"/>
        <v>0</v>
      </c>
      <c r="AK32" s="1131">
        <f t="shared" ca="1" si="53"/>
        <v>0</v>
      </c>
      <c r="AL32" s="1131">
        <f t="shared" ca="1" si="53"/>
        <v>0</v>
      </c>
      <c r="AM32" s="1131">
        <f t="shared" ca="1" si="53"/>
        <v>0</v>
      </c>
      <c r="AN32" s="1131">
        <f t="shared" ca="1" si="53"/>
        <v>0</v>
      </c>
      <c r="AO32" s="1131">
        <f t="shared" ca="1" si="53"/>
        <v>0</v>
      </c>
      <c r="AP32" s="1131">
        <f t="shared" ca="1" si="5"/>
        <v>0</v>
      </c>
      <c r="AQ32" s="1131"/>
      <c r="AR32" s="1131"/>
      <c r="AS32" s="1131">
        <f t="shared" ca="1" si="6"/>
        <v>0</v>
      </c>
      <c r="AT32" s="1131">
        <f t="shared" ca="1" si="7"/>
        <v>0</v>
      </c>
      <c r="AU32" s="1131">
        <f t="shared" ca="1" si="8"/>
        <v>0</v>
      </c>
      <c r="AV32" s="1131">
        <f t="shared" ca="1" si="9"/>
        <v>0</v>
      </c>
      <c r="AW32" s="1131">
        <f t="shared" ca="1" si="10"/>
        <v>0</v>
      </c>
      <c r="AX32" s="1131">
        <f t="shared" ca="1" si="11"/>
        <v>0</v>
      </c>
      <c r="AY32" s="1131">
        <f t="shared" ca="1" si="12"/>
        <v>0</v>
      </c>
      <c r="AZ32" s="1131">
        <f t="shared" ca="1" si="13"/>
        <v>0</v>
      </c>
      <c r="BA32" s="1131">
        <f t="shared" ca="1" si="14"/>
        <v>0</v>
      </c>
      <c r="BB32" s="1131">
        <f t="shared" ca="1" si="20"/>
        <v>0</v>
      </c>
      <c r="BC32" s="1131">
        <f t="shared" ca="1" si="15"/>
        <v>0</v>
      </c>
      <c r="BD32" s="1131"/>
      <c r="BE32" s="1131"/>
      <c r="BF32" s="19">
        <f>'Global cost assumptions'!E53</f>
        <v>0.1</v>
      </c>
      <c r="BG32" s="1131">
        <f>'Global cost assumptions'!F53</f>
        <v>30</v>
      </c>
      <c r="BH32" s="1131"/>
      <c r="BI32" s="1131"/>
      <c r="BJ32" s="27">
        <f t="shared" ca="1" si="21"/>
        <v>0</v>
      </c>
      <c r="BK32" s="27">
        <f t="shared" ca="1" si="22"/>
        <v>0</v>
      </c>
      <c r="BL32" s="27">
        <f t="shared" ca="1" si="23"/>
        <v>0</v>
      </c>
      <c r="BM32" s="27">
        <f t="shared" ca="1" si="24"/>
        <v>0</v>
      </c>
      <c r="BN32" s="27">
        <f t="shared" ca="1" si="25"/>
        <v>0</v>
      </c>
      <c r="BO32" s="27">
        <f t="shared" ca="1" si="26"/>
        <v>0</v>
      </c>
      <c r="BP32" s="27">
        <f t="shared" ca="1" si="27"/>
        <v>0</v>
      </c>
      <c r="BQ32" s="27">
        <f t="shared" ca="1" si="28"/>
        <v>0</v>
      </c>
      <c r="BR32" s="27">
        <f t="shared" ca="1" si="29"/>
        <v>0</v>
      </c>
      <c r="BS32" s="27">
        <f t="shared" ca="1" si="30"/>
        <v>0</v>
      </c>
      <c r="BT32" s="1131"/>
      <c r="BU32" s="1131"/>
      <c r="BV32" s="1409">
        <f t="shared" ca="1" si="31"/>
        <v>0</v>
      </c>
      <c r="BW32" s="1917">
        <f t="shared" ca="1" si="32"/>
        <v>0</v>
      </c>
      <c r="BX32" s="1917">
        <f t="shared" ca="1" si="33"/>
        <v>0</v>
      </c>
      <c r="BY32" s="1917">
        <f t="shared" ca="1" si="34"/>
        <v>0</v>
      </c>
      <c r="BZ32" s="1917">
        <f t="shared" ca="1" si="35"/>
        <v>0</v>
      </c>
      <c r="CA32" s="1917">
        <f t="shared" ca="1" si="36"/>
        <v>0</v>
      </c>
      <c r="CB32" s="1917">
        <f t="shared" ca="1" si="37"/>
        <v>0</v>
      </c>
      <c r="CC32" s="1917">
        <f t="shared" ca="1" si="38"/>
        <v>0</v>
      </c>
      <c r="CD32" s="1917">
        <f t="shared" ca="1" si="39"/>
        <v>0</v>
      </c>
      <c r="CE32" s="1917">
        <f t="shared" ca="1" si="40"/>
        <v>0</v>
      </c>
      <c r="CF32" s="1131">
        <f t="shared" ca="1" si="17"/>
        <v>0</v>
      </c>
      <c r="CG32" s="1131"/>
      <c r="CH32" s="1131"/>
      <c r="CI32" s="1409">
        <f t="shared" ca="1" si="41"/>
        <v>0</v>
      </c>
      <c r="CJ32" s="1409">
        <f t="shared" ca="1" si="42"/>
        <v>0</v>
      </c>
      <c r="CK32" s="1409">
        <f t="shared" ca="1" si="43"/>
        <v>0</v>
      </c>
      <c r="CL32" s="1409">
        <f t="shared" ca="1" si="44"/>
        <v>0</v>
      </c>
      <c r="CM32" s="1409">
        <f t="shared" ca="1" si="45"/>
        <v>0</v>
      </c>
      <c r="CN32" s="1409">
        <f t="shared" ca="1" si="46"/>
        <v>0</v>
      </c>
      <c r="CO32" s="1409">
        <f t="shared" ca="1" si="47"/>
        <v>0</v>
      </c>
      <c r="CP32" s="1409">
        <f t="shared" ca="1" si="48"/>
        <v>0</v>
      </c>
      <c r="CQ32" s="1409">
        <f t="shared" ca="1" si="49"/>
        <v>0</v>
      </c>
      <c r="CR32" s="1409">
        <f t="shared" ca="1" si="50"/>
        <v>0</v>
      </c>
      <c r="CS32" s="1131">
        <f t="shared" ca="1" si="19"/>
        <v>0</v>
      </c>
    </row>
    <row r="33" spans="3:97">
      <c r="C33" s="1763" t="s">
        <v>744</v>
      </c>
      <c r="D33" s="1763" t="s">
        <v>570</v>
      </c>
      <c r="F33" s="1131">
        <f t="shared" ref="F33:O48" ca="1" si="63">IFERROR(INDEX(INDIRECT($C33&amp;".Costs["&amp;F$11&amp;"]"), MATCH($F$10, INDIRECT($C33&amp;".Costs[Vector]"), 0)),0)</f>
        <v>0</v>
      </c>
      <c r="G33" s="1131">
        <f t="shared" ca="1" si="63"/>
        <v>0</v>
      </c>
      <c r="H33" s="1131">
        <f t="shared" ca="1" si="63"/>
        <v>0</v>
      </c>
      <c r="I33" s="1131">
        <f t="shared" ca="1" si="63"/>
        <v>0</v>
      </c>
      <c r="J33" s="1131">
        <f t="shared" ca="1" si="63"/>
        <v>0</v>
      </c>
      <c r="K33" s="1131">
        <f t="shared" ca="1" si="63"/>
        <v>0</v>
      </c>
      <c r="L33" s="1131">
        <f t="shared" ca="1" si="63"/>
        <v>0</v>
      </c>
      <c r="M33" s="1131">
        <f t="shared" ca="1" si="63"/>
        <v>0</v>
      </c>
      <c r="N33" s="1131">
        <f t="shared" ca="1" si="63"/>
        <v>0</v>
      </c>
      <c r="O33" s="1131">
        <f t="shared" ca="1" si="51"/>
        <v>0</v>
      </c>
      <c r="P33" s="1131">
        <f t="shared" ca="1" si="1"/>
        <v>0</v>
      </c>
      <c r="Q33" s="1131"/>
      <c r="R33" s="1131"/>
      <c r="S33" s="1131">
        <f t="shared" ref="S33:AB48" ca="1" si="64">IFERROR(INDEX(INDIRECT($C33&amp;".Costs["&amp;S$11&amp;"]"), MATCH($S$10, INDIRECT($C33&amp;".Costs[Vector]"), 0)),0)</f>
        <v>0</v>
      </c>
      <c r="T33" s="1131">
        <f t="shared" ca="1" si="64"/>
        <v>0</v>
      </c>
      <c r="U33" s="1131">
        <f t="shared" ca="1" si="64"/>
        <v>0</v>
      </c>
      <c r="V33" s="1131">
        <f t="shared" ca="1" si="64"/>
        <v>0</v>
      </c>
      <c r="W33" s="1131">
        <f t="shared" ca="1" si="64"/>
        <v>0</v>
      </c>
      <c r="X33" s="1131">
        <f t="shared" ca="1" si="64"/>
        <v>0</v>
      </c>
      <c r="Y33" s="1131">
        <f t="shared" ca="1" si="64"/>
        <v>0</v>
      </c>
      <c r="Z33" s="1131">
        <f t="shared" ca="1" si="64"/>
        <v>0</v>
      </c>
      <c r="AA33" s="1131">
        <f t="shared" ca="1" si="64"/>
        <v>0</v>
      </c>
      <c r="AB33" s="1131">
        <f t="shared" ca="1" si="52"/>
        <v>0</v>
      </c>
      <c r="AC33" s="1131">
        <f t="shared" ca="1" si="3"/>
        <v>0</v>
      </c>
      <c r="AD33" s="1131"/>
      <c r="AE33" s="1131"/>
      <c r="AF33" s="1131">
        <f t="shared" ref="AF33:AO48" ca="1" si="65">IFERROR(INDEX(INDIRECT($C33&amp;".Costs["&amp;AF$11&amp;"]"), MATCH($AF$10, INDIRECT($C33&amp;".Costs[Vector]"), 0)),0)</f>
        <v>0</v>
      </c>
      <c r="AG33" s="1131">
        <f t="shared" ca="1" si="65"/>
        <v>0</v>
      </c>
      <c r="AH33" s="1131">
        <f t="shared" ca="1" si="65"/>
        <v>0</v>
      </c>
      <c r="AI33" s="1131">
        <f t="shared" ca="1" si="65"/>
        <v>0</v>
      </c>
      <c r="AJ33" s="1131">
        <f t="shared" ca="1" si="65"/>
        <v>0</v>
      </c>
      <c r="AK33" s="1131">
        <f t="shared" ca="1" si="65"/>
        <v>0</v>
      </c>
      <c r="AL33" s="1131">
        <f t="shared" ca="1" si="65"/>
        <v>0</v>
      </c>
      <c r="AM33" s="1131">
        <f t="shared" ca="1" si="65"/>
        <v>0</v>
      </c>
      <c r="AN33" s="1131">
        <f t="shared" ca="1" si="65"/>
        <v>0</v>
      </c>
      <c r="AO33" s="1131">
        <f t="shared" ca="1" si="53"/>
        <v>0</v>
      </c>
      <c r="AP33" s="1131">
        <f t="shared" ca="1" si="5"/>
        <v>0</v>
      </c>
      <c r="AQ33" s="1131"/>
      <c r="AR33" s="1131"/>
      <c r="AS33" s="1131">
        <f t="shared" ca="1" si="6"/>
        <v>0</v>
      </c>
      <c r="AT33" s="1131">
        <f t="shared" ca="1" si="7"/>
        <v>0</v>
      </c>
      <c r="AU33" s="1131">
        <f t="shared" ca="1" si="8"/>
        <v>0</v>
      </c>
      <c r="AV33" s="1131">
        <f t="shared" ca="1" si="9"/>
        <v>0</v>
      </c>
      <c r="AW33" s="1131">
        <f t="shared" ca="1" si="10"/>
        <v>0</v>
      </c>
      <c r="AX33" s="1131">
        <f t="shared" ca="1" si="11"/>
        <v>0</v>
      </c>
      <c r="AY33" s="1131">
        <f t="shared" ca="1" si="12"/>
        <v>0</v>
      </c>
      <c r="AZ33" s="1131">
        <f t="shared" ca="1" si="13"/>
        <v>0</v>
      </c>
      <c r="BA33" s="1131">
        <f t="shared" ca="1" si="14"/>
        <v>0</v>
      </c>
      <c r="BB33" s="1131">
        <f t="shared" ca="1" si="20"/>
        <v>0</v>
      </c>
      <c r="BC33" s="1131">
        <f t="shared" ca="1" si="15"/>
        <v>0</v>
      </c>
      <c r="BD33" s="1131"/>
      <c r="BE33" s="1131"/>
      <c r="BF33" s="19">
        <f>'Global cost assumptions'!E54</f>
        <v>0.1</v>
      </c>
      <c r="BG33" s="1131">
        <f>'Global cost assumptions'!F54</f>
        <v>30</v>
      </c>
      <c r="BH33" s="1131"/>
      <c r="BI33" s="1131"/>
      <c r="BJ33" s="27">
        <f t="shared" ca="1" si="21"/>
        <v>0</v>
      </c>
      <c r="BK33" s="27">
        <f t="shared" ca="1" si="22"/>
        <v>0</v>
      </c>
      <c r="BL33" s="27">
        <f t="shared" ca="1" si="23"/>
        <v>0</v>
      </c>
      <c r="BM33" s="27">
        <f t="shared" ca="1" si="24"/>
        <v>0</v>
      </c>
      <c r="BN33" s="27">
        <f t="shared" ca="1" si="25"/>
        <v>0</v>
      </c>
      <c r="BO33" s="27">
        <f t="shared" ca="1" si="26"/>
        <v>0</v>
      </c>
      <c r="BP33" s="27">
        <f t="shared" ca="1" si="27"/>
        <v>0</v>
      </c>
      <c r="BQ33" s="27">
        <f t="shared" ca="1" si="28"/>
        <v>0</v>
      </c>
      <c r="BR33" s="27">
        <f t="shared" ca="1" si="29"/>
        <v>0</v>
      </c>
      <c r="BS33" s="27">
        <f t="shared" ca="1" si="30"/>
        <v>0</v>
      </c>
      <c r="BT33" s="1131"/>
      <c r="BU33" s="1131"/>
      <c r="BV33" s="1409">
        <f t="shared" ca="1" si="31"/>
        <v>0</v>
      </c>
      <c r="BW33" s="1917">
        <f t="shared" ca="1" si="32"/>
        <v>0</v>
      </c>
      <c r="BX33" s="1917">
        <f t="shared" ca="1" si="33"/>
        <v>0</v>
      </c>
      <c r="BY33" s="1917">
        <f t="shared" ca="1" si="34"/>
        <v>0</v>
      </c>
      <c r="BZ33" s="1917">
        <f t="shared" ca="1" si="35"/>
        <v>0</v>
      </c>
      <c r="CA33" s="1917">
        <f t="shared" ca="1" si="36"/>
        <v>0</v>
      </c>
      <c r="CB33" s="1917">
        <f t="shared" ca="1" si="37"/>
        <v>0</v>
      </c>
      <c r="CC33" s="1917">
        <f t="shared" ca="1" si="38"/>
        <v>0</v>
      </c>
      <c r="CD33" s="1917">
        <f t="shared" ca="1" si="39"/>
        <v>0</v>
      </c>
      <c r="CE33" s="1917">
        <f t="shared" ca="1" si="40"/>
        <v>0</v>
      </c>
      <c r="CF33" s="1131">
        <f t="shared" ca="1" si="17"/>
        <v>0</v>
      </c>
      <c r="CG33" s="1131"/>
      <c r="CH33" s="1131"/>
      <c r="CI33" s="1409">
        <f t="shared" ca="1" si="41"/>
        <v>0</v>
      </c>
      <c r="CJ33" s="1409">
        <f t="shared" ca="1" si="42"/>
        <v>0</v>
      </c>
      <c r="CK33" s="1409">
        <f t="shared" ca="1" si="43"/>
        <v>0</v>
      </c>
      <c r="CL33" s="1409">
        <f t="shared" ca="1" si="44"/>
        <v>0</v>
      </c>
      <c r="CM33" s="1409">
        <f t="shared" ca="1" si="45"/>
        <v>0</v>
      </c>
      <c r="CN33" s="1409">
        <f t="shared" ca="1" si="46"/>
        <v>0</v>
      </c>
      <c r="CO33" s="1409">
        <f t="shared" ca="1" si="47"/>
        <v>0</v>
      </c>
      <c r="CP33" s="1409">
        <f t="shared" ca="1" si="48"/>
        <v>0</v>
      </c>
      <c r="CQ33" s="1409">
        <f t="shared" ca="1" si="49"/>
        <v>0</v>
      </c>
      <c r="CR33" s="1409">
        <f t="shared" ca="1" si="50"/>
        <v>0</v>
      </c>
      <c r="CS33" s="1131">
        <f t="shared" ca="1" si="19"/>
        <v>0</v>
      </c>
    </row>
    <row r="34" spans="3:97">
      <c r="C34" s="1897" t="s">
        <v>668</v>
      </c>
      <c r="D34" s="1897" t="s">
        <v>2066</v>
      </c>
      <c r="F34" s="1131">
        <f ca="1">IFERROR(INDEX(INDIRECT($C34&amp;".Costs["&amp;F$11&amp;"]"), MATCH($F$10, INDIRECT($C34&amp;".Costs[Vector]"), 0)),0)</f>
        <v>0</v>
      </c>
      <c r="G34" s="1131">
        <f t="shared" ca="1" si="63"/>
        <v>0</v>
      </c>
      <c r="H34" s="1131">
        <f t="shared" ca="1" si="63"/>
        <v>0</v>
      </c>
      <c r="I34" s="1131">
        <f t="shared" ca="1" si="63"/>
        <v>0</v>
      </c>
      <c r="J34" s="1131">
        <f t="shared" ca="1" si="63"/>
        <v>0</v>
      </c>
      <c r="K34" s="1131">
        <f t="shared" ca="1" si="63"/>
        <v>0</v>
      </c>
      <c r="L34" s="1131">
        <f t="shared" ca="1" si="63"/>
        <v>0</v>
      </c>
      <c r="M34" s="1131">
        <f t="shared" ca="1" si="63"/>
        <v>0</v>
      </c>
      <c r="N34" s="1131">
        <f t="shared" ca="1" si="63"/>
        <v>0</v>
      </c>
      <c r="O34" s="1131">
        <f t="shared" ca="1" si="51"/>
        <v>0</v>
      </c>
      <c r="P34" s="1131">
        <f t="shared" ca="1" si="1"/>
        <v>0</v>
      </c>
      <c r="Q34" s="1131"/>
      <c r="R34" s="1131"/>
      <c r="S34" s="1131">
        <f t="shared" ca="1" si="64"/>
        <v>0</v>
      </c>
      <c r="T34" s="1131">
        <f t="shared" ca="1" si="64"/>
        <v>0</v>
      </c>
      <c r="U34" s="1131">
        <f t="shared" ca="1" si="64"/>
        <v>0</v>
      </c>
      <c r="V34" s="1131">
        <f t="shared" ca="1" si="64"/>
        <v>0</v>
      </c>
      <c r="W34" s="1131">
        <f t="shared" ca="1" si="64"/>
        <v>0</v>
      </c>
      <c r="X34" s="1131">
        <f t="shared" ca="1" si="64"/>
        <v>0</v>
      </c>
      <c r="Y34" s="1131">
        <f t="shared" ca="1" si="64"/>
        <v>0</v>
      </c>
      <c r="Z34" s="1131">
        <f t="shared" ca="1" si="64"/>
        <v>0</v>
      </c>
      <c r="AA34" s="1131">
        <f t="shared" ca="1" si="64"/>
        <v>0</v>
      </c>
      <c r="AB34" s="1131">
        <f t="shared" ca="1" si="52"/>
        <v>0</v>
      </c>
      <c r="AC34" s="1131">
        <f t="shared" ca="1" si="3"/>
        <v>0</v>
      </c>
      <c r="AD34" s="1131"/>
      <c r="AE34" s="1131"/>
      <c r="AF34" s="1131">
        <f t="shared" ca="1" si="65"/>
        <v>0</v>
      </c>
      <c r="AG34" s="1131">
        <f t="shared" ca="1" si="65"/>
        <v>0</v>
      </c>
      <c r="AH34" s="1131">
        <f t="shared" ca="1" si="65"/>
        <v>0</v>
      </c>
      <c r="AI34" s="1131">
        <f t="shared" ca="1" si="65"/>
        <v>0</v>
      </c>
      <c r="AJ34" s="1131">
        <f t="shared" ca="1" si="65"/>
        <v>0</v>
      </c>
      <c r="AK34" s="1131">
        <f t="shared" ca="1" si="65"/>
        <v>0</v>
      </c>
      <c r="AL34" s="1131">
        <f t="shared" ca="1" si="65"/>
        <v>0</v>
      </c>
      <c r="AM34" s="1131">
        <f t="shared" ca="1" si="65"/>
        <v>0</v>
      </c>
      <c r="AN34" s="1131">
        <f t="shared" ca="1" si="65"/>
        <v>0</v>
      </c>
      <c r="AO34" s="1131">
        <f t="shared" ca="1" si="53"/>
        <v>0</v>
      </c>
      <c r="AP34" s="1131">
        <f t="shared" ca="1" si="5"/>
        <v>0</v>
      </c>
      <c r="AQ34" s="1131"/>
      <c r="AR34" s="1131"/>
      <c r="AS34" s="1131">
        <f t="shared" ca="1" si="6"/>
        <v>0</v>
      </c>
      <c r="AT34" s="1131">
        <f t="shared" ca="1" si="7"/>
        <v>0</v>
      </c>
      <c r="AU34" s="1131">
        <f t="shared" ca="1" si="8"/>
        <v>0</v>
      </c>
      <c r="AV34" s="1131">
        <f t="shared" ca="1" si="9"/>
        <v>0</v>
      </c>
      <c r="AW34" s="1131">
        <f t="shared" ca="1" si="10"/>
        <v>0</v>
      </c>
      <c r="AX34" s="1131">
        <f t="shared" ca="1" si="11"/>
        <v>0</v>
      </c>
      <c r="AY34" s="1131">
        <f t="shared" ca="1" si="12"/>
        <v>0</v>
      </c>
      <c r="AZ34" s="1131">
        <f t="shared" ca="1" si="13"/>
        <v>0</v>
      </c>
      <c r="BA34" s="1131">
        <f t="shared" ca="1" si="14"/>
        <v>0</v>
      </c>
      <c r="BB34" s="1131">
        <f t="shared" ca="1" si="20"/>
        <v>0</v>
      </c>
      <c r="BC34" s="1131">
        <f t="shared" ca="1" si="15"/>
        <v>0</v>
      </c>
      <c r="BD34" s="1131"/>
      <c r="BE34" s="1131"/>
      <c r="BF34" s="19">
        <f>'Global cost assumptions'!E55</f>
        <v>0.1</v>
      </c>
      <c r="BG34" s="1131">
        <f>'Global cost assumptions'!F55</f>
        <v>30</v>
      </c>
      <c r="BH34" s="1131"/>
      <c r="BI34" s="1131"/>
      <c r="BJ34" s="27">
        <f t="shared" ca="1" si="21"/>
        <v>0</v>
      </c>
      <c r="BK34" s="27">
        <f t="shared" ca="1" si="22"/>
        <v>0</v>
      </c>
      <c r="BL34" s="27">
        <f t="shared" ca="1" si="23"/>
        <v>0</v>
      </c>
      <c r="BM34" s="27">
        <f t="shared" ca="1" si="24"/>
        <v>0</v>
      </c>
      <c r="BN34" s="27">
        <f t="shared" ca="1" si="25"/>
        <v>0</v>
      </c>
      <c r="BO34" s="27">
        <f t="shared" ca="1" si="26"/>
        <v>0</v>
      </c>
      <c r="BP34" s="27">
        <f t="shared" ca="1" si="27"/>
        <v>0</v>
      </c>
      <c r="BQ34" s="27">
        <f t="shared" ca="1" si="28"/>
        <v>0</v>
      </c>
      <c r="BR34" s="27">
        <f t="shared" ca="1" si="29"/>
        <v>0</v>
      </c>
      <c r="BS34" s="27">
        <f t="shared" ca="1" si="30"/>
        <v>0</v>
      </c>
      <c r="BT34" s="1131"/>
      <c r="BU34" s="1131"/>
      <c r="BV34" s="1409">
        <f t="shared" ca="1" si="31"/>
        <v>0</v>
      </c>
      <c r="BW34" s="1917">
        <f t="shared" ca="1" si="32"/>
        <v>0</v>
      </c>
      <c r="BX34" s="1917">
        <f t="shared" ca="1" si="33"/>
        <v>0</v>
      </c>
      <c r="BY34" s="1917">
        <f t="shared" ca="1" si="34"/>
        <v>0</v>
      </c>
      <c r="BZ34" s="1917">
        <f t="shared" ca="1" si="35"/>
        <v>0</v>
      </c>
      <c r="CA34" s="1917">
        <f t="shared" ca="1" si="36"/>
        <v>0</v>
      </c>
      <c r="CB34" s="1917">
        <f t="shared" ca="1" si="37"/>
        <v>0</v>
      </c>
      <c r="CC34" s="1917">
        <f t="shared" ca="1" si="38"/>
        <v>0</v>
      </c>
      <c r="CD34" s="1917">
        <f t="shared" ca="1" si="39"/>
        <v>0</v>
      </c>
      <c r="CE34" s="1917">
        <f t="shared" ca="1" si="40"/>
        <v>0</v>
      </c>
      <c r="CF34" s="1131">
        <f t="shared" ca="1" si="17"/>
        <v>0</v>
      </c>
      <c r="CG34" s="1131"/>
      <c r="CH34" s="1131"/>
      <c r="CI34" s="1409">
        <f t="shared" ca="1" si="41"/>
        <v>0</v>
      </c>
      <c r="CJ34" s="1409">
        <f t="shared" ca="1" si="42"/>
        <v>0</v>
      </c>
      <c r="CK34" s="1409">
        <f t="shared" ca="1" si="43"/>
        <v>0</v>
      </c>
      <c r="CL34" s="1409">
        <f t="shared" ca="1" si="44"/>
        <v>0</v>
      </c>
      <c r="CM34" s="1409">
        <f t="shared" ca="1" si="45"/>
        <v>0</v>
      </c>
      <c r="CN34" s="1409">
        <f t="shared" ca="1" si="46"/>
        <v>0</v>
      </c>
      <c r="CO34" s="1409">
        <f t="shared" ca="1" si="47"/>
        <v>0</v>
      </c>
      <c r="CP34" s="1409">
        <f t="shared" ca="1" si="48"/>
        <v>0</v>
      </c>
      <c r="CQ34" s="1409">
        <f t="shared" ca="1" si="49"/>
        <v>0</v>
      </c>
      <c r="CR34" s="1409">
        <f t="shared" ca="1" si="50"/>
        <v>0</v>
      </c>
      <c r="CS34" s="1131">
        <f t="shared" ca="1" si="19"/>
        <v>0</v>
      </c>
    </row>
    <row r="35" spans="3:97">
      <c r="C35" s="1763" t="s">
        <v>687</v>
      </c>
      <c r="D35" s="1763" t="s">
        <v>1411</v>
      </c>
      <c r="F35" s="1131">
        <f t="shared" ca="1" si="63"/>
        <v>0</v>
      </c>
      <c r="G35" s="1131">
        <f t="shared" ca="1" si="63"/>
        <v>0</v>
      </c>
      <c r="H35" s="1131">
        <f t="shared" ca="1" si="63"/>
        <v>0</v>
      </c>
      <c r="I35" s="1131">
        <f t="shared" ca="1" si="63"/>
        <v>0</v>
      </c>
      <c r="J35" s="1131">
        <f t="shared" ca="1" si="63"/>
        <v>0</v>
      </c>
      <c r="K35" s="1131">
        <f t="shared" ca="1" si="63"/>
        <v>0</v>
      </c>
      <c r="L35" s="1131">
        <f t="shared" ca="1" si="63"/>
        <v>0</v>
      </c>
      <c r="M35" s="1131">
        <f t="shared" ca="1" si="63"/>
        <v>0</v>
      </c>
      <c r="N35" s="1131">
        <f t="shared" ca="1" si="63"/>
        <v>0</v>
      </c>
      <c r="O35" s="1131">
        <f t="shared" ca="1" si="51"/>
        <v>0</v>
      </c>
      <c r="P35" s="1131">
        <f t="shared" ca="1" si="1"/>
        <v>0</v>
      </c>
      <c r="Q35" s="1131"/>
      <c r="R35" s="1131"/>
      <c r="S35" s="1131">
        <f t="shared" ca="1" si="64"/>
        <v>0</v>
      </c>
      <c r="T35" s="1131">
        <f t="shared" ca="1" si="64"/>
        <v>0</v>
      </c>
      <c r="U35" s="1131">
        <f t="shared" ca="1" si="64"/>
        <v>0</v>
      </c>
      <c r="V35" s="1131">
        <f t="shared" ca="1" si="64"/>
        <v>0</v>
      </c>
      <c r="W35" s="1131">
        <f t="shared" ca="1" si="64"/>
        <v>0</v>
      </c>
      <c r="X35" s="1131">
        <f t="shared" ca="1" si="64"/>
        <v>0</v>
      </c>
      <c r="Y35" s="1131">
        <f t="shared" ca="1" si="64"/>
        <v>0</v>
      </c>
      <c r="Z35" s="1131">
        <f t="shared" ca="1" si="64"/>
        <v>0</v>
      </c>
      <c r="AA35" s="1131">
        <f t="shared" ca="1" si="64"/>
        <v>0</v>
      </c>
      <c r="AB35" s="1131">
        <f t="shared" ca="1" si="52"/>
        <v>0</v>
      </c>
      <c r="AC35" s="1131">
        <f t="shared" ca="1" si="3"/>
        <v>0</v>
      </c>
      <c r="AD35" s="1131"/>
      <c r="AE35" s="1131"/>
      <c r="AF35" s="1131">
        <f t="shared" ca="1" si="65"/>
        <v>0</v>
      </c>
      <c r="AG35" s="1131">
        <f t="shared" ca="1" si="65"/>
        <v>0</v>
      </c>
      <c r="AH35" s="1131">
        <f t="shared" ca="1" si="65"/>
        <v>0</v>
      </c>
      <c r="AI35" s="1131">
        <f t="shared" ca="1" si="65"/>
        <v>0</v>
      </c>
      <c r="AJ35" s="1131">
        <f t="shared" ca="1" si="65"/>
        <v>0</v>
      </c>
      <c r="AK35" s="1131">
        <f t="shared" ca="1" si="65"/>
        <v>0</v>
      </c>
      <c r="AL35" s="1131">
        <f t="shared" ca="1" si="65"/>
        <v>0</v>
      </c>
      <c r="AM35" s="1131">
        <f t="shared" ca="1" si="65"/>
        <v>0</v>
      </c>
      <c r="AN35" s="1131">
        <f t="shared" ca="1" si="65"/>
        <v>0</v>
      </c>
      <c r="AO35" s="1131">
        <f t="shared" ca="1" si="53"/>
        <v>0</v>
      </c>
      <c r="AP35" s="1131">
        <f t="shared" ca="1" si="5"/>
        <v>0</v>
      </c>
      <c r="AQ35" s="1131"/>
      <c r="AR35" s="1131"/>
      <c r="AS35" s="1131">
        <f t="shared" ca="1" si="6"/>
        <v>0</v>
      </c>
      <c r="AT35" s="1131">
        <f t="shared" ca="1" si="7"/>
        <v>0</v>
      </c>
      <c r="AU35" s="1131">
        <f t="shared" ca="1" si="8"/>
        <v>0</v>
      </c>
      <c r="AV35" s="1131">
        <f t="shared" ca="1" si="9"/>
        <v>0</v>
      </c>
      <c r="AW35" s="1131">
        <f t="shared" ca="1" si="10"/>
        <v>0</v>
      </c>
      <c r="AX35" s="1131">
        <f t="shared" ca="1" si="11"/>
        <v>0</v>
      </c>
      <c r="AY35" s="1131">
        <f t="shared" ca="1" si="12"/>
        <v>0</v>
      </c>
      <c r="AZ35" s="1131">
        <f t="shared" ca="1" si="13"/>
        <v>0</v>
      </c>
      <c r="BA35" s="1131">
        <f t="shared" ca="1" si="14"/>
        <v>0</v>
      </c>
      <c r="BB35" s="1131">
        <f t="shared" ca="1" si="20"/>
        <v>0</v>
      </c>
      <c r="BC35" s="1131">
        <f t="shared" ca="1" si="15"/>
        <v>0</v>
      </c>
      <c r="BD35" s="1131"/>
      <c r="BE35" s="1131"/>
      <c r="BF35" s="19">
        <f>'Global cost assumptions'!E56</f>
        <v>0.1</v>
      </c>
      <c r="BG35" s="1131">
        <f>'Global cost assumptions'!F56</f>
        <v>30</v>
      </c>
      <c r="BH35" s="1131"/>
      <c r="BI35" s="1131"/>
      <c r="BJ35" s="27">
        <f t="shared" ca="1" si="21"/>
        <v>0</v>
      </c>
      <c r="BK35" s="27">
        <f t="shared" ca="1" si="22"/>
        <v>0</v>
      </c>
      <c r="BL35" s="27">
        <f t="shared" ca="1" si="23"/>
        <v>0</v>
      </c>
      <c r="BM35" s="27">
        <f t="shared" ca="1" si="24"/>
        <v>0</v>
      </c>
      <c r="BN35" s="27">
        <f t="shared" ca="1" si="25"/>
        <v>0</v>
      </c>
      <c r="BO35" s="27">
        <f t="shared" ca="1" si="26"/>
        <v>0</v>
      </c>
      <c r="BP35" s="27">
        <f t="shared" ca="1" si="27"/>
        <v>0</v>
      </c>
      <c r="BQ35" s="27">
        <f t="shared" ca="1" si="28"/>
        <v>0</v>
      </c>
      <c r="BR35" s="27">
        <f t="shared" ca="1" si="29"/>
        <v>0</v>
      </c>
      <c r="BS35" s="27">
        <f t="shared" ca="1" si="30"/>
        <v>0</v>
      </c>
      <c r="BT35" s="1131"/>
      <c r="BU35" s="1131"/>
      <c r="BV35" s="1409">
        <f t="shared" ca="1" si="31"/>
        <v>0</v>
      </c>
      <c r="BW35" s="1917">
        <f t="shared" ca="1" si="32"/>
        <v>0</v>
      </c>
      <c r="BX35" s="1917">
        <f t="shared" ca="1" si="33"/>
        <v>0</v>
      </c>
      <c r="BY35" s="1917">
        <f t="shared" ca="1" si="34"/>
        <v>0</v>
      </c>
      <c r="BZ35" s="1917">
        <f t="shared" ca="1" si="35"/>
        <v>0</v>
      </c>
      <c r="CA35" s="1917">
        <f t="shared" ca="1" si="36"/>
        <v>0</v>
      </c>
      <c r="CB35" s="1917">
        <f t="shared" ca="1" si="37"/>
        <v>0</v>
      </c>
      <c r="CC35" s="1917">
        <f t="shared" ca="1" si="38"/>
        <v>0</v>
      </c>
      <c r="CD35" s="1917">
        <f t="shared" ca="1" si="39"/>
        <v>0</v>
      </c>
      <c r="CE35" s="1917">
        <f t="shared" ca="1" si="40"/>
        <v>0</v>
      </c>
      <c r="CF35" s="1131">
        <f t="shared" ca="1" si="17"/>
        <v>0</v>
      </c>
      <c r="CG35" s="1131"/>
      <c r="CH35" s="1131"/>
      <c r="CI35" s="1409">
        <f t="shared" ca="1" si="41"/>
        <v>0</v>
      </c>
      <c r="CJ35" s="1409">
        <f t="shared" ca="1" si="42"/>
        <v>0</v>
      </c>
      <c r="CK35" s="1409">
        <f t="shared" ca="1" si="43"/>
        <v>0</v>
      </c>
      <c r="CL35" s="1409">
        <f t="shared" ca="1" si="44"/>
        <v>0</v>
      </c>
      <c r="CM35" s="1409">
        <f t="shared" ca="1" si="45"/>
        <v>0</v>
      </c>
      <c r="CN35" s="1409">
        <f t="shared" ca="1" si="46"/>
        <v>0</v>
      </c>
      <c r="CO35" s="1409">
        <f t="shared" ca="1" si="47"/>
        <v>0</v>
      </c>
      <c r="CP35" s="1409">
        <f t="shared" ca="1" si="48"/>
        <v>0</v>
      </c>
      <c r="CQ35" s="1409">
        <f t="shared" ca="1" si="49"/>
        <v>0</v>
      </c>
      <c r="CR35" s="1409">
        <f t="shared" ca="1" si="50"/>
        <v>0</v>
      </c>
      <c r="CS35" s="1131">
        <f t="shared" ca="1" si="19"/>
        <v>0</v>
      </c>
    </row>
    <row r="36" spans="3:97">
      <c r="C36" s="1763" t="s">
        <v>716</v>
      </c>
      <c r="D36" s="1763" t="s">
        <v>972</v>
      </c>
      <c r="F36" s="1131">
        <f t="shared" ca="1" si="63"/>
        <v>0</v>
      </c>
      <c r="G36" s="1131">
        <f t="shared" ca="1" si="63"/>
        <v>0</v>
      </c>
      <c r="H36" s="1131">
        <f t="shared" ca="1" si="63"/>
        <v>0</v>
      </c>
      <c r="I36" s="1131">
        <f t="shared" ca="1" si="63"/>
        <v>0</v>
      </c>
      <c r="J36" s="1131">
        <f t="shared" ca="1" si="63"/>
        <v>0</v>
      </c>
      <c r="K36" s="1131">
        <f t="shared" ca="1" si="63"/>
        <v>0</v>
      </c>
      <c r="L36" s="1131">
        <f t="shared" ca="1" si="63"/>
        <v>0</v>
      </c>
      <c r="M36" s="1131">
        <f t="shared" ca="1" si="63"/>
        <v>0</v>
      </c>
      <c r="N36" s="1131">
        <f t="shared" ca="1" si="63"/>
        <v>0</v>
      </c>
      <c r="O36" s="1131">
        <f t="shared" ca="1" si="51"/>
        <v>0</v>
      </c>
      <c r="P36" s="1131">
        <f t="shared" ca="1" si="1"/>
        <v>0</v>
      </c>
      <c r="Q36" s="1131"/>
      <c r="R36" s="1131"/>
      <c r="S36" s="1131">
        <f t="shared" ca="1" si="64"/>
        <v>0</v>
      </c>
      <c r="T36" s="1131">
        <f t="shared" ca="1" si="64"/>
        <v>0</v>
      </c>
      <c r="U36" s="1131">
        <f t="shared" ca="1" si="64"/>
        <v>0</v>
      </c>
      <c r="V36" s="1131">
        <f t="shared" ca="1" si="64"/>
        <v>0</v>
      </c>
      <c r="W36" s="1131">
        <f t="shared" ca="1" si="64"/>
        <v>0</v>
      </c>
      <c r="X36" s="1131">
        <f t="shared" ca="1" si="64"/>
        <v>0</v>
      </c>
      <c r="Y36" s="1131">
        <f t="shared" ca="1" si="64"/>
        <v>0</v>
      </c>
      <c r="Z36" s="1131">
        <f t="shared" ca="1" si="64"/>
        <v>0</v>
      </c>
      <c r="AA36" s="1131">
        <f t="shared" ca="1" si="64"/>
        <v>0</v>
      </c>
      <c r="AB36" s="1131">
        <f t="shared" ca="1" si="52"/>
        <v>0</v>
      </c>
      <c r="AC36" s="1131">
        <f t="shared" ca="1" si="3"/>
        <v>0</v>
      </c>
      <c r="AD36" s="1131"/>
      <c r="AE36" s="1131"/>
      <c r="AF36" s="1131">
        <f t="shared" ca="1" si="65"/>
        <v>0</v>
      </c>
      <c r="AG36" s="1131">
        <f t="shared" ca="1" si="65"/>
        <v>0</v>
      </c>
      <c r="AH36" s="1131">
        <f t="shared" ca="1" si="65"/>
        <v>0</v>
      </c>
      <c r="AI36" s="1131">
        <f t="shared" ca="1" si="65"/>
        <v>0</v>
      </c>
      <c r="AJ36" s="1131">
        <f t="shared" ca="1" si="65"/>
        <v>0</v>
      </c>
      <c r="AK36" s="1131">
        <f t="shared" ca="1" si="65"/>
        <v>0</v>
      </c>
      <c r="AL36" s="1131">
        <f t="shared" ca="1" si="65"/>
        <v>0</v>
      </c>
      <c r="AM36" s="1131">
        <f t="shared" ca="1" si="65"/>
        <v>0</v>
      </c>
      <c r="AN36" s="1131">
        <f t="shared" ca="1" si="65"/>
        <v>0</v>
      </c>
      <c r="AO36" s="1131">
        <f t="shared" ca="1" si="53"/>
        <v>0</v>
      </c>
      <c r="AP36" s="1131">
        <f t="shared" ca="1" si="5"/>
        <v>0</v>
      </c>
      <c r="AQ36" s="1131"/>
      <c r="AR36" s="1131"/>
      <c r="AS36" s="1131">
        <f t="shared" ca="1" si="6"/>
        <v>0</v>
      </c>
      <c r="AT36" s="1131">
        <f t="shared" ca="1" si="7"/>
        <v>0</v>
      </c>
      <c r="AU36" s="1131">
        <f t="shared" ca="1" si="8"/>
        <v>0</v>
      </c>
      <c r="AV36" s="1131">
        <f t="shared" ca="1" si="9"/>
        <v>0</v>
      </c>
      <c r="AW36" s="1131">
        <f t="shared" ca="1" si="10"/>
        <v>0</v>
      </c>
      <c r="AX36" s="1131">
        <f t="shared" ca="1" si="11"/>
        <v>0</v>
      </c>
      <c r="AY36" s="1131">
        <f t="shared" ca="1" si="12"/>
        <v>0</v>
      </c>
      <c r="AZ36" s="1131">
        <f t="shared" ca="1" si="13"/>
        <v>0</v>
      </c>
      <c r="BA36" s="1131">
        <f t="shared" ca="1" si="14"/>
        <v>0</v>
      </c>
      <c r="BB36" s="1131">
        <f t="shared" ca="1" si="20"/>
        <v>0</v>
      </c>
      <c r="BC36" s="1131">
        <f t="shared" ca="1" si="15"/>
        <v>0</v>
      </c>
      <c r="BD36" s="1131"/>
      <c r="BE36" s="1131"/>
      <c r="BF36" s="19">
        <f>'Global cost assumptions'!E57</f>
        <v>0.1</v>
      </c>
      <c r="BG36" s="1131">
        <f>'Global cost assumptions'!F57</f>
        <v>30</v>
      </c>
      <c r="BH36" s="1131"/>
      <c r="BI36" s="1131"/>
      <c r="BJ36" s="27">
        <f t="shared" ca="1" si="21"/>
        <v>0</v>
      </c>
      <c r="BK36" s="27">
        <f t="shared" ca="1" si="22"/>
        <v>0</v>
      </c>
      <c r="BL36" s="27">
        <f t="shared" ca="1" si="23"/>
        <v>0</v>
      </c>
      <c r="BM36" s="27">
        <f t="shared" ca="1" si="24"/>
        <v>0</v>
      </c>
      <c r="BN36" s="27">
        <f t="shared" ca="1" si="25"/>
        <v>0</v>
      </c>
      <c r="BO36" s="27">
        <f t="shared" ca="1" si="26"/>
        <v>0</v>
      </c>
      <c r="BP36" s="27">
        <f t="shared" ca="1" si="27"/>
        <v>0</v>
      </c>
      <c r="BQ36" s="27">
        <f t="shared" ca="1" si="28"/>
        <v>0</v>
      </c>
      <c r="BR36" s="27">
        <f t="shared" ca="1" si="29"/>
        <v>0</v>
      </c>
      <c r="BS36" s="27">
        <f t="shared" ca="1" si="30"/>
        <v>0</v>
      </c>
      <c r="BT36" s="1131"/>
      <c r="BU36" s="1131"/>
      <c r="BV36" s="1409">
        <f t="shared" ca="1" si="31"/>
        <v>0</v>
      </c>
      <c r="BW36" s="1917">
        <f t="shared" ca="1" si="32"/>
        <v>0</v>
      </c>
      <c r="BX36" s="1917">
        <f t="shared" ca="1" si="33"/>
        <v>0</v>
      </c>
      <c r="BY36" s="1917">
        <f t="shared" ca="1" si="34"/>
        <v>0</v>
      </c>
      <c r="BZ36" s="1917">
        <f t="shared" ca="1" si="35"/>
        <v>0</v>
      </c>
      <c r="CA36" s="1917">
        <f t="shared" ca="1" si="36"/>
        <v>0</v>
      </c>
      <c r="CB36" s="1917">
        <f t="shared" ca="1" si="37"/>
        <v>0</v>
      </c>
      <c r="CC36" s="1917">
        <f t="shared" ca="1" si="38"/>
        <v>0</v>
      </c>
      <c r="CD36" s="1917">
        <f t="shared" ca="1" si="39"/>
        <v>0</v>
      </c>
      <c r="CE36" s="1917">
        <f t="shared" ca="1" si="40"/>
        <v>0</v>
      </c>
      <c r="CF36" s="1131">
        <f t="shared" ca="1" si="17"/>
        <v>0</v>
      </c>
      <c r="CG36" s="1131"/>
      <c r="CH36" s="1131"/>
      <c r="CI36" s="1409">
        <f t="shared" ca="1" si="41"/>
        <v>0</v>
      </c>
      <c r="CJ36" s="1409">
        <f t="shared" ca="1" si="42"/>
        <v>0</v>
      </c>
      <c r="CK36" s="1409">
        <f t="shared" ca="1" si="43"/>
        <v>0</v>
      </c>
      <c r="CL36" s="1409">
        <f t="shared" ca="1" si="44"/>
        <v>0</v>
      </c>
      <c r="CM36" s="1409">
        <f t="shared" ca="1" si="45"/>
        <v>0</v>
      </c>
      <c r="CN36" s="1409">
        <f t="shared" ca="1" si="46"/>
        <v>0</v>
      </c>
      <c r="CO36" s="1409">
        <f t="shared" ca="1" si="47"/>
        <v>0</v>
      </c>
      <c r="CP36" s="1409">
        <f t="shared" ca="1" si="48"/>
        <v>0</v>
      </c>
      <c r="CQ36" s="1409">
        <f t="shared" ca="1" si="49"/>
        <v>0</v>
      </c>
      <c r="CR36" s="1409">
        <f t="shared" ca="1" si="50"/>
        <v>0</v>
      </c>
      <c r="CS36" s="1131">
        <f t="shared" ca="1" si="19"/>
        <v>0</v>
      </c>
    </row>
    <row r="37" spans="3:97">
      <c r="C37" s="1763" t="s">
        <v>717</v>
      </c>
      <c r="D37" s="1763" t="s">
        <v>1412</v>
      </c>
      <c r="F37" s="1131">
        <f t="shared" ca="1" si="63"/>
        <v>0</v>
      </c>
      <c r="G37" s="1131">
        <f t="shared" ca="1" si="63"/>
        <v>0</v>
      </c>
      <c r="H37" s="1131">
        <f t="shared" ca="1" si="63"/>
        <v>0</v>
      </c>
      <c r="I37" s="1131">
        <f t="shared" ca="1" si="63"/>
        <v>0</v>
      </c>
      <c r="J37" s="1131">
        <f t="shared" ca="1" si="63"/>
        <v>0</v>
      </c>
      <c r="K37" s="1131">
        <f t="shared" ca="1" si="63"/>
        <v>0</v>
      </c>
      <c r="L37" s="1131">
        <f t="shared" ca="1" si="63"/>
        <v>0</v>
      </c>
      <c r="M37" s="1131">
        <f t="shared" ca="1" si="63"/>
        <v>0</v>
      </c>
      <c r="N37" s="1131">
        <f t="shared" ca="1" si="63"/>
        <v>0</v>
      </c>
      <c r="O37" s="1131">
        <f t="shared" ca="1" si="51"/>
        <v>0</v>
      </c>
      <c r="P37" s="1131">
        <f t="shared" ca="1" si="1"/>
        <v>0</v>
      </c>
      <c r="Q37" s="1131"/>
      <c r="R37" s="1131"/>
      <c r="S37" s="1131">
        <f t="shared" ca="1" si="64"/>
        <v>0</v>
      </c>
      <c r="T37" s="1131">
        <f t="shared" ca="1" si="64"/>
        <v>0</v>
      </c>
      <c r="U37" s="1131">
        <f t="shared" ca="1" si="64"/>
        <v>0</v>
      </c>
      <c r="V37" s="1131">
        <f t="shared" ca="1" si="64"/>
        <v>0</v>
      </c>
      <c r="W37" s="1131">
        <f t="shared" ca="1" si="64"/>
        <v>0</v>
      </c>
      <c r="X37" s="1131">
        <f t="shared" ca="1" si="64"/>
        <v>0</v>
      </c>
      <c r="Y37" s="1131">
        <f t="shared" ca="1" si="64"/>
        <v>0</v>
      </c>
      <c r="Z37" s="1131">
        <f t="shared" ca="1" si="64"/>
        <v>0</v>
      </c>
      <c r="AA37" s="1131">
        <f t="shared" ca="1" si="64"/>
        <v>0</v>
      </c>
      <c r="AB37" s="1131">
        <f t="shared" ca="1" si="52"/>
        <v>0</v>
      </c>
      <c r="AC37" s="1131">
        <f t="shared" ca="1" si="3"/>
        <v>0</v>
      </c>
      <c r="AD37" s="1131"/>
      <c r="AE37" s="1131"/>
      <c r="AF37" s="1131">
        <f t="shared" ca="1" si="65"/>
        <v>0</v>
      </c>
      <c r="AG37" s="1131">
        <f t="shared" ca="1" si="65"/>
        <v>0</v>
      </c>
      <c r="AH37" s="1131">
        <f t="shared" ca="1" si="65"/>
        <v>0</v>
      </c>
      <c r="AI37" s="1131">
        <f t="shared" ca="1" si="65"/>
        <v>0</v>
      </c>
      <c r="AJ37" s="1131">
        <f t="shared" ca="1" si="65"/>
        <v>0</v>
      </c>
      <c r="AK37" s="1131">
        <f t="shared" ca="1" si="65"/>
        <v>0</v>
      </c>
      <c r="AL37" s="1131">
        <f t="shared" ca="1" si="65"/>
        <v>0</v>
      </c>
      <c r="AM37" s="1131">
        <f t="shared" ca="1" si="65"/>
        <v>0</v>
      </c>
      <c r="AN37" s="1131">
        <f t="shared" ca="1" si="65"/>
        <v>0</v>
      </c>
      <c r="AO37" s="1131">
        <f t="shared" ca="1" si="53"/>
        <v>0</v>
      </c>
      <c r="AP37" s="1131">
        <f t="shared" ca="1" si="5"/>
        <v>0</v>
      </c>
      <c r="AQ37" s="1131"/>
      <c r="AR37" s="1131"/>
      <c r="AS37" s="1131">
        <f t="shared" ca="1" si="6"/>
        <v>0</v>
      </c>
      <c r="AT37" s="1131">
        <f t="shared" ca="1" si="7"/>
        <v>0</v>
      </c>
      <c r="AU37" s="1131">
        <f t="shared" ca="1" si="8"/>
        <v>0</v>
      </c>
      <c r="AV37" s="1131">
        <f t="shared" ca="1" si="9"/>
        <v>0</v>
      </c>
      <c r="AW37" s="1131">
        <f t="shared" ca="1" si="10"/>
        <v>0</v>
      </c>
      <c r="AX37" s="1131">
        <f t="shared" ca="1" si="11"/>
        <v>0</v>
      </c>
      <c r="AY37" s="1131">
        <f t="shared" ca="1" si="12"/>
        <v>0</v>
      </c>
      <c r="AZ37" s="1131">
        <f t="shared" ca="1" si="13"/>
        <v>0</v>
      </c>
      <c r="BA37" s="1131">
        <f t="shared" ca="1" si="14"/>
        <v>0</v>
      </c>
      <c r="BB37" s="1131">
        <f t="shared" ca="1" si="20"/>
        <v>0</v>
      </c>
      <c r="BC37" s="1131">
        <f t="shared" ca="1" si="15"/>
        <v>0</v>
      </c>
      <c r="BD37" s="1131"/>
      <c r="BE37" s="1131"/>
      <c r="BF37" s="19">
        <f>'Global cost assumptions'!E58</f>
        <v>0.1</v>
      </c>
      <c r="BG37" s="1131">
        <f>'Global cost assumptions'!F58</f>
        <v>30</v>
      </c>
      <c r="BH37" s="1131"/>
      <c r="BI37" s="1131"/>
      <c r="BJ37" s="27">
        <f t="shared" ca="1" si="21"/>
        <v>0</v>
      </c>
      <c r="BK37" s="27">
        <f t="shared" ca="1" si="22"/>
        <v>0</v>
      </c>
      <c r="BL37" s="27">
        <f t="shared" ca="1" si="23"/>
        <v>0</v>
      </c>
      <c r="BM37" s="27">
        <f t="shared" ca="1" si="24"/>
        <v>0</v>
      </c>
      <c r="BN37" s="27">
        <f t="shared" ca="1" si="25"/>
        <v>0</v>
      </c>
      <c r="BO37" s="27">
        <f t="shared" ca="1" si="26"/>
        <v>0</v>
      </c>
      <c r="BP37" s="27">
        <f t="shared" ca="1" si="27"/>
        <v>0</v>
      </c>
      <c r="BQ37" s="27">
        <f t="shared" ca="1" si="28"/>
        <v>0</v>
      </c>
      <c r="BR37" s="27">
        <f t="shared" ca="1" si="29"/>
        <v>0</v>
      </c>
      <c r="BS37" s="27">
        <f t="shared" ca="1" si="30"/>
        <v>0</v>
      </c>
      <c r="BT37" s="1131"/>
      <c r="BU37" s="1131"/>
      <c r="BV37" s="1409">
        <f t="shared" ca="1" si="31"/>
        <v>0</v>
      </c>
      <c r="BW37" s="1917">
        <f t="shared" ca="1" si="32"/>
        <v>0</v>
      </c>
      <c r="BX37" s="1917">
        <f t="shared" ca="1" si="33"/>
        <v>0</v>
      </c>
      <c r="BY37" s="1917">
        <f t="shared" ca="1" si="34"/>
        <v>0</v>
      </c>
      <c r="BZ37" s="1917">
        <f t="shared" ca="1" si="35"/>
        <v>0</v>
      </c>
      <c r="CA37" s="1917">
        <f t="shared" ca="1" si="36"/>
        <v>0</v>
      </c>
      <c r="CB37" s="1917">
        <f t="shared" ca="1" si="37"/>
        <v>0</v>
      </c>
      <c r="CC37" s="1917">
        <f t="shared" ca="1" si="38"/>
        <v>0</v>
      </c>
      <c r="CD37" s="1917">
        <f t="shared" ca="1" si="39"/>
        <v>0</v>
      </c>
      <c r="CE37" s="1917">
        <f t="shared" ca="1" si="40"/>
        <v>0</v>
      </c>
      <c r="CF37" s="1131">
        <f t="shared" ca="1" si="17"/>
        <v>0</v>
      </c>
      <c r="CG37" s="1131"/>
      <c r="CH37" s="1131"/>
      <c r="CI37" s="1409">
        <f t="shared" ca="1" si="41"/>
        <v>0</v>
      </c>
      <c r="CJ37" s="1409">
        <f t="shared" ca="1" si="42"/>
        <v>0</v>
      </c>
      <c r="CK37" s="1409">
        <f t="shared" ca="1" si="43"/>
        <v>0</v>
      </c>
      <c r="CL37" s="1409">
        <f t="shared" ca="1" si="44"/>
        <v>0</v>
      </c>
      <c r="CM37" s="1409">
        <f t="shared" ca="1" si="45"/>
        <v>0</v>
      </c>
      <c r="CN37" s="1409">
        <f t="shared" ca="1" si="46"/>
        <v>0</v>
      </c>
      <c r="CO37" s="1409">
        <f t="shared" ca="1" si="47"/>
        <v>0</v>
      </c>
      <c r="CP37" s="1409">
        <f t="shared" ca="1" si="48"/>
        <v>0</v>
      </c>
      <c r="CQ37" s="1409">
        <f t="shared" ca="1" si="49"/>
        <v>0</v>
      </c>
      <c r="CR37" s="1409">
        <f t="shared" ca="1" si="50"/>
        <v>0</v>
      </c>
      <c r="CS37" s="1131">
        <f t="shared" ca="1" si="19"/>
        <v>0</v>
      </c>
    </row>
    <row r="38" spans="3:97">
      <c r="C38" s="1763" t="s">
        <v>721</v>
      </c>
      <c r="D38" s="1763" t="s">
        <v>723</v>
      </c>
      <c r="F38" s="1131">
        <f t="shared" ca="1" si="63"/>
        <v>0</v>
      </c>
      <c r="G38" s="1131">
        <f t="shared" ca="1" si="63"/>
        <v>0</v>
      </c>
      <c r="H38" s="1131">
        <f t="shared" ca="1" si="63"/>
        <v>0</v>
      </c>
      <c r="I38" s="1131">
        <f t="shared" ca="1" si="63"/>
        <v>0</v>
      </c>
      <c r="J38" s="1131">
        <f t="shared" ca="1" si="63"/>
        <v>0</v>
      </c>
      <c r="K38" s="1131">
        <f t="shared" ca="1" si="63"/>
        <v>0</v>
      </c>
      <c r="L38" s="1131">
        <f t="shared" ca="1" si="63"/>
        <v>0</v>
      </c>
      <c r="M38" s="1131">
        <f t="shared" ca="1" si="63"/>
        <v>0</v>
      </c>
      <c r="N38" s="1131">
        <f t="shared" ca="1" si="63"/>
        <v>0</v>
      </c>
      <c r="O38" s="1131">
        <f t="shared" ca="1" si="63"/>
        <v>0</v>
      </c>
      <c r="P38" s="1131">
        <f t="shared" ca="1" si="1"/>
        <v>0</v>
      </c>
      <c r="Q38" s="1131"/>
      <c r="R38" s="1131"/>
      <c r="S38" s="1131">
        <f t="shared" ca="1" si="64"/>
        <v>0</v>
      </c>
      <c r="T38" s="1131">
        <f t="shared" ca="1" si="64"/>
        <v>0</v>
      </c>
      <c r="U38" s="1131">
        <f t="shared" ca="1" si="64"/>
        <v>0</v>
      </c>
      <c r="V38" s="1131">
        <f t="shared" ca="1" si="64"/>
        <v>0</v>
      </c>
      <c r="W38" s="1131">
        <f t="shared" ca="1" si="64"/>
        <v>0</v>
      </c>
      <c r="X38" s="1131">
        <f t="shared" ca="1" si="64"/>
        <v>0</v>
      </c>
      <c r="Y38" s="1131">
        <f t="shared" ca="1" si="64"/>
        <v>0</v>
      </c>
      <c r="Z38" s="1131">
        <f t="shared" ca="1" si="64"/>
        <v>0</v>
      </c>
      <c r="AA38" s="1131">
        <f t="shared" ca="1" si="64"/>
        <v>0</v>
      </c>
      <c r="AB38" s="1131">
        <f t="shared" ca="1" si="64"/>
        <v>0</v>
      </c>
      <c r="AC38" s="1131">
        <f t="shared" ca="1" si="3"/>
        <v>0</v>
      </c>
      <c r="AD38" s="1131"/>
      <c r="AE38" s="1131"/>
      <c r="AF38" s="1131">
        <f t="shared" ca="1" si="65"/>
        <v>0</v>
      </c>
      <c r="AG38" s="1131">
        <f t="shared" ca="1" si="65"/>
        <v>0</v>
      </c>
      <c r="AH38" s="1131">
        <f t="shared" ca="1" si="65"/>
        <v>0</v>
      </c>
      <c r="AI38" s="1131">
        <f t="shared" ca="1" si="65"/>
        <v>0</v>
      </c>
      <c r="AJ38" s="1131">
        <f t="shared" ca="1" si="65"/>
        <v>0</v>
      </c>
      <c r="AK38" s="1131">
        <f t="shared" ca="1" si="65"/>
        <v>0</v>
      </c>
      <c r="AL38" s="1131">
        <f t="shared" ca="1" si="65"/>
        <v>0</v>
      </c>
      <c r="AM38" s="1131">
        <f t="shared" ca="1" si="65"/>
        <v>0</v>
      </c>
      <c r="AN38" s="1131">
        <f t="shared" ca="1" si="65"/>
        <v>0</v>
      </c>
      <c r="AO38" s="1131">
        <f t="shared" ca="1" si="65"/>
        <v>0</v>
      </c>
      <c r="AP38" s="1131">
        <f t="shared" ca="1" si="5"/>
        <v>0</v>
      </c>
      <c r="AQ38" s="1131"/>
      <c r="AR38" s="1131"/>
      <c r="AS38" s="1131">
        <f t="shared" ca="1" si="6"/>
        <v>0</v>
      </c>
      <c r="AT38" s="1131">
        <f t="shared" ca="1" si="7"/>
        <v>0</v>
      </c>
      <c r="AU38" s="1131">
        <f t="shared" ca="1" si="8"/>
        <v>0</v>
      </c>
      <c r="AV38" s="1131">
        <f t="shared" ca="1" si="9"/>
        <v>0</v>
      </c>
      <c r="AW38" s="1131">
        <f t="shared" ca="1" si="10"/>
        <v>0</v>
      </c>
      <c r="AX38" s="1131">
        <f t="shared" ca="1" si="11"/>
        <v>0</v>
      </c>
      <c r="AY38" s="1131">
        <f t="shared" ca="1" si="12"/>
        <v>0</v>
      </c>
      <c r="AZ38" s="1131">
        <f t="shared" ca="1" si="13"/>
        <v>0</v>
      </c>
      <c r="BA38" s="1131">
        <f t="shared" ca="1" si="14"/>
        <v>0</v>
      </c>
      <c r="BB38" s="1131">
        <f t="shared" ca="1" si="20"/>
        <v>0</v>
      </c>
      <c r="BC38" s="1131">
        <f t="shared" ca="1" si="15"/>
        <v>0</v>
      </c>
      <c r="BD38" s="1131"/>
      <c r="BE38" s="1131"/>
      <c r="BF38" s="19">
        <f>'Global cost assumptions'!E59</f>
        <v>0.1</v>
      </c>
      <c r="BG38" s="1131">
        <f>'Global cost assumptions'!F59</f>
        <v>30</v>
      </c>
      <c r="BH38" s="1131"/>
      <c r="BI38" s="1131"/>
      <c r="BJ38" s="27">
        <f t="shared" ca="1" si="21"/>
        <v>0</v>
      </c>
      <c r="BK38" s="27">
        <f t="shared" ca="1" si="22"/>
        <v>0</v>
      </c>
      <c r="BL38" s="27">
        <f t="shared" ca="1" si="23"/>
        <v>0</v>
      </c>
      <c r="BM38" s="27">
        <f t="shared" ca="1" si="24"/>
        <v>0</v>
      </c>
      <c r="BN38" s="27">
        <f t="shared" ca="1" si="25"/>
        <v>0</v>
      </c>
      <c r="BO38" s="27">
        <f t="shared" ca="1" si="26"/>
        <v>0</v>
      </c>
      <c r="BP38" s="27">
        <f t="shared" ca="1" si="27"/>
        <v>0</v>
      </c>
      <c r="BQ38" s="27">
        <f t="shared" ca="1" si="28"/>
        <v>0</v>
      </c>
      <c r="BR38" s="27">
        <f t="shared" ca="1" si="29"/>
        <v>0</v>
      </c>
      <c r="BS38" s="27">
        <f t="shared" ca="1" si="30"/>
        <v>0</v>
      </c>
      <c r="BT38" s="1131"/>
      <c r="BU38" s="1131"/>
      <c r="BV38" s="1409">
        <f t="shared" ca="1" si="31"/>
        <v>0</v>
      </c>
      <c r="BW38" s="1917">
        <f t="shared" ca="1" si="32"/>
        <v>0</v>
      </c>
      <c r="BX38" s="1917">
        <f t="shared" ca="1" si="33"/>
        <v>0</v>
      </c>
      <c r="BY38" s="1917">
        <f t="shared" ca="1" si="34"/>
        <v>0</v>
      </c>
      <c r="BZ38" s="1917">
        <f t="shared" ca="1" si="35"/>
        <v>0</v>
      </c>
      <c r="CA38" s="1917">
        <f t="shared" ca="1" si="36"/>
        <v>0</v>
      </c>
      <c r="CB38" s="1917">
        <f t="shared" ca="1" si="37"/>
        <v>0</v>
      </c>
      <c r="CC38" s="1917">
        <f t="shared" ca="1" si="38"/>
        <v>0</v>
      </c>
      <c r="CD38" s="1917">
        <f t="shared" ca="1" si="39"/>
        <v>0</v>
      </c>
      <c r="CE38" s="1917">
        <f t="shared" ca="1" si="40"/>
        <v>0</v>
      </c>
      <c r="CF38" s="1131">
        <f t="shared" ca="1" si="17"/>
        <v>0</v>
      </c>
      <c r="CG38" s="1131"/>
      <c r="CH38" s="1131"/>
      <c r="CI38" s="1409">
        <f t="shared" ca="1" si="41"/>
        <v>0</v>
      </c>
      <c r="CJ38" s="1409">
        <f t="shared" ca="1" si="42"/>
        <v>0</v>
      </c>
      <c r="CK38" s="1409">
        <f t="shared" ca="1" si="43"/>
        <v>0</v>
      </c>
      <c r="CL38" s="1409">
        <f t="shared" ca="1" si="44"/>
        <v>0</v>
      </c>
      <c r="CM38" s="1409">
        <f t="shared" ca="1" si="45"/>
        <v>0</v>
      </c>
      <c r="CN38" s="1409">
        <f t="shared" ca="1" si="46"/>
        <v>0</v>
      </c>
      <c r="CO38" s="1409">
        <f t="shared" ca="1" si="47"/>
        <v>0</v>
      </c>
      <c r="CP38" s="1409">
        <f t="shared" ca="1" si="48"/>
        <v>0</v>
      </c>
      <c r="CQ38" s="1409">
        <f t="shared" ca="1" si="49"/>
        <v>0</v>
      </c>
      <c r="CR38" s="1409">
        <f t="shared" ca="1" si="50"/>
        <v>0</v>
      </c>
      <c r="CS38" s="1131">
        <f t="shared" ca="1" si="19"/>
        <v>0</v>
      </c>
    </row>
    <row r="39" spans="3:97">
      <c r="C39" s="1763" t="s">
        <v>722</v>
      </c>
      <c r="D39" s="1763" t="s">
        <v>724</v>
      </c>
      <c r="F39" s="1131">
        <f t="shared" ca="1" si="63"/>
        <v>0</v>
      </c>
      <c r="G39" s="1131">
        <f t="shared" ca="1" si="63"/>
        <v>0</v>
      </c>
      <c r="H39" s="1131">
        <f t="shared" ca="1" si="63"/>
        <v>0</v>
      </c>
      <c r="I39" s="1131">
        <f t="shared" ca="1" si="63"/>
        <v>0</v>
      </c>
      <c r="J39" s="1131">
        <f t="shared" ca="1" si="63"/>
        <v>0</v>
      </c>
      <c r="K39" s="1131">
        <f t="shared" ca="1" si="63"/>
        <v>0</v>
      </c>
      <c r="L39" s="1131">
        <f t="shared" ca="1" si="63"/>
        <v>0</v>
      </c>
      <c r="M39" s="1131">
        <f t="shared" ca="1" si="63"/>
        <v>0</v>
      </c>
      <c r="N39" s="1131">
        <f t="shared" ca="1" si="63"/>
        <v>0</v>
      </c>
      <c r="O39" s="1131">
        <f t="shared" ca="1" si="63"/>
        <v>0</v>
      </c>
      <c r="P39" s="1131">
        <f t="shared" ca="1" si="1"/>
        <v>0</v>
      </c>
      <c r="Q39" s="1131"/>
      <c r="R39" s="1131"/>
      <c r="S39" s="1131">
        <f t="shared" ca="1" si="64"/>
        <v>0</v>
      </c>
      <c r="T39" s="1131">
        <f t="shared" ca="1" si="64"/>
        <v>0</v>
      </c>
      <c r="U39" s="1131">
        <f t="shared" ca="1" si="64"/>
        <v>0</v>
      </c>
      <c r="V39" s="1131">
        <f t="shared" ca="1" si="64"/>
        <v>0</v>
      </c>
      <c r="W39" s="1131">
        <f t="shared" ca="1" si="64"/>
        <v>0</v>
      </c>
      <c r="X39" s="1131">
        <f t="shared" ca="1" si="64"/>
        <v>0</v>
      </c>
      <c r="Y39" s="1131">
        <f t="shared" ca="1" si="64"/>
        <v>0</v>
      </c>
      <c r="Z39" s="1131">
        <f t="shared" ca="1" si="64"/>
        <v>0</v>
      </c>
      <c r="AA39" s="1131">
        <f t="shared" ca="1" si="64"/>
        <v>0</v>
      </c>
      <c r="AB39" s="1131">
        <f t="shared" ca="1" si="64"/>
        <v>0</v>
      </c>
      <c r="AC39" s="1131">
        <f t="shared" ca="1" si="3"/>
        <v>0</v>
      </c>
      <c r="AD39" s="1131"/>
      <c r="AE39" s="1131"/>
      <c r="AF39" s="1131">
        <f t="shared" ca="1" si="65"/>
        <v>0</v>
      </c>
      <c r="AG39" s="1131">
        <f t="shared" ca="1" si="65"/>
        <v>0</v>
      </c>
      <c r="AH39" s="1131">
        <f t="shared" ca="1" si="65"/>
        <v>0</v>
      </c>
      <c r="AI39" s="1131">
        <f t="shared" ca="1" si="65"/>
        <v>0</v>
      </c>
      <c r="AJ39" s="1131">
        <f t="shared" ca="1" si="65"/>
        <v>0</v>
      </c>
      <c r="AK39" s="1131">
        <f t="shared" ca="1" si="65"/>
        <v>0</v>
      </c>
      <c r="AL39" s="1131">
        <f t="shared" ca="1" si="65"/>
        <v>0</v>
      </c>
      <c r="AM39" s="1131">
        <f t="shared" ca="1" si="65"/>
        <v>0</v>
      </c>
      <c r="AN39" s="1131">
        <f t="shared" ca="1" si="65"/>
        <v>0</v>
      </c>
      <c r="AO39" s="1131">
        <f t="shared" ca="1" si="65"/>
        <v>0</v>
      </c>
      <c r="AP39" s="1131">
        <f t="shared" ca="1" si="5"/>
        <v>0</v>
      </c>
      <c r="AQ39" s="1131"/>
      <c r="AR39" s="1131"/>
      <c r="AS39" s="1131">
        <f t="shared" ca="1" si="6"/>
        <v>0</v>
      </c>
      <c r="AT39" s="1131">
        <f t="shared" ca="1" si="7"/>
        <v>0</v>
      </c>
      <c r="AU39" s="1131">
        <f t="shared" ca="1" si="8"/>
        <v>0</v>
      </c>
      <c r="AV39" s="1131">
        <f t="shared" ca="1" si="9"/>
        <v>0</v>
      </c>
      <c r="AW39" s="1131">
        <f t="shared" ca="1" si="10"/>
        <v>0</v>
      </c>
      <c r="AX39" s="1131">
        <f t="shared" ca="1" si="11"/>
        <v>0</v>
      </c>
      <c r="AY39" s="1131">
        <f t="shared" ca="1" si="12"/>
        <v>0</v>
      </c>
      <c r="AZ39" s="1131">
        <f t="shared" ca="1" si="13"/>
        <v>0</v>
      </c>
      <c r="BA39" s="1131">
        <f t="shared" ca="1" si="14"/>
        <v>0</v>
      </c>
      <c r="BB39" s="1131">
        <f t="shared" ca="1" si="20"/>
        <v>0</v>
      </c>
      <c r="BC39" s="1131">
        <f t="shared" ca="1" si="15"/>
        <v>0</v>
      </c>
      <c r="BD39" s="1131"/>
      <c r="BE39" s="1131"/>
      <c r="BF39" s="19">
        <f>'Global cost assumptions'!E60</f>
        <v>0.1</v>
      </c>
      <c r="BG39" s="1131">
        <f>'Global cost assumptions'!F60</f>
        <v>30</v>
      </c>
      <c r="BH39" s="1131"/>
      <c r="BI39" s="1131"/>
      <c r="BJ39" s="27">
        <f t="shared" ca="1" si="21"/>
        <v>0</v>
      </c>
      <c r="BK39" s="27">
        <f t="shared" ca="1" si="22"/>
        <v>0</v>
      </c>
      <c r="BL39" s="27">
        <f t="shared" ca="1" si="23"/>
        <v>0</v>
      </c>
      <c r="BM39" s="27">
        <f t="shared" ca="1" si="24"/>
        <v>0</v>
      </c>
      <c r="BN39" s="27">
        <f t="shared" ca="1" si="25"/>
        <v>0</v>
      </c>
      <c r="BO39" s="27">
        <f t="shared" ca="1" si="26"/>
        <v>0</v>
      </c>
      <c r="BP39" s="27">
        <f t="shared" ca="1" si="27"/>
        <v>0</v>
      </c>
      <c r="BQ39" s="27">
        <f t="shared" ca="1" si="28"/>
        <v>0</v>
      </c>
      <c r="BR39" s="27">
        <f t="shared" ca="1" si="29"/>
        <v>0</v>
      </c>
      <c r="BS39" s="27">
        <f t="shared" ca="1" si="30"/>
        <v>0</v>
      </c>
      <c r="BT39" s="1131"/>
      <c r="BU39" s="1131"/>
      <c r="BV39" s="1409">
        <f t="shared" ca="1" si="31"/>
        <v>0</v>
      </c>
      <c r="BW39" s="1917">
        <f t="shared" ca="1" si="32"/>
        <v>0</v>
      </c>
      <c r="BX39" s="1917">
        <f t="shared" ca="1" si="33"/>
        <v>0</v>
      </c>
      <c r="BY39" s="1917">
        <f t="shared" ca="1" si="34"/>
        <v>0</v>
      </c>
      <c r="BZ39" s="1917">
        <f t="shared" ca="1" si="35"/>
        <v>0</v>
      </c>
      <c r="CA39" s="1917">
        <f t="shared" ca="1" si="36"/>
        <v>0</v>
      </c>
      <c r="CB39" s="1917">
        <f t="shared" ca="1" si="37"/>
        <v>0</v>
      </c>
      <c r="CC39" s="1917">
        <f t="shared" ca="1" si="38"/>
        <v>0</v>
      </c>
      <c r="CD39" s="1917">
        <f t="shared" ca="1" si="39"/>
        <v>0</v>
      </c>
      <c r="CE39" s="1917">
        <f t="shared" ca="1" si="40"/>
        <v>0</v>
      </c>
      <c r="CF39" s="1131">
        <f t="shared" ca="1" si="17"/>
        <v>0</v>
      </c>
      <c r="CG39" s="1131"/>
      <c r="CH39" s="1131"/>
      <c r="CI39" s="1409">
        <f t="shared" ca="1" si="41"/>
        <v>0</v>
      </c>
      <c r="CJ39" s="1409">
        <f t="shared" ca="1" si="42"/>
        <v>0</v>
      </c>
      <c r="CK39" s="1409">
        <f t="shared" ca="1" si="43"/>
        <v>0</v>
      </c>
      <c r="CL39" s="1409">
        <f t="shared" ca="1" si="44"/>
        <v>0</v>
      </c>
      <c r="CM39" s="1409">
        <f t="shared" ca="1" si="45"/>
        <v>0</v>
      </c>
      <c r="CN39" s="1409">
        <f t="shared" ca="1" si="46"/>
        <v>0</v>
      </c>
      <c r="CO39" s="1409">
        <f t="shared" ca="1" si="47"/>
        <v>0</v>
      </c>
      <c r="CP39" s="1409">
        <f t="shared" ca="1" si="48"/>
        <v>0</v>
      </c>
      <c r="CQ39" s="1409">
        <f t="shared" ca="1" si="49"/>
        <v>0</v>
      </c>
      <c r="CR39" s="1409">
        <f t="shared" ca="1" si="50"/>
        <v>0</v>
      </c>
      <c r="CS39" s="1131">
        <f t="shared" ca="1" si="19"/>
        <v>0</v>
      </c>
    </row>
    <row r="40" spans="3:97">
      <c r="C40" s="1763" t="s">
        <v>689</v>
      </c>
      <c r="D40" s="1763" t="s">
        <v>425</v>
      </c>
      <c r="F40" s="1131">
        <f t="shared" ca="1" si="63"/>
        <v>0</v>
      </c>
      <c r="G40" s="1131">
        <f t="shared" ca="1" si="63"/>
        <v>0</v>
      </c>
      <c r="H40" s="1131">
        <f t="shared" ca="1" si="63"/>
        <v>0</v>
      </c>
      <c r="I40" s="1131">
        <f t="shared" ca="1" si="63"/>
        <v>0</v>
      </c>
      <c r="J40" s="1131">
        <f t="shared" ca="1" si="63"/>
        <v>0</v>
      </c>
      <c r="K40" s="1131">
        <f t="shared" ca="1" si="63"/>
        <v>0</v>
      </c>
      <c r="L40" s="1131">
        <f t="shared" ca="1" si="63"/>
        <v>0</v>
      </c>
      <c r="M40" s="1131">
        <f t="shared" ca="1" si="63"/>
        <v>0</v>
      </c>
      <c r="N40" s="1131">
        <f t="shared" ca="1" si="63"/>
        <v>0</v>
      </c>
      <c r="O40" s="1131">
        <f t="shared" ca="1" si="63"/>
        <v>0</v>
      </c>
      <c r="P40" s="1131">
        <f t="shared" ca="1" si="1"/>
        <v>0</v>
      </c>
      <c r="Q40" s="1131"/>
      <c r="R40" s="1131"/>
      <c r="S40" s="1131">
        <f t="shared" ca="1" si="64"/>
        <v>0</v>
      </c>
      <c r="T40" s="1131">
        <f t="shared" ca="1" si="64"/>
        <v>0</v>
      </c>
      <c r="U40" s="1131">
        <f t="shared" ca="1" si="64"/>
        <v>0</v>
      </c>
      <c r="V40" s="1131">
        <f t="shared" ca="1" si="64"/>
        <v>0</v>
      </c>
      <c r="W40" s="1131">
        <f t="shared" ca="1" si="64"/>
        <v>0</v>
      </c>
      <c r="X40" s="1131">
        <f t="shared" ca="1" si="64"/>
        <v>0</v>
      </c>
      <c r="Y40" s="1131">
        <f t="shared" ca="1" si="64"/>
        <v>0</v>
      </c>
      <c r="Z40" s="1131">
        <f t="shared" ca="1" si="64"/>
        <v>0</v>
      </c>
      <c r="AA40" s="1131">
        <f t="shared" ca="1" si="64"/>
        <v>0</v>
      </c>
      <c r="AB40" s="1131">
        <f t="shared" ca="1" si="64"/>
        <v>0</v>
      </c>
      <c r="AC40" s="1131">
        <f t="shared" ca="1" si="3"/>
        <v>0</v>
      </c>
      <c r="AD40" s="1131"/>
      <c r="AE40" s="1131"/>
      <c r="AF40" s="1131">
        <f t="shared" ca="1" si="65"/>
        <v>0</v>
      </c>
      <c r="AG40" s="1131">
        <f t="shared" ca="1" si="65"/>
        <v>0</v>
      </c>
      <c r="AH40" s="1131">
        <f t="shared" ca="1" si="65"/>
        <v>0</v>
      </c>
      <c r="AI40" s="1131">
        <f t="shared" ca="1" si="65"/>
        <v>0</v>
      </c>
      <c r="AJ40" s="1131">
        <f t="shared" ca="1" si="65"/>
        <v>0</v>
      </c>
      <c r="AK40" s="1131">
        <f t="shared" ca="1" si="65"/>
        <v>0</v>
      </c>
      <c r="AL40" s="1131">
        <f t="shared" ca="1" si="65"/>
        <v>0</v>
      </c>
      <c r="AM40" s="1131">
        <f t="shared" ca="1" si="65"/>
        <v>0</v>
      </c>
      <c r="AN40" s="1131">
        <f t="shared" ca="1" si="65"/>
        <v>0</v>
      </c>
      <c r="AO40" s="1131">
        <f t="shared" ca="1" si="65"/>
        <v>0</v>
      </c>
      <c r="AP40" s="1131">
        <f t="shared" ca="1" si="5"/>
        <v>0</v>
      </c>
      <c r="AQ40" s="1131"/>
      <c r="AR40" s="1131"/>
      <c r="AS40" s="1131">
        <f t="shared" ca="1" si="6"/>
        <v>0</v>
      </c>
      <c r="AT40" s="1131">
        <f t="shared" ca="1" si="7"/>
        <v>0</v>
      </c>
      <c r="AU40" s="1131">
        <f t="shared" ca="1" si="8"/>
        <v>0</v>
      </c>
      <c r="AV40" s="1131">
        <f t="shared" ca="1" si="9"/>
        <v>0</v>
      </c>
      <c r="AW40" s="1131">
        <f t="shared" ca="1" si="10"/>
        <v>0</v>
      </c>
      <c r="AX40" s="1131">
        <f t="shared" ca="1" si="11"/>
        <v>0</v>
      </c>
      <c r="AY40" s="1131">
        <f t="shared" ca="1" si="12"/>
        <v>0</v>
      </c>
      <c r="AZ40" s="1131">
        <f t="shared" ca="1" si="13"/>
        <v>0</v>
      </c>
      <c r="BA40" s="1131">
        <f t="shared" ca="1" si="14"/>
        <v>0</v>
      </c>
      <c r="BB40" s="1131">
        <f t="shared" ca="1" si="20"/>
        <v>0</v>
      </c>
      <c r="BC40" s="1131">
        <f t="shared" ca="1" si="15"/>
        <v>0</v>
      </c>
      <c r="BD40" s="1131"/>
      <c r="BE40" s="1131"/>
      <c r="BF40" s="19">
        <f>'Global cost assumptions'!E61</f>
        <v>0.1</v>
      </c>
      <c r="BG40" s="1131">
        <f>'Global cost assumptions'!F61</f>
        <v>30</v>
      </c>
      <c r="BH40" s="1131"/>
      <c r="BI40" s="1131"/>
      <c r="BJ40" s="27">
        <f t="shared" ca="1" si="21"/>
        <v>0</v>
      </c>
      <c r="BK40" s="27">
        <f t="shared" ca="1" si="22"/>
        <v>0</v>
      </c>
      <c r="BL40" s="27">
        <f t="shared" ca="1" si="23"/>
        <v>0</v>
      </c>
      <c r="BM40" s="27">
        <f t="shared" ca="1" si="24"/>
        <v>0</v>
      </c>
      <c r="BN40" s="27">
        <f t="shared" ca="1" si="25"/>
        <v>0</v>
      </c>
      <c r="BO40" s="27">
        <f t="shared" ca="1" si="26"/>
        <v>0</v>
      </c>
      <c r="BP40" s="27">
        <f t="shared" ca="1" si="27"/>
        <v>0</v>
      </c>
      <c r="BQ40" s="27">
        <f t="shared" ca="1" si="28"/>
        <v>0</v>
      </c>
      <c r="BR40" s="27">
        <f t="shared" ca="1" si="29"/>
        <v>0</v>
      </c>
      <c r="BS40" s="27">
        <f t="shared" ca="1" si="30"/>
        <v>0</v>
      </c>
      <c r="BT40" s="1131"/>
      <c r="BU40" s="1131"/>
      <c r="BV40" s="1409">
        <f t="shared" ca="1" si="31"/>
        <v>0</v>
      </c>
      <c r="BW40" s="1917">
        <f t="shared" ca="1" si="32"/>
        <v>0</v>
      </c>
      <c r="BX40" s="1917">
        <f t="shared" ca="1" si="33"/>
        <v>0</v>
      </c>
      <c r="BY40" s="1917">
        <f t="shared" ca="1" si="34"/>
        <v>0</v>
      </c>
      <c r="BZ40" s="1917">
        <f t="shared" ca="1" si="35"/>
        <v>0</v>
      </c>
      <c r="CA40" s="1917">
        <f t="shared" ca="1" si="36"/>
        <v>0</v>
      </c>
      <c r="CB40" s="1917">
        <f t="shared" ca="1" si="37"/>
        <v>0</v>
      </c>
      <c r="CC40" s="1917">
        <f t="shared" ca="1" si="38"/>
        <v>0</v>
      </c>
      <c r="CD40" s="1917">
        <f t="shared" ca="1" si="39"/>
        <v>0</v>
      </c>
      <c r="CE40" s="1917">
        <f t="shared" ca="1" si="40"/>
        <v>0</v>
      </c>
      <c r="CF40" s="1131">
        <f t="shared" ca="1" si="17"/>
        <v>0</v>
      </c>
      <c r="CG40" s="1131"/>
      <c r="CH40" s="1131"/>
      <c r="CI40" s="1409">
        <f t="shared" ca="1" si="41"/>
        <v>0</v>
      </c>
      <c r="CJ40" s="1409">
        <f t="shared" ca="1" si="42"/>
        <v>0</v>
      </c>
      <c r="CK40" s="1409">
        <f t="shared" ca="1" si="43"/>
        <v>0</v>
      </c>
      <c r="CL40" s="1409">
        <f t="shared" ca="1" si="44"/>
        <v>0</v>
      </c>
      <c r="CM40" s="1409">
        <f t="shared" ca="1" si="45"/>
        <v>0</v>
      </c>
      <c r="CN40" s="1409">
        <f t="shared" ca="1" si="46"/>
        <v>0</v>
      </c>
      <c r="CO40" s="1409">
        <f t="shared" ca="1" si="47"/>
        <v>0</v>
      </c>
      <c r="CP40" s="1409">
        <f t="shared" ca="1" si="48"/>
        <v>0</v>
      </c>
      <c r="CQ40" s="1409">
        <f t="shared" ca="1" si="49"/>
        <v>0</v>
      </c>
      <c r="CR40" s="1409">
        <f t="shared" ca="1" si="50"/>
        <v>0</v>
      </c>
      <c r="CS40" s="1131">
        <f t="shared" ca="1" si="19"/>
        <v>0</v>
      </c>
    </row>
    <row r="41" spans="3:97">
      <c r="C41" s="1763" t="s">
        <v>691</v>
      </c>
      <c r="D41" s="1763" t="s">
        <v>996</v>
      </c>
      <c r="F41" s="1131">
        <f t="shared" ca="1" si="63"/>
        <v>0</v>
      </c>
      <c r="G41" s="1131">
        <f t="shared" ca="1" si="63"/>
        <v>0</v>
      </c>
      <c r="H41" s="1131">
        <f t="shared" ca="1" si="63"/>
        <v>0</v>
      </c>
      <c r="I41" s="1131">
        <f t="shared" ca="1" si="63"/>
        <v>0</v>
      </c>
      <c r="J41" s="1131">
        <f t="shared" ca="1" si="63"/>
        <v>0</v>
      </c>
      <c r="K41" s="1131">
        <f t="shared" ca="1" si="63"/>
        <v>0</v>
      </c>
      <c r="L41" s="1131">
        <f t="shared" ca="1" si="63"/>
        <v>0</v>
      </c>
      <c r="M41" s="1131">
        <f t="shared" ca="1" si="63"/>
        <v>0</v>
      </c>
      <c r="N41" s="1131">
        <f t="shared" ca="1" si="63"/>
        <v>0</v>
      </c>
      <c r="O41" s="1131">
        <f t="shared" ca="1" si="63"/>
        <v>0</v>
      </c>
      <c r="P41" s="1131">
        <f t="shared" ca="1" si="1"/>
        <v>0</v>
      </c>
      <c r="Q41" s="1131"/>
      <c r="R41" s="1131"/>
      <c r="S41" s="1131">
        <f t="shared" ca="1" si="64"/>
        <v>0</v>
      </c>
      <c r="T41" s="1131">
        <f t="shared" ca="1" si="64"/>
        <v>0</v>
      </c>
      <c r="U41" s="1131">
        <f t="shared" ca="1" si="64"/>
        <v>0</v>
      </c>
      <c r="V41" s="1131">
        <f t="shared" ca="1" si="64"/>
        <v>0</v>
      </c>
      <c r="W41" s="1131">
        <f t="shared" ca="1" si="64"/>
        <v>0</v>
      </c>
      <c r="X41" s="1131">
        <f t="shared" ca="1" si="64"/>
        <v>0</v>
      </c>
      <c r="Y41" s="1131">
        <f t="shared" ca="1" si="64"/>
        <v>0</v>
      </c>
      <c r="Z41" s="1131">
        <f t="shared" ca="1" si="64"/>
        <v>0</v>
      </c>
      <c r="AA41" s="1131">
        <f t="shared" ca="1" si="64"/>
        <v>0</v>
      </c>
      <c r="AB41" s="1131">
        <f t="shared" ca="1" si="64"/>
        <v>0</v>
      </c>
      <c r="AC41" s="1131">
        <f t="shared" ca="1" si="3"/>
        <v>0</v>
      </c>
      <c r="AD41" s="1131"/>
      <c r="AE41" s="1131"/>
      <c r="AF41" s="1131">
        <f t="shared" ca="1" si="65"/>
        <v>0</v>
      </c>
      <c r="AG41" s="1131">
        <f t="shared" ca="1" si="65"/>
        <v>0</v>
      </c>
      <c r="AH41" s="1131">
        <f t="shared" ca="1" si="65"/>
        <v>0</v>
      </c>
      <c r="AI41" s="1131">
        <f t="shared" ca="1" si="65"/>
        <v>0</v>
      </c>
      <c r="AJ41" s="1131">
        <f t="shared" ca="1" si="65"/>
        <v>0</v>
      </c>
      <c r="AK41" s="1131">
        <f t="shared" ca="1" si="65"/>
        <v>0</v>
      </c>
      <c r="AL41" s="1131">
        <f t="shared" ca="1" si="65"/>
        <v>0</v>
      </c>
      <c r="AM41" s="1131">
        <f t="shared" ca="1" si="65"/>
        <v>0</v>
      </c>
      <c r="AN41" s="1131">
        <f t="shared" ca="1" si="65"/>
        <v>0</v>
      </c>
      <c r="AO41" s="1131">
        <f t="shared" ca="1" si="65"/>
        <v>0</v>
      </c>
      <c r="AP41" s="1131">
        <f t="shared" ca="1" si="5"/>
        <v>0</v>
      </c>
      <c r="AQ41" s="1131"/>
      <c r="AR41" s="1131"/>
      <c r="AS41" s="1131">
        <f t="shared" ca="1" si="6"/>
        <v>0</v>
      </c>
      <c r="AT41" s="1131">
        <f t="shared" ca="1" si="7"/>
        <v>0</v>
      </c>
      <c r="AU41" s="1131">
        <f t="shared" ca="1" si="8"/>
        <v>0</v>
      </c>
      <c r="AV41" s="1131">
        <f t="shared" ca="1" si="9"/>
        <v>0</v>
      </c>
      <c r="AW41" s="1131">
        <f t="shared" ca="1" si="10"/>
        <v>0</v>
      </c>
      <c r="AX41" s="1131">
        <f t="shared" ca="1" si="11"/>
        <v>0</v>
      </c>
      <c r="AY41" s="1131">
        <f t="shared" ca="1" si="12"/>
        <v>0</v>
      </c>
      <c r="AZ41" s="1131">
        <f t="shared" ca="1" si="13"/>
        <v>0</v>
      </c>
      <c r="BA41" s="1131">
        <f t="shared" ca="1" si="14"/>
        <v>0</v>
      </c>
      <c r="BB41" s="1131">
        <f t="shared" ca="1" si="20"/>
        <v>0</v>
      </c>
      <c r="BC41" s="1131">
        <f t="shared" ca="1" si="15"/>
        <v>0</v>
      </c>
      <c r="BD41" s="1131"/>
      <c r="BE41" s="1131"/>
      <c r="BF41" s="19">
        <f>'Global cost assumptions'!E62</f>
        <v>0.1</v>
      </c>
      <c r="BG41" s="1131">
        <f>'Global cost assumptions'!F62</f>
        <v>30</v>
      </c>
      <c r="BH41" s="1131"/>
      <c r="BI41" s="1131"/>
      <c r="BJ41" s="27">
        <f t="shared" ca="1" si="21"/>
        <v>0</v>
      </c>
      <c r="BK41" s="27">
        <f t="shared" ca="1" si="22"/>
        <v>0</v>
      </c>
      <c r="BL41" s="27">
        <f t="shared" ca="1" si="23"/>
        <v>0</v>
      </c>
      <c r="BM41" s="27">
        <f t="shared" ca="1" si="24"/>
        <v>0</v>
      </c>
      <c r="BN41" s="27">
        <f t="shared" ca="1" si="25"/>
        <v>0</v>
      </c>
      <c r="BO41" s="27">
        <f t="shared" ca="1" si="26"/>
        <v>0</v>
      </c>
      <c r="BP41" s="27">
        <f t="shared" ca="1" si="27"/>
        <v>0</v>
      </c>
      <c r="BQ41" s="27">
        <f t="shared" ca="1" si="28"/>
        <v>0</v>
      </c>
      <c r="BR41" s="27">
        <f t="shared" ca="1" si="29"/>
        <v>0</v>
      </c>
      <c r="BS41" s="27">
        <f t="shared" ca="1" si="30"/>
        <v>0</v>
      </c>
      <c r="BT41" s="1131"/>
      <c r="BU41" s="1131"/>
      <c r="BV41" s="1409">
        <f t="shared" ca="1" si="31"/>
        <v>0</v>
      </c>
      <c r="BW41" s="1917">
        <f t="shared" ca="1" si="32"/>
        <v>0</v>
      </c>
      <c r="BX41" s="1917">
        <f t="shared" ca="1" si="33"/>
        <v>0</v>
      </c>
      <c r="BY41" s="1917">
        <f t="shared" ca="1" si="34"/>
        <v>0</v>
      </c>
      <c r="BZ41" s="1917">
        <f t="shared" ca="1" si="35"/>
        <v>0</v>
      </c>
      <c r="CA41" s="1917">
        <f t="shared" ca="1" si="36"/>
        <v>0</v>
      </c>
      <c r="CB41" s="1917">
        <f t="shared" ca="1" si="37"/>
        <v>0</v>
      </c>
      <c r="CC41" s="1917">
        <f t="shared" ca="1" si="38"/>
        <v>0</v>
      </c>
      <c r="CD41" s="1917">
        <f t="shared" ca="1" si="39"/>
        <v>0</v>
      </c>
      <c r="CE41" s="1917">
        <f t="shared" ca="1" si="40"/>
        <v>0</v>
      </c>
      <c r="CF41" s="1131">
        <f t="shared" ca="1" si="17"/>
        <v>0</v>
      </c>
      <c r="CG41" s="1131"/>
      <c r="CH41" s="1131"/>
      <c r="CI41" s="1409">
        <f t="shared" ca="1" si="41"/>
        <v>0</v>
      </c>
      <c r="CJ41" s="1409">
        <f t="shared" ca="1" si="42"/>
        <v>0</v>
      </c>
      <c r="CK41" s="1409">
        <f t="shared" ca="1" si="43"/>
        <v>0</v>
      </c>
      <c r="CL41" s="1409">
        <f t="shared" ca="1" si="44"/>
        <v>0</v>
      </c>
      <c r="CM41" s="1409">
        <f t="shared" ca="1" si="45"/>
        <v>0</v>
      </c>
      <c r="CN41" s="1409">
        <f t="shared" ca="1" si="46"/>
        <v>0</v>
      </c>
      <c r="CO41" s="1409">
        <f t="shared" ca="1" si="47"/>
        <v>0</v>
      </c>
      <c r="CP41" s="1409">
        <f t="shared" ca="1" si="48"/>
        <v>0</v>
      </c>
      <c r="CQ41" s="1409">
        <f t="shared" ca="1" si="49"/>
        <v>0</v>
      </c>
      <c r="CR41" s="1409">
        <f t="shared" ca="1" si="50"/>
        <v>0</v>
      </c>
      <c r="CS41" s="1131">
        <f t="shared" ca="1" si="19"/>
        <v>0</v>
      </c>
    </row>
    <row r="42" spans="3:97">
      <c r="C42" s="1763" t="s">
        <v>703</v>
      </c>
      <c r="D42" s="1763" t="s">
        <v>997</v>
      </c>
      <c r="F42" s="1131">
        <f t="shared" ca="1" si="63"/>
        <v>0</v>
      </c>
      <c r="G42" s="1131">
        <f t="shared" ca="1" si="63"/>
        <v>0</v>
      </c>
      <c r="H42" s="1131">
        <f t="shared" ca="1" si="63"/>
        <v>0</v>
      </c>
      <c r="I42" s="1131">
        <f t="shared" ca="1" si="63"/>
        <v>0</v>
      </c>
      <c r="J42" s="1131">
        <f t="shared" ca="1" si="63"/>
        <v>0</v>
      </c>
      <c r="K42" s="1131">
        <f t="shared" ca="1" si="63"/>
        <v>0</v>
      </c>
      <c r="L42" s="1131">
        <f t="shared" ca="1" si="63"/>
        <v>0</v>
      </c>
      <c r="M42" s="1131">
        <f t="shared" ca="1" si="63"/>
        <v>0</v>
      </c>
      <c r="N42" s="1131">
        <f t="shared" ca="1" si="63"/>
        <v>0</v>
      </c>
      <c r="O42" s="1131">
        <f t="shared" ca="1" si="63"/>
        <v>0</v>
      </c>
      <c r="P42" s="1131">
        <f t="shared" ca="1" si="1"/>
        <v>0</v>
      </c>
      <c r="Q42" s="1131"/>
      <c r="R42" s="1131"/>
      <c r="S42" s="1131">
        <f t="shared" ca="1" si="64"/>
        <v>0</v>
      </c>
      <c r="T42" s="1131">
        <f t="shared" ca="1" si="64"/>
        <v>0</v>
      </c>
      <c r="U42" s="1131">
        <f t="shared" ca="1" si="64"/>
        <v>0</v>
      </c>
      <c r="V42" s="1131">
        <f t="shared" ca="1" si="64"/>
        <v>0</v>
      </c>
      <c r="W42" s="1131">
        <f t="shared" ca="1" si="64"/>
        <v>0</v>
      </c>
      <c r="X42" s="1131">
        <f t="shared" ca="1" si="64"/>
        <v>0</v>
      </c>
      <c r="Y42" s="1131">
        <f t="shared" ca="1" si="64"/>
        <v>0</v>
      </c>
      <c r="Z42" s="1131">
        <f t="shared" ca="1" si="64"/>
        <v>0</v>
      </c>
      <c r="AA42" s="1131">
        <f t="shared" ca="1" si="64"/>
        <v>0</v>
      </c>
      <c r="AB42" s="1131">
        <f t="shared" ca="1" si="64"/>
        <v>0</v>
      </c>
      <c r="AC42" s="1131">
        <f t="shared" ca="1" si="3"/>
        <v>0</v>
      </c>
      <c r="AD42" s="1131"/>
      <c r="AE42" s="1131"/>
      <c r="AF42" s="1131">
        <f t="shared" ca="1" si="65"/>
        <v>0</v>
      </c>
      <c r="AG42" s="1131">
        <f t="shared" ca="1" si="65"/>
        <v>0</v>
      </c>
      <c r="AH42" s="1131">
        <f t="shared" ca="1" si="65"/>
        <v>0</v>
      </c>
      <c r="AI42" s="1131">
        <f t="shared" ca="1" si="65"/>
        <v>0</v>
      </c>
      <c r="AJ42" s="1131">
        <f t="shared" ca="1" si="65"/>
        <v>0</v>
      </c>
      <c r="AK42" s="1131">
        <f t="shared" ca="1" si="65"/>
        <v>0</v>
      </c>
      <c r="AL42" s="1131">
        <f t="shared" ca="1" si="65"/>
        <v>0</v>
      </c>
      <c r="AM42" s="1131">
        <f t="shared" ca="1" si="65"/>
        <v>0</v>
      </c>
      <c r="AN42" s="1131">
        <f t="shared" ca="1" si="65"/>
        <v>0</v>
      </c>
      <c r="AO42" s="1131">
        <f t="shared" ca="1" si="65"/>
        <v>0</v>
      </c>
      <c r="AP42" s="1131">
        <f t="shared" ca="1" si="5"/>
        <v>0</v>
      </c>
      <c r="AQ42" s="1131"/>
      <c r="AR42" s="1131"/>
      <c r="AS42" s="1131">
        <f t="shared" ca="1" si="6"/>
        <v>0</v>
      </c>
      <c r="AT42" s="1131">
        <f t="shared" ca="1" si="7"/>
        <v>0</v>
      </c>
      <c r="AU42" s="1131">
        <f t="shared" ca="1" si="8"/>
        <v>0</v>
      </c>
      <c r="AV42" s="1131">
        <f t="shared" ca="1" si="9"/>
        <v>0</v>
      </c>
      <c r="AW42" s="1131">
        <f t="shared" ca="1" si="10"/>
        <v>0</v>
      </c>
      <c r="AX42" s="1131">
        <f t="shared" ca="1" si="11"/>
        <v>0</v>
      </c>
      <c r="AY42" s="1131">
        <f t="shared" ca="1" si="12"/>
        <v>0</v>
      </c>
      <c r="AZ42" s="1131">
        <f t="shared" ca="1" si="13"/>
        <v>0</v>
      </c>
      <c r="BA42" s="1131">
        <f t="shared" ca="1" si="14"/>
        <v>0</v>
      </c>
      <c r="BB42" s="1131">
        <f t="shared" ca="1" si="20"/>
        <v>0</v>
      </c>
      <c r="BC42" s="1131">
        <f t="shared" ca="1" si="15"/>
        <v>0</v>
      </c>
      <c r="BD42" s="1131"/>
      <c r="BE42" s="1131"/>
      <c r="BF42" s="19">
        <f>'Global cost assumptions'!E63</f>
        <v>0.1</v>
      </c>
      <c r="BG42" s="1131">
        <f>'Global cost assumptions'!F63</f>
        <v>30</v>
      </c>
      <c r="BH42" s="1131"/>
      <c r="BI42" s="1131"/>
      <c r="BJ42" s="27">
        <f t="shared" ca="1" si="21"/>
        <v>0</v>
      </c>
      <c r="BK42" s="27">
        <f t="shared" ca="1" si="22"/>
        <v>0</v>
      </c>
      <c r="BL42" s="27">
        <f t="shared" ca="1" si="23"/>
        <v>0</v>
      </c>
      <c r="BM42" s="27">
        <f t="shared" ca="1" si="24"/>
        <v>0</v>
      </c>
      <c r="BN42" s="27">
        <f t="shared" ca="1" si="25"/>
        <v>0</v>
      </c>
      <c r="BO42" s="27">
        <f t="shared" ca="1" si="26"/>
        <v>0</v>
      </c>
      <c r="BP42" s="27">
        <f t="shared" ca="1" si="27"/>
        <v>0</v>
      </c>
      <c r="BQ42" s="27">
        <f t="shared" ca="1" si="28"/>
        <v>0</v>
      </c>
      <c r="BR42" s="27">
        <f t="shared" ca="1" si="29"/>
        <v>0</v>
      </c>
      <c r="BS42" s="27">
        <f t="shared" ca="1" si="30"/>
        <v>0</v>
      </c>
      <c r="BT42" s="1131"/>
      <c r="BU42" s="1131"/>
      <c r="BV42" s="1409">
        <f t="shared" ca="1" si="31"/>
        <v>0</v>
      </c>
      <c r="BW42" s="1917">
        <f t="shared" ca="1" si="32"/>
        <v>0</v>
      </c>
      <c r="BX42" s="1917">
        <f t="shared" ca="1" si="33"/>
        <v>0</v>
      </c>
      <c r="BY42" s="1917">
        <f t="shared" ca="1" si="34"/>
        <v>0</v>
      </c>
      <c r="BZ42" s="1917">
        <f t="shared" ca="1" si="35"/>
        <v>0</v>
      </c>
      <c r="CA42" s="1917">
        <f t="shared" ca="1" si="36"/>
        <v>0</v>
      </c>
      <c r="CB42" s="1917">
        <f t="shared" ca="1" si="37"/>
        <v>0</v>
      </c>
      <c r="CC42" s="1917">
        <f t="shared" ca="1" si="38"/>
        <v>0</v>
      </c>
      <c r="CD42" s="1917">
        <f t="shared" ca="1" si="39"/>
        <v>0</v>
      </c>
      <c r="CE42" s="1917">
        <f t="shared" ca="1" si="40"/>
        <v>0</v>
      </c>
      <c r="CF42" s="1131">
        <f t="shared" ca="1" si="17"/>
        <v>0</v>
      </c>
      <c r="CG42" s="1131"/>
      <c r="CH42" s="1131"/>
      <c r="CI42" s="1409">
        <f t="shared" ca="1" si="41"/>
        <v>0</v>
      </c>
      <c r="CJ42" s="1409">
        <f t="shared" ca="1" si="42"/>
        <v>0</v>
      </c>
      <c r="CK42" s="1409">
        <f t="shared" ca="1" si="43"/>
        <v>0</v>
      </c>
      <c r="CL42" s="1409">
        <f t="shared" ca="1" si="44"/>
        <v>0</v>
      </c>
      <c r="CM42" s="1409">
        <f t="shared" ca="1" si="45"/>
        <v>0</v>
      </c>
      <c r="CN42" s="1409">
        <f t="shared" ca="1" si="46"/>
        <v>0</v>
      </c>
      <c r="CO42" s="1409">
        <f t="shared" ca="1" si="47"/>
        <v>0</v>
      </c>
      <c r="CP42" s="1409">
        <f t="shared" ca="1" si="48"/>
        <v>0</v>
      </c>
      <c r="CQ42" s="1409">
        <f t="shared" ca="1" si="49"/>
        <v>0</v>
      </c>
      <c r="CR42" s="1409">
        <f t="shared" ca="1" si="50"/>
        <v>0</v>
      </c>
      <c r="CS42" s="1131">
        <f t="shared" ca="1" si="19"/>
        <v>0</v>
      </c>
    </row>
    <row r="43" spans="3:97">
      <c r="C43" s="1763" t="s">
        <v>704</v>
      </c>
      <c r="D43" s="1763" t="s">
        <v>726</v>
      </c>
      <c r="F43" s="1131">
        <f t="shared" ref="F43:O54" ca="1" si="66">IFERROR(INDEX(INDIRECT($C43&amp;".Costs["&amp;F$11&amp;"]"), MATCH($F$10, INDIRECT($C43&amp;".Costs[Vector]"), 0)),0)</f>
        <v>0</v>
      </c>
      <c r="G43" s="1131">
        <f t="shared" ca="1" si="66"/>
        <v>0</v>
      </c>
      <c r="H43" s="1131">
        <f t="shared" ca="1" si="66"/>
        <v>0</v>
      </c>
      <c r="I43" s="1131">
        <f t="shared" ca="1" si="66"/>
        <v>0</v>
      </c>
      <c r="J43" s="1131">
        <f t="shared" ca="1" si="66"/>
        <v>0</v>
      </c>
      <c r="K43" s="1131">
        <f t="shared" ca="1" si="66"/>
        <v>0</v>
      </c>
      <c r="L43" s="1131">
        <f t="shared" ca="1" si="66"/>
        <v>0</v>
      </c>
      <c r="M43" s="1131">
        <f t="shared" ca="1" si="66"/>
        <v>0</v>
      </c>
      <c r="N43" s="1131">
        <f t="shared" ca="1" si="66"/>
        <v>0</v>
      </c>
      <c r="O43" s="1131">
        <f t="shared" ca="1" si="63"/>
        <v>0</v>
      </c>
      <c r="P43" s="1131">
        <f t="shared" ca="1" si="1"/>
        <v>0</v>
      </c>
      <c r="Q43" s="1131"/>
      <c r="R43" s="1131"/>
      <c r="S43" s="1131">
        <f t="shared" ref="S43:AB54" ca="1" si="67">IFERROR(INDEX(INDIRECT($C43&amp;".Costs["&amp;S$11&amp;"]"), MATCH($S$10, INDIRECT($C43&amp;".Costs[Vector]"), 0)),0)</f>
        <v>0</v>
      </c>
      <c r="T43" s="1131">
        <f t="shared" ca="1" si="67"/>
        <v>0</v>
      </c>
      <c r="U43" s="1131">
        <f t="shared" ca="1" si="67"/>
        <v>0</v>
      </c>
      <c r="V43" s="1131">
        <f t="shared" ca="1" si="67"/>
        <v>0</v>
      </c>
      <c r="W43" s="1131">
        <f t="shared" ca="1" si="67"/>
        <v>0</v>
      </c>
      <c r="X43" s="1131">
        <f t="shared" ca="1" si="67"/>
        <v>0</v>
      </c>
      <c r="Y43" s="1131">
        <f t="shared" ca="1" si="67"/>
        <v>0</v>
      </c>
      <c r="Z43" s="1131">
        <f t="shared" ca="1" si="67"/>
        <v>0</v>
      </c>
      <c r="AA43" s="1131">
        <f t="shared" ca="1" si="67"/>
        <v>0</v>
      </c>
      <c r="AB43" s="1131">
        <f t="shared" ca="1" si="64"/>
        <v>0</v>
      </c>
      <c r="AC43" s="1131">
        <f t="shared" ca="1" si="3"/>
        <v>0</v>
      </c>
      <c r="AD43" s="1131"/>
      <c r="AE43" s="1131"/>
      <c r="AF43" s="1131">
        <f t="shared" ref="AF43:AO54" ca="1" si="68">IFERROR(INDEX(INDIRECT($C43&amp;".Costs["&amp;AF$11&amp;"]"), MATCH($AF$10, INDIRECT($C43&amp;".Costs[Vector]"), 0)),0)</f>
        <v>0</v>
      </c>
      <c r="AG43" s="1131">
        <f t="shared" ca="1" si="68"/>
        <v>0</v>
      </c>
      <c r="AH43" s="1131">
        <f t="shared" ca="1" si="68"/>
        <v>0</v>
      </c>
      <c r="AI43" s="1131">
        <f t="shared" ca="1" si="68"/>
        <v>0</v>
      </c>
      <c r="AJ43" s="1131">
        <f t="shared" ca="1" si="68"/>
        <v>0</v>
      </c>
      <c r="AK43" s="1131">
        <f t="shared" ca="1" si="68"/>
        <v>0</v>
      </c>
      <c r="AL43" s="1131">
        <f t="shared" ca="1" si="68"/>
        <v>0</v>
      </c>
      <c r="AM43" s="1131">
        <f t="shared" ca="1" si="68"/>
        <v>0</v>
      </c>
      <c r="AN43" s="1131">
        <f t="shared" ca="1" si="68"/>
        <v>0</v>
      </c>
      <c r="AO43" s="1131">
        <f t="shared" ca="1" si="65"/>
        <v>0</v>
      </c>
      <c r="AP43" s="1131">
        <f t="shared" ca="1" si="5"/>
        <v>0</v>
      </c>
      <c r="AQ43" s="1131"/>
      <c r="AR43" s="1131"/>
      <c r="AS43" s="1131">
        <f t="shared" ca="1" si="6"/>
        <v>0</v>
      </c>
      <c r="AT43" s="1131">
        <f t="shared" ca="1" si="7"/>
        <v>0</v>
      </c>
      <c r="AU43" s="1131">
        <f t="shared" ca="1" si="8"/>
        <v>0</v>
      </c>
      <c r="AV43" s="1131">
        <f t="shared" ca="1" si="9"/>
        <v>0</v>
      </c>
      <c r="AW43" s="1131">
        <f t="shared" ca="1" si="10"/>
        <v>0</v>
      </c>
      <c r="AX43" s="1131">
        <f t="shared" ca="1" si="11"/>
        <v>0</v>
      </c>
      <c r="AY43" s="1131">
        <f t="shared" ca="1" si="12"/>
        <v>0</v>
      </c>
      <c r="AZ43" s="1131">
        <f t="shared" ca="1" si="13"/>
        <v>0</v>
      </c>
      <c r="BA43" s="1131">
        <f t="shared" ca="1" si="14"/>
        <v>0</v>
      </c>
      <c r="BB43" s="1131">
        <f t="shared" ca="1" si="20"/>
        <v>0</v>
      </c>
      <c r="BC43" s="1131">
        <f t="shared" ca="1" si="15"/>
        <v>0</v>
      </c>
      <c r="BD43" s="1131"/>
      <c r="BE43" s="1131"/>
      <c r="BF43" s="19">
        <f>'Global cost assumptions'!E64</f>
        <v>0.1</v>
      </c>
      <c r="BG43" s="1131">
        <f>'Global cost assumptions'!F64</f>
        <v>30</v>
      </c>
      <c r="BH43" s="1131"/>
      <c r="BI43" s="1131"/>
      <c r="BJ43" s="27">
        <f t="shared" ca="1" si="21"/>
        <v>0</v>
      </c>
      <c r="BK43" s="27">
        <f t="shared" ca="1" si="22"/>
        <v>0</v>
      </c>
      <c r="BL43" s="27">
        <f t="shared" ca="1" si="23"/>
        <v>0</v>
      </c>
      <c r="BM43" s="27">
        <f t="shared" ca="1" si="24"/>
        <v>0</v>
      </c>
      <c r="BN43" s="27">
        <f t="shared" ca="1" si="25"/>
        <v>0</v>
      </c>
      <c r="BO43" s="27">
        <f t="shared" ca="1" si="26"/>
        <v>0</v>
      </c>
      <c r="BP43" s="27">
        <f t="shared" ca="1" si="27"/>
        <v>0</v>
      </c>
      <c r="BQ43" s="27">
        <f t="shared" ca="1" si="28"/>
        <v>0</v>
      </c>
      <c r="BR43" s="27">
        <f t="shared" ca="1" si="29"/>
        <v>0</v>
      </c>
      <c r="BS43" s="27">
        <f t="shared" ca="1" si="30"/>
        <v>0</v>
      </c>
      <c r="BT43" s="1131"/>
      <c r="BU43" s="1131"/>
      <c r="BV43" s="1409">
        <f t="shared" ca="1" si="31"/>
        <v>0</v>
      </c>
      <c r="BW43" s="1917">
        <f t="shared" ca="1" si="32"/>
        <v>0</v>
      </c>
      <c r="BX43" s="1917">
        <f t="shared" ca="1" si="33"/>
        <v>0</v>
      </c>
      <c r="BY43" s="1917">
        <f t="shared" ca="1" si="34"/>
        <v>0</v>
      </c>
      <c r="BZ43" s="1917">
        <f t="shared" ca="1" si="35"/>
        <v>0</v>
      </c>
      <c r="CA43" s="1917">
        <f t="shared" ca="1" si="36"/>
        <v>0</v>
      </c>
      <c r="CB43" s="1917">
        <f t="shared" ca="1" si="37"/>
        <v>0</v>
      </c>
      <c r="CC43" s="1917">
        <f t="shared" ca="1" si="38"/>
        <v>0</v>
      </c>
      <c r="CD43" s="1917">
        <f t="shared" ca="1" si="39"/>
        <v>0</v>
      </c>
      <c r="CE43" s="1917">
        <f t="shared" ca="1" si="40"/>
        <v>0</v>
      </c>
      <c r="CF43" s="1131">
        <f t="shared" ca="1" si="17"/>
        <v>0</v>
      </c>
      <c r="CG43" s="1131"/>
      <c r="CH43" s="1131"/>
      <c r="CI43" s="1409">
        <f t="shared" ca="1" si="41"/>
        <v>0</v>
      </c>
      <c r="CJ43" s="1409">
        <f t="shared" ca="1" si="42"/>
        <v>0</v>
      </c>
      <c r="CK43" s="1409">
        <f t="shared" ca="1" si="43"/>
        <v>0</v>
      </c>
      <c r="CL43" s="1409">
        <f t="shared" ca="1" si="44"/>
        <v>0</v>
      </c>
      <c r="CM43" s="1409">
        <f t="shared" ca="1" si="45"/>
        <v>0</v>
      </c>
      <c r="CN43" s="1409">
        <f t="shared" ca="1" si="46"/>
        <v>0</v>
      </c>
      <c r="CO43" s="1409">
        <f t="shared" ca="1" si="47"/>
        <v>0</v>
      </c>
      <c r="CP43" s="1409">
        <f t="shared" ca="1" si="48"/>
        <v>0</v>
      </c>
      <c r="CQ43" s="1409">
        <f t="shared" ca="1" si="49"/>
        <v>0</v>
      </c>
      <c r="CR43" s="1409">
        <f t="shared" ca="1" si="50"/>
        <v>0</v>
      </c>
      <c r="CS43" s="1131">
        <f t="shared" ca="1" si="19"/>
        <v>0</v>
      </c>
    </row>
    <row r="44" spans="3:97">
      <c r="C44" s="1763" t="s">
        <v>725</v>
      </c>
      <c r="D44" s="1763" t="s">
        <v>1408</v>
      </c>
      <c r="F44" s="1131">
        <f t="shared" ca="1" si="66"/>
        <v>0</v>
      </c>
      <c r="G44" s="1131">
        <f t="shared" ca="1" si="66"/>
        <v>0</v>
      </c>
      <c r="H44" s="1131">
        <f t="shared" ca="1" si="66"/>
        <v>0</v>
      </c>
      <c r="I44" s="1131">
        <f t="shared" ca="1" si="66"/>
        <v>0</v>
      </c>
      <c r="J44" s="1131">
        <f t="shared" ca="1" si="66"/>
        <v>0</v>
      </c>
      <c r="K44" s="1131">
        <f t="shared" ca="1" si="66"/>
        <v>0</v>
      </c>
      <c r="L44" s="1131">
        <f t="shared" ca="1" si="66"/>
        <v>0</v>
      </c>
      <c r="M44" s="1131">
        <f t="shared" ca="1" si="66"/>
        <v>0</v>
      </c>
      <c r="N44" s="1131">
        <f t="shared" ca="1" si="66"/>
        <v>0</v>
      </c>
      <c r="O44" s="1131">
        <f t="shared" ca="1" si="63"/>
        <v>0</v>
      </c>
      <c r="P44" s="1131">
        <f t="shared" ca="1" si="1"/>
        <v>0</v>
      </c>
      <c r="Q44" s="1131"/>
      <c r="R44" s="1131"/>
      <c r="S44" s="1131">
        <f t="shared" ca="1" si="67"/>
        <v>0</v>
      </c>
      <c r="T44" s="1131">
        <f t="shared" ca="1" si="67"/>
        <v>0</v>
      </c>
      <c r="U44" s="1131">
        <f t="shared" ca="1" si="67"/>
        <v>0</v>
      </c>
      <c r="V44" s="1131">
        <f t="shared" ca="1" si="67"/>
        <v>0</v>
      </c>
      <c r="W44" s="1131">
        <f t="shared" ca="1" si="67"/>
        <v>0</v>
      </c>
      <c r="X44" s="1131">
        <f t="shared" ca="1" si="67"/>
        <v>0</v>
      </c>
      <c r="Y44" s="1131">
        <f t="shared" ca="1" si="67"/>
        <v>0</v>
      </c>
      <c r="Z44" s="1131">
        <f t="shared" ca="1" si="67"/>
        <v>0</v>
      </c>
      <c r="AA44" s="1131">
        <f t="shared" ca="1" si="67"/>
        <v>0</v>
      </c>
      <c r="AB44" s="1131">
        <f t="shared" ca="1" si="64"/>
        <v>0</v>
      </c>
      <c r="AC44" s="1131">
        <f t="shared" ca="1" si="3"/>
        <v>0</v>
      </c>
      <c r="AD44" s="1131"/>
      <c r="AE44" s="1131"/>
      <c r="AF44" s="1131">
        <f t="shared" ca="1" si="68"/>
        <v>0</v>
      </c>
      <c r="AG44" s="1131">
        <f t="shared" ca="1" si="68"/>
        <v>0</v>
      </c>
      <c r="AH44" s="1131">
        <f t="shared" ca="1" si="68"/>
        <v>0</v>
      </c>
      <c r="AI44" s="1131">
        <f t="shared" ca="1" si="68"/>
        <v>0</v>
      </c>
      <c r="AJ44" s="1131">
        <f t="shared" ca="1" si="68"/>
        <v>0</v>
      </c>
      <c r="AK44" s="1131">
        <f t="shared" ca="1" si="68"/>
        <v>0</v>
      </c>
      <c r="AL44" s="1131">
        <f t="shared" ca="1" si="68"/>
        <v>0</v>
      </c>
      <c r="AM44" s="1131">
        <f t="shared" ca="1" si="68"/>
        <v>0</v>
      </c>
      <c r="AN44" s="1131">
        <f t="shared" ca="1" si="68"/>
        <v>0</v>
      </c>
      <c r="AO44" s="1131">
        <f t="shared" ca="1" si="65"/>
        <v>0</v>
      </c>
      <c r="AP44" s="1131">
        <f t="shared" ca="1" si="5"/>
        <v>0</v>
      </c>
      <c r="AQ44" s="1131"/>
      <c r="AR44" s="1131"/>
      <c r="AS44" s="1131">
        <f t="shared" ca="1" si="6"/>
        <v>0</v>
      </c>
      <c r="AT44" s="1131">
        <f t="shared" ca="1" si="7"/>
        <v>0</v>
      </c>
      <c r="AU44" s="1131">
        <f t="shared" ca="1" si="8"/>
        <v>0</v>
      </c>
      <c r="AV44" s="1131">
        <f t="shared" ca="1" si="9"/>
        <v>0</v>
      </c>
      <c r="AW44" s="1131">
        <f t="shared" ca="1" si="10"/>
        <v>0</v>
      </c>
      <c r="AX44" s="1131">
        <f t="shared" ca="1" si="11"/>
        <v>0</v>
      </c>
      <c r="AY44" s="1131">
        <f t="shared" ca="1" si="12"/>
        <v>0</v>
      </c>
      <c r="AZ44" s="1131">
        <f t="shared" ca="1" si="13"/>
        <v>0</v>
      </c>
      <c r="BA44" s="1131">
        <f t="shared" ca="1" si="14"/>
        <v>0</v>
      </c>
      <c r="BB44" s="1131">
        <f t="shared" ca="1" si="20"/>
        <v>0</v>
      </c>
      <c r="BC44" s="1131">
        <f t="shared" ca="1" si="15"/>
        <v>0</v>
      </c>
      <c r="BD44" s="1131"/>
      <c r="BE44" s="1131"/>
      <c r="BF44" s="19">
        <f>'Global cost assumptions'!E65</f>
        <v>0.1</v>
      </c>
      <c r="BG44" s="1131">
        <f>'Global cost assumptions'!F65</f>
        <v>30</v>
      </c>
      <c r="BH44" s="1131"/>
      <c r="BI44" s="1131"/>
      <c r="BJ44" s="27">
        <f t="shared" ca="1" si="21"/>
        <v>0</v>
      </c>
      <c r="BK44" s="27">
        <f t="shared" ca="1" si="22"/>
        <v>0</v>
      </c>
      <c r="BL44" s="27">
        <f t="shared" ca="1" si="23"/>
        <v>0</v>
      </c>
      <c r="BM44" s="27">
        <f t="shared" ca="1" si="24"/>
        <v>0</v>
      </c>
      <c r="BN44" s="27">
        <f t="shared" ca="1" si="25"/>
        <v>0</v>
      </c>
      <c r="BO44" s="27">
        <f t="shared" ca="1" si="26"/>
        <v>0</v>
      </c>
      <c r="BP44" s="27">
        <f t="shared" ca="1" si="27"/>
        <v>0</v>
      </c>
      <c r="BQ44" s="27">
        <f t="shared" ca="1" si="28"/>
        <v>0</v>
      </c>
      <c r="BR44" s="27">
        <f t="shared" ca="1" si="29"/>
        <v>0</v>
      </c>
      <c r="BS44" s="27">
        <f t="shared" ca="1" si="30"/>
        <v>0</v>
      </c>
      <c r="BT44" s="1131"/>
      <c r="BU44" s="1131"/>
      <c r="BV44" s="1409">
        <f t="shared" ca="1" si="31"/>
        <v>0</v>
      </c>
      <c r="BW44" s="1917">
        <f t="shared" ca="1" si="32"/>
        <v>0</v>
      </c>
      <c r="BX44" s="1917">
        <f t="shared" ca="1" si="33"/>
        <v>0</v>
      </c>
      <c r="BY44" s="1917">
        <f t="shared" ca="1" si="34"/>
        <v>0</v>
      </c>
      <c r="BZ44" s="1917">
        <f t="shared" ca="1" si="35"/>
        <v>0</v>
      </c>
      <c r="CA44" s="1917">
        <f t="shared" ca="1" si="36"/>
        <v>0</v>
      </c>
      <c r="CB44" s="1917">
        <f t="shared" ca="1" si="37"/>
        <v>0</v>
      </c>
      <c r="CC44" s="1917">
        <f t="shared" ca="1" si="38"/>
        <v>0</v>
      </c>
      <c r="CD44" s="1917">
        <f t="shared" ca="1" si="39"/>
        <v>0</v>
      </c>
      <c r="CE44" s="1917">
        <f t="shared" ca="1" si="40"/>
        <v>0</v>
      </c>
      <c r="CF44" s="1131">
        <f t="shared" ca="1" si="17"/>
        <v>0</v>
      </c>
      <c r="CG44" s="1131"/>
      <c r="CH44" s="1131"/>
      <c r="CI44" s="1409">
        <f t="shared" ca="1" si="41"/>
        <v>0</v>
      </c>
      <c r="CJ44" s="1409">
        <f t="shared" ca="1" si="42"/>
        <v>0</v>
      </c>
      <c r="CK44" s="1409">
        <f t="shared" ca="1" si="43"/>
        <v>0</v>
      </c>
      <c r="CL44" s="1409">
        <f t="shared" ca="1" si="44"/>
        <v>0</v>
      </c>
      <c r="CM44" s="1409">
        <f t="shared" ca="1" si="45"/>
        <v>0</v>
      </c>
      <c r="CN44" s="1409">
        <f t="shared" ca="1" si="46"/>
        <v>0</v>
      </c>
      <c r="CO44" s="1409">
        <f t="shared" ca="1" si="47"/>
        <v>0</v>
      </c>
      <c r="CP44" s="1409">
        <f t="shared" ca="1" si="48"/>
        <v>0</v>
      </c>
      <c r="CQ44" s="1409">
        <f t="shared" ca="1" si="49"/>
        <v>0</v>
      </c>
      <c r="CR44" s="1409">
        <f t="shared" ca="1" si="50"/>
        <v>0</v>
      </c>
      <c r="CS44" s="1131">
        <f t="shared" ca="1" si="19"/>
        <v>0</v>
      </c>
    </row>
    <row r="45" spans="3:97">
      <c r="C45" s="1763" t="s">
        <v>728</v>
      </c>
      <c r="D45" s="1763" t="s">
        <v>729</v>
      </c>
      <c r="F45" s="1131">
        <f t="shared" ca="1" si="66"/>
        <v>0</v>
      </c>
      <c r="G45" s="1131">
        <f t="shared" ca="1" si="66"/>
        <v>0</v>
      </c>
      <c r="H45" s="1131">
        <f t="shared" ca="1" si="66"/>
        <v>0</v>
      </c>
      <c r="I45" s="1131">
        <f t="shared" ca="1" si="66"/>
        <v>0</v>
      </c>
      <c r="J45" s="1131">
        <f t="shared" ca="1" si="66"/>
        <v>0</v>
      </c>
      <c r="K45" s="1131">
        <f t="shared" ca="1" si="66"/>
        <v>0</v>
      </c>
      <c r="L45" s="1131">
        <f t="shared" ca="1" si="66"/>
        <v>0</v>
      </c>
      <c r="M45" s="1131">
        <f t="shared" ca="1" si="66"/>
        <v>0</v>
      </c>
      <c r="N45" s="1131">
        <f t="shared" ca="1" si="66"/>
        <v>0</v>
      </c>
      <c r="O45" s="1131">
        <f t="shared" ca="1" si="63"/>
        <v>0</v>
      </c>
      <c r="P45" s="1131">
        <f t="shared" ca="1" si="1"/>
        <v>0</v>
      </c>
      <c r="Q45" s="1131"/>
      <c r="R45" s="1131"/>
      <c r="S45" s="1131">
        <f t="shared" ca="1" si="67"/>
        <v>0</v>
      </c>
      <c r="T45" s="1131">
        <f t="shared" ca="1" si="67"/>
        <v>0</v>
      </c>
      <c r="U45" s="1131">
        <f t="shared" ca="1" si="67"/>
        <v>0</v>
      </c>
      <c r="V45" s="1131">
        <f t="shared" ca="1" si="67"/>
        <v>0</v>
      </c>
      <c r="W45" s="1131">
        <f t="shared" ca="1" si="67"/>
        <v>0</v>
      </c>
      <c r="X45" s="1131">
        <f t="shared" ca="1" si="67"/>
        <v>0</v>
      </c>
      <c r="Y45" s="1131">
        <f t="shared" ca="1" si="67"/>
        <v>0</v>
      </c>
      <c r="Z45" s="1131">
        <f t="shared" ca="1" si="67"/>
        <v>0</v>
      </c>
      <c r="AA45" s="1131">
        <f t="shared" ca="1" si="67"/>
        <v>0</v>
      </c>
      <c r="AB45" s="1131">
        <f t="shared" ca="1" si="64"/>
        <v>0</v>
      </c>
      <c r="AC45" s="1131">
        <f t="shared" ca="1" si="3"/>
        <v>0</v>
      </c>
      <c r="AD45" s="1131"/>
      <c r="AE45" s="1131"/>
      <c r="AF45" s="1131">
        <f t="shared" ca="1" si="68"/>
        <v>0</v>
      </c>
      <c r="AG45" s="1131">
        <f t="shared" ca="1" si="68"/>
        <v>0</v>
      </c>
      <c r="AH45" s="1131">
        <f t="shared" ca="1" si="68"/>
        <v>0</v>
      </c>
      <c r="AI45" s="1131">
        <f t="shared" ca="1" si="68"/>
        <v>0</v>
      </c>
      <c r="AJ45" s="1131">
        <f t="shared" ca="1" si="68"/>
        <v>0</v>
      </c>
      <c r="AK45" s="1131">
        <f t="shared" ca="1" si="68"/>
        <v>0</v>
      </c>
      <c r="AL45" s="1131">
        <f t="shared" ca="1" si="68"/>
        <v>0</v>
      </c>
      <c r="AM45" s="1131">
        <f t="shared" ca="1" si="68"/>
        <v>0</v>
      </c>
      <c r="AN45" s="1131">
        <f t="shared" ca="1" si="68"/>
        <v>0</v>
      </c>
      <c r="AO45" s="1131">
        <f t="shared" ca="1" si="65"/>
        <v>0</v>
      </c>
      <c r="AP45" s="1131">
        <f t="shared" ca="1" si="5"/>
        <v>0</v>
      </c>
      <c r="AQ45" s="1131"/>
      <c r="AR45" s="1131"/>
      <c r="AS45" s="1131">
        <f t="shared" ca="1" si="6"/>
        <v>0</v>
      </c>
      <c r="AT45" s="1131">
        <f t="shared" ca="1" si="7"/>
        <v>0</v>
      </c>
      <c r="AU45" s="1131">
        <f t="shared" ca="1" si="8"/>
        <v>0</v>
      </c>
      <c r="AV45" s="1131">
        <f t="shared" ca="1" si="9"/>
        <v>0</v>
      </c>
      <c r="AW45" s="1131">
        <f t="shared" ca="1" si="10"/>
        <v>0</v>
      </c>
      <c r="AX45" s="1131">
        <f t="shared" ca="1" si="11"/>
        <v>0</v>
      </c>
      <c r="AY45" s="1131">
        <f t="shared" ca="1" si="12"/>
        <v>0</v>
      </c>
      <c r="AZ45" s="1131">
        <f t="shared" ca="1" si="13"/>
        <v>0</v>
      </c>
      <c r="BA45" s="1131">
        <f t="shared" ca="1" si="14"/>
        <v>0</v>
      </c>
      <c r="BB45" s="1131">
        <f t="shared" ca="1" si="20"/>
        <v>0</v>
      </c>
      <c r="BC45" s="1131">
        <f t="shared" ca="1" si="15"/>
        <v>0</v>
      </c>
      <c r="BD45" s="1131"/>
      <c r="BE45" s="1131"/>
      <c r="BF45" s="19">
        <f>'Global cost assumptions'!E66</f>
        <v>0.1</v>
      </c>
      <c r="BG45" s="1131">
        <f>'Global cost assumptions'!F66</f>
        <v>30</v>
      </c>
      <c r="BH45" s="1131"/>
      <c r="BI45" s="1131"/>
      <c r="BJ45" s="27">
        <f t="shared" ca="1" si="21"/>
        <v>0</v>
      </c>
      <c r="BK45" s="27">
        <f t="shared" ca="1" si="22"/>
        <v>0</v>
      </c>
      <c r="BL45" s="27">
        <f t="shared" ca="1" si="23"/>
        <v>0</v>
      </c>
      <c r="BM45" s="27">
        <f t="shared" ca="1" si="24"/>
        <v>0</v>
      </c>
      <c r="BN45" s="27">
        <f t="shared" ca="1" si="25"/>
        <v>0</v>
      </c>
      <c r="BO45" s="27">
        <f t="shared" ca="1" si="26"/>
        <v>0</v>
      </c>
      <c r="BP45" s="27">
        <f t="shared" ca="1" si="27"/>
        <v>0</v>
      </c>
      <c r="BQ45" s="27">
        <f t="shared" ca="1" si="28"/>
        <v>0</v>
      </c>
      <c r="BR45" s="27">
        <f t="shared" ca="1" si="29"/>
        <v>0</v>
      </c>
      <c r="BS45" s="27">
        <f t="shared" ca="1" si="30"/>
        <v>0</v>
      </c>
      <c r="BT45" s="1131"/>
      <c r="BU45" s="1131"/>
      <c r="BV45" s="1409">
        <f t="shared" ca="1" si="31"/>
        <v>0</v>
      </c>
      <c r="BW45" s="1917">
        <f t="shared" ca="1" si="32"/>
        <v>0</v>
      </c>
      <c r="BX45" s="1917">
        <f t="shared" ca="1" si="33"/>
        <v>0</v>
      </c>
      <c r="BY45" s="1917">
        <f t="shared" ca="1" si="34"/>
        <v>0</v>
      </c>
      <c r="BZ45" s="1917">
        <f t="shared" ca="1" si="35"/>
        <v>0</v>
      </c>
      <c r="CA45" s="1917">
        <f t="shared" ca="1" si="36"/>
        <v>0</v>
      </c>
      <c r="CB45" s="1917">
        <f t="shared" ca="1" si="37"/>
        <v>0</v>
      </c>
      <c r="CC45" s="1917">
        <f t="shared" ca="1" si="38"/>
        <v>0</v>
      </c>
      <c r="CD45" s="1917">
        <f t="shared" ca="1" si="39"/>
        <v>0</v>
      </c>
      <c r="CE45" s="1917">
        <f t="shared" ca="1" si="40"/>
        <v>0</v>
      </c>
      <c r="CF45" s="1131">
        <f t="shared" ca="1" si="17"/>
        <v>0</v>
      </c>
      <c r="CG45" s="1131"/>
      <c r="CH45" s="1131"/>
      <c r="CI45" s="1409">
        <f t="shared" ca="1" si="41"/>
        <v>0</v>
      </c>
      <c r="CJ45" s="1409">
        <f t="shared" ca="1" si="42"/>
        <v>0</v>
      </c>
      <c r="CK45" s="1409">
        <f t="shared" ca="1" si="43"/>
        <v>0</v>
      </c>
      <c r="CL45" s="1409">
        <f t="shared" ca="1" si="44"/>
        <v>0</v>
      </c>
      <c r="CM45" s="1409">
        <f t="shared" ca="1" si="45"/>
        <v>0</v>
      </c>
      <c r="CN45" s="1409">
        <f t="shared" ca="1" si="46"/>
        <v>0</v>
      </c>
      <c r="CO45" s="1409">
        <f t="shared" ca="1" si="47"/>
        <v>0</v>
      </c>
      <c r="CP45" s="1409">
        <f t="shared" ca="1" si="48"/>
        <v>0</v>
      </c>
      <c r="CQ45" s="1409">
        <f t="shared" ca="1" si="49"/>
        <v>0</v>
      </c>
      <c r="CR45" s="1409">
        <f t="shared" ca="1" si="50"/>
        <v>0</v>
      </c>
      <c r="CS45" s="1131">
        <f t="shared" ca="1" si="19"/>
        <v>0</v>
      </c>
    </row>
    <row r="46" spans="3:97">
      <c r="C46" s="1763" t="s">
        <v>730</v>
      </c>
      <c r="D46" s="1763" t="s">
        <v>1409</v>
      </c>
      <c r="F46" s="1131">
        <f t="shared" ca="1" si="66"/>
        <v>0</v>
      </c>
      <c r="G46" s="1131">
        <f t="shared" ca="1" si="66"/>
        <v>0</v>
      </c>
      <c r="H46" s="1131">
        <f t="shared" ca="1" si="66"/>
        <v>0</v>
      </c>
      <c r="I46" s="1131">
        <f t="shared" ca="1" si="66"/>
        <v>0</v>
      </c>
      <c r="J46" s="1131">
        <f t="shared" ca="1" si="66"/>
        <v>0</v>
      </c>
      <c r="K46" s="1131">
        <f t="shared" ca="1" si="66"/>
        <v>0</v>
      </c>
      <c r="L46" s="1131">
        <f t="shared" ca="1" si="66"/>
        <v>0</v>
      </c>
      <c r="M46" s="1131">
        <f t="shared" ca="1" si="66"/>
        <v>0</v>
      </c>
      <c r="N46" s="1131">
        <f t="shared" ca="1" si="66"/>
        <v>0</v>
      </c>
      <c r="O46" s="1131">
        <f t="shared" ca="1" si="63"/>
        <v>0</v>
      </c>
      <c r="P46" s="1131">
        <f t="shared" ca="1" si="1"/>
        <v>0</v>
      </c>
      <c r="Q46" s="1131"/>
      <c r="R46" s="1131"/>
      <c r="S46" s="1131">
        <f t="shared" ca="1" si="67"/>
        <v>0</v>
      </c>
      <c r="T46" s="1131">
        <f t="shared" ca="1" si="67"/>
        <v>0</v>
      </c>
      <c r="U46" s="1131">
        <f t="shared" ca="1" si="67"/>
        <v>0</v>
      </c>
      <c r="V46" s="1131">
        <f t="shared" ca="1" si="67"/>
        <v>0</v>
      </c>
      <c r="W46" s="1131">
        <f t="shared" ca="1" si="67"/>
        <v>0</v>
      </c>
      <c r="X46" s="1131">
        <f t="shared" ca="1" si="67"/>
        <v>0</v>
      </c>
      <c r="Y46" s="1131">
        <f t="shared" ca="1" si="67"/>
        <v>0</v>
      </c>
      <c r="Z46" s="1131">
        <f t="shared" ca="1" si="67"/>
        <v>0</v>
      </c>
      <c r="AA46" s="1131">
        <f t="shared" ca="1" si="67"/>
        <v>0</v>
      </c>
      <c r="AB46" s="1131">
        <f t="shared" ca="1" si="64"/>
        <v>0</v>
      </c>
      <c r="AC46" s="1131">
        <f t="shared" ca="1" si="3"/>
        <v>0</v>
      </c>
      <c r="AD46" s="1131"/>
      <c r="AE46" s="1131"/>
      <c r="AF46" s="1131">
        <f t="shared" ca="1" si="68"/>
        <v>0</v>
      </c>
      <c r="AG46" s="1131">
        <f t="shared" ca="1" si="68"/>
        <v>0</v>
      </c>
      <c r="AH46" s="1131">
        <f t="shared" ca="1" si="68"/>
        <v>0</v>
      </c>
      <c r="AI46" s="1131">
        <f t="shared" ca="1" si="68"/>
        <v>0</v>
      </c>
      <c r="AJ46" s="1131">
        <f t="shared" ca="1" si="68"/>
        <v>0</v>
      </c>
      <c r="AK46" s="1131">
        <f t="shared" ca="1" si="68"/>
        <v>0</v>
      </c>
      <c r="AL46" s="1131">
        <f t="shared" ca="1" si="68"/>
        <v>0</v>
      </c>
      <c r="AM46" s="1131">
        <f t="shared" ca="1" si="68"/>
        <v>0</v>
      </c>
      <c r="AN46" s="1131">
        <f t="shared" ca="1" si="68"/>
        <v>0</v>
      </c>
      <c r="AO46" s="1131">
        <f t="shared" ca="1" si="65"/>
        <v>0</v>
      </c>
      <c r="AP46" s="1131">
        <f t="shared" ca="1" si="5"/>
        <v>0</v>
      </c>
      <c r="AQ46" s="1131"/>
      <c r="AR46" s="1131"/>
      <c r="AS46" s="1131">
        <f t="shared" ca="1" si="6"/>
        <v>0</v>
      </c>
      <c r="AT46" s="1131">
        <f t="shared" ca="1" si="7"/>
        <v>0</v>
      </c>
      <c r="AU46" s="1131">
        <f t="shared" ca="1" si="8"/>
        <v>0</v>
      </c>
      <c r="AV46" s="1131">
        <f t="shared" ca="1" si="9"/>
        <v>0</v>
      </c>
      <c r="AW46" s="1131">
        <f t="shared" ca="1" si="10"/>
        <v>0</v>
      </c>
      <c r="AX46" s="1131">
        <f t="shared" ca="1" si="11"/>
        <v>0</v>
      </c>
      <c r="AY46" s="1131">
        <f t="shared" ca="1" si="12"/>
        <v>0</v>
      </c>
      <c r="AZ46" s="1131">
        <f t="shared" ca="1" si="13"/>
        <v>0</v>
      </c>
      <c r="BA46" s="1131">
        <f t="shared" ca="1" si="14"/>
        <v>0</v>
      </c>
      <c r="BB46" s="1131">
        <f t="shared" ca="1" si="20"/>
        <v>0</v>
      </c>
      <c r="BC46" s="1131">
        <f t="shared" ca="1" si="15"/>
        <v>0</v>
      </c>
      <c r="BD46" s="1131"/>
      <c r="BE46" s="1131"/>
      <c r="BF46" s="19">
        <f>'Global cost assumptions'!E67</f>
        <v>0.1</v>
      </c>
      <c r="BG46" s="1131">
        <f>'Global cost assumptions'!F67</f>
        <v>30</v>
      </c>
      <c r="BH46" s="1131"/>
      <c r="BI46" s="1131"/>
      <c r="BJ46" s="27">
        <f t="shared" ca="1" si="21"/>
        <v>0</v>
      </c>
      <c r="BK46" s="27">
        <f t="shared" ca="1" si="22"/>
        <v>0</v>
      </c>
      <c r="BL46" s="27">
        <f t="shared" ca="1" si="23"/>
        <v>0</v>
      </c>
      <c r="BM46" s="27">
        <f t="shared" ca="1" si="24"/>
        <v>0</v>
      </c>
      <c r="BN46" s="27">
        <f t="shared" ca="1" si="25"/>
        <v>0</v>
      </c>
      <c r="BO46" s="27">
        <f t="shared" ca="1" si="26"/>
        <v>0</v>
      </c>
      <c r="BP46" s="27">
        <f t="shared" ca="1" si="27"/>
        <v>0</v>
      </c>
      <c r="BQ46" s="27">
        <f t="shared" ca="1" si="28"/>
        <v>0</v>
      </c>
      <c r="BR46" s="27">
        <f t="shared" ca="1" si="29"/>
        <v>0</v>
      </c>
      <c r="BS46" s="27">
        <f t="shared" ca="1" si="30"/>
        <v>0</v>
      </c>
      <c r="BT46" s="1131"/>
      <c r="BU46" s="1131"/>
      <c r="BV46" s="1409">
        <f t="shared" ca="1" si="31"/>
        <v>0</v>
      </c>
      <c r="BW46" s="1917">
        <f t="shared" ca="1" si="32"/>
        <v>0</v>
      </c>
      <c r="BX46" s="1917">
        <f t="shared" ca="1" si="33"/>
        <v>0</v>
      </c>
      <c r="BY46" s="1917">
        <f t="shared" ca="1" si="34"/>
        <v>0</v>
      </c>
      <c r="BZ46" s="1917">
        <f t="shared" ca="1" si="35"/>
        <v>0</v>
      </c>
      <c r="CA46" s="1917">
        <f t="shared" ca="1" si="36"/>
        <v>0</v>
      </c>
      <c r="CB46" s="1917">
        <f t="shared" ca="1" si="37"/>
        <v>0</v>
      </c>
      <c r="CC46" s="1917">
        <f t="shared" ca="1" si="38"/>
        <v>0</v>
      </c>
      <c r="CD46" s="1917">
        <f t="shared" ca="1" si="39"/>
        <v>0</v>
      </c>
      <c r="CE46" s="1917">
        <f t="shared" ca="1" si="40"/>
        <v>0</v>
      </c>
      <c r="CF46" s="1131">
        <f t="shared" ca="1" si="17"/>
        <v>0</v>
      </c>
      <c r="CG46" s="1131"/>
      <c r="CH46" s="1131"/>
      <c r="CI46" s="1409">
        <f t="shared" ca="1" si="41"/>
        <v>0</v>
      </c>
      <c r="CJ46" s="1409">
        <f t="shared" ca="1" si="42"/>
        <v>0</v>
      </c>
      <c r="CK46" s="1409">
        <f t="shared" ca="1" si="43"/>
        <v>0</v>
      </c>
      <c r="CL46" s="1409">
        <f t="shared" ca="1" si="44"/>
        <v>0</v>
      </c>
      <c r="CM46" s="1409">
        <f t="shared" ca="1" si="45"/>
        <v>0</v>
      </c>
      <c r="CN46" s="1409">
        <f t="shared" ca="1" si="46"/>
        <v>0</v>
      </c>
      <c r="CO46" s="1409">
        <f t="shared" ca="1" si="47"/>
        <v>0</v>
      </c>
      <c r="CP46" s="1409">
        <f t="shared" ca="1" si="48"/>
        <v>0</v>
      </c>
      <c r="CQ46" s="1409">
        <f t="shared" ca="1" si="49"/>
        <v>0</v>
      </c>
      <c r="CR46" s="1409">
        <f t="shared" ca="1" si="50"/>
        <v>0</v>
      </c>
      <c r="CS46" s="1131">
        <f t="shared" ca="1" si="19"/>
        <v>0</v>
      </c>
    </row>
    <row r="47" spans="3:97">
      <c r="C47" s="1763" t="s">
        <v>712</v>
      </c>
      <c r="D47" s="1763" t="s">
        <v>1407</v>
      </c>
      <c r="F47" s="1131">
        <f t="shared" ca="1" si="66"/>
        <v>0</v>
      </c>
      <c r="G47" s="1131">
        <f t="shared" ca="1" si="66"/>
        <v>0</v>
      </c>
      <c r="H47" s="1131">
        <f t="shared" ca="1" si="66"/>
        <v>0</v>
      </c>
      <c r="I47" s="1131">
        <f t="shared" ca="1" si="66"/>
        <v>0</v>
      </c>
      <c r="J47" s="1131">
        <f t="shared" ca="1" si="66"/>
        <v>0</v>
      </c>
      <c r="K47" s="1131">
        <f t="shared" ca="1" si="66"/>
        <v>0</v>
      </c>
      <c r="L47" s="1131">
        <f t="shared" ca="1" si="66"/>
        <v>0</v>
      </c>
      <c r="M47" s="1131">
        <f t="shared" ca="1" si="66"/>
        <v>0</v>
      </c>
      <c r="N47" s="1131">
        <f t="shared" ca="1" si="66"/>
        <v>0</v>
      </c>
      <c r="O47" s="1131">
        <f t="shared" ca="1" si="63"/>
        <v>0</v>
      </c>
      <c r="P47" s="1131">
        <f t="shared" ca="1" si="1"/>
        <v>0</v>
      </c>
      <c r="Q47" s="1131"/>
      <c r="R47" s="1131"/>
      <c r="S47" s="1131">
        <f t="shared" ca="1" si="67"/>
        <v>0</v>
      </c>
      <c r="T47" s="1131">
        <f t="shared" ca="1" si="67"/>
        <v>0</v>
      </c>
      <c r="U47" s="1131">
        <f t="shared" ca="1" si="67"/>
        <v>0</v>
      </c>
      <c r="V47" s="1131">
        <f t="shared" ca="1" si="67"/>
        <v>0</v>
      </c>
      <c r="W47" s="1131">
        <f t="shared" ca="1" si="67"/>
        <v>0</v>
      </c>
      <c r="X47" s="1131">
        <f t="shared" ca="1" si="67"/>
        <v>0</v>
      </c>
      <c r="Y47" s="1131">
        <f t="shared" ca="1" si="67"/>
        <v>0</v>
      </c>
      <c r="Z47" s="1131">
        <f t="shared" ca="1" si="67"/>
        <v>0</v>
      </c>
      <c r="AA47" s="1131">
        <f t="shared" ca="1" si="67"/>
        <v>0</v>
      </c>
      <c r="AB47" s="1131">
        <f t="shared" ca="1" si="64"/>
        <v>0</v>
      </c>
      <c r="AC47" s="1131">
        <f t="shared" ca="1" si="3"/>
        <v>0</v>
      </c>
      <c r="AD47" s="1131"/>
      <c r="AE47" s="1131"/>
      <c r="AF47" s="1131">
        <f t="shared" ca="1" si="68"/>
        <v>0</v>
      </c>
      <c r="AG47" s="1131">
        <f t="shared" ca="1" si="68"/>
        <v>0</v>
      </c>
      <c r="AH47" s="1131">
        <f t="shared" ca="1" si="68"/>
        <v>0</v>
      </c>
      <c r="AI47" s="1131">
        <f t="shared" ca="1" si="68"/>
        <v>0</v>
      </c>
      <c r="AJ47" s="1131">
        <f t="shared" ca="1" si="68"/>
        <v>0</v>
      </c>
      <c r="AK47" s="1131">
        <f t="shared" ca="1" si="68"/>
        <v>0</v>
      </c>
      <c r="AL47" s="1131">
        <f t="shared" ca="1" si="68"/>
        <v>0</v>
      </c>
      <c r="AM47" s="1131">
        <f t="shared" ca="1" si="68"/>
        <v>0</v>
      </c>
      <c r="AN47" s="1131">
        <f t="shared" ca="1" si="68"/>
        <v>0</v>
      </c>
      <c r="AO47" s="1131">
        <f t="shared" ca="1" si="65"/>
        <v>0</v>
      </c>
      <c r="AP47" s="1131">
        <f t="shared" ca="1" si="5"/>
        <v>0</v>
      </c>
      <c r="AQ47" s="1131"/>
      <c r="AR47" s="1131"/>
      <c r="AS47" s="1131">
        <f t="shared" ca="1" si="6"/>
        <v>0</v>
      </c>
      <c r="AT47" s="1131">
        <f t="shared" ca="1" si="7"/>
        <v>0</v>
      </c>
      <c r="AU47" s="1131">
        <f t="shared" ca="1" si="8"/>
        <v>0</v>
      </c>
      <c r="AV47" s="1131">
        <f t="shared" ca="1" si="9"/>
        <v>0</v>
      </c>
      <c r="AW47" s="1131">
        <f t="shared" ca="1" si="10"/>
        <v>0</v>
      </c>
      <c r="AX47" s="1131">
        <f t="shared" ca="1" si="11"/>
        <v>0</v>
      </c>
      <c r="AY47" s="1131">
        <f t="shared" ca="1" si="12"/>
        <v>0</v>
      </c>
      <c r="AZ47" s="1131">
        <f t="shared" ca="1" si="13"/>
        <v>0</v>
      </c>
      <c r="BA47" s="1131">
        <f t="shared" ca="1" si="14"/>
        <v>0</v>
      </c>
      <c r="BB47" s="1131">
        <f t="shared" ca="1" si="20"/>
        <v>0</v>
      </c>
      <c r="BC47" s="1131">
        <f t="shared" ca="1" si="15"/>
        <v>0</v>
      </c>
      <c r="BD47" s="1131"/>
      <c r="BE47" s="1131"/>
      <c r="BF47" s="19">
        <f>'Global cost assumptions'!E68</f>
        <v>0.1</v>
      </c>
      <c r="BG47" s="1131">
        <f>'Global cost assumptions'!F68</f>
        <v>30</v>
      </c>
      <c r="BH47" s="1131"/>
      <c r="BI47" s="1131"/>
      <c r="BJ47" s="27">
        <f t="shared" ca="1" si="21"/>
        <v>0</v>
      </c>
      <c r="BK47" s="27">
        <f t="shared" ca="1" si="22"/>
        <v>0</v>
      </c>
      <c r="BL47" s="27">
        <f t="shared" ca="1" si="23"/>
        <v>0</v>
      </c>
      <c r="BM47" s="27">
        <f t="shared" ca="1" si="24"/>
        <v>0</v>
      </c>
      <c r="BN47" s="27">
        <f t="shared" ca="1" si="25"/>
        <v>0</v>
      </c>
      <c r="BO47" s="27">
        <f t="shared" ca="1" si="26"/>
        <v>0</v>
      </c>
      <c r="BP47" s="27">
        <f t="shared" ca="1" si="27"/>
        <v>0</v>
      </c>
      <c r="BQ47" s="27">
        <f t="shared" ca="1" si="28"/>
        <v>0</v>
      </c>
      <c r="BR47" s="27">
        <f t="shared" ca="1" si="29"/>
        <v>0</v>
      </c>
      <c r="BS47" s="27">
        <f t="shared" ca="1" si="30"/>
        <v>0</v>
      </c>
      <c r="BT47" s="1131"/>
      <c r="BU47" s="1131"/>
      <c r="BV47" s="1409">
        <f t="shared" ca="1" si="31"/>
        <v>0</v>
      </c>
      <c r="BW47" s="1917">
        <f t="shared" ca="1" si="32"/>
        <v>0</v>
      </c>
      <c r="BX47" s="1917">
        <f t="shared" ca="1" si="33"/>
        <v>0</v>
      </c>
      <c r="BY47" s="1917">
        <f t="shared" ca="1" si="34"/>
        <v>0</v>
      </c>
      <c r="BZ47" s="1917">
        <f t="shared" ca="1" si="35"/>
        <v>0</v>
      </c>
      <c r="CA47" s="1917">
        <f t="shared" ca="1" si="36"/>
        <v>0</v>
      </c>
      <c r="CB47" s="1917">
        <f t="shared" ca="1" si="37"/>
        <v>0</v>
      </c>
      <c r="CC47" s="1917">
        <f t="shared" ca="1" si="38"/>
        <v>0</v>
      </c>
      <c r="CD47" s="1917">
        <f t="shared" ca="1" si="39"/>
        <v>0</v>
      </c>
      <c r="CE47" s="1917">
        <f t="shared" ca="1" si="40"/>
        <v>0</v>
      </c>
      <c r="CF47" s="1131">
        <f t="shared" ca="1" si="17"/>
        <v>0</v>
      </c>
      <c r="CG47" s="1131"/>
      <c r="CH47" s="1131"/>
      <c r="CI47" s="1409">
        <f t="shared" ca="1" si="41"/>
        <v>0</v>
      </c>
      <c r="CJ47" s="1409">
        <f t="shared" ca="1" si="42"/>
        <v>0</v>
      </c>
      <c r="CK47" s="1409">
        <f t="shared" ca="1" si="43"/>
        <v>0</v>
      </c>
      <c r="CL47" s="1409">
        <f t="shared" ca="1" si="44"/>
        <v>0</v>
      </c>
      <c r="CM47" s="1409">
        <f t="shared" ca="1" si="45"/>
        <v>0</v>
      </c>
      <c r="CN47" s="1409">
        <f t="shared" ca="1" si="46"/>
        <v>0</v>
      </c>
      <c r="CO47" s="1409">
        <f t="shared" ca="1" si="47"/>
        <v>0</v>
      </c>
      <c r="CP47" s="1409">
        <f t="shared" ca="1" si="48"/>
        <v>0</v>
      </c>
      <c r="CQ47" s="1409">
        <f t="shared" ca="1" si="49"/>
        <v>0</v>
      </c>
      <c r="CR47" s="1409">
        <f t="shared" ca="1" si="50"/>
        <v>0</v>
      </c>
      <c r="CS47" s="1131">
        <f t="shared" ca="1" si="19"/>
        <v>0</v>
      </c>
    </row>
    <row r="48" spans="3:97">
      <c r="C48" s="1763" t="s">
        <v>733</v>
      </c>
      <c r="D48" s="1763" t="s">
        <v>423</v>
      </c>
      <c r="F48" s="1131">
        <f t="shared" ca="1" si="66"/>
        <v>0</v>
      </c>
      <c r="G48" s="1131">
        <f t="shared" ca="1" si="66"/>
        <v>0</v>
      </c>
      <c r="H48" s="1131">
        <f t="shared" ca="1" si="66"/>
        <v>0</v>
      </c>
      <c r="I48" s="1131">
        <f t="shared" ca="1" si="66"/>
        <v>0</v>
      </c>
      <c r="J48" s="1131">
        <f t="shared" ca="1" si="66"/>
        <v>0</v>
      </c>
      <c r="K48" s="1131">
        <f t="shared" ca="1" si="66"/>
        <v>0</v>
      </c>
      <c r="L48" s="1131">
        <f t="shared" ca="1" si="66"/>
        <v>0</v>
      </c>
      <c r="M48" s="1131">
        <f t="shared" ca="1" si="66"/>
        <v>0</v>
      </c>
      <c r="N48" s="1131">
        <f t="shared" ca="1" si="66"/>
        <v>0</v>
      </c>
      <c r="O48" s="1131">
        <f t="shared" ca="1" si="63"/>
        <v>0</v>
      </c>
      <c r="P48" s="1131">
        <f t="shared" ca="1" si="1"/>
        <v>0</v>
      </c>
      <c r="Q48" s="1131"/>
      <c r="R48" s="1131"/>
      <c r="S48" s="1131">
        <f t="shared" ca="1" si="67"/>
        <v>0</v>
      </c>
      <c r="T48" s="1131">
        <f t="shared" ca="1" si="67"/>
        <v>0</v>
      </c>
      <c r="U48" s="1131">
        <f t="shared" ca="1" si="67"/>
        <v>0</v>
      </c>
      <c r="V48" s="1131">
        <f t="shared" ca="1" si="67"/>
        <v>0</v>
      </c>
      <c r="W48" s="1131">
        <f t="shared" ca="1" si="67"/>
        <v>0</v>
      </c>
      <c r="X48" s="1131">
        <f t="shared" ca="1" si="67"/>
        <v>0</v>
      </c>
      <c r="Y48" s="1131">
        <f t="shared" ca="1" si="67"/>
        <v>0</v>
      </c>
      <c r="Z48" s="1131">
        <f t="shared" ca="1" si="67"/>
        <v>0</v>
      </c>
      <c r="AA48" s="1131">
        <f t="shared" ca="1" si="67"/>
        <v>0</v>
      </c>
      <c r="AB48" s="1131">
        <f t="shared" ca="1" si="64"/>
        <v>0</v>
      </c>
      <c r="AC48" s="1131">
        <f t="shared" ca="1" si="3"/>
        <v>0</v>
      </c>
      <c r="AD48" s="1131"/>
      <c r="AE48" s="1131"/>
      <c r="AF48" s="1131">
        <f t="shared" ca="1" si="68"/>
        <v>0</v>
      </c>
      <c r="AG48" s="1131">
        <f t="shared" ca="1" si="68"/>
        <v>0</v>
      </c>
      <c r="AH48" s="1131">
        <f t="shared" ca="1" si="68"/>
        <v>0</v>
      </c>
      <c r="AI48" s="1131">
        <f t="shared" ca="1" si="68"/>
        <v>0</v>
      </c>
      <c r="AJ48" s="1131">
        <f t="shared" ca="1" si="68"/>
        <v>0</v>
      </c>
      <c r="AK48" s="1131">
        <f t="shared" ca="1" si="68"/>
        <v>0</v>
      </c>
      <c r="AL48" s="1131">
        <f t="shared" ca="1" si="68"/>
        <v>0</v>
      </c>
      <c r="AM48" s="1131">
        <f t="shared" ca="1" si="68"/>
        <v>0</v>
      </c>
      <c r="AN48" s="1131">
        <f t="shared" ca="1" si="68"/>
        <v>0</v>
      </c>
      <c r="AO48" s="1131">
        <f t="shared" ca="1" si="65"/>
        <v>0</v>
      </c>
      <c r="AP48" s="1131">
        <f t="shared" ca="1" si="5"/>
        <v>0</v>
      </c>
      <c r="AQ48" s="1131"/>
      <c r="AR48" s="1131"/>
      <c r="AS48" s="1131">
        <f t="shared" ca="1" si="6"/>
        <v>0</v>
      </c>
      <c r="AT48" s="1131">
        <f t="shared" ca="1" si="7"/>
        <v>0</v>
      </c>
      <c r="AU48" s="1131">
        <f t="shared" ca="1" si="8"/>
        <v>0</v>
      </c>
      <c r="AV48" s="1131">
        <f t="shared" ca="1" si="9"/>
        <v>0</v>
      </c>
      <c r="AW48" s="1131">
        <f t="shared" ca="1" si="10"/>
        <v>0</v>
      </c>
      <c r="AX48" s="1131">
        <f t="shared" ca="1" si="11"/>
        <v>0</v>
      </c>
      <c r="AY48" s="1131">
        <f t="shared" ca="1" si="12"/>
        <v>0</v>
      </c>
      <c r="AZ48" s="1131">
        <f t="shared" ca="1" si="13"/>
        <v>0</v>
      </c>
      <c r="BA48" s="1131">
        <f t="shared" ca="1" si="14"/>
        <v>0</v>
      </c>
      <c r="BB48" s="1131">
        <f t="shared" ca="1" si="20"/>
        <v>0</v>
      </c>
      <c r="BC48" s="1131">
        <f t="shared" ca="1" si="15"/>
        <v>0</v>
      </c>
      <c r="BD48" s="1131"/>
      <c r="BE48" s="1131"/>
      <c r="BF48" s="19">
        <f>'Global cost assumptions'!E69</f>
        <v>0.1</v>
      </c>
      <c r="BG48" s="1131">
        <f>'Global cost assumptions'!F69</f>
        <v>30</v>
      </c>
      <c r="BH48" s="1131"/>
      <c r="BI48" s="1131"/>
      <c r="BJ48" s="27">
        <f t="shared" ca="1" si="21"/>
        <v>0</v>
      </c>
      <c r="BK48" s="27">
        <f t="shared" ca="1" si="22"/>
        <v>0</v>
      </c>
      <c r="BL48" s="27">
        <f t="shared" ca="1" si="23"/>
        <v>0</v>
      </c>
      <c r="BM48" s="27">
        <f t="shared" ca="1" si="24"/>
        <v>0</v>
      </c>
      <c r="BN48" s="27">
        <f t="shared" ca="1" si="25"/>
        <v>0</v>
      </c>
      <c r="BO48" s="27">
        <f t="shared" ca="1" si="26"/>
        <v>0</v>
      </c>
      <c r="BP48" s="27">
        <f t="shared" ca="1" si="27"/>
        <v>0</v>
      </c>
      <c r="BQ48" s="27">
        <f t="shared" ca="1" si="28"/>
        <v>0</v>
      </c>
      <c r="BR48" s="27">
        <f t="shared" ca="1" si="29"/>
        <v>0</v>
      </c>
      <c r="BS48" s="27">
        <f t="shared" ca="1" si="30"/>
        <v>0</v>
      </c>
      <c r="BT48" s="1131"/>
      <c r="BU48" s="1131"/>
      <c r="BV48" s="1409">
        <f t="shared" ca="1" si="31"/>
        <v>0</v>
      </c>
      <c r="BW48" s="1917">
        <f t="shared" ca="1" si="32"/>
        <v>0</v>
      </c>
      <c r="BX48" s="1917">
        <f t="shared" ca="1" si="33"/>
        <v>0</v>
      </c>
      <c r="BY48" s="1917">
        <f t="shared" ca="1" si="34"/>
        <v>0</v>
      </c>
      <c r="BZ48" s="1917">
        <f t="shared" ca="1" si="35"/>
        <v>0</v>
      </c>
      <c r="CA48" s="1917">
        <f t="shared" ca="1" si="36"/>
        <v>0</v>
      </c>
      <c r="CB48" s="1917">
        <f t="shared" ca="1" si="37"/>
        <v>0</v>
      </c>
      <c r="CC48" s="1917">
        <f t="shared" ca="1" si="38"/>
        <v>0</v>
      </c>
      <c r="CD48" s="1917">
        <f t="shared" ca="1" si="39"/>
        <v>0</v>
      </c>
      <c r="CE48" s="1917">
        <f t="shared" ca="1" si="40"/>
        <v>0</v>
      </c>
      <c r="CF48" s="1131">
        <f t="shared" ca="1" si="17"/>
        <v>0</v>
      </c>
      <c r="CG48" s="1131"/>
      <c r="CH48" s="1131"/>
      <c r="CI48" s="1409">
        <f t="shared" ca="1" si="41"/>
        <v>0</v>
      </c>
      <c r="CJ48" s="1409">
        <f t="shared" ca="1" si="42"/>
        <v>0</v>
      </c>
      <c r="CK48" s="1409">
        <f t="shared" ca="1" si="43"/>
        <v>0</v>
      </c>
      <c r="CL48" s="1409">
        <f t="shared" ca="1" si="44"/>
        <v>0</v>
      </c>
      <c r="CM48" s="1409">
        <f t="shared" ca="1" si="45"/>
        <v>0</v>
      </c>
      <c r="CN48" s="1409">
        <f t="shared" ca="1" si="46"/>
        <v>0</v>
      </c>
      <c r="CO48" s="1409">
        <f t="shared" ca="1" si="47"/>
        <v>0</v>
      </c>
      <c r="CP48" s="1409">
        <f t="shared" ca="1" si="48"/>
        <v>0</v>
      </c>
      <c r="CQ48" s="1409">
        <f t="shared" ca="1" si="49"/>
        <v>0</v>
      </c>
      <c r="CR48" s="1409">
        <f t="shared" ca="1" si="50"/>
        <v>0</v>
      </c>
      <c r="CS48" s="1131">
        <f t="shared" ca="1" si="19"/>
        <v>0</v>
      </c>
    </row>
    <row r="49" spans="3:97">
      <c r="C49" s="1763" t="s">
        <v>742</v>
      </c>
      <c r="D49" s="1763" t="s">
        <v>146</v>
      </c>
      <c r="F49" s="1131">
        <f t="shared" ca="1" si="66"/>
        <v>0</v>
      </c>
      <c r="G49" s="1131">
        <f t="shared" ca="1" si="66"/>
        <v>0</v>
      </c>
      <c r="H49" s="1131">
        <f t="shared" ca="1" si="66"/>
        <v>0</v>
      </c>
      <c r="I49" s="1131">
        <f t="shared" ca="1" si="66"/>
        <v>0</v>
      </c>
      <c r="J49" s="1131">
        <f t="shared" ca="1" si="66"/>
        <v>0</v>
      </c>
      <c r="K49" s="1131">
        <f t="shared" ca="1" si="66"/>
        <v>0</v>
      </c>
      <c r="L49" s="1131">
        <f t="shared" ca="1" si="66"/>
        <v>0</v>
      </c>
      <c r="M49" s="1131">
        <f t="shared" ca="1" si="66"/>
        <v>0</v>
      </c>
      <c r="N49" s="1131">
        <f t="shared" ca="1" si="66"/>
        <v>0</v>
      </c>
      <c r="O49" s="1131">
        <f t="shared" ca="1" si="66"/>
        <v>0</v>
      </c>
      <c r="P49" s="1131">
        <f t="shared" ca="1" si="1"/>
        <v>0</v>
      </c>
      <c r="Q49" s="1131"/>
      <c r="R49" s="1131"/>
      <c r="S49" s="1131">
        <f t="shared" ca="1" si="67"/>
        <v>0</v>
      </c>
      <c r="T49" s="1131">
        <f t="shared" ca="1" si="67"/>
        <v>0</v>
      </c>
      <c r="U49" s="1131">
        <f t="shared" ca="1" si="67"/>
        <v>0</v>
      </c>
      <c r="V49" s="1131">
        <f t="shared" ca="1" si="67"/>
        <v>0</v>
      </c>
      <c r="W49" s="1131">
        <f t="shared" ca="1" si="67"/>
        <v>0</v>
      </c>
      <c r="X49" s="1131">
        <f t="shared" ca="1" si="67"/>
        <v>0</v>
      </c>
      <c r="Y49" s="1131">
        <f t="shared" ca="1" si="67"/>
        <v>0</v>
      </c>
      <c r="Z49" s="1131">
        <f t="shared" ca="1" si="67"/>
        <v>0</v>
      </c>
      <c r="AA49" s="1131">
        <f t="shared" ca="1" si="67"/>
        <v>0</v>
      </c>
      <c r="AB49" s="1131">
        <f t="shared" ca="1" si="67"/>
        <v>0</v>
      </c>
      <c r="AC49" s="1131">
        <f t="shared" ca="1" si="3"/>
        <v>0</v>
      </c>
      <c r="AD49" s="1131"/>
      <c r="AE49" s="1131"/>
      <c r="AF49" s="1131">
        <f t="shared" ca="1" si="68"/>
        <v>0</v>
      </c>
      <c r="AG49" s="1131">
        <f t="shared" ca="1" si="68"/>
        <v>0</v>
      </c>
      <c r="AH49" s="1131">
        <f t="shared" ca="1" si="68"/>
        <v>0</v>
      </c>
      <c r="AI49" s="1131">
        <f t="shared" ca="1" si="68"/>
        <v>0</v>
      </c>
      <c r="AJ49" s="1131">
        <f t="shared" ca="1" si="68"/>
        <v>0</v>
      </c>
      <c r="AK49" s="1131">
        <f t="shared" ca="1" si="68"/>
        <v>0</v>
      </c>
      <c r="AL49" s="1131">
        <f t="shared" ca="1" si="68"/>
        <v>0</v>
      </c>
      <c r="AM49" s="1131">
        <f t="shared" ca="1" si="68"/>
        <v>0</v>
      </c>
      <c r="AN49" s="1131">
        <f t="shared" ca="1" si="68"/>
        <v>0</v>
      </c>
      <c r="AO49" s="1131">
        <f t="shared" ca="1" si="68"/>
        <v>0</v>
      </c>
      <c r="AP49" s="1131">
        <f t="shared" ca="1" si="5"/>
        <v>0</v>
      </c>
      <c r="AQ49" s="1131"/>
      <c r="AR49" s="1131"/>
      <c r="AS49" s="1131">
        <f t="shared" ca="1" si="6"/>
        <v>0</v>
      </c>
      <c r="AT49" s="1131">
        <f t="shared" ca="1" si="7"/>
        <v>0</v>
      </c>
      <c r="AU49" s="1131">
        <f t="shared" ca="1" si="8"/>
        <v>0</v>
      </c>
      <c r="AV49" s="1131">
        <f t="shared" ca="1" si="9"/>
        <v>0</v>
      </c>
      <c r="AW49" s="1131">
        <f t="shared" ca="1" si="10"/>
        <v>0</v>
      </c>
      <c r="AX49" s="1131">
        <f t="shared" ca="1" si="11"/>
        <v>0</v>
      </c>
      <c r="AY49" s="1131">
        <f t="shared" ca="1" si="12"/>
        <v>0</v>
      </c>
      <c r="AZ49" s="1131">
        <f t="shared" ca="1" si="13"/>
        <v>0</v>
      </c>
      <c r="BA49" s="1131">
        <f t="shared" ca="1" si="14"/>
        <v>0</v>
      </c>
      <c r="BB49" s="1131">
        <f t="shared" ca="1" si="20"/>
        <v>0</v>
      </c>
      <c r="BC49" s="1131">
        <f t="shared" ca="1" si="15"/>
        <v>0</v>
      </c>
      <c r="BD49" s="1131"/>
      <c r="BE49" s="1131"/>
      <c r="BF49" s="19">
        <f>'Global cost assumptions'!E70</f>
        <v>0.1</v>
      </c>
      <c r="BG49" s="1131">
        <f>'Global cost assumptions'!F70</f>
        <v>30</v>
      </c>
      <c r="BH49" s="1131"/>
      <c r="BI49" s="1131"/>
      <c r="BJ49" s="27">
        <f t="shared" ca="1" si="21"/>
        <v>0</v>
      </c>
      <c r="BK49" s="27">
        <f t="shared" ca="1" si="22"/>
        <v>0</v>
      </c>
      <c r="BL49" s="27">
        <f t="shared" ca="1" si="23"/>
        <v>0</v>
      </c>
      <c r="BM49" s="27">
        <f t="shared" ca="1" si="24"/>
        <v>0</v>
      </c>
      <c r="BN49" s="27">
        <f t="shared" ca="1" si="25"/>
        <v>0</v>
      </c>
      <c r="BO49" s="27">
        <f t="shared" ca="1" si="26"/>
        <v>0</v>
      </c>
      <c r="BP49" s="27">
        <f t="shared" ca="1" si="27"/>
        <v>0</v>
      </c>
      <c r="BQ49" s="27">
        <f t="shared" ca="1" si="28"/>
        <v>0</v>
      </c>
      <c r="BR49" s="27">
        <f t="shared" ca="1" si="29"/>
        <v>0</v>
      </c>
      <c r="BS49" s="27">
        <f t="shared" ca="1" si="30"/>
        <v>0</v>
      </c>
      <c r="BT49" s="1131"/>
      <c r="BU49" s="1131"/>
      <c r="BV49" s="1409">
        <f t="shared" ca="1" si="31"/>
        <v>0</v>
      </c>
      <c r="BW49" s="1917">
        <f t="shared" ca="1" si="32"/>
        <v>0</v>
      </c>
      <c r="BX49" s="1917">
        <f t="shared" ca="1" si="33"/>
        <v>0</v>
      </c>
      <c r="BY49" s="1917">
        <f t="shared" ca="1" si="34"/>
        <v>0</v>
      </c>
      <c r="BZ49" s="1917">
        <f t="shared" ca="1" si="35"/>
        <v>0</v>
      </c>
      <c r="CA49" s="1917">
        <f t="shared" ca="1" si="36"/>
        <v>0</v>
      </c>
      <c r="CB49" s="1917">
        <f t="shared" ca="1" si="37"/>
        <v>0</v>
      </c>
      <c r="CC49" s="1917">
        <f t="shared" ca="1" si="38"/>
        <v>0</v>
      </c>
      <c r="CD49" s="1917">
        <f t="shared" ca="1" si="39"/>
        <v>0</v>
      </c>
      <c r="CE49" s="1917">
        <f t="shared" ca="1" si="40"/>
        <v>0</v>
      </c>
      <c r="CF49" s="1131">
        <f t="shared" ca="1" si="17"/>
        <v>0</v>
      </c>
      <c r="CG49" s="1131"/>
      <c r="CH49" s="1131"/>
      <c r="CI49" s="1409">
        <f t="shared" ca="1" si="41"/>
        <v>0</v>
      </c>
      <c r="CJ49" s="1409">
        <f t="shared" ca="1" si="42"/>
        <v>0</v>
      </c>
      <c r="CK49" s="1409">
        <f t="shared" ca="1" si="43"/>
        <v>0</v>
      </c>
      <c r="CL49" s="1409">
        <f t="shared" ca="1" si="44"/>
        <v>0</v>
      </c>
      <c r="CM49" s="1409">
        <f t="shared" ca="1" si="45"/>
        <v>0</v>
      </c>
      <c r="CN49" s="1409">
        <f t="shared" ca="1" si="46"/>
        <v>0</v>
      </c>
      <c r="CO49" s="1409">
        <f t="shared" ca="1" si="47"/>
        <v>0</v>
      </c>
      <c r="CP49" s="1409">
        <f t="shared" ca="1" si="48"/>
        <v>0</v>
      </c>
      <c r="CQ49" s="1409">
        <f t="shared" ca="1" si="49"/>
        <v>0</v>
      </c>
      <c r="CR49" s="1409">
        <f t="shared" ca="1" si="50"/>
        <v>0</v>
      </c>
      <c r="CS49" s="1131">
        <f t="shared" ca="1" si="19"/>
        <v>0</v>
      </c>
    </row>
    <row r="50" spans="3:97">
      <c r="C50" s="1763" t="s">
        <v>747</v>
      </c>
      <c r="D50" s="1763" t="s">
        <v>748</v>
      </c>
      <c r="F50" s="1131">
        <f t="shared" ca="1" si="66"/>
        <v>0</v>
      </c>
      <c r="G50" s="1131">
        <f t="shared" ca="1" si="66"/>
        <v>0</v>
      </c>
      <c r="H50" s="1131">
        <f t="shared" ca="1" si="66"/>
        <v>0</v>
      </c>
      <c r="I50" s="1131">
        <f t="shared" ca="1" si="66"/>
        <v>0</v>
      </c>
      <c r="J50" s="1131">
        <f t="shared" ca="1" si="66"/>
        <v>0</v>
      </c>
      <c r="K50" s="1131">
        <f t="shared" ca="1" si="66"/>
        <v>0</v>
      </c>
      <c r="L50" s="1131">
        <f t="shared" ca="1" si="66"/>
        <v>0</v>
      </c>
      <c r="M50" s="1131">
        <f t="shared" ca="1" si="66"/>
        <v>0</v>
      </c>
      <c r="N50" s="1131">
        <f t="shared" ca="1" si="66"/>
        <v>0</v>
      </c>
      <c r="O50" s="1131">
        <f t="shared" ca="1" si="66"/>
        <v>0</v>
      </c>
      <c r="P50" s="1131">
        <f t="shared" ca="1" si="1"/>
        <v>0</v>
      </c>
      <c r="Q50" s="1131"/>
      <c r="R50" s="1131"/>
      <c r="S50" s="1131">
        <f t="shared" ca="1" si="67"/>
        <v>0</v>
      </c>
      <c r="T50" s="1131">
        <f t="shared" ca="1" si="67"/>
        <v>0</v>
      </c>
      <c r="U50" s="1131">
        <f t="shared" ca="1" si="67"/>
        <v>0</v>
      </c>
      <c r="V50" s="1131">
        <f t="shared" ca="1" si="67"/>
        <v>0</v>
      </c>
      <c r="W50" s="1131">
        <f t="shared" ca="1" si="67"/>
        <v>0</v>
      </c>
      <c r="X50" s="1131">
        <f t="shared" ca="1" si="67"/>
        <v>0</v>
      </c>
      <c r="Y50" s="1131">
        <f t="shared" ca="1" si="67"/>
        <v>0</v>
      </c>
      <c r="Z50" s="1131">
        <f t="shared" ca="1" si="67"/>
        <v>0</v>
      </c>
      <c r="AA50" s="1131">
        <f t="shared" ca="1" si="67"/>
        <v>0</v>
      </c>
      <c r="AB50" s="1131">
        <f t="shared" ca="1" si="67"/>
        <v>0</v>
      </c>
      <c r="AC50" s="1131">
        <f t="shared" ca="1" si="3"/>
        <v>0</v>
      </c>
      <c r="AD50" s="1131"/>
      <c r="AE50" s="1131"/>
      <c r="AF50" s="1131">
        <f t="shared" ca="1" si="68"/>
        <v>27540.929081955335</v>
      </c>
      <c r="AG50" s="1131">
        <f t="shared" ca="1" si="68"/>
        <v>22007.722634936428</v>
      </c>
      <c r="AH50" s="1131">
        <f t="shared" ca="1" si="68"/>
        <v>17183.854563237699</v>
      </c>
      <c r="AI50" s="1131">
        <f t="shared" ca="1" si="68"/>
        <v>13427.999441213289</v>
      </c>
      <c r="AJ50" s="1131">
        <f t="shared" ca="1" si="68"/>
        <v>10231.230507762652</v>
      </c>
      <c r="AK50" s="1131">
        <f t="shared" ca="1" si="68"/>
        <v>7982.46130777897</v>
      </c>
      <c r="AL50" s="1131">
        <f t="shared" ca="1" si="68"/>
        <v>6242.4065679944724</v>
      </c>
      <c r="AM50" s="1131">
        <f t="shared" ca="1" si="68"/>
        <v>4895.9853801427062</v>
      </c>
      <c r="AN50" s="1131">
        <f t="shared" ca="1" si="68"/>
        <v>3854.1503311369029</v>
      </c>
      <c r="AO50" s="1131">
        <f t="shared" ca="1" si="68"/>
        <v>0</v>
      </c>
      <c r="AP50" s="1131">
        <f t="shared" ca="1" si="5"/>
        <v>287525.94850154774</v>
      </c>
      <c r="AQ50" s="1131"/>
      <c r="AR50" s="1131"/>
      <c r="AS50" s="1131">
        <f t="shared" ca="1" si="6"/>
        <v>27540.929081955335</v>
      </c>
      <c r="AT50" s="1131">
        <f t="shared" ca="1" si="7"/>
        <v>22007.722634936428</v>
      </c>
      <c r="AU50" s="1131">
        <f t="shared" ca="1" si="8"/>
        <v>17183.854563237699</v>
      </c>
      <c r="AV50" s="1131">
        <f t="shared" ca="1" si="9"/>
        <v>13427.999441213289</v>
      </c>
      <c r="AW50" s="1131">
        <f t="shared" ca="1" si="10"/>
        <v>10231.230507762652</v>
      </c>
      <c r="AX50" s="1131">
        <f t="shared" ca="1" si="11"/>
        <v>7982.46130777897</v>
      </c>
      <c r="AY50" s="1131">
        <f t="shared" ca="1" si="12"/>
        <v>6242.4065679944724</v>
      </c>
      <c r="AZ50" s="1131">
        <f t="shared" ca="1" si="13"/>
        <v>4895.9853801427062</v>
      </c>
      <c r="BA50" s="1131">
        <f t="shared" ca="1" si="14"/>
        <v>3854.1503311369029</v>
      </c>
      <c r="BB50" s="1131">
        <f t="shared" ca="1" si="20"/>
        <v>0</v>
      </c>
      <c r="BC50" s="1131">
        <f t="shared" ca="1" si="15"/>
        <v>287525.94850154774</v>
      </c>
      <c r="BD50" s="1131"/>
      <c r="BE50" s="1131"/>
      <c r="BF50" s="19">
        <f>'Global cost assumptions'!E71</f>
        <v>0.1</v>
      </c>
      <c r="BG50" s="1131">
        <f>'Global cost assumptions'!F71</f>
        <v>30</v>
      </c>
      <c r="BH50" s="1131"/>
      <c r="BI50" s="1131"/>
      <c r="BJ50" s="27">
        <f t="shared" ca="1" si="21"/>
        <v>0</v>
      </c>
      <c r="BK50" s="27">
        <f t="shared" ca="1" si="22"/>
        <v>0</v>
      </c>
      <c r="BL50" s="27">
        <f t="shared" ca="1" si="23"/>
        <v>0</v>
      </c>
      <c r="BM50" s="27">
        <f t="shared" ca="1" si="24"/>
        <v>0</v>
      </c>
      <c r="BN50" s="27">
        <f t="shared" ca="1" si="25"/>
        <v>0</v>
      </c>
      <c r="BO50" s="27">
        <f t="shared" ca="1" si="26"/>
        <v>0</v>
      </c>
      <c r="BP50" s="27">
        <f t="shared" ca="1" si="27"/>
        <v>0</v>
      </c>
      <c r="BQ50" s="27">
        <f t="shared" ca="1" si="28"/>
        <v>0</v>
      </c>
      <c r="BR50" s="27">
        <f t="shared" ca="1" si="29"/>
        <v>0</v>
      </c>
      <c r="BS50" s="27">
        <f t="shared" ca="1" si="30"/>
        <v>0</v>
      </c>
      <c r="BT50" s="1131"/>
      <c r="BU50" s="1131"/>
      <c r="BV50" s="1409">
        <f t="shared" ca="1" si="31"/>
        <v>0</v>
      </c>
      <c r="BW50" s="1917">
        <f t="shared" ca="1" si="32"/>
        <v>0</v>
      </c>
      <c r="BX50" s="1917">
        <f t="shared" ca="1" si="33"/>
        <v>0</v>
      </c>
      <c r="BY50" s="1917">
        <f t="shared" ca="1" si="34"/>
        <v>0</v>
      </c>
      <c r="BZ50" s="1917">
        <f t="shared" ca="1" si="35"/>
        <v>0</v>
      </c>
      <c r="CA50" s="1917">
        <f t="shared" ca="1" si="36"/>
        <v>0</v>
      </c>
      <c r="CB50" s="1917">
        <f t="shared" ca="1" si="37"/>
        <v>0</v>
      </c>
      <c r="CC50" s="1917">
        <f t="shared" ca="1" si="38"/>
        <v>0</v>
      </c>
      <c r="CD50" s="1917">
        <f t="shared" ca="1" si="39"/>
        <v>0</v>
      </c>
      <c r="CE50" s="1917">
        <f t="shared" ca="1" si="40"/>
        <v>0</v>
      </c>
      <c r="CF50" s="1131">
        <f t="shared" ca="1" si="17"/>
        <v>0</v>
      </c>
      <c r="CG50" s="1131"/>
      <c r="CH50" s="1131"/>
      <c r="CI50" s="1409">
        <f t="shared" ca="1" si="41"/>
        <v>27540.929081955335</v>
      </c>
      <c r="CJ50" s="1409">
        <f t="shared" ca="1" si="42"/>
        <v>22007.722634936428</v>
      </c>
      <c r="CK50" s="1409">
        <f t="shared" ca="1" si="43"/>
        <v>17183.854563237699</v>
      </c>
      <c r="CL50" s="1409">
        <f t="shared" ca="1" si="44"/>
        <v>13427.999441213289</v>
      </c>
      <c r="CM50" s="1409">
        <f t="shared" ca="1" si="45"/>
        <v>10231.230507762652</v>
      </c>
      <c r="CN50" s="1409">
        <f t="shared" ca="1" si="46"/>
        <v>7982.46130777897</v>
      </c>
      <c r="CO50" s="1409">
        <f t="shared" ca="1" si="47"/>
        <v>6242.4065679944724</v>
      </c>
      <c r="CP50" s="1409">
        <f t="shared" ca="1" si="48"/>
        <v>4895.9853801427062</v>
      </c>
      <c r="CQ50" s="1409">
        <f t="shared" ca="1" si="49"/>
        <v>3854.1503311369029</v>
      </c>
      <c r="CR50" s="1409">
        <f t="shared" ca="1" si="50"/>
        <v>0</v>
      </c>
      <c r="CS50" s="1131">
        <f t="shared" ca="1" si="19"/>
        <v>287525.94850154774</v>
      </c>
    </row>
    <row r="51" spans="3:97">
      <c r="C51" s="1763" t="s">
        <v>771</v>
      </c>
      <c r="D51" s="1763" t="s">
        <v>773</v>
      </c>
      <c r="F51" s="1131">
        <f t="shared" ca="1" si="66"/>
        <v>0</v>
      </c>
      <c r="G51" s="1131">
        <f t="shared" ca="1" si="66"/>
        <v>0</v>
      </c>
      <c r="H51" s="1131">
        <f t="shared" ca="1" si="66"/>
        <v>0</v>
      </c>
      <c r="I51" s="1131">
        <f t="shared" ca="1" si="66"/>
        <v>0</v>
      </c>
      <c r="J51" s="1131">
        <f t="shared" ca="1" si="66"/>
        <v>0</v>
      </c>
      <c r="K51" s="1131">
        <f t="shared" ca="1" si="66"/>
        <v>0</v>
      </c>
      <c r="L51" s="1131">
        <f t="shared" ca="1" si="66"/>
        <v>0</v>
      </c>
      <c r="M51" s="1131">
        <f t="shared" ca="1" si="66"/>
        <v>0</v>
      </c>
      <c r="N51" s="1131">
        <f t="shared" ca="1" si="66"/>
        <v>0</v>
      </c>
      <c r="O51" s="1131">
        <f t="shared" ca="1" si="66"/>
        <v>0</v>
      </c>
      <c r="P51" s="1131">
        <f t="shared" ca="1" si="1"/>
        <v>0</v>
      </c>
      <c r="Q51" s="1131"/>
      <c r="R51" s="1131"/>
      <c r="S51" s="1131">
        <f t="shared" ca="1" si="67"/>
        <v>0</v>
      </c>
      <c r="T51" s="1131">
        <f t="shared" ca="1" si="67"/>
        <v>0</v>
      </c>
      <c r="U51" s="1131">
        <f t="shared" ca="1" si="67"/>
        <v>0</v>
      </c>
      <c r="V51" s="1131">
        <f t="shared" ca="1" si="67"/>
        <v>0</v>
      </c>
      <c r="W51" s="1131">
        <f t="shared" ca="1" si="67"/>
        <v>0</v>
      </c>
      <c r="X51" s="1131">
        <f t="shared" ca="1" si="67"/>
        <v>0</v>
      </c>
      <c r="Y51" s="1131">
        <f t="shared" ca="1" si="67"/>
        <v>0</v>
      </c>
      <c r="Z51" s="1131">
        <f t="shared" ca="1" si="67"/>
        <v>0</v>
      </c>
      <c r="AA51" s="1131">
        <f t="shared" ca="1" si="67"/>
        <v>0.35411270348006985</v>
      </c>
      <c r="AB51" s="1131">
        <f t="shared" ca="1" si="67"/>
        <v>0</v>
      </c>
      <c r="AC51" s="1131">
        <f t="shared" ca="1" si="3"/>
        <v>0.46938452834221545</v>
      </c>
      <c r="AD51" s="1131"/>
      <c r="AE51" s="1131"/>
      <c r="AF51" s="1131">
        <f t="shared" ca="1" si="68"/>
        <v>0</v>
      </c>
      <c r="AG51" s="1131">
        <f t="shared" ca="1" si="68"/>
        <v>0</v>
      </c>
      <c r="AH51" s="1131">
        <f t="shared" ca="1" si="68"/>
        <v>0</v>
      </c>
      <c r="AI51" s="1131">
        <f t="shared" ca="1" si="68"/>
        <v>0</v>
      </c>
      <c r="AJ51" s="1131">
        <f t="shared" ca="1" si="68"/>
        <v>0</v>
      </c>
      <c r="AK51" s="1131">
        <f t="shared" ca="1" si="68"/>
        <v>0</v>
      </c>
      <c r="AL51" s="1131">
        <f t="shared" ca="1" si="68"/>
        <v>0</v>
      </c>
      <c r="AM51" s="1131">
        <f t="shared" ca="1" si="68"/>
        <v>0</v>
      </c>
      <c r="AN51" s="1131">
        <f t="shared" ca="1" si="68"/>
        <v>0</v>
      </c>
      <c r="AO51" s="1131">
        <f t="shared" ca="1" si="68"/>
        <v>0</v>
      </c>
      <c r="AP51" s="1131">
        <f t="shared" ca="1" si="5"/>
        <v>0</v>
      </c>
      <c r="AQ51" s="1131"/>
      <c r="AR51" s="1131"/>
      <c r="AS51" s="1131">
        <f t="shared" ca="1" si="6"/>
        <v>0</v>
      </c>
      <c r="AT51" s="1131">
        <f t="shared" ca="1" si="7"/>
        <v>0</v>
      </c>
      <c r="AU51" s="1131">
        <f t="shared" ca="1" si="8"/>
        <v>0</v>
      </c>
      <c r="AV51" s="1131">
        <f t="shared" ca="1" si="9"/>
        <v>0</v>
      </c>
      <c r="AW51" s="1131">
        <f t="shared" ca="1" si="10"/>
        <v>0</v>
      </c>
      <c r="AX51" s="1131">
        <f t="shared" ca="1" si="11"/>
        <v>0</v>
      </c>
      <c r="AY51" s="1131">
        <f t="shared" ca="1" si="12"/>
        <v>0</v>
      </c>
      <c r="AZ51" s="1131">
        <f t="shared" ca="1" si="13"/>
        <v>0</v>
      </c>
      <c r="BA51" s="1131">
        <f t="shared" ca="1" si="14"/>
        <v>0.35411270348006985</v>
      </c>
      <c r="BB51" s="1131">
        <f t="shared" ca="1" si="20"/>
        <v>0</v>
      </c>
      <c r="BC51" s="1131">
        <f t="shared" ca="1" si="15"/>
        <v>0.46938452834221545</v>
      </c>
      <c r="BD51" s="1131"/>
      <c r="BE51" s="1131"/>
      <c r="BF51" s="19">
        <f>'Global cost assumptions'!E72</f>
        <v>0.1</v>
      </c>
      <c r="BG51" s="1131">
        <f>'Global cost assumptions'!F72</f>
        <v>30</v>
      </c>
      <c r="BH51" s="1131"/>
      <c r="BI51" s="1131"/>
      <c r="BJ51" s="27">
        <f t="shared" ca="1" si="21"/>
        <v>0</v>
      </c>
      <c r="BK51" s="27">
        <f t="shared" ca="1" si="22"/>
        <v>0</v>
      </c>
      <c r="BL51" s="27">
        <f t="shared" ca="1" si="23"/>
        <v>0</v>
      </c>
      <c r="BM51" s="27">
        <f t="shared" ca="1" si="24"/>
        <v>0</v>
      </c>
      <c r="BN51" s="27">
        <f t="shared" ca="1" si="25"/>
        <v>0</v>
      </c>
      <c r="BO51" s="27">
        <f t="shared" ca="1" si="26"/>
        <v>0</v>
      </c>
      <c r="BP51" s="27">
        <f t="shared" ca="1" si="27"/>
        <v>0</v>
      </c>
      <c r="BQ51" s="27">
        <f t="shared" ca="1" si="28"/>
        <v>0</v>
      </c>
      <c r="BR51" s="27">
        <f t="shared" ca="1" si="29"/>
        <v>0</v>
      </c>
      <c r="BS51" s="27">
        <f t="shared" ca="1" si="30"/>
        <v>0</v>
      </c>
      <c r="BT51" s="1131"/>
      <c r="BU51" s="1131"/>
      <c r="BV51" s="1409">
        <f t="shared" ca="1" si="31"/>
        <v>0</v>
      </c>
      <c r="BW51" s="1917">
        <f t="shared" ca="1" si="32"/>
        <v>0</v>
      </c>
      <c r="BX51" s="1917">
        <f t="shared" ca="1" si="33"/>
        <v>0</v>
      </c>
      <c r="BY51" s="1917">
        <f t="shared" ca="1" si="34"/>
        <v>0</v>
      </c>
      <c r="BZ51" s="1917">
        <f t="shared" ca="1" si="35"/>
        <v>0</v>
      </c>
      <c r="CA51" s="1917">
        <f t="shared" ca="1" si="36"/>
        <v>0</v>
      </c>
      <c r="CB51" s="1917">
        <f t="shared" ca="1" si="37"/>
        <v>0</v>
      </c>
      <c r="CC51" s="1917">
        <f t="shared" ca="1" si="38"/>
        <v>0</v>
      </c>
      <c r="CD51" s="1917">
        <f t="shared" ca="1" si="39"/>
        <v>0</v>
      </c>
      <c r="CE51" s="1917">
        <f t="shared" ca="1" si="40"/>
        <v>0</v>
      </c>
      <c r="CF51" s="1131">
        <f t="shared" ca="1" si="17"/>
        <v>0</v>
      </c>
      <c r="CG51" s="1131"/>
      <c r="CH51" s="1131"/>
      <c r="CI51" s="1409">
        <f t="shared" ca="1" si="41"/>
        <v>0</v>
      </c>
      <c r="CJ51" s="1409">
        <f t="shared" ca="1" si="42"/>
        <v>0</v>
      </c>
      <c r="CK51" s="1409">
        <f t="shared" ca="1" si="43"/>
        <v>0</v>
      </c>
      <c r="CL51" s="1409">
        <f t="shared" ca="1" si="44"/>
        <v>0</v>
      </c>
      <c r="CM51" s="1409">
        <f t="shared" ca="1" si="45"/>
        <v>0</v>
      </c>
      <c r="CN51" s="1409">
        <f t="shared" ca="1" si="46"/>
        <v>0</v>
      </c>
      <c r="CO51" s="1409">
        <f t="shared" ca="1" si="47"/>
        <v>0</v>
      </c>
      <c r="CP51" s="1409">
        <f t="shared" ca="1" si="48"/>
        <v>0</v>
      </c>
      <c r="CQ51" s="1409">
        <f t="shared" ca="1" si="49"/>
        <v>0.35411270348006985</v>
      </c>
      <c r="CR51" s="1409">
        <f t="shared" ca="1" si="50"/>
        <v>0</v>
      </c>
      <c r="CS51" s="1131">
        <f t="shared" ca="1" si="19"/>
        <v>0.46938452834221545</v>
      </c>
    </row>
    <row r="52" spans="3:97">
      <c r="C52" s="1763" t="s">
        <v>772</v>
      </c>
      <c r="D52" s="1763" t="s">
        <v>1222</v>
      </c>
      <c r="F52" s="1131">
        <f t="shared" ca="1" si="66"/>
        <v>0</v>
      </c>
      <c r="G52" s="1131">
        <f t="shared" ca="1" si="66"/>
        <v>0</v>
      </c>
      <c r="H52" s="1131">
        <f t="shared" ca="1" si="66"/>
        <v>0</v>
      </c>
      <c r="I52" s="1131">
        <f t="shared" ca="1" si="66"/>
        <v>0</v>
      </c>
      <c r="J52" s="1131">
        <f t="shared" ca="1" si="66"/>
        <v>0</v>
      </c>
      <c r="K52" s="1131">
        <f t="shared" ca="1" si="66"/>
        <v>0</v>
      </c>
      <c r="L52" s="1131">
        <f t="shared" ca="1" si="66"/>
        <v>0</v>
      </c>
      <c r="M52" s="1131">
        <f t="shared" ca="1" si="66"/>
        <v>0</v>
      </c>
      <c r="N52" s="1131">
        <f t="shared" ca="1" si="66"/>
        <v>0</v>
      </c>
      <c r="O52" s="1131">
        <f t="shared" ca="1" si="66"/>
        <v>0</v>
      </c>
      <c r="P52" s="1131">
        <f t="shared" ca="1" si="1"/>
        <v>0</v>
      </c>
      <c r="Q52" s="1131"/>
      <c r="R52" s="1131"/>
      <c r="S52" s="1131">
        <f t="shared" ca="1" si="67"/>
        <v>0</v>
      </c>
      <c r="T52" s="1131">
        <f t="shared" ca="1" si="67"/>
        <v>0</v>
      </c>
      <c r="U52" s="1131">
        <f t="shared" ca="1" si="67"/>
        <v>0</v>
      </c>
      <c r="V52" s="1131">
        <f t="shared" ca="1" si="67"/>
        <v>0</v>
      </c>
      <c r="W52" s="1131">
        <f t="shared" ca="1" si="67"/>
        <v>0</v>
      </c>
      <c r="X52" s="1131">
        <f t="shared" ca="1" si="67"/>
        <v>0</v>
      </c>
      <c r="Y52" s="1131">
        <f t="shared" ca="1" si="67"/>
        <v>0</v>
      </c>
      <c r="Z52" s="1131">
        <f t="shared" ca="1" si="67"/>
        <v>0</v>
      </c>
      <c r="AA52" s="1131">
        <f t="shared" ca="1" si="67"/>
        <v>0</v>
      </c>
      <c r="AB52" s="1131">
        <f t="shared" ca="1" si="67"/>
        <v>0</v>
      </c>
      <c r="AC52" s="1131">
        <f t="shared" ca="1" si="3"/>
        <v>0</v>
      </c>
      <c r="AD52" s="1131"/>
      <c r="AE52" s="1131"/>
      <c r="AF52" s="1131">
        <f t="shared" ca="1" si="68"/>
        <v>0</v>
      </c>
      <c r="AG52" s="1131">
        <f t="shared" ca="1" si="68"/>
        <v>0</v>
      </c>
      <c r="AH52" s="1131">
        <f t="shared" ca="1" si="68"/>
        <v>0</v>
      </c>
      <c r="AI52" s="1131">
        <f t="shared" ca="1" si="68"/>
        <v>0</v>
      </c>
      <c r="AJ52" s="1131">
        <f t="shared" ca="1" si="68"/>
        <v>0</v>
      </c>
      <c r="AK52" s="1131">
        <f t="shared" ca="1" si="68"/>
        <v>0</v>
      </c>
      <c r="AL52" s="1131">
        <f t="shared" ca="1" si="68"/>
        <v>0</v>
      </c>
      <c r="AM52" s="1131">
        <f t="shared" ca="1" si="68"/>
        <v>0</v>
      </c>
      <c r="AN52" s="1131">
        <f t="shared" ca="1" si="68"/>
        <v>-2036.6114318898408</v>
      </c>
      <c r="AO52" s="1131">
        <f t="shared" ca="1" si="68"/>
        <v>0</v>
      </c>
      <c r="AP52" s="1131">
        <f t="shared" ca="1" si="5"/>
        <v>-2699.5752679281668</v>
      </c>
      <c r="AQ52" s="1131"/>
      <c r="AR52" s="1131"/>
      <c r="AS52" s="1131">
        <f t="shared" ca="1" si="6"/>
        <v>0</v>
      </c>
      <c r="AT52" s="1131">
        <f t="shared" ca="1" si="7"/>
        <v>0</v>
      </c>
      <c r="AU52" s="1131">
        <f t="shared" ca="1" si="8"/>
        <v>0</v>
      </c>
      <c r="AV52" s="1131">
        <f t="shared" ca="1" si="9"/>
        <v>0</v>
      </c>
      <c r="AW52" s="1131">
        <f t="shared" ca="1" si="10"/>
        <v>0</v>
      </c>
      <c r="AX52" s="1131">
        <f t="shared" ca="1" si="11"/>
        <v>0</v>
      </c>
      <c r="AY52" s="1131">
        <f t="shared" ca="1" si="12"/>
        <v>0</v>
      </c>
      <c r="AZ52" s="1131">
        <f t="shared" ca="1" si="13"/>
        <v>0</v>
      </c>
      <c r="BA52" s="1131">
        <f t="shared" ca="1" si="14"/>
        <v>-2036.6114318898408</v>
      </c>
      <c r="BB52" s="1131">
        <f t="shared" ca="1" si="20"/>
        <v>0</v>
      </c>
      <c r="BC52" s="1131">
        <f t="shared" ca="1" si="15"/>
        <v>-2699.5752679281668</v>
      </c>
      <c r="BD52" s="1131"/>
      <c r="BE52" s="1131"/>
      <c r="BF52" s="19">
        <f>'Global cost assumptions'!E73</f>
        <v>0.1</v>
      </c>
      <c r="BG52" s="1131">
        <f>'Global cost assumptions'!F73</f>
        <v>30</v>
      </c>
      <c r="BH52" s="1131"/>
      <c r="BI52" s="1131"/>
      <c r="BJ52" s="27">
        <f t="shared" ca="1" si="21"/>
        <v>0</v>
      </c>
      <c r="BK52" s="27">
        <f t="shared" ca="1" si="22"/>
        <v>0</v>
      </c>
      <c r="BL52" s="27">
        <f t="shared" ca="1" si="23"/>
        <v>0</v>
      </c>
      <c r="BM52" s="27">
        <f t="shared" ca="1" si="24"/>
        <v>0</v>
      </c>
      <c r="BN52" s="27">
        <f t="shared" ca="1" si="25"/>
        <v>0</v>
      </c>
      <c r="BO52" s="27">
        <f t="shared" ca="1" si="26"/>
        <v>0</v>
      </c>
      <c r="BP52" s="27">
        <f t="shared" ca="1" si="27"/>
        <v>0</v>
      </c>
      <c r="BQ52" s="27">
        <f t="shared" ca="1" si="28"/>
        <v>0</v>
      </c>
      <c r="BR52" s="27">
        <f t="shared" ca="1" si="29"/>
        <v>0</v>
      </c>
      <c r="BS52" s="27">
        <f t="shared" ca="1" si="30"/>
        <v>0</v>
      </c>
      <c r="BT52" s="1131"/>
      <c r="BU52" s="1131"/>
      <c r="BV52" s="1409">
        <f t="shared" ca="1" si="31"/>
        <v>0</v>
      </c>
      <c r="BW52" s="1917">
        <f t="shared" ca="1" si="32"/>
        <v>0</v>
      </c>
      <c r="BX52" s="1917">
        <f t="shared" ca="1" si="33"/>
        <v>0</v>
      </c>
      <c r="BY52" s="1917">
        <f t="shared" ca="1" si="34"/>
        <v>0</v>
      </c>
      <c r="BZ52" s="1917">
        <f t="shared" ca="1" si="35"/>
        <v>0</v>
      </c>
      <c r="CA52" s="1917">
        <f t="shared" ca="1" si="36"/>
        <v>0</v>
      </c>
      <c r="CB52" s="1917">
        <f t="shared" ca="1" si="37"/>
        <v>0</v>
      </c>
      <c r="CC52" s="1917">
        <f t="shared" ca="1" si="38"/>
        <v>0</v>
      </c>
      <c r="CD52" s="1917">
        <f t="shared" ca="1" si="39"/>
        <v>0</v>
      </c>
      <c r="CE52" s="1917">
        <f t="shared" ca="1" si="40"/>
        <v>0</v>
      </c>
      <c r="CF52" s="1131">
        <f t="shared" ca="1" si="17"/>
        <v>0</v>
      </c>
      <c r="CG52" s="1131"/>
      <c r="CH52" s="1131"/>
      <c r="CI52" s="1409">
        <f t="shared" ca="1" si="41"/>
        <v>0</v>
      </c>
      <c r="CJ52" s="1409">
        <f t="shared" ca="1" si="42"/>
        <v>0</v>
      </c>
      <c r="CK52" s="1409">
        <f t="shared" ca="1" si="43"/>
        <v>0</v>
      </c>
      <c r="CL52" s="1409">
        <f t="shared" ca="1" si="44"/>
        <v>0</v>
      </c>
      <c r="CM52" s="1409">
        <f t="shared" ca="1" si="45"/>
        <v>0</v>
      </c>
      <c r="CN52" s="1409">
        <f t="shared" ca="1" si="46"/>
        <v>0</v>
      </c>
      <c r="CO52" s="1409">
        <f t="shared" ca="1" si="47"/>
        <v>0</v>
      </c>
      <c r="CP52" s="1409">
        <f t="shared" ca="1" si="48"/>
        <v>0</v>
      </c>
      <c r="CQ52" s="1409">
        <f t="shared" ca="1" si="49"/>
        <v>-2036.6114318898408</v>
      </c>
      <c r="CR52" s="1409">
        <f t="shared" ca="1" si="50"/>
        <v>0</v>
      </c>
      <c r="CS52" s="1131">
        <f t="shared" ca="1" si="19"/>
        <v>-2699.5752679281668</v>
      </c>
    </row>
    <row r="53" spans="3:97">
      <c r="C53" s="1763" t="s">
        <v>981</v>
      </c>
      <c r="D53" s="1763" t="s">
        <v>980</v>
      </c>
      <c r="F53" s="1131">
        <f t="shared" ca="1" si="66"/>
        <v>0</v>
      </c>
      <c r="G53" s="1131">
        <f t="shared" ca="1" si="66"/>
        <v>0</v>
      </c>
      <c r="H53" s="1131">
        <f t="shared" ca="1" si="66"/>
        <v>0</v>
      </c>
      <c r="I53" s="1131">
        <f t="shared" ca="1" si="66"/>
        <v>0</v>
      </c>
      <c r="J53" s="1131">
        <f t="shared" ca="1" si="66"/>
        <v>0</v>
      </c>
      <c r="K53" s="1131">
        <f t="shared" ca="1" si="66"/>
        <v>0</v>
      </c>
      <c r="L53" s="1131">
        <f t="shared" ca="1" si="66"/>
        <v>0</v>
      </c>
      <c r="M53" s="1131">
        <f t="shared" ca="1" si="66"/>
        <v>0</v>
      </c>
      <c r="N53" s="1131">
        <f t="shared" ca="1" si="66"/>
        <v>0</v>
      </c>
      <c r="O53" s="1131">
        <f t="shared" ca="1" si="66"/>
        <v>0</v>
      </c>
      <c r="P53" s="1131">
        <f t="shared" ca="1" si="1"/>
        <v>0</v>
      </c>
      <c r="Q53" s="1131"/>
      <c r="R53" s="1131"/>
      <c r="S53" s="1131">
        <f t="shared" ca="1" si="67"/>
        <v>0</v>
      </c>
      <c r="T53" s="1131">
        <f t="shared" ca="1" si="67"/>
        <v>0</v>
      </c>
      <c r="U53" s="1131">
        <f t="shared" ca="1" si="67"/>
        <v>0</v>
      </c>
      <c r="V53" s="1131">
        <f t="shared" ca="1" si="67"/>
        <v>0</v>
      </c>
      <c r="W53" s="1131">
        <f t="shared" ca="1" si="67"/>
        <v>0</v>
      </c>
      <c r="X53" s="1131">
        <f t="shared" ca="1" si="67"/>
        <v>0</v>
      </c>
      <c r="Y53" s="1131">
        <f t="shared" ca="1" si="67"/>
        <v>0</v>
      </c>
      <c r="Z53" s="1131">
        <f t="shared" ca="1" si="67"/>
        <v>0</v>
      </c>
      <c r="AA53" s="1131">
        <f t="shared" ca="1" si="67"/>
        <v>0</v>
      </c>
      <c r="AB53" s="1131">
        <f t="shared" ca="1" si="67"/>
        <v>0</v>
      </c>
      <c r="AC53" s="1131">
        <f t="shared" ca="1" si="3"/>
        <v>0</v>
      </c>
      <c r="AD53" s="1131"/>
      <c r="AE53" s="1131"/>
      <c r="AF53" s="1131">
        <f t="shared" ca="1" si="68"/>
        <v>0</v>
      </c>
      <c r="AG53" s="1131">
        <f t="shared" ca="1" si="68"/>
        <v>0</v>
      </c>
      <c r="AH53" s="1131">
        <f t="shared" ca="1" si="68"/>
        <v>0</v>
      </c>
      <c r="AI53" s="1131">
        <f t="shared" ca="1" si="68"/>
        <v>0</v>
      </c>
      <c r="AJ53" s="1131">
        <f t="shared" ca="1" si="68"/>
        <v>0</v>
      </c>
      <c r="AK53" s="1131">
        <f t="shared" ca="1" si="68"/>
        <v>0</v>
      </c>
      <c r="AL53" s="1131">
        <f t="shared" ca="1" si="68"/>
        <v>0</v>
      </c>
      <c r="AM53" s="1131">
        <f t="shared" ca="1" si="68"/>
        <v>0</v>
      </c>
      <c r="AN53" s="1131">
        <f t="shared" ca="1" si="68"/>
        <v>0</v>
      </c>
      <c r="AO53" s="1131">
        <f t="shared" ca="1" si="68"/>
        <v>0</v>
      </c>
      <c r="AP53" s="1131">
        <f t="shared" ca="1" si="5"/>
        <v>0</v>
      </c>
      <c r="AQ53" s="1131"/>
      <c r="AR53" s="1131"/>
      <c r="AS53" s="1131">
        <f t="shared" ca="1" si="6"/>
        <v>0</v>
      </c>
      <c r="AT53" s="1131">
        <f t="shared" ca="1" si="7"/>
        <v>0</v>
      </c>
      <c r="AU53" s="1131">
        <f t="shared" ca="1" si="8"/>
        <v>0</v>
      </c>
      <c r="AV53" s="1131">
        <f t="shared" ca="1" si="9"/>
        <v>0</v>
      </c>
      <c r="AW53" s="1131">
        <f t="shared" ca="1" si="10"/>
        <v>0</v>
      </c>
      <c r="AX53" s="1131">
        <f t="shared" ca="1" si="11"/>
        <v>0</v>
      </c>
      <c r="AY53" s="1131">
        <f t="shared" ca="1" si="12"/>
        <v>0</v>
      </c>
      <c r="AZ53" s="1131">
        <f t="shared" ca="1" si="13"/>
        <v>0</v>
      </c>
      <c r="BA53" s="1131">
        <f t="shared" ca="1" si="14"/>
        <v>0</v>
      </c>
      <c r="BB53" s="1131">
        <f t="shared" ca="1" si="20"/>
        <v>0</v>
      </c>
      <c r="BC53" s="1131">
        <f t="shared" ca="1" si="15"/>
        <v>0</v>
      </c>
      <c r="BD53" s="1131"/>
      <c r="BE53" s="1131"/>
      <c r="BF53" s="19">
        <f>'Global cost assumptions'!E74</f>
        <v>0.1</v>
      </c>
      <c r="BG53" s="1131">
        <f>'Global cost assumptions'!F74</f>
        <v>30</v>
      </c>
      <c r="BH53" s="1131"/>
      <c r="BI53" s="1131"/>
      <c r="BJ53" s="27">
        <f t="shared" ca="1" si="21"/>
        <v>0</v>
      </c>
      <c r="BK53" s="27">
        <f t="shared" ca="1" si="22"/>
        <v>0</v>
      </c>
      <c r="BL53" s="27">
        <f t="shared" ca="1" si="23"/>
        <v>0</v>
      </c>
      <c r="BM53" s="27">
        <f t="shared" ca="1" si="24"/>
        <v>0</v>
      </c>
      <c r="BN53" s="27">
        <f t="shared" ca="1" si="25"/>
        <v>0</v>
      </c>
      <c r="BO53" s="27">
        <f t="shared" ca="1" si="26"/>
        <v>0</v>
      </c>
      <c r="BP53" s="27">
        <f t="shared" ca="1" si="27"/>
        <v>0</v>
      </c>
      <c r="BQ53" s="27">
        <f t="shared" ca="1" si="28"/>
        <v>0</v>
      </c>
      <c r="BR53" s="27">
        <f t="shared" ca="1" si="29"/>
        <v>0</v>
      </c>
      <c r="BS53" s="27">
        <f t="shared" ca="1" si="30"/>
        <v>0</v>
      </c>
      <c r="BT53" s="1131"/>
      <c r="BU53" s="1131"/>
      <c r="BV53" s="1409">
        <f t="shared" ca="1" si="31"/>
        <v>0</v>
      </c>
      <c r="BW53" s="1917">
        <f t="shared" ca="1" si="32"/>
        <v>0</v>
      </c>
      <c r="BX53" s="1917">
        <f t="shared" ca="1" si="33"/>
        <v>0</v>
      </c>
      <c r="BY53" s="1917">
        <f t="shared" ca="1" si="34"/>
        <v>0</v>
      </c>
      <c r="BZ53" s="1917">
        <f t="shared" ca="1" si="35"/>
        <v>0</v>
      </c>
      <c r="CA53" s="1917">
        <f t="shared" ca="1" si="36"/>
        <v>0</v>
      </c>
      <c r="CB53" s="1917">
        <f t="shared" ca="1" si="37"/>
        <v>0</v>
      </c>
      <c r="CC53" s="1917">
        <f t="shared" ca="1" si="38"/>
        <v>0</v>
      </c>
      <c r="CD53" s="1917">
        <f t="shared" ca="1" si="39"/>
        <v>0</v>
      </c>
      <c r="CE53" s="1917">
        <f t="shared" ca="1" si="40"/>
        <v>0</v>
      </c>
      <c r="CF53" s="1131">
        <f t="shared" ca="1" si="17"/>
        <v>0</v>
      </c>
      <c r="CG53" s="1131"/>
      <c r="CH53" s="1131"/>
      <c r="CI53" s="1409">
        <f t="shared" ca="1" si="41"/>
        <v>0</v>
      </c>
      <c r="CJ53" s="1409">
        <f t="shared" ca="1" si="42"/>
        <v>0</v>
      </c>
      <c r="CK53" s="1409">
        <f t="shared" ca="1" si="43"/>
        <v>0</v>
      </c>
      <c r="CL53" s="1409">
        <f t="shared" ca="1" si="44"/>
        <v>0</v>
      </c>
      <c r="CM53" s="1409">
        <f t="shared" ca="1" si="45"/>
        <v>0</v>
      </c>
      <c r="CN53" s="1409">
        <f t="shared" ca="1" si="46"/>
        <v>0</v>
      </c>
      <c r="CO53" s="1409">
        <f t="shared" ca="1" si="47"/>
        <v>0</v>
      </c>
      <c r="CP53" s="1409">
        <f t="shared" ca="1" si="48"/>
        <v>0</v>
      </c>
      <c r="CQ53" s="1409">
        <f t="shared" ca="1" si="49"/>
        <v>0</v>
      </c>
      <c r="CR53" s="1409">
        <f t="shared" ca="1" si="50"/>
        <v>0</v>
      </c>
      <c r="CS53" s="1131">
        <f t="shared" ca="1" si="19"/>
        <v>0</v>
      </c>
    </row>
    <row r="54" spans="3:97" s="1950" customFormat="1">
      <c r="C54" s="1950" t="s">
        <v>2183</v>
      </c>
      <c r="D54" s="1950" t="s">
        <v>2184</v>
      </c>
      <c r="F54" s="1131">
        <f t="shared" ca="1" si="66"/>
        <v>0</v>
      </c>
      <c r="G54" s="1131">
        <f t="shared" ca="1" si="66"/>
        <v>0</v>
      </c>
      <c r="H54" s="1131">
        <f t="shared" ca="1" si="66"/>
        <v>0</v>
      </c>
      <c r="I54" s="1131">
        <f t="shared" ca="1" si="66"/>
        <v>0</v>
      </c>
      <c r="J54" s="1131">
        <f t="shared" ca="1" si="66"/>
        <v>0</v>
      </c>
      <c r="K54" s="1131">
        <f t="shared" ca="1" si="66"/>
        <v>0</v>
      </c>
      <c r="L54" s="1131">
        <f t="shared" ca="1" si="66"/>
        <v>0</v>
      </c>
      <c r="M54" s="1131">
        <f t="shared" ca="1" si="66"/>
        <v>0</v>
      </c>
      <c r="N54" s="1131">
        <f t="shared" ca="1" si="66"/>
        <v>5.0649146398102847</v>
      </c>
      <c r="O54" s="1131">
        <f t="shared" ca="1" si="66"/>
        <v>0</v>
      </c>
      <c r="P54" s="1131">
        <f t="shared" ca="1" si="1"/>
        <v>6.7136607806975688</v>
      </c>
      <c r="Q54" s="1131"/>
      <c r="R54" s="1131"/>
      <c r="S54" s="1131">
        <f t="shared" ca="1" si="67"/>
        <v>0</v>
      </c>
      <c r="T54" s="1131">
        <f t="shared" ca="1" si="67"/>
        <v>0</v>
      </c>
      <c r="U54" s="1131">
        <f t="shared" ca="1" si="67"/>
        <v>0</v>
      </c>
      <c r="V54" s="1131">
        <f t="shared" ca="1" si="67"/>
        <v>0</v>
      </c>
      <c r="W54" s="1131">
        <f t="shared" ca="1" si="67"/>
        <v>0</v>
      </c>
      <c r="X54" s="1131">
        <f t="shared" ca="1" si="67"/>
        <v>0</v>
      </c>
      <c r="Y54" s="1131">
        <f t="shared" ca="1" si="67"/>
        <v>0</v>
      </c>
      <c r="Z54" s="1131">
        <f t="shared" ca="1" si="67"/>
        <v>0</v>
      </c>
      <c r="AA54" s="1131">
        <f t="shared" ca="1" si="67"/>
        <v>0</v>
      </c>
      <c r="AB54" s="1131">
        <f t="shared" ca="1" si="67"/>
        <v>0</v>
      </c>
      <c r="AC54" s="1131">
        <f t="shared" ca="1" si="3"/>
        <v>0</v>
      </c>
      <c r="AD54" s="1131"/>
      <c r="AE54" s="1131"/>
      <c r="AF54" s="1131">
        <f t="shared" ca="1" si="68"/>
        <v>0</v>
      </c>
      <c r="AG54" s="1131">
        <f t="shared" ca="1" si="68"/>
        <v>0</v>
      </c>
      <c r="AH54" s="1131">
        <f t="shared" ca="1" si="68"/>
        <v>0</v>
      </c>
      <c r="AI54" s="1131">
        <f t="shared" ca="1" si="68"/>
        <v>0</v>
      </c>
      <c r="AJ54" s="1131">
        <f t="shared" ca="1" si="68"/>
        <v>0</v>
      </c>
      <c r="AK54" s="1131">
        <f t="shared" ca="1" si="68"/>
        <v>0</v>
      </c>
      <c r="AL54" s="1131">
        <f t="shared" ca="1" si="68"/>
        <v>0</v>
      </c>
      <c r="AM54" s="1131">
        <f t="shared" ca="1" si="68"/>
        <v>0</v>
      </c>
      <c r="AN54" s="1131">
        <f t="shared" ca="1" si="68"/>
        <v>0</v>
      </c>
      <c r="AO54" s="1131">
        <f t="shared" ca="1" si="68"/>
        <v>0</v>
      </c>
      <c r="AP54" s="1131">
        <f t="shared" ca="1" si="5"/>
        <v>0</v>
      </c>
      <c r="AQ54" s="1131"/>
      <c r="AR54" s="1131"/>
      <c r="AS54" s="1131">
        <f t="shared" ca="1" si="6"/>
        <v>0</v>
      </c>
      <c r="AT54" s="1131">
        <f t="shared" ca="1" si="7"/>
        <v>0</v>
      </c>
      <c r="AU54" s="1131">
        <f t="shared" ca="1" si="8"/>
        <v>0</v>
      </c>
      <c r="AV54" s="1131">
        <f t="shared" ca="1" si="9"/>
        <v>0</v>
      </c>
      <c r="AW54" s="1131">
        <f t="shared" ca="1" si="10"/>
        <v>0</v>
      </c>
      <c r="AX54" s="1131">
        <f t="shared" ca="1" si="11"/>
        <v>0</v>
      </c>
      <c r="AY54" s="1131">
        <f t="shared" ca="1" si="12"/>
        <v>0</v>
      </c>
      <c r="AZ54" s="1131">
        <f t="shared" ca="1" si="13"/>
        <v>0</v>
      </c>
      <c r="BA54" s="1131">
        <f t="shared" ca="1" si="14"/>
        <v>5.0649146398102847</v>
      </c>
      <c r="BB54" s="1131">
        <f t="shared" ca="1" si="20"/>
        <v>0</v>
      </c>
      <c r="BC54" s="1131">
        <f t="shared" ca="1" si="15"/>
        <v>6.7136607806975688</v>
      </c>
      <c r="BD54" s="1131"/>
      <c r="BE54" s="1131"/>
      <c r="BF54" s="19">
        <f>'Global cost assumptions'!E75</f>
        <v>0.1</v>
      </c>
      <c r="BG54" s="1131">
        <f>'Global cost assumptions'!F75</f>
        <v>30</v>
      </c>
      <c r="BH54" s="1131"/>
      <c r="BI54" s="1131"/>
      <c r="BJ54" s="27">
        <f t="shared" ref="BJ54" ca="1" si="69">-PMT($BF54,$BG54,F54*3)</f>
        <v>0</v>
      </c>
      <c r="BK54" s="27">
        <f t="shared" ref="BK54" ca="1" si="70">-PMT($BF54,$BG54,G54*5)</f>
        <v>0</v>
      </c>
      <c r="BL54" s="27">
        <f t="shared" ref="BL54" ca="1" si="71">-PMT($BF54,$BG54,H54*5)</f>
        <v>0</v>
      </c>
      <c r="BM54" s="27">
        <f t="shared" ref="BM54" ca="1" si="72">-PMT($BF54,$BG54,I54*5)</f>
        <v>0</v>
      </c>
      <c r="BN54" s="27">
        <f t="shared" ref="BN54" ca="1" si="73">-PMT($BF54,$BG54,J54*5)</f>
        <v>0</v>
      </c>
      <c r="BO54" s="27">
        <f t="shared" ref="BO54" ca="1" si="74">-PMT($BF54,$BG54,K54*5)</f>
        <v>0</v>
      </c>
      <c r="BP54" s="27">
        <f t="shared" ref="BP54" ca="1" si="75">-PMT($BF54,$BG54,L54*5)</f>
        <v>0</v>
      </c>
      <c r="BQ54" s="27">
        <f t="shared" ref="BQ54" ca="1" si="76">-PMT($BF54,$BG54,M54*5)</f>
        <v>0</v>
      </c>
      <c r="BR54" s="27">
        <f t="shared" ref="BR54" ca="1" si="77">-PMT($BF54,$BG54,N54*5)</f>
        <v>2.6864116872741755</v>
      </c>
      <c r="BS54" s="27">
        <f t="shared" ca="1" si="30"/>
        <v>0</v>
      </c>
      <c r="BT54" s="1131"/>
      <c r="BU54" s="1131"/>
      <c r="BV54" s="1409">
        <f t="shared" ref="BV54" ca="1" si="78">BJ54</f>
        <v>0</v>
      </c>
      <c r="BW54" s="1917">
        <f t="shared" ref="BW54" ca="1" si="79">BK54+IF(BW$11-$BV$11&lt;$BG54,$BJ54,0)</f>
        <v>0</v>
      </c>
      <c r="BX54" s="1917">
        <f t="shared" ref="BX54" ca="1" si="80">BL54+IF(BX$11-$BV$11&lt;$BG54,$BJ54,0)+IF(BX$11-$BW$11&lt;$BG54,$BK54,0)</f>
        <v>0</v>
      </c>
      <c r="BY54" s="1917">
        <f t="shared" ref="BY54" ca="1" si="81">BM54+IF(BY$11-$BV$11&lt;$BG54,$BJ54,0)+IF(BY$11-$BW$11&lt;$BG54,$BK54,0)+IF(BY$11-$BX$11&lt;$BG54,$BL54,0)</f>
        <v>0</v>
      </c>
      <c r="BZ54" s="1917">
        <f t="shared" ref="BZ54" ca="1" si="82">BN54+IF(BZ$11-$BV$11&lt;$BG54,$BJ54,0)+IF(BZ$11-$BW$11&lt;$BG54,$BK54,0)+IF(BZ$11-$BX$11&lt;$BG54,$BL54,0)+IF(BZ$11-$BY$11&lt;$BG54,$BM54,0)</f>
        <v>0</v>
      </c>
      <c r="CA54" s="1917">
        <f t="shared" ref="CA54" ca="1" si="83">BO54+IF(CA$11-$BV$11&lt;$BG54,$BJ54,0)+IF(CA$11-$BW$11&lt;$BG54,$BK54,0)+IF(CA$11-$BX$11&lt;$BG54,$BL54,0)+IF(CA$11-$BY$11&lt;$BG54,$BM54,0)+IF(CA$11-$BZ$11&lt;$BG54,$BN54,0)</f>
        <v>0</v>
      </c>
      <c r="CB54" s="1917">
        <f t="shared" ref="CB54" ca="1" si="84">BP54+IF(CB$11-$BV$11&lt;$BG54,$BJ54,0)+IF(CB$11-$BW$11&lt;$BG54,$BK54,0)+IF(CB$11-$BX$11&lt;$BG54,$BL54,0)+IF(CB$11-$BY$11&lt;$BG54,$BM54,0)+IF(CB$11-$BZ$11&lt;$BG54,$BN54,0)+IF(CB$11-$CA$11&lt;$BG54,$BO54,0)</f>
        <v>0</v>
      </c>
      <c r="CC54" s="1917">
        <f t="shared" ref="CC54" ca="1" si="85">BQ54+IF(CC$11-$BV$11&lt;$BG54,$BJ54,0)+IF(CC$11-$BW$11&lt;$BG54,$BK54,0)+IF(CC$11-$BX$11&lt;$BG54,$BL54,0)+IF(CC$11-$BY$11&lt;$BG54,$BM54,0)+IF(CC$11-$BZ$11&lt;$BG54,$BN54,0)+IF(CC$11-$CA$11&lt;$BG54,$BO54,0)+IF(CC$11-$BZ$11&lt;$BG54,$BN54,0)+IF(CC$11-$CB$11&lt;$BG54,$BP54,0)</f>
        <v>0</v>
      </c>
      <c r="CD54" s="1917">
        <f t="shared" ref="CD54" ca="1" si="86">BR54+IF(CD$11-$BV$11&lt;$BG54,$BJ54,0)+IF(CD$11-$BW$11&lt;$BG54,$BK54,0)+IF(CD$11-$BX$11&lt;$BG54,$BL54,0)+IF(CD$11-$BY$11&lt;$BG54,$BM54,0)+IF(CD$11-$BZ$11&lt;$BG54,$BN54,0)+IF(CD$11-$CA$11&lt;$BG54,$BO54,0)+IF(CD$11-$BZ$11&lt;$BG54,$BN54,0)+IF(CD$11-$CB$11&lt;$BG54,$BP54,0)+IF(CD$11-$CC$11&lt;$BG54,$BQ54,0)</f>
        <v>2.6864116872741755</v>
      </c>
      <c r="CE54" s="1917">
        <f t="shared" ca="1" si="40"/>
        <v>0</v>
      </c>
      <c r="CF54" s="1131">
        <f t="shared" ca="1" si="17"/>
        <v>3.5609004431979474</v>
      </c>
      <c r="CG54" s="1131"/>
      <c r="CH54" s="1131"/>
      <c r="CI54" s="1409">
        <f t="shared" ref="CI54" ca="1" si="87">S54+AF54+BV54</f>
        <v>0</v>
      </c>
      <c r="CJ54" s="1409">
        <f t="shared" ref="CJ54" ca="1" si="88">T54+AG54+BW54</f>
        <v>0</v>
      </c>
      <c r="CK54" s="1409">
        <f t="shared" ref="CK54" ca="1" si="89">U54+AH54+BX54</f>
        <v>0</v>
      </c>
      <c r="CL54" s="1409">
        <f t="shared" ref="CL54" ca="1" si="90">V54+AI54+BY54</f>
        <v>0</v>
      </c>
      <c r="CM54" s="1409">
        <f t="shared" ref="CM54" ca="1" si="91">W54+AJ54+BZ54</f>
        <v>0</v>
      </c>
      <c r="CN54" s="1409">
        <f t="shared" ref="CN54" ca="1" si="92">X54+AK54+CA54</f>
        <v>0</v>
      </c>
      <c r="CO54" s="1409">
        <f t="shared" ref="CO54" ca="1" si="93">Y54+AL54+CB54</f>
        <v>0</v>
      </c>
      <c r="CP54" s="1409">
        <f t="shared" ref="CP54" ca="1" si="94">Z54+AM54+CC54</f>
        <v>0</v>
      </c>
      <c r="CQ54" s="1409">
        <f t="shared" ref="CQ54" ca="1" si="95">AA54+AN54+CD54</f>
        <v>2.6864116872741755</v>
      </c>
      <c r="CR54" s="1409">
        <f t="shared" ca="1" si="50"/>
        <v>0</v>
      </c>
      <c r="CS54" s="1131">
        <f t="shared" ca="1" si="19"/>
        <v>3.5609004431979474</v>
      </c>
    </row>
    <row r="55" spans="3:97">
      <c r="D55" s="530" t="s">
        <v>132</v>
      </c>
      <c r="F55" s="1131">
        <f t="shared" ref="F55:O55" ca="1" si="96">SUM(F12:F54)</f>
        <v>0</v>
      </c>
      <c r="G55" s="1131">
        <f t="shared" ca="1" si="96"/>
        <v>111.04849964106242</v>
      </c>
      <c r="H55" s="1131">
        <f t="shared" ca="1" si="96"/>
        <v>146.88</v>
      </c>
      <c r="I55" s="1131">
        <f t="shared" ca="1" si="96"/>
        <v>394.89556602211042</v>
      </c>
      <c r="J55" s="1131">
        <f t="shared" ca="1" si="96"/>
        <v>833.66841715778855</v>
      </c>
      <c r="K55" s="1131">
        <f t="shared" ca="1" si="96"/>
        <v>1096.9321278391958</v>
      </c>
      <c r="L55" s="1131">
        <f t="shared" ca="1" si="96"/>
        <v>1096.932127839196</v>
      </c>
      <c r="M55" s="1131">
        <f t="shared" ca="1" si="96"/>
        <v>1096.9321278391958</v>
      </c>
      <c r="N55" s="1131">
        <f t="shared" ca="1" si="96"/>
        <v>1101.997042479006</v>
      </c>
      <c r="O55" s="1131">
        <f t="shared" ca="1" si="96"/>
        <v>0</v>
      </c>
      <c r="P55" s="1131">
        <f t="shared" ca="1" si="1"/>
        <v>11682.743952769286</v>
      </c>
      <c r="Q55" s="1131"/>
      <c r="R55" s="1131"/>
      <c r="S55" s="1131">
        <f t="shared" ref="S55:AB55" ca="1" si="97">SUM(S12:S54)</f>
        <v>0</v>
      </c>
      <c r="T55" s="1131">
        <f t="shared" ca="1" si="97"/>
        <v>4.1021655786965088</v>
      </c>
      <c r="U55" s="1131">
        <f t="shared" ca="1" si="97"/>
        <v>5.7247953579939921</v>
      </c>
      <c r="V55" s="1131">
        <f t="shared" ca="1" si="97"/>
        <v>14.939319614547715</v>
      </c>
      <c r="W55" s="1131">
        <f t="shared" ca="1" si="97"/>
        <v>31.538563630711835</v>
      </c>
      <c r="X55" s="1131">
        <f t="shared" ca="1" si="97"/>
        <v>41.498110040410324</v>
      </c>
      <c r="Y55" s="1131">
        <f t="shared" ca="1" si="97"/>
        <v>41.498110040410332</v>
      </c>
      <c r="Z55" s="1131">
        <f t="shared" ca="1" si="97"/>
        <v>41.498110040410324</v>
      </c>
      <c r="AA55" s="1131">
        <f t="shared" ca="1" si="97"/>
        <v>41.852222743890394</v>
      </c>
      <c r="AB55" s="1131">
        <f t="shared" ca="1" si="97"/>
        <v>0</v>
      </c>
      <c r="AC55" s="1131">
        <f t="shared" ca="1" si="3"/>
        <v>442.36569978329533</v>
      </c>
      <c r="AD55" s="1131"/>
      <c r="AE55" s="1131"/>
      <c r="AF55" s="1131">
        <f t="shared" ref="AF55:AO55" ca="1" si="98">SUM(AF12:AF54)</f>
        <v>27540.929081955335</v>
      </c>
      <c r="AG55" s="1131">
        <f t="shared" ca="1" si="98"/>
        <v>22007.722634936428</v>
      </c>
      <c r="AH55" s="1131">
        <f t="shared" ca="1" si="98"/>
        <v>17183.854563237699</v>
      </c>
      <c r="AI55" s="1131">
        <f t="shared" ca="1" si="98"/>
        <v>13427.999441213289</v>
      </c>
      <c r="AJ55" s="1131">
        <f t="shared" ca="1" si="98"/>
        <v>10231.230507762652</v>
      </c>
      <c r="AK55" s="1131">
        <f t="shared" ca="1" si="98"/>
        <v>7982.46130777897</v>
      </c>
      <c r="AL55" s="1131">
        <f t="shared" ca="1" si="98"/>
        <v>6242.4065679944724</v>
      </c>
      <c r="AM55" s="1131">
        <f t="shared" ca="1" si="98"/>
        <v>4895.9853801427062</v>
      </c>
      <c r="AN55" s="1131">
        <f t="shared" ca="1" si="98"/>
        <v>1817.5388992470621</v>
      </c>
      <c r="AO55" s="1131">
        <f t="shared" ca="1" si="98"/>
        <v>0</v>
      </c>
      <c r="AP55" s="1131">
        <f t="shared" ca="1" si="5"/>
        <v>284826.37323361961</v>
      </c>
      <c r="AQ55" s="1131"/>
      <c r="AR55" s="1131"/>
      <c r="AS55" s="1131">
        <f t="shared" ref="AS55:BB55" ca="1" si="99">SUM(AS12:AS54)</f>
        <v>27540.929081955335</v>
      </c>
      <c r="AT55" s="1131">
        <f t="shared" ca="1" si="99"/>
        <v>22122.873300156189</v>
      </c>
      <c r="AU55" s="1131">
        <f t="shared" ca="1" si="99"/>
        <v>17336.459358595694</v>
      </c>
      <c r="AV55" s="1131">
        <f t="shared" ca="1" si="99"/>
        <v>13837.834326849947</v>
      </c>
      <c r="AW55" s="1131">
        <f t="shared" ca="1" si="99"/>
        <v>11096.437488551152</v>
      </c>
      <c r="AX55" s="1131">
        <f t="shared" ca="1" si="99"/>
        <v>9120.8915456585764</v>
      </c>
      <c r="AY55" s="1131">
        <f t="shared" ca="1" si="99"/>
        <v>7380.8368058740789</v>
      </c>
      <c r="AZ55" s="1131">
        <f t="shared" ca="1" si="99"/>
        <v>6034.4156180223126</v>
      </c>
      <c r="BA55" s="1131">
        <f t="shared" ca="1" si="99"/>
        <v>2961.3881644699591</v>
      </c>
      <c r="BB55" s="1131">
        <f t="shared" ca="1" si="99"/>
        <v>0</v>
      </c>
      <c r="BC55" s="1131">
        <f t="shared" ca="1" si="15"/>
        <v>296951.48288617219</v>
      </c>
      <c r="BD55" s="1131"/>
      <c r="BE55" s="1131"/>
      <c r="BF55" s="1131"/>
      <c r="BG55" s="1131"/>
      <c r="BH55" s="1131"/>
      <c r="BI55" s="1131"/>
      <c r="BJ55" s="1131">
        <f ca="1">SUM(BJ12:BJ53)</f>
        <v>0</v>
      </c>
      <c r="BK55" s="1131">
        <f t="shared" ref="BK55:BS55" ca="1" si="100">SUM(BK12:BK53)</f>
        <v>58.899706807533953</v>
      </c>
      <c r="BL55" s="1131">
        <f t="shared" ca="1" si="100"/>
        <v>77.904599916734355</v>
      </c>
      <c r="BM55" s="1131">
        <f t="shared" ca="1" si="100"/>
        <v>209.45112390961918</v>
      </c>
      <c r="BN55" s="1131">
        <f t="shared" ca="1" si="100"/>
        <v>442.17459492030724</v>
      </c>
      <c r="BO55" s="1131">
        <f t="shared" ca="1" si="100"/>
        <v>581.80867752672009</v>
      </c>
      <c r="BP55" s="1131">
        <f t="shared" ca="1" si="100"/>
        <v>581.8086775267202</v>
      </c>
      <c r="BQ55" s="1131">
        <f t="shared" ca="1" si="100"/>
        <v>581.80867752672009</v>
      </c>
      <c r="BR55" s="1131">
        <f t="shared" ca="1" si="100"/>
        <v>581.80867752672009</v>
      </c>
      <c r="BS55" s="1131">
        <f t="shared" ca="1" si="100"/>
        <v>0</v>
      </c>
      <c r="BT55" s="1131"/>
      <c r="BU55" s="1131"/>
      <c r="BV55" s="1131">
        <f ca="1">SUM(BV12:BV53)</f>
        <v>0</v>
      </c>
      <c r="BW55" s="1131">
        <f t="shared" ref="BW55:CE55" ca="1" si="101">SUM(BW12:BW53)</f>
        <v>58.899706807533953</v>
      </c>
      <c r="BX55" s="1131">
        <f t="shared" ca="1" si="101"/>
        <v>136.80430672426832</v>
      </c>
      <c r="BY55" s="1131">
        <f t="shared" ca="1" si="101"/>
        <v>346.2554306338875</v>
      </c>
      <c r="BZ55" s="1131">
        <f t="shared" ca="1" si="101"/>
        <v>788.4300255541948</v>
      </c>
      <c r="CA55" s="1131">
        <f t="shared" ca="1" si="101"/>
        <v>1370.2387030809148</v>
      </c>
      <c r="CB55" s="1131">
        <f t="shared" ca="1" si="101"/>
        <v>1952.0473806076352</v>
      </c>
      <c r="CC55" s="1131">
        <f t="shared" ca="1" si="101"/>
        <v>2917.1309462471286</v>
      </c>
      <c r="CD55" s="1131">
        <f t="shared" ca="1" si="101"/>
        <v>3421.0350238571145</v>
      </c>
      <c r="CE55" s="1131">
        <f t="shared" ca="1" si="101"/>
        <v>0</v>
      </c>
      <c r="CF55" s="1131">
        <f t="shared" ca="1" si="17"/>
        <v>19141.126046194426</v>
      </c>
      <c r="CG55" s="1131"/>
      <c r="CH55" s="1131"/>
      <c r="CI55" s="1131">
        <f ca="1">SUM(CI12:CI53)</f>
        <v>27540.929081955335</v>
      </c>
      <c r="CJ55" s="1131">
        <f t="shared" ref="CJ55:CR55" ca="1" si="102">SUM(CJ12:CJ53)</f>
        <v>22070.724507322659</v>
      </c>
      <c r="CK55" s="1131">
        <f t="shared" ca="1" si="102"/>
        <v>17326.383665319961</v>
      </c>
      <c r="CL55" s="1131">
        <f t="shared" ca="1" si="102"/>
        <v>13789.194191461724</v>
      </c>
      <c r="CM55" s="1131">
        <f t="shared" ca="1" si="102"/>
        <v>11051.199096947557</v>
      </c>
      <c r="CN55" s="1131">
        <f t="shared" ca="1" si="102"/>
        <v>9394.1981209002952</v>
      </c>
      <c r="CO55" s="1131">
        <f t="shared" ca="1" si="102"/>
        <v>8235.9520586425188</v>
      </c>
      <c r="CP55" s="1131">
        <f t="shared" ca="1" si="102"/>
        <v>7854.6144364302454</v>
      </c>
      <c r="CQ55" s="1131">
        <f t="shared" ca="1" si="102"/>
        <v>5280.4261458480678</v>
      </c>
      <c r="CR55" s="1131">
        <f t="shared" ca="1" si="102"/>
        <v>0</v>
      </c>
      <c r="CS55" s="1131">
        <f t="shared" ca="1" si="19"/>
        <v>304409.86497959727</v>
      </c>
    </row>
    <row r="57" spans="3:97">
      <c r="F57" s="21" t="s">
        <v>1953</v>
      </c>
      <c r="G57" s="1763" t="s">
        <v>1954</v>
      </c>
      <c r="S57" s="21" t="s">
        <v>1955</v>
      </c>
      <c r="T57" s="1763" t="s">
        <v>1956</v>
      </c>
      <c r="AF57" s="21" t="s">
        <v>1957</v>
      </c>
      <c r="AG57" s="1763" t="s">
        <v>1958</v>
      </c>
      <c r="AS57" s="21" t="s">
        <v>1959</v>
      </c>
      <c r="BF57" s="1975" t="s">
        <v>2143</v>
      </c>
      <c r="BG57" s="1975"/>
      <c r="BJ57" s="21" t="s">
        <v>2145</v>
      </c>
      <c r="BK57" s="1914"/>
      <c r="BL57" s="1914"/>
      <c r="BM57" s="1914"/>
      <c r="BN57" s="1914"/>
      <c r="BO57" s="1914"/>
      <c r="BP57" s="1914"/>
      <c r="BQ57" s="1914"/>
      <c r="BR57" s="1914"/>
      <c r="BV57" s="21" t="s">
        <v>2146</v>
      </c>
      <c r="BW57" s="1914"/>
      <c r="BX57" s="1914"/>
      <c r="BY57" s="1914"/>
      <c r="BZ57" s="1914"/>
      <c r="CA57" s="1914"/>
      <c r="CB57" s="1914"/>
      <c r="CC57" s="1914"/>
      <c r="CD57" s="1914"/>
      <c r="CF57" s="1914"/>
      <c r="CI57" s="21" t="s">
        <v>2147</v>
      </c>
      <c r="CJ57" s="1914"/>
      <c r="CK57" s="1914"/>
      <c r="CL57" s="1914"/>
      <c r="CM57" s="1914"/>
      <c r="CN57" s="1914"/>
      <c r="CO57" s="1914"/>
      <c r="CP57" s="1914"/>
      <c r="CQ57" s="1914"/>
      <c r="CS57" s="1914"/>
    </row>
    <row r="58" spans="3:97">
      <c r="D58" s="530" t="str">
        <f>Preferences.moneyunits</f>
        <v>£m</v>
      </c>
      <c r="E58" s="530"/>
      <c r="F58" s="530">
        <v>2010</v>
      </c>
      <c r="G58" s="530">
        <v>2015</v>
      </c>
      <c r="H58" s="530">
        <v>2020</v>
      </c>
      <c r="I58" s="530">
        <v>2025</v>
      </c>
      <c r="J58" s="530">
        <v>2030</v>
      </c>
      <c r="K58" s="530">
        <v>2035</v>
      </c>
      <c r="L58" s="530">
        <v>2040</v>
      </c>
      <c r="M58" s="530">
        <v>2045</v>
      </c>
      <c r="N58" s="530">
        <v>2050</v>
      </c>
      <c r="O58" s="609" t="s">
        <v>2201</v>
      </c>
      <c r="P58" s="609" t="s">
        <v>1951</v>
      </c>
      <c r="Q58" s="530"/>
      <c r="R58" s="530"/>
      <c r="S58" s="530">
        <v>2010</v>
      </c>
      <c r="T58" s="530">
        <v>2015</v>
      </c>
      <c r="U58" s="530">
        <v>2020</v>
      </c>
      <c r="V58" s="530">
        <v>2025</v>
      </c>
      <c r="W58" s="530">
        <v>2030</v>
      </c>
      <c r="X58" s="530">
        <v>2035</v>
      </c>
      <c r="Y58" s="530">
        <v>2040</v>
      </c>
      <c r="Z58" s="530">
        <v>2045</v>
      </c>
      <c r="AA58" s="530">
        <v>2050</v>
      </c>
      <c r="AB58" s="609" t="s">
        <v>2201</v>
      </c>
      <c r="AC58" s="609" t="s">
        <v>1951</v>
      </c>
      <c r="AD58" s="530"/>
      <c r="AE58" s="530"/>
      <c r="AF58" s="530">
        <v>2010</v>
      </c>
      <c r="AG58" s="530">
        <v>2015</v>
      </c>
      <c r="AH58" s="530">
        <v>2020</v>
      </c>
      <c r="AI58" s="530">
        <v>2025</v>
      </c>
      <c r="AJ58" s="530">
        <v>2030</v>
      </c>
      <c r="AK58" s="530">
        <v>2035</v>
      </c>
      <c r="AL58" s="530">
        <v>2040</v>
      </c>
      <c r="AM58" s="530">
        <v>2045</v>
      </c>
      <c r="AN58" s="530">
        <v>2050</v>
      </c>
      <c r="AO58" s="609" t="s">
        <v>2201</v>
      </c>
      <c r="AP58" s="609" t="s">
        <v>1951</v>
      </c>
      <c r="AQ58" s="530"/>
      <c r="AR58" s="530"/>
      <c r="AS58" s="530">
        <v>2010</v>
      </c>
      <c r="AT58" s="530">
        <v>2015</v>
      </c>
      <c r="AU58" s="530">
        <v>2020</v>
      </c>
      <c r="AV58" s="530">
        <v>2025</v>
      </c>
      <c r="AW58" s="530">
        <v>2030</v>
      </c>
      <c r="AX58" s="530">
        <v>2035</v>
      </c>
      <c r="AY58" s="530">
        <v>2040</v>
      </c>
      <c r="AZ58" s="530">
        <v>2045</v>
      </c>
      <c r="BA58" s="530">
        <v>2050</v>
      </c>
      <c r="BB58" s="609" t="s">
        <v>2201</v>
      </c>
      <c r="BC58" s="609" t="s">
        <v>1951</v>
      </c>
      <c r="BD58" s="1877"/>
      <c r="BE58" s="1877"/>
      <c r="BF58" s="1876" t="s">
        <v>2144</v>
      </c>
      <c r="BG58" s="1876" t="s">
        <v>2054</v>
      </c>
      <c r="BH58" s="1877"/>
      <c r="BI58" s="1877"/>
      <c r="BJ58" s="1877">
        <v>2010</v>
      </c>
      <c r="BK58" s="1877">
        <v>2015</v>
      </c>
      <c r="BL58" s="1877">
        <v>2020</v>
      </c>
      <c r="BM58" s="1877">
        <v>2025</v>
      </c>
      <c r="BN58" s="1877">
        <v>2030</v>
      </c>
      <c r="BO58" s="1877">
        <v>2035</v>
      </c>
      <c r="BP58" s="1877">
        <v>2040</v>
      </c>
      <c r="BQ58" s="1877">
        <v>2045</v>
      </c>
      <c r="BR58" s="1877">
        <v>2050</v>
      </c>
      <c r="BS58" s="1877"/>
      <c r="BT58" s="1877"/>
      <c r="BU58" s="1877"/>
      <c r="BV58" s="1877">
        <v>2010</v>
      </c>
      <c r="BW58" s="1877">
        <v>2015</v>
      </c>
      <c r="BX58" s="1877">
        <v>2020</v>
      </c>
      <c r="BY58" s="1877">
        <v>2025</v>
      </c>
      <c r="BZ58" s="1877">
        <v>2030</v>
      </c>
      <c r="CA58" s="1877">
        <v>2035</v>
      </c>
      <c r="CB58" s="1877">
        <v>2040</v>
      </c>
      <c r="CC58" s="1877">
        <v>2045</v>
      </c>
      <c r="CD58" s="1877">
        <v>2050</v>
      </c>
      <c r="CE58" s="609" t="s">
        <v>2201</v>
      </c>
      <c r="CF58" s="609" t="s">
        <v>1951</v>
      </c>
      <c r="CG58" s="1877"/>
      <c r="CH58" s="1877"/>
      <c r="CI58" s="1877">
        <v>2010</v>
      </c>
      <c r="CJ58" s="1877">
        <v>2015</v>
      </c>
      <c r="CK58" s="1877">
        <v>2020</v>
      </c>
      <c r="CL58" s="1877">
        <v>2025</v>
      </c>
      <c r="CM58" s="1877">
        <v>2030</v>
      </c>
      <c r="CN58" s="1877">
        <v>2035</v>
      </c>
      <c r="CO58" s="1877">
        <v>2040</v>
      </c>
      <c r="CP58" s="1877">
        <v>2045</v>
      </c>
      <c r="CQ58" s="1877">
        <v>2050</v>
      </c>
      <c r="CR58" s="609" t="s">
        <v>2201</v>
      </c>
      <c r="CS58" s="609" t="s">
        <v>1951</v>
      </c>
    </row>
    <row r="59" spans="3:97">
      <c r="C59" s="1763" t="s">
        <v>623</v>
      </c>
      <c r="D59" s="1763" t="s">
        <v>1524</v>
      </c>
      <c r="F59" s="1131">
        <f t="shared" ref="F59:O74" ca="1" si="103">IFERROR(INDEX(INDIRECT($C59&amp;".Costs["&amp;F$58&amp;"]"), MATCH($F$57, INDIRECT($C59&amp;".Costs[Vector]"), 0)),0)</f>
        <v>0</v>
      </c>
      <c r="G59" s="1131">
        <f t="shared" ca="1" si="103"/>
        <v>0</v>
      </c>
      <c r="H59" s="1131">
        <f t="shared" ca="1" si="103"/>
        <v>0</v>
      </c>
      <c r="I59" s="1131">
        <f t="shared" ca="1" si="103"/>
        <v>0</v>
      </c>
      <c r="J59" s="1131">
        <f t="shared" ca="1" si="103"/>
        <v>0</v>
      </c>
      <c r="K59" s="1131">
        <f t="shared" ca="1" si="103"/>
        <v>0</v>
      </c>
      <c r="L59" s="1131">
        <f t="shared" ca="1" si="103"/>
        <v>0</v>
      </c>
      <c r="M59" s="1131">
        <f t="shared" ca="1" si="103"/>
        <v>0</v>
      </c>
      <c r="N59" s="1131">
        <f t="shared" ca="1" si="103"/>
        <v>0</v>
      </c>
      <c r="O59" s="1131">
        <f t="shared" ca="1" si="103"/>
        <v>0</v>
      </c>
      <c r="P59" s="1131">
        <f t="shared" ref="P59:P102" ca="1" si="104">(SUMPRODUCT(G59:O59,discount_factors)*5)+F59</f>
        <v>0</v>
      </c>
      <c r="Q59" s="1131"/>
      <c r="R59" s="1131"/>
      <c r="S59" s="1131">
        <f t="shared" ref="S59:AB74" ca="1" si="105">IFERROR(INDEX(INDIRECT($C59&amp;".Costs["&amp;S$58&amp;"]"), MATCH($S$57, INDIRECT($C59&amp;".Costs[Vector]"), 0)),0)</f>
        <v>0</v>
      </c>
      <c r="T59" s="1131">
        <f t="shared" ca="1" si="105"/>
        <v>0</v>
      </c>
      <c r="U59" s="1131">
        <f t="shared" ca="1" si="105"/>
        <v>0</v>
      </c>
      <c r="V59" s="1131">
        <f t="shared" ca="1" si="105"/>
        <v>0</v>
      </c>
      <c r="W59" s="1131">
        <f t="shared" ca="1" si="105"/>
        <v>0</v>
      </c>
      <c r="X59" s="1131">
        <f t="shared" ca="1" si="105"/>
        <v>0</v>
      </c>
      <c r="Y59" s="1131">
        <f t="shared" ca="1" si="105"/>
        <v>0</v>
      </c>
      <c r="Z59" s="1131">
        <f t="shared" ca="1" si="105"/>
        <v>0</v>
      </c>
      <c r="AA59" s="1131">
        <f t="shared" ca="1" si="105"/>
        <v>0</v>
      </c>
      <c r="AB59" s="1131">
        <f t="shared" ca="1" si="105"/>
        <v>0</v>
      </c>
      <c r="AC59" s="1131">
        <f t="shared" ref="AC59:AC102" ca="1" si="106">(SUMPRODUCT(T59:AB59,discount_factors)*5)+S59</f>
        <v>0</v>
      </c>
      <c r="AD59" s="1131"/>
      <c r="AE59" s="1131"/>
      <c r="AF59" s="1131">
        <f t="shared" ref="AF59:AO74" ca="1" si="107">IFERROR(INDEX(INDIRECT($C59&amp;".Costs["&amp;AF$58&amp;"]"), MATCH($AF$57, INDIRECT($C59&amp;".Costs[Vector]"), 0)),0)</f>
        <v>0</v>
      </c>
      <c r="AG59" s="1131">
        <f t="shared" ca="1" si="107"/>
        <v>0</v>
      </c>
      <c r="AH59" s="1131">
        <f t="shared" ca="1" si="107"/>
        <v>0</v>
      </c>
      <c r="AI59" s="1131">
        <f t="shared" ca="1" si="107"/>
        <v>0</v>
      </c>
      <c r="AJ59" s="1131">
        <f t="shared" ca="1" si="107"/>
        <v>0</v>
      </c>
      <c r="AK59" s="1131">
        <f t="shared" ca="1" si="107"/>
        <v>0</v>
      </c>
      <c r="AL59" s="1131">
        <f t="shared" ca="1" si="107"/>
        <v>0</v>
      </c>
      <c r="AM59" s="1131">
        <f t="shared" ca="1" si="107"/>
        <v>0</v>
      </c>
      <c r="AN59" s="1131">
        <f t="shared" ca="1" si="107"/>
        <v>0</v>
      </c>
      <c r="AO59" s="1131">
        <f t="shared" ca="1" si="107"/>
        <v>0</v>
      </c>
      <c r="AP59" s="1131">
        <f t="shared" ref="AP59:AP102" ca="1" si="108">(SUMPRODUCT(AG59:AO59,discount_factors)*5)+AF59</f>
        <v>0</v>
      </c>
      <c r="AQ59" s="1131"/>
      <c r="AR59" s="1131"/>
      <c r="AS59" s="1131">
        <f t="shared" ref="AS59:AS90" ca="1" si="109">SUM(F59,S59,AF59)</f>
        <v>0</v>
      </c>
      <c r="AT59" s="1131">
        <f t="shared" ref="AT59:AT90" ca="1" si="110">SUM(G59,T59,AG59)</f>
        <v>0</v>
      </c>
      <c r="AU59" s="1131">
        <f t="shared" ref="AU59:AU90" ca="1" si="111">SUM(H59,U59,AH59)</f>
        <v>0</v>
      </c>
      <c r="AV59" s="1131">
        <f t="shared" ref="AV59:AV90" ca="1" si="112">SUM(I59,V59,AI59)</f>
        <v>0</v>
      </c>
      <c r="AW59" s="1131">
        <f t="shared" ref="AW59:AW90" ca="1" si="113">SUM(J59,W59,AJ59)</f>
        <v>0</v>
      </c>
      <c r="AX59" s="1131">
        <f t="shared" ref="AX59:AX90" ca="1" si="114">SUM(K59,X59,AK59)</f>
        <v>0</v>
      </c>
      <c r="AY59" s="1131">
        <f t="shared" ref="AY59:AY90" ca="1" si="115">SUM(L59,Y59,AL59)</f>
        <v>0</v>
      </c>
      <c r="AZ59" s="1131">
        <f t="shared" ref="AZ59:AZ90" ca="1" si="116">SUM(M59,Z59,AM59)</f>
        <v>0</v>
      </c>
      <c r="BA59" s="1131">
        <f t="shared" ref="BA59:BB90" ca="1" si="117">SUM(N59,AA59,AN59)</f>
        <v>0</v>
      </c>
      <c r="BB59" s="1131">
        <f t="shared" ca="1" si="117"/>
        <v>0</v>
      </c>
      <c r="BC59" s="1131">
        <f t="shared" ref="BC59:BC102" ca="1" si="118">(SUMPRODUCT(AT59:BB59,discount_factors)*5)+AS59</f>
        <v>0</v>
      </c>
      <c r="BD59" s="1131"/>
      <c r="BE59" s="1131"/>
      <c r="BF59" s="19">
        <f>'Global cost assumptions'!E33</f>
        <v>0.1</v>
      </c>
      <c r="BG59" s="1131">
        <f>'Global cost assumptions'!F33</f>
        <v>30</v>
      </c>
      <c r="BH59" s="1131"/>
      <c r="BI59" s="1131"/>
      <c r="BJ59" s="27">
        <f ca="1">-PMT($BF59,$BG59,F59*3)</f>
        <v>0</v>
      </c>
      <c r="BK59" s="27">
        <f ca="1">-PMT($BF59,$BG59,G59*5)</f>
        <v>0</v>
      </c>
      <c r="BL59" s="27">
        <f t="shared" ref="BL59:BL100" ca="1" si="119">-PMT($BF59,$BG59,H59*5)</f>
        <v>0</v>
      </c>
      <c r="BM59" s="27">
        <f t="shared" ref="BM59:BM100" ca="1" si="120">-PMT($BF59,$BG59,I59*5)</f>
        <v>0</v>
      </c>
      <c r="BN59" s="27">
        <f t="shared" ref="BN59:BN100" ca="1" si="121">-PMT($BF59,$BG59,J59*5)</f>
        <v>0</v>
      </c>
      <c r="BO59" s="27">
        <f t="shared" ref="BO59:BO100" ca="1" si="122">-PMT($BF59,$BG59,K59*5)</f>
        <v>0</v>
      </c>
      <c r="BP59" s="27">
        <f t="shared" ref="BP59:BP100" ca="1" si="123">-PMT($BF59,$BG59,L59*5)</f>
        <v>0</v>
      </c>
      <c r="BQ59" s="27">
        <f t="shared" ref="BQ59:BQ100" ca="1" si="124">-PMT($BF59,$BG59,M59*5)</f>
        <v>0</v>
      </c>
      <c r="BR59" s="27">
        <f t="shared" ref="BR59:BR100" ca="1" si="125">-PMT($BF59,$BG59,N59*5)</f>
        <v>0</v>
      </c>
      <c r="BS59" s="27"/>
      <c r="BT59" s="1131"/>
      <c r="BU59" s="1131"/>
      <c r="BV59" s="1409">
        <f ca="1">BJ59</f>
        <v>0</v>
      </c>
      <c r="BW59" s="1917">
        <f ca="1">BK59+IF(BW$11-$BV$11&lt;$BG59,$BJ59,0)</f>
        <v>0</v>
      </c>
      <c r="BX59" s="1917">
        <f ca="1">BL59+IF(BX$11-$BV$11&lt;$BG59,$BJ59,0)+IF(BX$11-$BW$11&lt;$BG59,$BK59,0)</f>
        <v>0</v>
      </c>
      <c r="BY59" s="1917">
        <f ca="1">BM59+IF(BY$11-$BV$11&lt;$BG59,$BJ59,0)+IF(BY$11-$BW$11&lt;$BG59,$BK59,0)+IF(BY$11-$BX$11&lt;$BG59,$BL59,0)</f>
        <v>0</v>
      </c>
      <c r="BZ59" s="1917">
        <f ca="1">BN59+IF(BZ$11-$BV$11&lt;$BG59,$BJ59,0)+IF(BZ$11-$BW$11&lt;$BG59,$BK59,0)+IF(BZ$11-$BX$11&lt;$BG59,$BL59,0)+IF(BZ$11-$BY$11&lt;$BG59,$BM59,0)</f>
        <v>0</v>
      </c>
      <c r="CA59" s="1917">
        <f ca="1">BO59+IF(CA$11-$BV$11&lt;$BG59,$BJ59,0)+IF(CA$11-$BW$11&lt;$BG59,$BK59,0)+IF(CA$11-$BX$11&lt;$BG59,$BL59,0)+IF(CA$11-$BY$11&lt;$BG59,$BM59,0)+IF(CA$11-$BZ$11&lt;$BG59,$BN59,0)</f>
        <v>0</v>
      </c>
      <c r="CB59" s="1917">
        <f ca="1">BP59+IF(CB$11-$BV$11&lt;$BG59,$BJ59,0)+IF(CB$11-$BW$11&lt;$BG59,$BK59,0)+IF(CB$11-$BX$11&lt;$BG59,$BL59,0)+IF(CB$11-$BY$11&lt;$BG59,$BM59,0)+IF(CB$11-$BZ$11&lt;$BG59,$BN59,0)+IF(CB$11-$CA$11&lt;$BG59,$BO59,0)</f>
        <v>0</v>
      </c>
      <c r="CC59" s="1917">
        <f ca="1">BQ59+IF(CC$11-$BV$11&lt;$BG59,$BJ59,0)+IF(CC$11-$BW$11&lt;$BG59,$BK59,0)+IF(CC$11-$BX$11&lt;$BG59,$BL59,0)+IF(CC$11-$BY$11&lt;$BG59,$BM59,0)+IF(CC$11-$BZ$11&lt;$BG59,$BN59,0)+IF(CC$11-$CA$11&lt;$BG59,$BO59,0)+IF(CC$11-$BZ$11&lt;$BG59,$BN59,0)+IF(CC$11-$CB$11&lt;$BG59,$BP59,0)</f>
        <v>0</v>
      </c>
      <c r="CD59" s="1917">
        <f ca="1">BR59+IF(CD$11-$BV$11&lt;$BG59,$BJ59,0)+IF(CD$11-$BW$11&lt;$BG59,$BK59,0)+IF(CD$11-$BX$11&lt;$BG59,$BL59,0)+IF(CD$11-$BY$11&lt;$BG59,$BM59,0)+IF(CD$11-$BZ$11&lt;$BG59,$BN59,0)+IF(CD$11-$CA$11&lt;$BG59,$BO59,0)+IF(CD$11-$BZ$11&lt;$BG59,$BN59,0)+IF(CD$11-$CB$11&lt;$BG59,$BP59,0)+IF(CD$11-$CC$11&lt;$BG59,$BQ59,0)</f>
        <v>0</v>
      </c>
      <c r="CE59" s="1917">
        <f>BS59</f>
        <v>0</v>
      </c>
      <c r="CF59" s="1131">
        <f t="shared" ref="CF59:CF102" ca="1" si="126">(SUMPRODUCT(BW59:CE59,discount_factors)*5)+BV59</f>
        <v>0</v>
      </c>
      <c r="CG59" s="1131"/>
      <c r="CH59" s="1131"/>
      <c r="CI59" s="1409">
        <f ca="1">S59+AF59+BV59</f>
        <v>0</v>
      </c>
      <c r="CJ59" s="1409">
        <f t="shared" ref="CJ59:CJ100" ca="1" si="127">T59+AG59+BW59</f>
        <v>0</v>
      </c>
      <c r="CK59" s="1409">
        <f t="shared" ref="CK59:CK100" ca="1" si="128">U59+AH59+BX59</f>
        <v>0</v>
      </c>
      <c r="CL59" s="1409">
        <f t="shared" ref="CL59:CL100" ca="1" si="129">V59+AI59+BY59</f>
        <v>0</v>
      </c>
      <c r="CM59" s="1409">
        <f t="shared" ref="CM59:CM100" ca="1" si="130">W59+AJ59+BZ59</f>
        <v>0</v>
      </c>
      <c r="CN59" s="1409">
        <f t="shared" ref="CN59:CN100" ca="1" si="131">X59+AK59+CA59</f>
        <v>0</v>
      </c>
      <c r="CO59" s="1409">
        <f t="shared" ref="CO59:CO100" ca="1" si="132">Y59+AL59+CB59</f>
        <v>0</v>
      </c>
      <c r="CP59" s="1409">
        <f t="shared" ref="CP59:CP100" ca="1" si="133">Z59+AM59+CC59</f>
        <v>0</v>
      </c>
      <c r="CQ59" s="1409">
        <f t="shared" ref="CQ59:CR100" ca="1" si="134">AA59+AN59+CD59</f>
        <v>0</v>
      </c>
      <c r="CR59" s="1409">
        <f t="shared" ca="1" si="134"/>
        <v>0</v>
      </c>
      <c r="CS59" s="1131">
        <f t="shared" ref="CS59:CS102" ca="1" si="135">(SUMPRODUCT(CJ59:CR59,discount_factors)*5)+CI59</f>
        <v>0</v>
      </c>
    </row>
    <row r="60" spans="3:97">
      <c r="C60" s="1763" t="s">
        <v>679</v>
      </c>
      <c r="D60" s="1763" t="s">
        <v>1033</v>
      </c>
      <c r="F60" s="1131">
        <f t="shared" ca="1" si="103"/>
        <v>0</v>
      </c>
      <c r="G60" s="1131">
        <f t="shared" ca="1" si="103"/>
        <v>495.61599999999993</v>
      </c>
      <c r="H60" s="1131">
        <f t="shared" ca="1" si="103"/>
        <v>734.94399999999996</v>
      </c>
      <c r="I60" s="1131">
        <f t="shared" ca="1" si="103"/>
        <v>1855.8624268799995</v>
      </c>
      <c r="J60" s="1131">
        <f t="shared" ca="1" si="103"/>
        <v>3917.9317900799983</v>
      </c>
      <c r="K60" s="1131">
        <f t="shared" ca="1" si="103"/>
        <v>5155.1734079999997</v>
      </c>
      <c r="L60" s="1131">
        <f t="shared" ca="1" si="103"/>
        <v>5155.1734080000006</v>
      </c>
      <c r="M60" s="1131">
        <f t="shared" ca="1" si="103"/>
        <v>5155.1734079999987</v>
      </c>
      <c r="N60" s="1131">
        <f t="shared" ca="1" si="103"/>
        <v>5155.1734079999987</v>
      </c>
      <c r="O60" s="1131">
        <f t="shared" ca="1" si="103"/>
        <v>0</v>
      </c>
      <c r="P60" s="1131">
        <f t="shared" ca="1" si="104"/>
        <v>54920.718492680091</v>
      </c>
      <c r="Q60" s="1131"/>
      <c r="R60" s="1131"/>
      <c r="S60" s="1131">
        <f t="shared" ca="1" si="105"/>
        <v>0</v>
      </c>
      <c r="T60" s="1131">
        <f t="shared" ca="1" si="105"/>
        <v>15.339999999999998</v>
      </c>
      <c r="U60" s="1131">
        <f t="shared" ca="1" si="105"/>
        <v>20.740000000000002</v>
      </c>
      <c r="V60" s="1131">
        <f t="shared" ca="1" si="105"/>
        <v>55.079783999999989</v>
      </c>
      <c r="W60" s="1131">
        <f t="shared" ca="1" si="105"/>
        <v>116.27954399999996</v>
      </c>
      <c r="X60" s="1131">
        <f t="shared" ca="1" si="105"/>
        <v>152.99939999999998</v>
      </c>
      <c r="Y60" s="1131">
        <f t="shared" ca="1" si="105"/>
        <v>152.99940000000001</v>
      </c>
      <c r="Z60" s="1131">
        <f t="shared" ca="1" si="105"/>
        <v>152.99939999999998</v>
      </c>
      <c r="AA60" s="1131">
        <f t="shared" ca="1" si="105"/>
        <v>152.99939999999998</v>
      </c>
      <c r="AB60" s="1131">
        <f t="shared" ca="1" si="105"/>
        <v>0</v>
      </c>
      <c r="AC60" s="1131">
        <f t="shared" ca="1" si="106"/>
        <v>1628.8359045589846</v>
      </c>
      <c r="AD60" s="1131"/>
      <c r="AE60" s="1131"/>
      <c r="AF60" s="1131">
        <f t="shared" ca="1" si="107"/>
        <v>0</v>
      </c>
      <c r="AG60" s="1131">
        <f t="shared" ca="1" si="107"/>
        <v>0</v>
      </c>
      <c r="AH60" s="1131">
        <f t="shared" ca="1" si="107"/>
        <v>0</v>
      </c>
      <c r="AI60" s="1131">
        <f t="shared" ca="1" si="107"/>
        <v>0</v>
      </c>
      <c r="AJ60" s="1131">
        <f t="shared" ca="1" si="107"/>
        <v>0</v>
      </c>
      <c r="AK60" s="1131">
        <f t="shared" ca="1" si="107"/>
        <v>0</v>
      </c>
      <c r="AL60" s="1131">
        <f t="shared" ca="1" si="107"/>
        <v>0</v>
      </c>
      <c r="AM60" s="1131">
        <f t="shared" ca="1" si="107"/>
        <v>0</v>
      </c>
      <c r="AN60" s="1131">
        <f t="shared" ca="1" si="107"/>
        <v>0</v>
      </c>
      <c r="AO60" s="1131">
        <f t="shared" ca="1" si="107"/>
        <v>0</v>
      </c>
      <c r="AP60" s="1131">
        <f t="shared" ca="1" si="108"/>
        <v>0</v>
      </c>
      <c r="AQ60" s="1131"/>
      <c r="AR60" s="1131"/>
      <c r="AS60" s="1131">
        <f t="shared" ca="1" si="109"/>
        <v>0</v>
      </c>
      <c r="AT60" s="1131">
        <f t="shared" ca="1" si="110"/>
        <v>510.9559999999999</v>
      </c>
      <c r="AU60" s="1131">
        <f t="shared" ca="1" si="111"/>
        <v>755.68399999999997</v>
      </c>
      <c r="AV60" s="1131">
        <f t="shared" ca="1" si="112"/>
        <v>1910.9422108799995</v>
      </c>
      <c r="AW60" s="1131">
        <f t="shared" ca="1" si="113"/>
        <v>4034.2113340799983</v>
      </c>
      <c r="AX60" s="1131">
        <f t="shared" ca="1" si="114"/>
        <v>5308.1728079999993</v>
      </c>
      <c r="AY60" s="1131">
        <f t="shared" ca="1" si="115"/>
        <v>5308.1728080000003</v>
      </c>
      <c r="AZ60" s="1131">
        <f t="shared" ca="1" si="116"/>
        <v>5308.1728079999984</v>
      </c>
      <c r="BA60" s="1131">
        <f t="shared" ca="1" si="117"/>
        <v>5308.1728079999984</v>
      </c>
      <c r="BB60" s="1131">
        <f t="shared" ref="BB60:BB101" ca="1" si="136">SUM(O60,AB60,AO60)</f>
        <v>0</v>
      </c>
      <c r="BC60" s="1131">
        <f t="shared" ca="1" si="118"/>
        <v>56549.554397239081</v>
      </c>
      <c r="BD60" s="1131"/>
      <c r="BE60" s="1131"/>
      <c r="BF60" s="19">
        <f>'Global cost assumptions'!E34</f>
        <v>0.1</v>
      </c>
      <c r="BG60" s="1131">
        <f>'Global cost assumptions'!F34</f>
        <v>30</v>
      </c>
      <c r="BH60" s="1131"/>
      <c r="BI60" s="1131"/>
      <c r="BJ60" s="27">
        <f t="shared" ref="BJ60:BJ100" ca="1" si="137">-PMT($BF60,$BG60,F60*3)</f>
        <v>0</v>
      </c>
      <c r="BK60" s="27">
        <f t="shared" ref="BK60:BK100" ca="1" si="138">-PMT($BF60,$BG60,G60*5)</f>
        <v>262.87286350988705</v>
      </c>
      <c r="BL60" s="27">
        <f t="shared" ca="1" si="119"/>
        <v>389.81153513891894</v>
      </c>
      <c r="BM60" s="27">
        <f t="shared" ca="1" si="120"/>
        <v>984.34245551869571</v>
      </c>
      <c r="BN60" s="27">
        <f t="shared" ca="1" si="121"/>
        <v>2078.0562949839127</v>
      </c>
      <c r="BO60" s="27">
        <f t="shared" ca="1" si="122"/>
        <v>2734.2845986630441</v>
      </c>
      <c r="BP60" s="27">
        <f t="shared" ca="1" si="123"/>
        <v>2734.284598663045</v>
      </c>
      <c r="BQ60" s="27">
        <f t="shared" ca="1" si="124"/>
        <v>2734.2845986630437</v>
      </c>
      <c r="BR60" s="27">
        <f t="shared" ca="1" si="125"/>
        <v>2734.2845986630437</v>
      </c>
      <c r="BS60" s="27"/>
      <c r="BT60" s="1131"/>
      <c r="BU60" s="1131"/>
      <c r="BV60" s="1409">
        <f t="shared" ref="BV60:BV100" ca="1" si="139">BJ60</f>
        <v>0</v>
      </c>
      <c r="BW60" s="1917">
        <f t="shared" ref="BW60:BW100" ca="1" si="140">BK60+IF(BW$11-$BV$11&lt;$BG60,$BJ60,0)</f>
        <v>262.87286350988705</v>
      </c>
      <c r="BX60" s="1917">
        <f t="shared" ref="BX60:BX100" ca="1" si="141">BL60+IF(BX$11-$BV$11&lt;$BG60,$BJ60,0)+IF(BX$11-$BW$11&lt;$BG60,$BK60,0)</f>
        <v>652.684398648806</v>
      </c>
      <c r="BY60" s="1917">
        <f t="shared" ref="BY60:BY100" ca="1" si="142">BM60+IF(BY$11-$BV$11&lt;$BG60,$BJ60,0)+IF(BY$11-$BW$11&lt;$BG60,$BK60,0)+IF(BY$11-$BX$11&lt;$BG60,$BL60,0)</f>
        <v>1637.0268541675018</v>
      </c>
      <c r="BZ60" s="1917">
        <f t="shared" ref="BZ60:BZ100" ca="1" si="143">BN60+IF(BZ$11-$BV$11&lt;$BG60,$BJ60,0)+IF(BZ$11-$BW$11&lt;$BG60,$BK60,0)+IF(BZ$11-$BX$11&lt;$BG60,$BL60,0)+IF(BZ$11-$BY$11&lt;$BG60,$BM60,0)</f>
        <v>3715.0831491514141</v>
      </c>
      <c r="CA60" s="1917">
        <f t="shared" ref="CA60:CA100" ca="1" si="144">BO60+IF(CA$11-$BV$11&lt;$BG60,$BJ60,0)+IF(CA$11-$BW$11&lt;$BG60,$BK60,0)+IF(CA$11-$BX$11&lt;$BG60,$BL60,0)+IF(CA$11-$BY$11&lt;$BG60,$BM60,0)+IF(CA$11-$BZ$11&lt;$BG60,$BN60,0)</f>
        <v>6449.3677478144582</v>
      </c>
      <c r="CB60" s="1917">
        <f t="shared" ref="CB60:CB100" ca="1" si="145">BP60+IF(CB$11-$BV$11&lt;$BG60,$BJ60,0)+IF(CB$11-$BW$11&lt;$BG60,$BK60,0)+IF(CB$11-$BX$11&lt;$BG60,$BL60,0)+IF(CB$11-$BY$11&lt;$BG60,$BM60,0)+IF(CB$11-$BZ$11&lt;$BG60,$BN60,0)+IF(CB$11-$CA$11&lt;$BG60,$BO60,0)</f>
        <v>9183.6523464775037</v>
      </c>
      <c r="CC60" s="1917">
        <f t="shared" ref="CC60:CC100" ca="1" si="146">BQ60+IF(CC$11-$BV$11&lt;$BG60,$BJ60,0)+IF(CC$11-$BW$11&lt;$BG60,$BK60,0)+IF(CC$11-$BX$11&lt;$BG60,$BL60,0)+IF(CC$11-$BY$11&lt;$BG60,$BM60,0)+IF(CC$11-$BZ$11&lt;$BG60,$BN60,0)+IF(CC$11-$CA$11&lt;$BG60,$BO60,0)+IF(CC$11-$BZ$11&lt;$BG60,$BN60,0)+IF(CC$11-$CB$11&lt;$BG60,$BP60,0)</f>
        <v>13733.120376614574</v>
      </c>
      <c r="CD60" s="1917">
        <f t="shared" ref="CD60:CD100" ca="1" si="147">BR60+IF(CD$11-$BV$11&lt;$BG60,$BJ60,0)+IF(CD$11-$BW$11&lt;$BG60,$BK60,0)+IF(CD$11-$BX$11&lt;$BG60,$BL60,0)+IF(CD$11-$BY$11&lt;$BG60,$BM60,0)+IF(CD$11-$BZ$11&lt;$BG60,$BN60,0)+IF(CD$11-$CA$11&lt;$BG60,$BO60,0)+IF(CD$11-$BZ$11&lt;$BG60,$BN60,0)+IF(CD$11-$CB$11&lt;$BG60,$BP60,0)+IF(CD$11-$CC$11&lt;$BG60,$BQ60,0)</f>
        <v>16077.593440138698</v>
      </c>
      <c r="CE60" s="1917">
        <f t="shared" ref="CE60:CE101" si="148">BS60</f>
        <v>0</v>
      </c>
      <c r="CF60" s="1131">
        <f t="shared" ca="1" si="126"/>
        <v>90060.141524852501</v>
      </c>
      <c r="CG60" s="1131"/>
      <c r="CH60" s="1131"/>
      <c r="CI60" s="1409">
        <f t="shared" ref="CI60:CI100" ca="1" si="149">S60+AF60+BV60</f>
        <v>0</v>
      </c>
      <c r="CJ60" s="1409">
        <f t="shared" ca="1" si="127"/>
        <v>278.21286350988703</v>
      </c>
      <c r="CK60" s="1409">
        <f t="shared" ca="1" si="128"/>
        <v>673.424398648806</v>
      </c>
      <c r="CL60" s="1409">
        <f t="shared" ca="1" si="129"/>
        <v>1692.1066381675018</v>
      </c>
      <c r="CM60" s="1409">
        <f t="shared" ca="1" si="130"/>
        <v>3831.3626931514141</v>
      </c>
      <c r="CN60" s="1409">
        <f t="shared" ca="1" si="131"/>
        <v>6602.3671478144579</v>
      </c>
      <c r="CO60" s="1409">
        <f t="shared" ca="1" si="132"/>
        <v>9336.6517464775043</v>
      </c>
      <c r="CP60" s="1409">
        <f t="shared" ca="1" si="133"/>
        <v>13886.119776614574</v>
      </c>
      <c r="CQ60" s="1409">
        <f t="shared" ca="1" si="134"/>
        <v>16230.592840138699</v>
      </c>
      <c r="CR60" s="1409">
        <f t="shared" ref="CR60:CR101" ca="1" si="150">AB60+AO60+CE60</f>
        <v>0</v>
      </c>
      <c r="CS60" s="1131">
        <f t="shared" ca="1" si="135"/>
        <v>91688.977429411476</v>
      </c>
    </row>
    <row r="61" spans="3:97">
      <c r="C61" s="1763" t="s">
        <v>635</v>
      </c>
      <c r="D61" s="1763" t="s">
        <v>1026</v>
      </c>
      <c r="F61" s="1131">
        <f t="shared" ca="1" si="103"/>
        <v>0</v>
      </c>
      <c r="G61" s="1131">
        <f t="shared" ca="1" si="103"/>
        <v>0</v>
      </c>
      <c r="H61" s="1131">
        <f t="shared" ca="1" si="103"/>
        <v>0</v>
      </c>
      <c r="I61" s="1131">
        <f t="shared" ca="1" si="103"/>
        <v>0</v>
      </c>
      <c r="J61" s="1131">
        <f t="shared" ca="1" si="103"/>
        <v>0</v>
      </c>
      <c r="K61" s="1131">
        <f t="shared" ca="1" si="103"/>
        <v>0</v>
      </c>
      <c r="L61" s="1131">
        <f t="shared" ca="1" si="103"/>
        <v>0</v>
      </c>
      <c r="M61" s="1131">
        <f t="shared" ca="1" si="103"/>
        <v>0</v>
      </c>
      <c r="N61" s="1131">
        <f t="shared" ca="1" si="103"/>
        <v>0</v>
      </c>
      <c r="O61" s="1131">
        <f t="shared" ca="1" si="103"/>
        <v>0</v>
      </c>
      <c r="P61" s="1131">
        <f t="shared" ca="1" si="104"/>
        <v>0</v>
      </c>
      <c r="Q61" s="1131"/>
      <c r="R61" s="1131"/>
      <c r="S61" s="1131">
        <f t="shared" ca="1" si="105"/>
        <v>0</v>
      </c>
      <c r="T61" s="1131">
        <f t="shared" ca="1" si="105"/>
        <v>0</v>
      </c>
      <c r="U61" s="1131">
        <f t="shared" ca="1" si="105"/>
        <v>0</v>
      </c>
      <c r="V61" s="1131">
        <f t="shared" ca="1" si="105"/>
        <v>0</v>
      </c>
      <c r="W61" s="1131">
        <f t="shared" ca="1" si="105"/>
        <v>0</v>
      </c>
      <c r="X61" s="1131">
        <f t="shared" ca="1" si="105"/>
        <v>0</v>
      </c>
      <c r="Y61" s="1131">
        <f t="shared" ca="1" si="105"/>
        <v>0</v>
      </c>
      <c r="Z61" s="1131">
        <f t="shared" ca="1" si="105"/>
        <v>0</v>
      </c>
      <c r="AA61" s="1131">
        <f t="shared" ca="1" si="105"/>
        <v>0</v>
      </c>
      <c r="AB61" s="1131">
        <f t="shared" ca="1" si="105"/>
        <v>0</v>
      </c>
      <c r="AC61" s="1131">
        <f t="shared" ca="1" si="106"/>
        <v>0</v>
      </c>
      <c r="AD61" s="1131"/>
      <c r="AE61" s="1131"/>
      <c r="AF61" s="1131">
        <f t="shared" ca="1" si="107"/>
        <v>0</v>
      </c>
      <c r="AG61" s="1131">
        <f t="shared" ca="1" si="107"/>
        <v>0</v>
      </c>
      <c r="AH61" s="1131">
        <f t="shared" ca="1" si="107"/>
        <v>0</v>
      </c>
      <c r="AI61" s="1131">
        <f t="shared" ca="1" si="107"/>
        <v>0</v>
      </c>
      <c r="AJ61" s="1131">
        <f t="shared" ca="1" si="107"/>
        <v>0</v>
      </c>
      <c r="AK61" s="1131">
        <f t="shared" ca="1" si="107"/>
        <v>0</v>
      </c>
      <c r="AL61" s="1131">
        <f t="shared" ca="1" si="107"/>
        <v>0</v>
      </c>
      <c r="AM61" s="1131">
        <f t="shared" ca="1" si="107"/>
        <v>0</v>
      </c>
      <c r="AN61" s="1131">
        <f t="shared" ca="1" si="107"/>
        <v>0</v>
      </c>
      <c r="AO61" s="1131">
        <f t="shared" ca="1" si="107"/>
        <v>0</v>
      </c>
      <c r="AP61" s="1131">
        <f t="shared" ca="1" si="108"/>
        <v>0</v>
      </c>
      <c r="AQ61" s="1131"/>
      <c r="AR61" s="1131"/>
      <c r="AS61" s="1131">
        <f t="shared" ca="1" si="109"/>
        <v>0</v>
      </c>
      <c r="AT61" s="1131">
        <f t="shared" ca="1" si="110"/>
        <v>0</v>
      </c>
      <c r="AU61" s="1131">
        <f t="shared" ca="1" si="111"/>
        <v>0</v>
      </c>
      <c r="AV61" s="1131">
        <f t="shared" ca="1" si="112"/>
        <v>0</v>
      </c>
      <c r="AW61" s="1131">
        <f t="shared" ca="1" si="113"/>
        <v>0</v>
      </c>
      <c r="AX61" s="1131">
        <f t="shared" ca="1" si="114"/>
        <v>0</v>
      </c>
      <c r="AY61" s="1131">
        <f t="shared" ca="1" si="115"/>
        <v>0</v>
      </c>
      <c r="AZ61" s="1131">
        <f t="shared" ca="1" si="116"/>
        <v>0</v>
      </c>
      <c r="BA61" s="1131">
        <f t="shared" ca="1" si="117"/>
        <v>0</v>
      </c>
      <c r="BB61" s="1131">
        <f t="shared" ca="1" si="136"/>
        <v>0</v>
      </c>
      <c r="BC61" s="1131">
        <f t="shared" ca="1" si="118"/>
        <v>0</v>
      </c>
      <c r="BD61" s="1131"/>
      <c r="BE61" s="1131"/>
      <c r="BF61" s="19">
        <f>'Global cost assumptions'!E35</f>
        <v>0.1</v>
      </c>
      <c r="BG61" s="1131">
        <f>'Global cost assumptions'!F35</f>
        <v>30</v>
      </c>
      <c r="BH61" s="1131"/>
      <c r="BI61" s="1131"/>
      <c r="BJ61" s="27">
        <f t="shared" ca="1" si="137"/>
        <v>0</v>
      </c>
      <c r="BK61" s="27">
        <f t="shared" ca="1" si="138"/>
        <v>0</v>
      </c>
      <c r="BL61" s="27">
        <f t="shared" ca="1" si="119"/>
        <v>0</v>
      </c>
      <c r="BM61" s="27">
        <f t="shared" ca="1" si="120"/>
        <v>0</v>
      </c>
      <c r="BN61" s="27">
        <f t="shared" ca="1" si="121"/>
        <v>0</v>
      </c>
      <c r="BO61" s="27">
        <f t="shared" ca="1" si="122"/>
        <v>0</v>
      </c>
      <c r="BP61" s="27">
        <f t="shared" ca="1" si="123"/>
        <v>0</v>
      </c>
      <c r="BQ61" s="27">
        <f t="shared" ca="1" si="124"/>
        <v>0</v>
      </c>
      <c r="BR61" s="27">
        <f t="shared" ca="1" si="125"/>
        <v>0</v>
      </c>
      <c r="BS61" s="27"/>
      <c r="BT61" s="1131"/>
      <c r="BU61" s="1131"/>
      <c r="BV61" s="1409">
        <f t="shared" ca="1" si="139"/>
        <v>0</v>
      </c>
      <c r="BW61" s="1917">
        <f t="shared" ca="1" si="140"/>
        <v>0</v>
      </c>
      <c r="BX61" s="1917">
        <f t="shared" ca="1" si="141"/>
        <v>0</v>
      </c>
      <c r="BY61" s="1917">
        <f t="shared" ca="1" si="142"/>
        <v>0</v>
      </c>
      <c r="BZ61" s="1917">
        <f t="shared" ca="1" si="143"/>
        <v>0</v>
      </c>
      <c r="CA61" s="1917">
        <f t="shared" ca="1" si="144"/>
        <v>0</v>
      </c>
      <c r="CB61" s="1917">
        <f t="shared" ca="1" si="145"/>
        <v>0</v>
      </c>
      <c r="CC61" s="1917">
        <f t="shared" ca="1" si="146"/>
        <v>0</v>
      </c>
      <c r="CD61" s="1917">
        <f t="shared" ca="1" si="147"/>
        <v>0</v>
      </c>
      <c r="CE61" s="1917">
        <f t="shared" si="148"/>
        <v>0</v>
      </c>
      <c r="CF61" s="1131">
        <f t="shared" ca="1" si="126"/>
        <v>0</v>
      </c>
      <c r="CG61" s="1131"/>
      <c r="CH61" s="1131"/>
      <c r="CI61" s="1409">
        <f t="shared" ca="1" si="149"/>
        <v>0</v>
      </c>
      <c r="CJ61" s="1409">
        <f t="shared" ca="1" si="127"/>
        <v>0</v>
      </c>
      <c r="CK61" s="1409">
        <f t="shared" ca="1" si="128"/>
        <v>0</v>
      </c>
      <c r="CL61" s="1409">
        <f t="shared" ca="1" si="129"/>
        <v>0</v>
      </c>
      <c r="CM61" s="1409">
        <f t="shared" ca="1" si="130"/>
        <v>0</v>
      </c>
      <c r="CN61" s="1409">
        <f t="shared" ca="1" si="131"/>
        <v>0</v>
      </c>
      <c r="CO61" s="1409">
        <f t="shared" ca="1" si="132"/>
        <v>0</v>
      </c>
      <c r="CP61" s="1409">
        <f t="shared" ca="1" si="133"/>
        <v>0</v>
      </c>
      <c r="CQ61" s="1409">
        <f t="shared" ca="1" si="134"/>
        <v>0</v>
      </c>
      <c r="CR61" s="1409">
        <f t="shared" ca="1" si="150"/>
        <v>0</v>
      </c>
      <c r="CS61" s="1131">
        <f t="shared" ca="1" si="135"/>
        <v>0</v>
      </c>
    </row>
    <row r="62" spans="3:97">
      <c r="C62" s="1763" t="s">
        <v>1070</v>
      </c>
      <c r="D62" s="1763" t="s">
        <v>684</v>
      </c>
      <c r="F62" s="1131">
        <f t="shared" ca="1" si="103"/>
        <v>0</v>
      </c>
      <c r="G62" s="1131">
        <f t="shared" ca="1" si="103"/>
        <v>0</v>
      </c>
      <c r="H62" s="1131">
        <f t="shared" ca="1" si="103"/>
        <v>0</v>
      </c>
      <c r="I62" s="1131">
        <f t="shared" ca="1" si="103"/>
        <v>0</v>
      </c>
      <c r="J62" s="1131">
        <f t="shared" ca="1" si="103"/>
        <v>0</v>
      </c>
      <c r="K62" s="1131">
        <f t="shared" ca="1" si="103"/>
        <v>0</v>
      </c>
      <c r="L62" s="1131">
        <f t="shared" ca="1" si="103"/>
        <v>0</v>
      </c>
      <c r="M62" s="1131">
        <f t="shared" ca="1" si="103"/>
        <v>0</v>
      </c>
      <c r="N62" s="1131">
        <f t="shared" ca="1" si="103"/>
        <v>0</v>
      </c>
      <c r="O62" s="1131">
        <f t="shared" ca="1" si="103"/>
        <v>0</v>
      </c>
      <c r="P62" s="1131">
        <f t="shared" ca="1" si="104"/>
        <v>0</v>
      </c>
      <c r="Q62" s="1131"/>
      <c r="R62" s="1131"/>
      <c r="S62" s="1131">
        <f t="shared" ca="1" si="105"/>
        <v>0</v>
      </c>
      <c r="T62" s="1131">
        <f t="shared" ca="1" si="105"/>
        <v>0</v>
      </c>
      <c r="U62" s="1131">
        <f t="shared" ca="1" si="105"/>
        <v>0</v>
      </c>
      <c r="V62" s="1131">
        <f t="shared" ca="1" si="105"/>
        <v>0</v>
      </c>
      <c r="W62" s="1131">
        <f t="shared" ca="1" si="105"/>
        <v>0</v>
      </c>
      <c r="X62" s="1131">
        <f t="shared" ca="1" si="105"/>
        <v>0</v>
      </c>
      <c r="Y62" s="1131">
        <f t="shared" ca="1" si="105"/>
        <v>0</v>
      </c>
      <c r="Z62" s="1131">
        <f t="shared" ca="1" si="105"/>
        <v>0</v>
      </c>
      <c r="AA62" s="1131">
        <f t="shared" ca="1" si="105"/>
        <v>0</v>
      </c>
      <c r="AB62" s="1131">
        <f t="shared" ca="1" si="105"/>
        <v>0</v>
      </c>
      <c r="AC62" s="1131">
        <f t="shared" ca="1" si="106"/>
        <v>0</v>
      </c>
      <c r="AD62" s="1131"/>
      <c r="AE62" s="1131"/>
      <c r="AF62" s="1131">
        <f t="shared" ca="1" si="107"/>
        <v>0</v>
      </c>
      <c r="AG62" s="1131">
        <f t="shared" ca="1" si="107"/>
        <v>0</v>
      </c>
      <c r="AH62" s="1131">
        <f t="shared" ca="1" si="107"/>
        <v>0</v>
      </c>
      <c r="AI62" s="1131">
        <f t="shared" ca="1" si="107"/>
        <v>0</v>
      </c>
      <c r="AJ62" s="1131">
        <f t="shared" ca="1" si="107"/>
        <v>0</v>
      </c>
      <c r="AK62" s="1131">
        <f t="shared" ca="1" si="107"/>
        <v>0</v>
      </c>
      <c r="AL62" s="1131">
        <f t="shared" ca="1" si="107"/>
        <v>0</v>
      </c>
      <c r="AM62" s="1131">
        <f t="shared" ca="1" si="107"/>
        <v>0</v>
      </c>
      <c r="AN62" s="1131">
        <f t="shared" ca="1" si="107"/>
        <v>0</v>
      </c>
      <c r="AO62" s="1131">
        <f t="shared" ca="1" si="107"/>
        <v>0</v>
      </c>
      <c r="AP62" s="1131">
        <f t="shared" ca="1" si="108"/>
        <v>0</v>
      </c>
      <c r="AQ62" s="1131"/>
      <c r="AR62" s="1131"/>
      <c r="AS62" s="1131">
        <f t="shared" ca="1" si="109"/>
        <v>0</v>
      </c>
      <c r="AT62" s="1131">
        <f t="shared" ca="1" si="110"/>
        <v>0</v>
      </c>
      <c r="AU62" s="1131">
        <f t="shared" ca="1" si="111"/>
        <v>0</v>
      </c>
      <c r="AV62" s="1131">
        <f t="shared" ca="1" si="112"/>
        <v>0</v>
      </c>
      <c r="AW62" s="1131">
        <f t="shared" ca="1" si="113"/>
        <v>0</v>
      </c>
      <c r="AX62" s="1131">
        <f t="shared" ca="1" si="114"/>
        <v>0</v>
      </c>
      <c r="AY62" s="1131">
        <f t="shared" ca="1" si="115"/>
        <v>0</v>
      </c>
      <c r="AZ62" s="1131">
        <f t="shared" ca="1" si="116"/>
        <v>0</v>
      </c>
      <c r="BA62" s="1131">
        <f t="shared" ca="1" si="117"/>
        <v>0</v>
      </c>
      <c r="BB62" s="1131">
        <f t="shared" ca="1" si="136"/>
        <v>0</v>
      </c>
      <c r="BC62" s="1131">
        <f t="shared" ca="1" si="118"/>
        <v>0</v>
      </c>
      <c r="BD62" s="1131"/>
      <c r="BE62" s="1131"/>
      <c r="BF62" s="19">
        <f>'Global cost assumptions'!E36</f>
        <v>0.1</v>
      </c>
      <c r="BG62" s="1131">
        <f>'Global cost assumptions'!F36</f>
        <v>30</v>
      </c>
      <c r="BH62" s="1131"/>
      <c r="BI62" s="1131"/>
      <c r="BJ62" s="27">
        <f t="shared" ca="1" si="137"/>
        <v>0</v>
      </c>
      <c r="BK62" s="27">
        <f t="shared" ca="1" si="138"/>
        <v>0</v>
      </c>
      <c r="BL62" s="27">
        <f t="shared" ca="1" si="119"/>
        <v>0</v>
      </c>
      <c r="BM62" s="27">
        <f t="shared" ca="1" si="120"/>
        <v>0</v>
      </c>
      <c r="BN62" s="27">
        <f t="shared" ca="1" si="121"/>
        <v>0</v>
      </c>
      <c r="BO62" s="27">
        <f t="shared" ca="1" si="122"/>
        <v>0</v>
      </c>
      <c r="BP62" s="27">
        <f t="shared" ca="1" si="123"/>
        <v>0</v>
      </c>
      <c r="BQ62" s="27">
        <f t="shared" ca="1" si="124"/>
        <v>0</v>
      </c>
      <c r="BR62" s="27">
        <f t="shared" ca="1" si="125"/>
        <v>0</v>
      </c>
      <c r="BS62" s="27"/>
      <c r="BT62" s="1131"/>
      <c r="BU62" s="1131"/>
      <c r="BV62" s="1409">
        <f t="shared" ca="1" si="139"/>
        <v>0</v>
      </c>
      <c r="BW62" s="1917">
        <f t="shared" ca="1" si="140"/>
        <v>0</v>
      </c>
      <c r="BX62" s="1917">
        <f t="shared" ca="1" si="141"/>
        <v>0</v>
      </c>
      <c r="BY62" s="1917">
        <f t="shared" ca="1" si="142"/>
        <v>0</v>
      </c>
      <c r="BZ62" s="1917">
        <f t="shared" ca="1" si="143"/>
        <v>0</v>
      </c>
      <c r="CA62" s="1917">
        <f t="shared" ca="1" si="144"/>
        <v>0</v>
      </c>
      <c r="CB62" s="1917">
        <f t="shared" ca="1" si="145"/>
        <v>0</v>
      </c>
      <c r="CC62" s="1917">
        <f t="shared" ca="1" si="146"/>
        <v>0</v>
      </c>
      <c r="CD62" s="1917">
        <f t="shared" ca="1" si="147"/>
        <v>0</v>
      </c>
      <c r="CE62" s="1917">
        <f t="shared" si="148"/>
        <v>0</v>
      </c>
      <c r="CF62" s="1131">
        <f t="shared" ca="1" si="126"/>
        <v>0</v>
      </c>
      <c r="CG62" s="1131"/>
      <c r="CH62" s="1131"/>
      <c r="CI62" s="1409">
        <f t="shared" ca="1" si="149"/>
        <v>0</v>
      </c>
      <c r="CJ62" s="1409">
        <f t="shared" ca="1" si="127"/>
        <v>0</v>
      </c>
      <c r="CK62" s="1409">
        <f t="shared" ca="1" si="128"/>
        <v>0</v>
      </c>
      <c r="CL62" s="1409">
        <f t="shared" ca="1" si="129"/>
        <v>0</v>
      </c>
      <c r="CM62" s="1409">
        <f t="shared" ca="1" si="130"/>
        <v>0</v>
      </c>
      <c r="CN62" s="1409">
        <f t="shared" ca="1" si="131"/>
        <v>0</v>
      </c>
      <c r="CO62" s="1409">
        <f t="shared" ca="1" si="132"/>
        <v>0</v>
      </c>
      <c r="CP62" s="1409">
        <f t="shared" ca="1" si="133"/>
        <v>0</v>
      </c>
      <c r="CQ62" s="1409">
        <f t="shared" ca="1" si="134"/>
        <v>0</v>
      </c>
      <c r="CR62" s="1409">
        <f t="shared" ca="1" si="150"/>
        <v>0</v>
      </c>
      <c r="CS62" s="1131">
        <f t="shared" ca="1" si="135"/>
        <v>0</v>
      </c>
    </row>
    <row r="63" spans="3:97">
      <c r="C63" s="1763" t="s">
        <v>1071</v>
      </c>
      <c r="D63" s="1763" t="s">
        <v>685</v>
      </c>
      <c r="F63" s="1131">
        <f t="shared" ca="1" si="103"/>
        <v>0</v>
      </c>
      <c r="G63" s="1131">
        <f t="shared" ca="1" si="103"/>
        <v>0</v>
      </c>
      <c r="H63" s="1131">
        <f t="shared" ca="1" si="103"/>
        <v>0</v>
      </c>
      <c r="I63" s="1131">
        <f t="shared" ca="1" si="103"/>
        <v>0</v>
      </c>
      <c r="J63" s="1131">
        <f t="shared" ca="1" si="103"/>
        <v>0</v>
      </c>
      <c r="K63" s="1131">
        <f t="shared" ca="1" si="103"/>
        <v>0</v>
      </c>
      <c r="L63" s="1131">
        <f t="shared" ca="1" si="103"/>
        <v>0</v>
      </c>
      <c r="M63" s="1131">
        <f t="shared" ca="1" si="103"/>
        <v>0</v>
      </c>
      <c r="N63" s="1131">
        <f t="shared" ca="1" si="103"/>
        <v>0</v>
      </c>
      <c r="O63" s="1131">
        <f t="shared" ca="1" si="103"/>
        <v>0</v>
      </c>
      <c r="P63" s="1131">
        <f t="shared" ca="1" si="104"/>
        <v>0</v>
      </c>
      <c r="Q63" s="1131"/>
      <c r="R63" s="1131"/>
      <c r="S63" s="1131">
        <f t="shared" ca="1" si="105"/>
        <v>0</v>
      </c>
      <c r="T63" s="1131">
        <f t="shared" ca="1" si="105"/>
        <v>0</v>
      </c>
      <c r="U63" s="1131">
        <f t="shared" ca="1" si="105"/>
        <v>0</v>
      </c>
      <c r="V63" s="1131">
        <f t="shared" ca="1" si="105"/>
        <v>0</v>
      </c>
      <c r="W63" s="1131">
        <f t="shared" ca="1" si="105"/>
        <v>0</v>
      </c>
      <c r="X63" s="1131">
        <f t="shared" ca="1" si="105"/>
        <v>0</v>
      </c>
      <c r="Y63" s="1131">
        <f t="shared" ca="1" si="105"/>
        <v>0</v>
      </c>
      <c r="Z63" s="1131">
        <f t="shared" ca="1" si="105"/>
        <v>0</v>
      </c>
      <c r="AA63" s="1131">
        <f t="shared" ca="1" si="105"/>
        <v>0</v>
      </c>
      <c r="AB63" s="1131">
        <f t="shared" ca="1" si="105"/>
        <v>0</v>
      </c>
      <c r="AC63" s="1131">
        <f t="shared" ca="1" si="106"/>
        <v>0</v>
      </c>
      <c r="AD63" s="1131"/>
      <c r="AE63" s="1131"/>
      <c r="AF63" s="1131">
        <f t="shared" ca="1" si="107"/>
        <v>0</v>
      </c>
      <c r="AG63" s="1131">
        <f t="shared" ca="1" si="107"/>
        <v>0</v>
      </c>
      <c r="AH63" s="1131">
        <f t="shared" ca="1" si="107"/>
        <v>0</v>
      </c>
      <c r="AI63" s="1131">
        <f t="shared" ca="1" si="107"/>
        <v>0</v>
      </c>
      <c r="AJ63" s="1131">
        <f t="shared" ca="1" si="107"/>
        <v>0</v>
      </c>
      <c r="AK63" s="1131">
        <f t="shared" ca="1" si="107"/>
        <v>0</v>
      </c>
      <c r="AL63" s="1131">
        <f t="shared" ca="1" si="107"/>
        <v>0</v>
      </c>
      <c r="AM63" s="1131">
        <f t="shared" ca="1" si="107"/>
        <v>0</v>
      </c>
      <c r="AN63" s="1131">
        <f t="shared" ca="1" si="107"/>
        <v>0</v>
      </c>
      <c r="AO63" s="1131">
        <f t="shared" ca="1" si="107"/>
        <v>0</v>
      </c>
      <c r="AP63" s="1131">
        <f t="shared" ca="1" si="108"/>
        <v>0</v>
      </c>
      <c r="AQ63" s="1131"/>
      <c r="AR63" s="1131"/>
      <c r="AS63" s="1131">
        <f t="shared" ca="1" si="109"/>
        <v>0</v>
      </c>
      <c r="AT63" s="1131">
        <f t="shared" ca="1" si="110"/>
        <v>0</v>
      </c>
      <c r="AU63" s="1131">
        <f t="shared" ca="1" si="111"/>
        <v>0</v>
      </c>
      <c r="AV63" s="1131">
        <f t="shared" ca="1" si="112"/>
        <v>0</v>
      </c>
      <c r="AW63" s="1131">
        <f t="shared" ca="1" si="113"/>
        <v>0</v>
      </c>
      <c r="AX63" s="1131">
        <f t="shared" ca="1" si="114"/>
        <v>0</v>
      </c>
      <c r="AY63" s="1131">
        <f t="shared" ca="1" si="115"/>
        <v>0</v>
      </c>
      <c r="AZ63" s="1131">
        <f t="shared" ca="1" si="116"/>
        <v>0</v>
      </c>
      <c r="BA63" s="1131">
        <f t="shared" ca="1" si="117"/>
        <v>0</v>
      </c>
      <c r="BB63" s="1131">
        <f t="shared" ca="1" si="136"/>
        <v>0</v>
      </c>
      <c r="BC63" s="1131">
        <f t="shared" ca="1" si="118"/>
        <v>0</v>
      </c>
      <c r="BD63" s="1131"/>
      <c r="BE63" s="1131"/>
      <c r="BF63" s="19">
        <f>'Global cost assumptions'!E37</f>
        <v>0.1</v>
      </c>
      <c r="BG63" s="1131">
        <f>'Global cost assumptions'!F37</f>
        <v>30</v>
      </c>
      <c r="BH63" s="1131"/>
      <c r="BI63" s="1131"/>
      <c r="BJ63" s="27">
        <f t="shared" ca="1" si="137"/>
        <v>0</v>
      </c>
      <c r="BK63" s="27">
        <f t="shared" ca="1" si="138"/>
        <v>0</v>
      </c>
      <c r="BL63" s="27">
        <f t="shared" ca="1" si="119"/>
        <v>0</v>
      </c>
      <c r="BM63" s="27">
        <f t="shared" ca="1" si="120"/>
        <v>0</v>
      </c>
      <c r="BN63" s="27">
        <f t="shared" ca="1" si="121"/>
        <v>0</v>
      </c>
      <c r="BO63" s="27">
        <f t="shared" ca="1" si="122"/>
        <v>0</v>
      </c>
      <c r="BP63" s="27">
        <f t="shared" ca="1" si="123"/>
        <v>0</v>
      </c>
      <c r="BQ63" s="27">
        <f t="shared" ca="1" si="124"/>
        <v>0</v>
      </c>
      <c r="BR63" s="27">
        <f t="shared" ca="1" si="125"/>
        <v>0</v>
      </c>
      <c r="BS63" s="27"/>
      <c r="BT63" s="1131"/>
      <c r="BU63" s="1131"/>
      <c r="BV63" s="1409">
        <f t="shared" ca="1" si="139"/>
        <v>0</v>
      </c>
      <c r="BW63" s="1917">
        <f t="shared" ca="1" si="140"/>
        <v>0</v>
      </c>
      <c r="BX63" s="1917">
        <f t="shared" ca="1" si="141"/>
        <v>0</v>
      </c>
      <c r="BY63" s="1917">
        <f t="shared" ca="1" si="142"/>
        <v>0</v>
      </c>
      <c r="BZ63" s="1917">
        <f t="shared" ca="1" si="143"/>
        <v>0</v>
      </c>
      <c r="CA63" s="1917">
        <f t="shared" ca="1" si="144"/>
        <v>0</v>
      </c>
      <c r="CB63" s="1917">
        <f t="shared" ca="1" si="145"/>
        <v>0</v>
      </c>
      <c r="CC63" s="1917">
        <f t="shared" ca="1" si="146"/>
        <v>0</v>
      </c>
      <c r="CD63" s="1917">
        <f t="shared" ca="1" si="147"/>
        <v>0</v>
      </c>
      <c r="CE63" s="1917">
        <f t="shared" si="148"/>
        <v>0</v>
      </c>
      <c r="CF63" s="1131">
        <f t="shared" ca="1" si="126"/>
        <v>0</v>
      </c>
      <c r="CG63" s="1131"/>
      <c r="CH63" s="1131"/>
      <c r="CI63" s="1409">
        <f t="shared" ca="1" si="149"/>
        <v>0</v>
      </c>
      <c r="CJ63" s="1409">
        <f t="shared" ca="1" si="127"/>
        <v>0</v>
      </c>
      <c r="CK63" s="1409">
        <f t="shared" ca="1" si="128"/>
        <v>0</v>
      </c>
      <c r="CL63" s="1409">
        <f t="shared" ca="1" si="129"/>
        <v>0</v>
      </c>
      <c r="CM63" s="1409">
        <f t="shared" ca="1" si="130"/>
        <v>0</v>
      </c>
      <c r="CN63" s="1409">
        <f t="shared" ca="1" si="131"/>
        <v>0</v>
      </c>
      <c r="CO63" s="1409">
        <f t="shared" ca="1" si="132"/>
        <v>0</v>
      </c>
      <c r="CP63" s="1409">
        <f t="shared" ca="1" si="133"/>
        <v>0</v>
      </c>
      <c r="CQ63" s="1409">
        <f t="shared" ca="1" si="134"/>
        <v>0</v>
      </c>
      <c r="CR63" s="1409">
        <f t="shared" ca="1" si="150"/>
        <v>0</v>
      </c>
      <c r="CS63" s="1131">
        <f t="shared" ca="1" si="135"/>
        <v>0</v>
      </c>
    </row>
    <row r="64" spans="3:97">
      <c r="C64" s="1763" t="s">
        <v>650</v>
      </c>
      <c r="D64" s="1763" t="s">
        <v>63</v>
      </c>
      <c r="F64" s="1131">
        <f t="shared" ca="1" si="103"/>
        <v>0</v>
      </c>
      <c r="G64" s="1131">
        <f t="shared" ca="1" si="103"/>
        <v>0</v>
      </c>
      <c r="H64" s="1131">
        <f t="shared" ca="1" si="103"/>
        <v>0</v>
      </c>
      <c r="I64" s="1131">
        <f t="shared" ca="1" si="103"/>
        <v>0</v>
      </c>
      <c r="J64" s="1131">
        <f t="shared" ca="1" si="103"/>
        <v>0</v>
      </c>
      <c r="K64" s="1131">
        <f t="shared" ca="1" si="103"/>
        <v>0</v>
      </c>
      <c r="L64" s="1131">
        <f t="shared" ca="1" si="103"/>
        <v>0</v>
      </c>
      <c r="M64" s="1131">
        <f t="shared" ca="1" si="103"/>
        <v>0</v>
      </c>
      <c r="N64" s="1131">
        <f t="shared" ca="1" si="103"/>
        <v>0</v>
      </c>
      <c r="O64" s="1131">
        <f t="shared" ca="1" si="103"/>
        <v>0</v>
      </c>
      <c r="P64" s="1131">
        <f t="shared" ca="1" si="104"/>
        <v>0</v>
      </c>
      <c r="Q64" s="1131"/>
      <c r="R64" s="1131"/>
      <c r="S64" s="1131">
        <f t="shared" ca="1" si="105"/>
        <v>0</v>
      </c>
      <c r="T64" s="1131">
        <f t="shared" ca="1" si="105"/>
        <v>0</v>
      </c>
      <c r="U64" s="1131">
        <f t="shared" ca="1" si="105"/>
        <v>0</v>
      </c>
      <c r="V64" s="1131">
        <f t="shared" ca="1" si="105"/>
        <v>0</v>
      </c>
      <c r="W64" s="1131">
        <f t="shared" ca="1" si="105"/>
        <v>0</v>
      </c>
      <c r="X64" s="1131">
        <f t="shared" ca="1" si="105"/>
        <v>0</v>
      </c>
      <c r="Y64" s="1131">
        <f t="shared" ca="1" si="105"/>
        <v>0</v>
      </c>
      <c r="Z64" s="1131">
        <f t="shared" ca="1" si="105"/>
        <v>0</v>
      </c>
      <c r="AA64" s="1131">
        <f t="shared" ca="1" si="105"/>
        <v>0</v>
      </c>
      <c r="AB64" s="1131">
        <f t="shared" ca="1" si="105"/>
        <v>0</v>
      </c>
      <c r="AC64" s="1131">
        <f t="shared" ca="1" si="106"/>
        <v>0</v>
      </c>
      <c r="AD64" s="1131"/>
      <c r="AE64" s="1131"/>
      <c r="AF64" s="1131">
        <f t="shared" ca="1" si="107"/>
        <v>0</v>
      </c>
      <c r="AG64" s="1131">
        <f t="shared" ca="1" si="107"/>
        <v>0</v>
      </c>
      <c r="AH64" s="1131">
        <f t="shared" ca="1" si="107"/>
        <v>0</v>
      </c>
      <c r="AI64" s="1131">
        <f t="shared" ca="1" si="107"/>
        <v>0</v>
      </c>
      <c r="AJ64" s="1131">
        <f t="shared" ca="1" si="107"/>
        <v>0</v>
      </c>
      <c r="AK64" s="1131">
        <f t="shared" ca="1" si="107"/>
        <v>0</v>
      </c>
      <c r="AL64" s="1131">
        <f t="shared" ca="1" si="107"/>
        <v>0</v>
      </c>
      <c r="AM64" s="1131">
        <f t="shared" ca="1" si="107"/>
        <v>0</v>
      </c>
      <c r="AN64" s="1131">
        <f t="shared" ca="1" si="107"/>
        <v>0</v>
      </c>
      <c r="AO64" s="1131">
        <f t="shared" ca="1" si="107"/>
        <v>0</v>
      </c>
      <c r="AP64" s="1131">
        <f t="shared" ca="1" si="108"/>
        <v>0</v>
      </c>
      <c r="AQ64" s="1131"/>
      <c r="AR64" s="1131"/>
      <c r="AS64" s="1131">
        <f t="shared" ca="1" si="109"/>
        <v>0</v>
      </c>
      <c r="AT64" s="1131">
        <f t="shared" ca="1" si="110"/>
        <v>0</v>
      </c>
      <c r="AU64" s="1131">
        <f t="shared" ca="1" si="111"/>
        <v>0</v>
      </c>
      <c r="AV64" s="1131">
        <f t="shared" ca="1" si="112"/>
        <v>0</v>
      </c>
      <c r="AW64" s="1131">
        <f t="shared" ca="1" si="113"/>
        <v>0</v>
      </c>
      <c r="AX64" s="1131">
        <f t="shared" ca="1" si="114"/>
        <v>0</v>
      </c>
      <c r="AY64" s="1131">
        <f t="shared" ca="1" si="115"/>
        <v>0</v>
      </c>
      <c r="AZ64" s="1131">
        <f t="shared" ca="1" si="116"/>
        <v>0</v>
      </c>
      <c r="BA64" s="1131">
        <f t="shared" ca="1" si="117"/>
        <v>0</v>
      </c>
      <c r="BB64" s="1131">
        <f t="shared" ca="1" si="136"/>
        <v>0</v>
      </c>
      <c r="BC64" s="1131">
        <f t="shared" ca="1" si="118"/>
        <v>0</v>
      </c>
      <c r="BD64" s="1131"/>
      <c r="BE64" s="1131"/>
      <c r="BF64" s="19">
        <f>'Global cost assumptions'!E38</f>
        <v>0.1</v>
      </c>
      <c r="BG64" s="1131">
        <f>'Global cost assumptions'!F38</f>
        <v>30</v>
      </c>
      <c r="BH64" s="1131"/>
      <c r="BI64" s="1131"/>
      <c r="BJ64" s="27">
        <f t="shared" ca="1" si="137"/>
        <v>0</v>
      </c>
      <c r="BK64" s="27">
        <f t="shared" ca="1" si="138"/>
        <v>0</v>
      </c>
      <c r="BL64" s="27">
        <f t="shared" ca="1" si="119"/>
        <v>0</v>
      </c>
      <c r="BM64" s="27">
        <f t="shared" ca="1" si="120"/>
        <v>0</v>
      </c>
      <c r="BN64" s="27">
        <f t="shared" ca="1" si="121"/>
        <v>0</v>
      </c>
      <c r="BO64" s="27">
        <f t="shared" ca="1" si="122"/>
        <v>0</v>
      </c>
      <c r="BP64" s="27">
        <f t="shared" ca="1" si="123"/>
        <v>0</v>
      </c>
      <c r="BQ64" s="27">
        <f t="shared" ca="1" si="124"/>
        <v>0</v>
      </c>
      <c r="BR64" s="27">
        <f t="shared" ca="1" si="125"/>
        <v>0</v>
      </c>
      <c r="BS64" s="27"/>
      <c r="BT64" s="1131"/>
      <c r="BU64" s="1131"/>
      <c r="BV64" s="1409">
        <f t="shared" ca="1" si="139"/>
        <v>0</v>
      </c>
      <c r="BW64" s="1917">
        <f t="shared" ca="1" si="140"/>
        <v>0</v>
      </c>
      <c r="BX64" s="1917">
        <f t="shared" ca="1" si="141"/>
        <v>0</v>
      </c>
      <c r="BY64" s="1917">
        <f t="shared" ca="1" si="142"/>
        <v>0</v>
      </c>
      <c r="BZ64" s="1917">
        <f t="shared" ca="1" si="143"/>
        <v>0</v>
      </c>
      <c r="CA64" s="1917">
        <f t="shared" ca="1" si="144"/>
        <v>0</v>
      </c>
      <c r="CB64" s="1917">
        <f t="shared" ca="1" si="145"/>
        <v>0</v>
      </c>
      <c r="CC64" s="1917">
        <f t="shared" ca="1" si="146"/>
        <v>0</v>
      </c>
      <c r="CD64" s="1917">
        <f t="shared" ca="1" si="147"/>
        <v>0</v>
      </c>
      <c r="CE64" s="1917">
        <f t="shared" si="148"/>
        <v>0</v>
      </c>
      <c r="CF64" s="1131">
        <f t="shared" ca="1" si="126"/>
        <v>0</v>
      </c>
      <c r="CG64" s="1131"/>
      <c r="CH64" s="1131"/>
      <c r="CI64" s="1409">
        <f t="shared" ca="1" si="149"/>
        <v>0</v>
      </c>
      <c r="CJ64" s="1409">
        <f t="shared" ca="1" si="127"/>
        <v>0</v>
      </c>
      <c r="CK64" s="1409">
        <f t="shared" ca="1" si="128"/>
        <v>0</v>
      </c>
      <c r="CL64" s="1409">
        <f t="shared" ca="1" si="129"/>
        <v>0</v>
      </c>
      <c r="CM64" s="1409">
        <f t="shared" ca="1" si="130"/>
        <v>0</v>
      </c>
      <c r="CN64" s="1409">
        <f t="shared" ca="1" si="131"/>
        <v>0</v>
      </c>
      <c r="CO64" s="1409">
        <f t="shared" ca="1" si="132"/>
        <v>0</v>
      </c>
      <c r="CP64" s="1409">
        <f t="shared" ca="1" si="133"/>
        <v>0</v>
      </c>
      <c r="CQ64" s="1409">
        <f t="shared" ca="1" si="134"/>
        <v>0</v>
      </c>
      <c r="CR64" s="1409">
        <f t="shared" ca="1" si="150"/>
        <v>0</v>
      </c>
      <c r="CS64" s="1131">
        <f t="shared" ca="1" si="135"/>
        <v>0</v>
      </c>
    </row>
    <row r="65" spans="3:97">
      <c r="C65" s="1763" t="s">
        <v>652</v>
      </c>
      <c r="D65" s="1763" t="s">
        <v>1250</v>
      </c>
      <c r="F65" s="1131">
        <f t="shared" ca="1" si="103"/>
        <v>0</v>
      </c>
      <c r="G65" s="1131">
        <f t="shared" ca="1" si="103"/>
        <v>0</v>
      </c>
      <c r="H65" s="1131">
        <f t="shared" ca="1" si="103"/>
        <v>0</v>
      </c>
      <c r="I65" s="1131">
        <f t="shared" ca="1" si="103"/>
        <v>0</v>
      </c>
      <c r="J65" s="1131">
        <f t="shared" ca="1" si="103"/>
        <v>0</v>
      </c>
      <c r="K65" s="1131">
        <f t="shared" ca="1" si="103"/>
        <v>0</v>
      </c>
      <c r="L65" s="1131">
        <f t="shared" ca="1" si="103"/>
        <v>0</v>
      </c>
      <c r="M65" s="1131">
        <f t="shared" ca="1" si="103"/>
        <v>0</v>
      </c>
      <c r="N65" s="1131">
        <f t="shared" ca="1" si="103"/>
        <v>0</v>
      </c>
      <c r="O65" s="1131">
        <f t="shared" ca="1" si="103"/>
        <v>0</v>
      </c>
      <c r="P65" s="1131">
        <f t="shared" ca="1" si="104"/>
        <v>0</v>
      </c>
      <c r="Q65" s="1131"/>
      <c r="R65" s="1131"/>
      <c r="S65" s="1131">
        <f t="shared" ca="1" si="105"/>
        <v>0</v>
      </c>
      <c r="T65" s="1131">
        <f t="shared" ca="1" si="105"/>
        <v>0</v>
      </c>
      <c r="U65" s="1131">
        <f t="shared" ca="1" si="105"/>
        <v>0</v>
      </c>
      <c r="V65" s="1131">
        <f t="shared" ca="1" si="105"/>
        <v>0</v>
      </c>
      <c r="W65" s="1131">
        <f t="shared" ca="1" si="105"/>
        <v>0</v>
      </c>
      <c r="X65" s="1131">
        <f t="shared" ca="1" si="105"/>
        <v>0</v>
      </c>
      <c r="Y65" s="1131">
        <f t="shared" ca="1" si="105"/>
        <v>0</v>
      </c>
      <c r="Z65" s="1131">
        <f t="shared" ca="1" si="105"/>
        <v>0</v>
      </c>
      <c r="AA65" s="1131">
        <f t="shared" ca="1" si="105"/>
        <v>0</v>
      </c>
      <c r="AB65" s="1131">
        <f t="shared" ca="1" si="105"/>
        <v>0</v>
      </c>
      <c r="AC65" s="1131">
        <f t="shared" ca="1" si="106"/>
        <v>0</v>
      </c>
      <c r="AD65" s="1131"/>
      <c r="AE65" s="1131"/>
      <c r="AF65" s="1131">
        <f t="shared" ca="1" si="107"/>
        <v>0</v>
      </c>
      <c r="AG65" s="1131">
        <f t="shared" ca="1" si="107"/>
        <v>0</v>
      </c>
      <c r="AH65" s="1131">
        <f t="shared" ca="1" si="107"/>
        <v>0</v>
      </c>
      <c r="AI65" s="1131">
        <f t="shared" ca="1" si="107"/>
        <v>0</v>
      </c>
      <c r="AJ65" s="1131">
        <f t="shared" ca="1" si="107"/>
        <v>0</v>
      </c>
      <c r="AK65" s="1131">
        <f t="shared" ca="1" si="107"/>
        <v>0</v>
      </c>
      <c r="AL65" s="1131">
        <f t="shared" ca="1" si="107"/>
        <v>0</v>
      </c>
      <c r="AM65" s="1131">
        <f t="shared" ca="1" si="107"/>
        <v>0</v>
      </c>
      <c r="AN65" s="1131">
        <f t="shared" ca="1" si="107"/>
        <v>0</v>
      </c>
      <c r="AO65" s="1131">
        <f t="shared" ca="1" si="107"/>
        <v>0</v>
      </c>
      <c r="AP65" s="1131">
        <f t="shared" ca="1" si="108"/>
        <v>0</v>
      </c>
      <c r="AQ65" s="1131"/>
      <c r="AR65" s="1131"/>
      <c r="AS65" s="1131">
        <f t="shared" ca="1" si="109"/>
        <v>0</v>
      </c>
      <c r="AT65" s="1131">
        <f t="shared" ca="1" si="110"/>
        <v>0</v>
      </c>
      <c r="AU65" s="1131">
        <f t="shared" ca="1" si="111"/>
        <v>0</v>
      </c>
      <c r="AV65" s="1131">
        <f t="shared" ca="1" si="112"/>
        <v>0</v>
      </c>
      <c r="AW65" s="1131">
        <f t="shared" ca="1" si="113"/>
        <v>0</v>
      </c>
      <c r="AX65" s="1131">
        <f t="shared" ca="1" si="114"/>
        <v>0</v>
      </c>
      <c r="AY65" s="1131">
        <f t="shared" ca="1" si="115"/>
        <v>0</v>
      </c>
      <c r="AZ65" s="1131">
        <f t="shared" ca="1" si="116"/>
        <v>0</v>
      </c>
      <c r="BA65" s="1131">
        <f t="shared" ca="1" si="117"/>
        <v>0</v>
      </c>
      <c r="BB65" s="1131">
        <f t="shared" ca="1" si="136"/>
        <v>0</v>
      </c>
      <c r="BC65" s="1131">
        <f t="shared" ca="1" si="118"/>
        <v>0</v>
      </c>
      <c r="BD65" s="1131"/>
      <c r="BE65" s="1131"/>
      <c r="BF65" s="19">
        <f>'Global cost assumptions'!E39</f>
        <v>0.1</v>
      </c>
      <c r="BG65" s="1131">
        <f>'Global cost assumptions'!F39</f>
        <v>30</v>
      </c>
      <c r="BH65" s="1131"/>
      <c r="BI65" s="1131"/>
      <c r="BJ65" s="27">
        <f t="shared" ca="1" si="137"/>
        <v>0</v>
      </c>
      <c r="BK65" s="27">
        <f t="shared" ca="1" si="138"/>
        <v>0</v>
      </c>
      <c r="BL65" s="27">
        <f t="shared" ca="1" si="119"/>
        <v>0</v>
      </c>
      <c r="BM65" s="27">
        <f t="shared" ca="1" si="120"/>
        <v>0</v>
      </c>
      <c r="BN65" s="27">
        <f t="shared" ca="1" si="121"/>
        <v>0</v>
      </c>
      <c r="BO65" s="27">
        <f t="shared" ca="1" si="122"/>
        <v>0</v>
      </c>
      <c r="BP65" s="27">
        <f t="shared" ca="1" si="123"/>
        <v>0</v>
      </c>
      <c r="BQ65" s="27">
        <f t="shared" ca="1" si="124"/>
        <v>0</v>
      </c>
      <c r="BR65" s="27">
        <f t="shared" ca="1" si="125"/>
        <v>0</v>
      </c>
      <c r="BS65" s="27"/>
      <c r="BT65" s="1131"/>
      <c r="BU65" s="1131"/>
      <c r="BV65" s="1409">
        <f t="shared" ca="1" si="139"/>
        <v>0</v>
      </c>
      <c r="BW65" s="1917">
        <f t="shared" ca="1" si="140"/>
        <v>0</v>
      </c>
      <c r="BX65" s="1917">
        <f t="shared" ca="1" si="141"/>
        <v>0</v>
      </c>
      <c r="BY65" s="1917">
        <f t="shared" ca="1" si="142"/>
        <v>0</v>
      </c>
      <c r="BZ65" s="1917">
        <f t="shared" ca="1" si="143"/>
        <v>0</v>
      </c>
      <c r="CA65" s="1917">
        <f t="shared" ca="1" si="144"/>
        <v>0</v>
      </c>
      <c r="CB65" s="1917">
        <f t="shared" ca="1" si="145"/>
        <v>0</v>
      </c>
      <c r="CC65" s="1917">
        <f t="shared" ca="1" si="146"/>
        <v>0</v>
      </c>
      <c r="CD65" s="1917">
        <f t="shared" ca="1" si="147"/>
        <v>0</v>
      </c>
      <c r="CE65" s="1917">
        <f t="shared" si="148"/>
        <v>0</v>
      </c>
      <c r="CF65" s="1131">
        <f t="shared" ca="1" si="126"/>
        <v>0</v>
      </c>
      <c r="CG65" s="1131"/>
      <c r="CH65" s="1131"/>
      <c r="CI65" s="1409">
        <f t="shared" ca="1" si="149"/>
        <v>0</v>
      </c>
      <c r="CJ65" s="1409">
        <f t="shared" ca="1" si="127"/>
        <v>0</v>
      </c>
      <c r="CK65" s="1409">
        <f t="shared" ca="1" si="128"/>
        <v>0</v>
      </c>
      <c r="CL65" s="1409">
        <f t="shared" ca="1" si="129"/>
        <v>0</v>
      </c>
      <c r="CM65" s="1409">
        <f t="shared" ca="1" si="130"/>
        <v>0</v>
      </c>
      <c r="CN65" s="1409">
        <f t="shared" ca="1" si="131"/>
        <v>0</v>
      </c>
      <c r="CO65" s="1409">
        <f t="shared" ca="1" si="132"/>
        <v>0</v>
      </c>
      <c r="CP65" s="1409">
        <f t="shared" ca="1" si="133"/>
        <v>0</v>
      </c>
      <c r="CQ65" s="1409">
        <f t="shared" ca="1" si="134"/>
        <v>0</v>
      </c>
      <c r="CR65" s="1409">
        <f t="shared" ca="1" si="150"/>
        <v>0</v>
      </c>
      <c r="CS65" s="1131">
        <f t="shared" ca="1" si="135"/>
        <v>0</v>
      </c>
    </row>
    <row r="66" spans="3:97">
      <c r="C66" s="1763" t="s">
        <v>653</v>
      </c>
      <c r="D66" s="1763" t="s">
        <v>3</v>
      </c>
      <c r="F66" s="1131">
        <f t="shared" ca="1" si="103"/>
        <v>0</v>
      </c>
      <c r="G66" s="1131">
        <f t="shared" ca="1" si="103"/>
        <v>0</v>
      </c>
      <c r="H66" s="1131">
        <f t="shared" ca="1" si="103"/>
        <v>0</v>
      </c>
      <c r="I66" s="1131">
        <f t="shared" ca="1" si="103"/>
        <v>0</v>
      </c>
      <c r="J66" s="1131">
        <f t="shared" ca="1" si="103"/>
        <v>0</v>
      </c>
      <c r="K66" s="1131">
        <f t="shared" ca="1" si="103"/>
        <v>0</v>
      </c>
      <c r="L66" s="1131">
        <f t="shared" ca="1" si="103"/>
        <v>0</v>
      </c>
      <c r="M66" s="1131">
        <f t="shared" ca="1" si="103"/>
        <v>0</v>
      </c>
      <c r="N66" s="1131">
        <f t="shared" ca="1" si="103"/>
        <v>0</v>
      </c>
      <c r="O66" s="1131">
        <f t="shared" ca="1" si="103"/>
        <v>0</v>
      </c>
      <c r="P66" s="1131">
        <f t="shared" ca="1" si="104"/>
        <v>0</v>
      </c>
      <c r="Q66" s="1131"/>
      <c r="R66" s="1131"/>
      <c r="S66" s="1131">
        <f t="shared" ca="1" si="105"/>
        <v>0</v>
      </c>
      <c r="T66" s="1131">
        <f t="shared" ca="1" si="105"/>
        <v>0</v>
      </c>
      <c r="U66" s="1131">
        <f t="shared" ca="1" si="105"/>
        <v>0</v>
      </c>
      <c r="V66" s="1131">
        <f t="shared" ca="1" si="105"/>
        <v>0</v>
      </c>
      <c r="W66" s="1131">
        <f t="shared" ca="1" si="105"/>
        <v>0</v>
      </c>
      <c r="X66" s="1131">
        <f t="shared" ca="1" si="105"/>
        <v>0</v>
      </c>
      <c r="Y66" s="1131">
        <f t="shared" ca="1" si="105"/>
        <v>0</v>
      </c>
      <c r="Z66" s="1131">
        <f t="shared" ca="1" si="105"/>
        <v>0</v>
      </c>
      <c r="AA66" s="1131">
        <f t="shared" ca="1" si="105"/>
        <v>0</v>
      </c>
      <c r="AB66" s="1131">
        <f t="shared" ca="1" si="105"/>
        <v>0</v>
      </c>
      <c r="AC66" s="1131">
        <f t="shared" ca="1" si="106"/>
        <v>0</v>
      </c>
      <c r="AD66" s="1131"/>
      <c r="AE66" s="1131"/>
      <c r="AF66" s="1131">
        <f t="shared" ca="1" si="107"/>
        <v>0</v>
      </c>
      <c r="AG66" s="1131">
        <f t="shared" ca="1" si="107"/>
        <v>0</v>
      </c>
      <c r="AH66" s="1131">
        <f t="shared" ca="1" si="107"/>
        <v>0</v>
      </c>
      <c r="AI66" s="1131">
        <f t="shared" ca="1" si="107"/>
        <v>0</v>
      </c>
      <c r="AJ66" s="1131">
        <f t="shared" ca="1" si="107"/>
        <v>0</v>
      </c>
      <c r="AK66" s="1131">
        <f t="shared" ca="1" si="107"/>
        <v>0</v>
      </c>
      <c r="AL66" s="1131">
        <f t="shared" ca="1" si="107"/>
        <v>0</v>
      </c>
      <c r="AM66" s="1131">
        <f t="shared" ca="1" si="107"/>
        <v>0</v>
      </c>
      <c r="AN66" s="1131">
        <f t="shared" ca="1" si="107"/>
        <v>0</v>
      </c>
      <c r="AO66" s="1131">
        <f t="shared" ca="1" si="107"/>
        <v>0</v>
      </c>
      <c r="AP66" s="1131">
        <f t="shared" ca="1" si="108"/>
        <v>0</v>
      </c>
      <c r="AQ66" s="1131"/>
      <c r="AR66" s="1131"/>
      <c r="AS66" s="1131">
        <f t="shared" ca="1" si="109"/>
        <v>0</v>
      </c>
      <c r="AT66" s="1131">
        <f t="shared" ca="1" si="110"/>
        <v>0</v>
      </c>
      <c r="AU66" s="1131">
        <f t="shared" ca="1" si="111"/>
        <v>0</v>
      </c>
      <c r="AV66" s="1131">
        <f t="shared" ca="1" si="112"/>
        <v>0</v>
      </c>
      <c r="AW66" s="1131">
        <f t="shared" ca="1" si="113"/>
        <v>0</v>
      </c>
      <c r="AX66" s="1131">
        <f t="shared" ca="1" si="114"/>
        <v>0</v>
      </c>
      <c r="AY66" s="1131">
        <f t="shared" ca="1" si="115"/>
        <v>0</v>
      </c>
      <c r="AZ66" s="1131">
        <f t="shared" ca="1" si="116"/>
        <v>0</v>
      </c>
      <c r="BA66" s="1131">
        <f t="shared" ca="1" si="117"/>
        <v>0</v>
      </c>
      <c r="BB66" s="1131">
        <f t="shared" ca="1" si="136"/>
        <v>0</v>
      </c>
      <c r="BC66" s="1131">
        <f t="shared" ca="1" si="118"/>
        <v>0</v>
      </c>
      <c r="BD66" s="1131"/>
      <c r="BE66" s="1131"/>
      <c r="BF66" s="19">
        <f>'Global cost assumptions'!E40</f>
        <v>0.1</v>
      </c>
      <c r="BG66" s="1131">
        <f>'Global cost assumptions'!F40</f>
        <v>30</v>
      </c>
      <c r="BH66" s="1131"/>
      <c r="BI66" s="1131"/>
      <c r="BJ66" s="27">
        <f t="shared" ca="1" si="137"/>
        <v>0</v>
      </c>
      <c r="BK66" s="27">
        <f t="shared" ca="1" si="138"/>
        <v>0</v>
      </c>
      <c r="BL66" s="27">
        <f t="shared" ca="1" si="119"/>
        <v>0</v>
      </c>
      <c r="BM66" s="27">
        <f t="shared" ca="1" si="120"/>
        <v>0</v>
      </c>
      <c r="BN66" s="27">
        <f t="shared" ca="1" si="121"/>
        <v>0</v>
      </c>
      <c r="BO66" s="27">
        <f t="shared" ca="1" si="122"/>
        <v>0</v>
      </c>
      <c r="BP66" s="27">
        <f t="shared" ca="1" si="123"/>
        <v>0</v>
      </c>
      <c r="BQ66" s="27">
        <f t="shared" ca="1" si="124"/>
        <v>0</v>
      </c>
      <c r="BR66" s="27">
        <f t="shared" ca="1" si="125"/>
        <v>0</v>
      </c>
      <c r="BS66" s="27"/>
      <c r="BT66" s="1131"/>
      <c r="BU66" s="1131"/>
      <c r="BV66" s="1409">
        <f t="shared" ca="1" si="139"/>
        <v>0</v>
      </c>
      <c r="BW66" s="1917">
        <f t="shared" ca="1" si="140"/>
        <v>0</v>
      </c>
      <c r="BX66" s="1917">
        <f t="shared" ca="1" si="141"/>
        <v>0</v>
      </c>
      <c r="BY66" s="1917">
        <f t="shared" ca="1" si="142"/>
        <v>0</v>
      </c>
      <c r="BZ66" s="1917">
        <f t="shared" ca="1" si="143"/>
        <v>0</v>
      </c>
      <c r="CA66" s="1917">
        <f t="shared" ca="1" si="144"/>
        <v>0</v>
      </c>
      <c r="CB66" s="1917">
        <f t="shared" ca="1" si="145"/>
        <v>0</v>
      </c>
      <c r="CC66" s="1917">
        <f t="shared" ca="1" si="146"/>
        <v>0</v>
      </c>
      <c r="CD66" s="1917">
        <f t="shared" ca="1" si="147"/>
        <v>0</v>
      </c>
      <c r="CE66" s="1917">
        <f t="shared" si="148"/>
        <v>0</v>
      </c>
      <c r="CF66" s="1131">
        <f t="shared" ca="1" si="126"/>
        <v>0</v>
      </c>
      <c r="CG66" s="1131"/>
      <c r="CH66" s="1131"/>
      <c r="CI66" s="1409">
        <f t="shared" ca="1" si="149"/>
        <v>0</v>
      </c>
      <c r="CJ66" s="1409">
        <f t="shared" ca="1" si="127"/>
        <v>0</v>
      </c>
      <c r="CK66" s="1409">
        <f t="shared" ca="1" si="128"/>
        <v>0</v>
      </c>
      <c r="CL66" s="1409">
        <f t="shared" ca="1" si="129"/>
        <v>0</v>
      </c>
      <c r="CM66" s="1409">
        <f t="shared" ca="1" si="130"/>
        <v>0</v>
      </c>
      <c r="CN66" s="1409">
        <f t="shared" ca="1" si="131"/>
        <v>0</v>
      </c>
      <c r="CO66" s="1409">
        <f t="shared" ca="1" si="132"/>
        <v>0</v>
      </c>
      <c r="CP66" s="1409">
        <f t="shared" ca="1" si="133"/>
        <v>0</v>
      </c>
      <c r="CQ66" s="1409">
        <f t="shared" ca="1" si="134"/>
        <v>0</v>
      </c>
      <c r="CR66" s="1409">
        <f t="shared" ca="1" si="150"/>
        <v>0</v>
      </c>
      <c r="CS66" s="1131">
        <f t="shared" ca="1" si="135"/>
        <v>0</v>
      </c>
    </row>
    <row r="67" spans="3:97">
      <c r="C67" s="1763" t="s">
        <v>654</v>
      </c>
      <c r="D67" s="1763" t="s">
        <v>1410</v>
      </c>
      <c r="F67" s="1131">
        <f t="shared" ca="1" si="103"/>
        <v>0</v>
      </c>
      <c r="G67" s="1131">
        <f t="shared" ca="1" si="103"/>
        <v>0</v>
      </c>
      <c r="H67" s="1131">
        <f t="shared" ca="1" si="103"/>
        <v>0</v>
      </c>
      <c r="I67" s="1131">
        <f t="shared" ca="1" si="103"/>
        <v>0</v>
      </c>
      <c r="J67" s="1131">
        <f t="shared" ca="1" si="103"/>
        <v>0</v>
      </c>
      <c r="K67" s="1131">
        <f t="shared" ca="1" si="103"/>
        <v>0</v>
      </c>
      <c r="L67" s="1131">
        <f t="shared" ca="1" si="103"/>
        <v>0</v>
      </c>
      <c r="M67" s="1131">
        <f t="shared" ca="1" si="103"/>
        <v>0</v>
      </c>
      <c r="N67" s="1131">
        <f t="shared" ca="1" si="103"/>
        <v>0</v>
      </c>
      <c r="O67" s="1131">
        <f t="shared" ca="1" si="103"/>
        <v>0</v>
      </c>
      <c r="P67" s="1131">
        <f t="shared" ca="1" si="104"/>
        <v>0</v>
      </c>
      <c r="Q67" s="1131"/>
      <c r="R67" s="1131"/>
      <c r="S67" s="1131">
        <f t="shared" ca="1" si="105"/>
        <v>0</v>
      </c>
      <c r="T67" s="1131">
        <f t="shared" ca="1" si="105"/>
        <v>0</v>
      </c>
      <c r="U67" s="1131">
        <f t="shared" ca="1" si="105"/>
        <v>0</v>
      </c>
      <c r="V67" s="1131">
        <f t="shared" ca="1" si="105"/>
        <v>0</v>
      </c>
      <c r="W67" s="1131">
        <f t="shared" ca="1" si="105"/>
        <v>0</v>
      </c>
      <c r="X67" s="1131">
        <f t="shared" ca="1" si="105"/>
        <v>0</v>
      </c>
      <c r="Y67" s="1131">
        <f t="shared" ca="1" si="105"/>
        <v>0</v>
      </c>
      <c r="Z67" s="1131">
        <f t="shared" ca="1" si="105"/>
        <v>0</v>
      </c>
      <c r="AA67" s="1131">
        <f t="shared" ca="1" si="105"/>
        <v>0</v>
      </c>
      <c r="AB67" s="1131">
        <f t="shared" ca="1" si="105"/>
        <v>0</v>
      </c>
      <c r="AC67" s="1131">
        <f t="shared" ca="1" si="106"/>
        <v>0</v>
      </c>
      <c r="AD67" s="1131"/>
      <c r="AE67" s="1131"/>
      <c r="AF67" s="1131">
        <f t="shared" ca="1" si="107"/>
        <v>0</v>
      </c>
      <c r="AG67" s="1131">
        <f t="shared" ca="1" si="107"/>
        <v>0</v>
      </c>
      <c r="AH67" s="1131">
        <f t="shared" ca="1" si="107"/>
        <v>0</v>
      </c>
      <c r="AI67" s="1131">
        <f t="shared" ca="1" si="107"/>
        <v>0</v>
      </c>
      <c r="AJ67" s="1131">
        <f t="shared" ca="1" si="107"/>
        <v>0</v>
      </c>
      <c r="AK67" s="1131">
        <f t="shared" ca="1" si="107"/>
        <v>0</v>
      </c>
      <c r="AL67" s="1131">
        <f t="shared" ca="1" si="107"/>
        <v>0</v>
      </c>
      <c r="AM67" s="1131">
        <f t="shared" ca="1" si="107"/>
        <v>0</v>
      </c>
      <c r="AN67" s="1131">
        <f t="shared" ca="1" si="107"/>
        <v>0</v>
      </c>
      <c r="AO67" s="1131">
        <f t="shared" ca="1" si="107"/>
        <v>0</v>
      </c>
      <c r="AP67" s="1131">
        <f t="shared" ca="1" si="108"/>
        <v>0</v>
      </c>
      <c r="AQ67" s="1131"/>
      <c r="AR67" s="1131"/>
      <c r="AS67" s="1131">
        <f t="shared" ca="1" si="109"/>
        <v>0</v>
      </c>
      <c r="AT67" s="1131">
        <f t="shared" ca="1" si="110"/>
        <v>0</v>
      </c>
      <c r="AU67" s="1131">
        <f t="shared" ca="1" si="111"/>
        <v>0</v>
      </c>
      <c r="AV67" s="1131">
        <f t="shared" ca="1" si="112"/>
        <v>0</v>
      </c>
      <c r="AW67" s="1131">
        <f t="shared" ca="1" si="113"/>
        <v>0</v>
      </c>
      <c r="AX67" s="1131">
        <f t="shared" ca="1" si="114"/>
        <v>0</v>
      </c>
      <c r="AY67" s="1131">
        <f t="shared" ca="1" si="115"/>
        <v>0</v>
      </c>
      <c r="AZ67" s="1131">
        <f t="shared" ca="1" si="116"/>
        <v>0</v>
      </c>
      <c r="BA67" s="1131">
        <f t="shared" ca="1" si="117"/>
        <v>0</v>
      </c>
      <c r="BB67" s="1131">
        <f t="shared" ca="1" si="136"/>
        <v>0</v>
      </c>
      <c r="BC67" s="1131">
        <f t="shared" ca="1" si="118"/>
        <v>0</v>
      </c>
      <c r="BD67" s="1131"/>
      <c r="BE67" s="1131"/>
      <c r="BF67" s="19">
        <f>'Global cost assumptions'!E41</f>
        <v>0.1</v>
      </c>
      <c r="BG67" s="1131">
        <f>'Global cost assumptions'!F41</f>
        <v>30</v>
      </c>
      <c r="BH67" s="1131"/>
      <c r="BI67" s="1131"/>
      <c r="BJ67" s="27">
        <f t="shared" ca="1" si="137"/>
        <v>0</v>
      </c>
      <c r="BK67" s="27">
        <f t="shared" ca="1" si="138"/>
        <v>0</v>
      </c>
      <c r="BL67" s="27">
        <f t="shared" ca="1" si="119"/>
        <v>0</v>
      </c>
      <c r="BM67" s="27">
        <f t="shared" ca="1" si="120"/>
        <v>0</v>
      </c>
      <c r="BN67" s="27">
        <f t="shared" ca="1" si="121"/>
        <v>0</v>
      </c>
      <c r="BO67" s="27">
        <f t="shared" ca="1" si="122"/>
        <v>0</v>
      </c>
      <c r="BP67" s="27">
        <f t="shared" ca="1" si="123"/>
        <v>0</v>
      </c>
      <c r="BQ67" s="27">
        <f t="shared" ca="1" si="124"/>
        <v>0</v>
      </c>
      <c r="BR67" s="27">
        <f t="shared" ca="1" si="125"/>
        <v>0</v>
      </c>
      <c r="BS67" s="27"/>
      <c r="BT67" s="1131"/>
      <c r="BU67" s="1131"/>
      <c r="BV67" s="1409">
        <f t="shared" ca="1" si="139"/>
        <v>0</v>
      </c>
      <c r="BW67" s="1917">
        <f t="shared" ca="1" si="140"/>
        <v>0</v>
      </c>
      <c r="BX67" s="1917">
        <f t="shared" ca="1" si="141"/>
        <v>0</v>
      </c>
      <c r="BY67" s="1917">
        <f t="shared" ca="1" si="142"/>
        <v>0</v>
      </c>
      <c r="BZ67" s="1917">
        <f t="shared" ca="1" si="143"/>
        <v>0</v>
      </c>
      <c r="CA67" s="1917">
        <f t="shared" ca="1" si="144"/>
        <v>0</v>
      </c>
      <c r="CB67" s="1917">
        <f t="shared" ca="1" si="145"/>
        <v>0</v>
      </c>
      <c r="CC67" s="1917">
        <f t="shared" ca="1" si="146"/>
        <v>0</v>
      </c>
      <c r="CD67" s="1917">
        <f t="shared" ca="1" si="147"/>
        <v>0</v>
      </c>
      <c r="CE67" s="1917">
        <f t="shared" si="148"/>
        <v>0</v>
      </c>
      <c r="CF67" s="1131">
        <f t="shared" ca="1" si="126"/>
        <v>0</v>
      </c>
      <c r="CG67" s="1131"/>
      <c r="CH67" s="1131"/>
      <c r="CI67" s="1409">
        <f t="shared" ca="1" si="149"/>
        <v>0</v>
      </c>
      <c r="CJ67" s="1409">
        <f t="shared" ca="1" si="127"/>
        <v>0</v>
      </c>
      <c r="CK67" s="1409">
        <f t="shared" ca="1" si="128"/>
        <v>0</v>
      </c>
      <c r="CL67" s="1409">
        <f t="shared" ca="1" si="129"/>
        <v>0</v>
      </c>
      <c r="CM67" s="1409">
        <f t="shared" ca="1" si="130"/>
        <v>0</v>
      </c>
      <c r="CN67" s="1409">
        <f t="shared" ca="1" si="131"/>
        <v>0</v>
      </c>
      <c r="CO67" s="1409">
        <f t="shared" ca="1" si="132"/>
        <v>0</v>
      </c>
      <c r="CP67" s="1409">
        <f t="shared" ca="1" si="133"/>
        <v>0</v>
      </c>
      <c r="CQ67" s="1409">
        <f t="shared" ca="1" si="134"/>
        <v>0</v>
      </c>
      <c r="CR67" s="1409">
        <f t="shared" ca="1" si="150"/>
        <v>0</v>
      </c>
      <c r="CS67" s="1131">
        <f t="shared" ca="1" si="135"/>
        <v>0</v>
      </c>
    </row>
    <row r="68" spans="3:97">
      <c r="C68" s="1763" t="s">
        <v>743</v>
      </c>
      <c r="D68" s="1763" t="s">
        <v>1023</v>
      </c>
      <c r="F68" s="1131">
        <f t="shared" ca="1" si="103"/>
        <v>0</v>
      </c>
      <c r="G68" s="1131">
        <f t="shared" ca="1" si="103"/>
        <v>0</v>
      </c>
      <c r="H68" s="1131">
        <f t="shared" ca="1" si="103"/>
        <v>0</v>
      </c>
      <c r="I68" s="1131">
        <f t="shared" ca="1" si="103"/>
        <v>0</v>
      </c>
      <c r="J68" s="1131">
        <f t="shared" ca="1" si="103"/>
        <v>0</v>
      </c>
      <c r="K68" s="1131">
        <f t="shared" ca="1" si="103"/>
        <v>0</v>
      </c>
      <c r="L68" s="1131">
        <f t="shared" ca="1" si="103"/>
        <v>0</v>
      </c>
      <c r="M68" s="1131">
        <f t="shared" ca="1" si="103"/>
        <v>0</v>
      </c>
      <c r="N68" s="1131">
        <f t="shared" ca="1" si="103"/>
        <v>0</v>
      </c>
      <c r="O68" s="1131">
        <f t="shared" ca="1" si="103"/>
        <v>0</v>
      </c>
      <c r="P68" s="1131">
        <f t="shared" ca="1" si="104"/>
        <v>0</v>
      </c>
      <c r="Q68" s="1131"/>
      <c r="R68" s="1131"/>
      <c r="S68" s="1131">
        <f t="shared" ca="1" si="105"/>
        <v>0</v>
      </c>
      <c r="T68" s="1131">
        <f t="shared" ca="1" si="105"/>
        <v>0</v>
      </c>
      <c r="U68" s="1131">
        <f t="shared" ca="1" si="105"/>
        <v>0</v>
      </c>
      <c r="V68" s="1131">
        <f t="shared" ca="1" si="105"/>
        <v>0</v>
      </c>
      <c r="W68" s="1131">
        <f t="shared" ca="1" si="105"/>
        <v>0</v>
      </c>
      <c r="X68" s="1131">
        <f t="shared" ca="1" si="105"/>
        <v>0</v>
      </c>
      <c r="Y68" s="1131">
        <f t="shared" ca="1" si="105"/>
        <v>0</v>
      </c>
      <c r="Z68" s="1131">
        <f t="shared" ca="1" si="105"/>
        <v>0</v>
      </c>
      <c r="AA68" s="1131">
        <f t="shared" ca="1" si="105"/>
        <v>0</v>
      </c>
      <c r="AB68" s="1131">
        <f t="shared" ca="1" si="105"/>
        <v>0</v>
      </c>
      <c r="AC68" s="1131">
        <f t="shared" ca="1" si="106"/>
        <v>0</v>
      </c>
      <c r="AD68" s="1131"/>
      <c r="AE68" s="1131"/>
      <c r="AF68" s="1131">
        <f t="shared" ca="1" si="107"/>
        <v>0</v>
      </c>
      <c r="AG68" s="1131">
        <f t="shared" ca="1" si="107"/>
        <v>0</v>
      </c>
      <c r="AH68" s="1131">
        <f t="shared" ca="1" si="107"/>
        <v>0</v>
      </c>
      <c r="AI68" s="1131">
        <f t="shared" ca="1" si="107"/>
        <v>0</v>
      </c>
      <c r="AJ68" s="1131">
        <f t="shared" ca="1" si="107"/>
        <v>0</v>
      </c>
      <c r="AK68" s="1131">
        <f t="shared" ca="1" si="107"/>
        <v>0</v>
      </c>
      <c r="AL68" s="1131">
        <f t="shared" ca="1" si="107"/>
        <v>0</v>
      </c>
      <c r="AM68" s="1131">
        <f t="shared" ca="1" si="107"/>
        <v>0</v>
      </c>
      <c r="AN68" s="1131">
        <f t="shared" ca="1" si="107"/>
        <v>0</v>
      </c>
      <c r="AO68" s="1131">
        <f t="shared" ca="1" si="107"/>
        <v>0</v>
      </c>
      <c r="AP68" s="1131">
        <f t="shared" ca="1" si="108"/>
        <v>0</v>
      </c>
      <c r="AQ68" s="1131"/>
      <c r="AR68" s="1131"/>
      <c r="AS68" s="1131">
        <f t="shared" ca="1" si="109"/>
        <v>0</v>
      </c>
      <c r="AT68" s="1131">
        <f t="shared" ca="1" si="110"/>
        <v>0</v>
      </c>
      <c r="AU68" s="1131">
        <f t="shared" ca="1" si="111"/>
        <v>0</v>
      </c>
      <c r="AV68" s="1131">
        <f t="shared" ca="1" si="112"/>
        <v>0</v>
      </c>
      <c r="AW68" s="1131">
        <f t="shared" ca="1" si="113"/>
        <v>0</v>
      </c>
      <c r="AX68" s="1131">
        <f t="shared" ca="1" si="114"/>
        <v>0</v>
      </c>
      <c r="AY68" s="1131">
        <f t="shared" ca="1" si="115"/>
        <v>0</v>
      </c>
      <c r="AZ68" s="1131">
        <f t="shared" ca="1" si="116"/>
        <v>0</v>
      </c>
      <c r="BA68" s="1131">
        <f t="shared" ca="1" si="117"/>
        <v>0</v>
      </c>
      <c r="BB68" s="1131">
        <f t="shared" ca="1" si="136"/>
        <v>0</v>
      </c>
      <c r="BC68" s="1131">
        <f t="shared" ca="1" si="118"/>
        <v>0</v>
      </c>
      <c r="BD68" s="1131"/>
      <c r="BE68" s="1131"/>
      <c r="BF68" s="19">
        <f>'Global cost assumptions'!E42</f>
        <v>0.1</v>
      </c>
      <c r="BG68" s="1131">
        <f>'Global cost assumptions'!F42</f>
        <v>30</v>
      </c>
      <c r="BH68" s="1131"/>
      <c r="BI68" s="1131"/>
      <c r="BJ68" s="27">
        <f t="shared" ca="1" si="137"/>
        <v>0</v>
      </c>
      <c r="BK68" s="27">
        <f t="shared" ca="1" si="138"/>
        <v>0</v>
      </c>
      <c r="BL68" s="27">
        <f t="shared" ca="1" si="119"/>
        <v>0</v>
      </c>
      <c r="BM68" s="27">
        <f t="shared" ca="1" si="120"/>
        <v>0</v>
      </c>
      <c r="BN68" s="27">
        <f t="shared" ca="1" si="121"/>
        <v>0</v>
      </c>
      <c r="BO68" s="27">
        <f t="shared" ca="1" si="122"/>
        <v>0</v>
      </c>
      <c r="BP68" s="27">
        <f t="shared" ca="1" si="123"/>
        <v>0</v>
      </c>
      <c r="BQ68" s="27">
        <f t="shared" ca="1" si="124"/>
        <v>0</v>
      </c>
      <c r="BR68" s="27">
        <f t="shared" ca="1" si="125"/>
        <v>0</v>
      </c>
      <c r="BS68" s="27"/>
      <c r="BT68" s="1131"/>
      <c r="BU68" s="1131"/>
      <c r="BV68" s="1409">
        <f t="shared" ca="1" si="139"/>
        <v>0</v>
      </c>
      <c r="BW68" s="1917">
        <f t="shared" ca="1" si="140"/>
        <v>0</v>
      </c>
      <c r="BX68" s="1917">
        <f t="shared" ca="1" si="141"/>
        <v>0</v>
      </c>
      <c r="BY68" s="1917">
        <f t="shared" ca="1" si="142"/>
        <v>0</v>
      </c>
      <c r="BZ68" s="1917">
        <f t="shared" ca="1" si="143"/>
        <v>0</v>
      </c>
      <c r="CA68" s="1917">
        <f t="shared" ca="1" si="144"/>
        <v>0</v>
      </c>
      <c r="CB68" s="1917">
        <f t="shared" ca="1" si="145"/>
        <v>0</v>
      </c>
      <c r="CC68" s="1917">
        <f t="shared" ca="1" si="146"/>
        <v>0</v>
      </c>
      <c r="CD68" s="1917">
        <f t="shared" ca="1" si="147"/>
        <v>0</v>
      </c>
      <c r="CE68" s="1917">
        <f t="shared" si="148"/>
        <v>0</v>
      </c>
      <c r="CF68" s="1131">
        <f t="shared" ca="1" si="126"/>
        <v>0</v>
      </c>
      <c r="CG68" s="1131"/>
      <c r="CH68" s="1131"/>
      <c r="CI68" s="1409">
        <f t="shared" ca="1" si="149"/>
        <v>0</v>
      </c>
      <c r="CJ68" s="1409">
        <f t="shared" ca="1" si="127"/>
        <v>0</v>
      </c>
      <c r="CK68" s="1409">
        <f t="shared" ca="1" si="128"/>
        <v>0</v>
      </c>
      <c r="CL68" s="1409">
        <f t="shared" ca="1" si="129"/>
        <v>0</v>
      </c>
      <c r="CM68" s="1409">
        <f t="shared" ca="1" si="130"/>
        <v>0</v>
      </c>
      <c r="CN68" s="1409">
        <f t="shared" ca="1" si="131"/>
        <v>0</v>
      </c>
      <c r="CO68" s="1409">
        <f t="shared" ca="1" si="132"/>
        <v>0</v>
      </c>
      <c r="CP68" s="1409">
        <f t="shared" ca="1" si="133"/>
        <v>0</v>
      </c>
      <c r="CQ68" s="1409">
        <f t="shared" ca="1" si="134"/>
        <v>0</v>
      </c>
      <c r="CR68" s="1409">
        <f t="shared" ca="1" si="150"/>
        <v>0</v>
      </c>
      <c r="CS68" s="1131">
        <f t="shared" ca="1" si="135"/>
        <v>0</v>
      </c>
    </row>
    <row r="69" spans="3:97">
      <c r="C69" s="1763" t="s">
        <v>973</v>
      </c>
      <c r="D69" s="1763" t="s">
        <v>1024</v>
      </c>
      <c r="F69" s="1131">
        <f t="shared" ref="F69:O84" ca="1" si="151">IFERROR(INDEX(INDIRECT($C69&amp;".Costs["&amp;F$58&amp;"]"), MATCH($F$57, INDIRECT($C69&amp;".Costs[Vector]"), 0)),0)</f>
        <v>0</v>
      </c>
      <c r="G69" s="1131">
        <f t="shared" ca="1" si="151"/>
        <v>0</v>
      </c>
      <c r="H69" s="1131">
        <f t="shared" ca="1" si="151"/>
        <v>0</v>
      </c>
      <c r="I69" s="1131">
        <f t="shared" ca="1" si="151"/>
        <v>0</v>
      </c>
      <c r="J69" s="1131">
        <f t="shared" ca="1" si="151"/>
        <v>0</v>
      </c>
      <c r="K69" s="1131">
        <f t="shared" ca="1" si="151"/>
        <v>0</v>
      </c>
      <c r="L69" s="1131">
        <f t="shared" ca="1" si="151"/>
        <v>0</v>
      </c>
      <c r="M69" s="1131">
        <f t="shared" ca="1" si="151"/>
        <v>0</v>
      </c>
      <c r="N69" s="1131">
        <f t="shared" ca="1" si="151"/>
        <v>0</v>
      </c>
      <c r="O69" s="1131">
        <f t="shared" ca="1" si="103"/>
        <v>0</v>
      </c>
      <c r="P69" s="1131">
        <f t="shared" ca="1" si="104"/>
        <v>0</v>
      </c>
      <c r="Q69" s="1131"/>
      <c r="R69" s="1131"/>
      <c r="S69" s="1131">
        <f t="shared" ref="S69:AB84" ca="1" si="152">IFERROR(INDEX(INDIRECT($C69&amp;".Costs["&amp;S$58&amp;"]"), MATCH($S$57, INDIRECT($C69&amp;".Costs[Vector]"), 0)),0)</f>
        <v>0</v>
      </c>
      <c r="T69" s="1131">
        <f t="shared" ca="1" si="152"/>
        <v>0</v>
      </c>
      <c r="U69" s="1131">
        <f t="shared" ca="1" si="152"/>
        <v>0</v>
      </c>
      <c r="V69" s="1131">
        <f t="shared" ca="1" si="152"/>
        <v>0</v>
      </c>
      <c r="W69" s="1131">
        <f t="shared" ca="1" si="152"/>
        <v>0</v>
      </c>
      <c r="X69" s="1131">
        <f t="shared" ca="1" si="152"/>
        <v>0</v>
      </c>
      <c r="Y69" s="1131">
        <f t="shared" ca="1" si="152"/>
        <v>0</v>
      </c>
      <c r="Z69" s="1131">
        <f t="shared" ca="1" si="152"/>
        <v>0</v>
      </c>
      <c r="AA69" s="1131">
        <f t="shared" ca="1" si="152"/>
        <v>0</v>
      </c>
      <c r="AB69" s="1131">
        <f t="shared" ca="1" si="105"/>
        <v>0</v>
      </c>
      <c r="AC69" s="1131">
        <f t="shared" ca="1" si="106"/>
        <v>0</v>
      </c>
      <c r="AD69" s="1131"/>
      <c r="AE69" s="1131"/>
      <c r="AF69" s="1131">
        <f t="shared" ref="AF69:AO84" ca="1" si="153">IFERROR(INDEX(INDIRECT($C69&amp;".Costs["&amp;AF$58&amp;"]"), MATCH($AF$57, INDIRECT($C69&amp;".Costs[Vector]"), 0)),0)</f>
        <v>0</v>
      </c>
      <c r="AG69" s="1131">
        <f t="shared" ca="1" si="153"/>
        <v>0</v>
      </c>
      <c r="AH69" s="1131">
        <f t="shared" ca="1" si="153"/>
        <v>0</v>
      </c>
      <c r="AI69" s="1131">
        <f t="shared" ca="1" si="153"/>
        <v>0</v>
      </c>
      <c r="AJ69" s="1131">
        <f t="shared" ca="1" si="153"/>
        <v>0</v>
      </c>
      <c r="AK69" s="1131">
        <f t="shared" ca="1" si="153"/>
        <v>0</v>
      </c>
      <c r="AL69" s="1131">
        <f t="shared" ca="1" si="153"/>
        <v>0</v>
      </c>
      <c r="AM69" s="1131">
        <f t="shared" ca="1" si="153"/>
        <v>0</v>
      </c>
      <c r="AN69" s="1131">
        <f t="shared" ca="1" si="153"/>
        <v>0</v>
      </c>
      <c r="AO69" s="1131">
        <f t="shared" ca="1" si="107"/>
        <v>0</v>
      </c>
      <c r="AP69" s="1131">
        <f t="shared" ca="1" si="108"/>
        <v>0</v>
      </c>
      <c r="AQ69" s="1131"/>
      <c r="AR69" s="1131"/>
      <c r="AS69" s="1131">
        <f t="shared" ca="1" si="109"/>
        <v>0</v>
      </c>
      <c r="AT69" s="1131">
        <f t="shared" ca="1" si="110"/>
        <v>0</v>
      </c>
      <c r="AU69" s="1131">
        <f t="shared" ca="1" si="111"/>
        <v>0</v>
      </c>
      <c r="AV69" s="1131">
        <f t="shared" ca="1" si="112"/>
        <v>0</v>
      </c>
      <c r="AW69" s="1131">
        <f t="shared" ca="1" si="113"/>
        <v>0</v>
      </c>
      <c r="AX69" s="1131">
        <f t="shared" ca="1" si="114"/>
        <v>0</v>
      </c>
      <c r="AY69" s="1131">
        <f t="shared" ca="1" si="115"/>
        <v>0</v>
      </c>
      <c r="AZ69" s="1131">
        <f t="shared" ca="1" si="116"/>
        <v>0</v>
      </c>
      <c r="BA69" s="1131">
        <f t="shared" ca="1" si="117"/>
        <v>0</v>
      </c>
      <c r="BB69" s="1131">
        <f t="shared" ca="1" si="136"/>
        <v>0</v>
      </c>
      <c r="BC69" s="1131">
        <f t="shared" ca="1" si="118"/>
        <v>0</v>
      </c>
      <c r="BD69" s="1131"/>
      <c r="BE69" s="1131"/>
      <c r="BF69" s="19">
        <f>'Global cost assumptions'!E43</f>
        <v>0.1</v>
      </c>
      <c r="BG69" s="1131">
        <f>'Global cost assumptions'!F43</f>
        <v>30</v>
      </c>
      <c r="BH69" s="1131"/>
      <c r="BI69" s="1131"/>
      <c r="BJ69" s="27">
        <f t="shared" ca="1" si="137"/>
        <v>0</v>
      </c>
      <c r="BK69" s="27">
        <f t="shared" ca="1" si="138"/>
        <v>0</v>
      </c>
      <c r="BL69" s="27">
        <f t="shared" ca="1" si="119"/>
        <v>0</v>
      </c>
      <c r="BM69" s="27">
        <f t="shared" ca="1" si="120"/>
        <v>0</v>
      </c>
      <c r="BN69" s="27">
        <f t="shared" ca="1" si="121"/>
        <v>0</v>
      </c>
      <c r="BO69" s="27">
        <f t="shared" ca="1" si="122"/>
        <v>0</v>
      </c>
      <c r="BP69" s="27">
        <f t="shared" ca="1" si="123"/>
        <v>0</v>
      </c>
      <c r="BQ69" s="27">
        <f t="shared" ca="1" si="124"/>
        <v>0</v>
      </c>
      <c r="BR69" s="27">
        <f t="shared" ca="1" si="125"/>
        <v>0</v>
      </c>
      <c r="BS69" s="27"/>
      <c r="BT69" s="1131"/>
      <c r="BU69" s="1131"/>
      <c r="BV69" s="1409">
        <f t="shared" ca="1" si="139"/>
        <v>0</v>
      </c>
      <c r="BW69" s="1917">
        <f t="shared" ca="1" si="140"/>
        <v>0</v>
      </c>
      <c r="BX69" s="1917">
        <f t="shared" ca="1" si="141"/>
        <v>0</v>
      </c>
      <c r="BY69" s="1917">
        <f t="shared" ca="1" si="142"/>
        <v>0</v>
      </c>
      <c r="BZ69" s="1917">
        <f t="shared" ca="1" si="143"/>
        <v>0</v>
      </c>
      <c r="CA69" s="1917">
        <f t="shared" ca="1" si="144"/>
        <v>0</v>
      </c>
      <c r="CB69" s="1917">
        <f t="shared" ca="1" si="145"/>
        <v>0</v>
      </c>
      <c r="CC69" s="1917">
        <f t="shared" ca="1" si="146"/>
        <v>0</v>
      </c>
      <c r="CD69" s="1917">
        <f t="shared" ca="1" si="147"/>
        <v>0</v>
      </c>
      <c r="CE69" s="1917">
        <f t="shared" si="148"/>
        <v>0</v>
      </c>
      <c r="CF69" s="1131">
        <f t="shared" ca="1" si="126"/>
        <v>0</v>
      </c>
      <c r="CG69" s="1131"/>
      <c r="CH69" s="1131"/>
      <c r="CI69" s="1409">
        <f t="shared" ca="1" si="149"/>
        <v>0</v>
      </c>
      <c r="CJ69" s="1409">
        <f t="shared" ca="1" si="127"/>
        <v>0</v>
      </c>
      <c r="CK69" s="1409">
        <f t="shared" ca="1" si="128"/>
        <v>0</v>
      </c>
      <c r="CL69" s="1409">
        <f t="shared" ca="1" si="129"/>
        <v>0</v>
      </c>
      <c r="CM69" s="1409">
        <f t="shared" ca="1" si="130"/>
        <v>0</v>
      </c>
      <c r="CN69" s="1409">
        <f t="shared" ca="1" si="131"/>
        <v>0</v>
      </c>
      <c r="CO69" s="1409">
        <f t="shared" ca="1" si="132"/>
        <v>0</v>
      </c>
      <c r="CP69" s="1409">
        <f t="shared" ca="1" si="133"/>
        <v>0</v>
      </c>
      <c r="CQ69" s="1409">
        <f t="shared" ca="1" si="134"/>
        <v>0</v>
      </c>
      <c r="CR69" s="1409">
        <f t="shared" ca="1" si="150"/>
        <v>0</v>
      </c>
      <c r="CS69" s="1131">
        <f t="shared" ca="1" si="135"/>
        <v>0</v>
      </c>
    </row>
    <row r="70" spans="3:97">
      <c r="C70" s="1763" t="s">
        <v>1021</v>
      </c>
      <c r="D70" s="1763" t="s">
        <v>1025</v>
      </c>
      <c r="F70" s="1131">
        <f t="shared" ca="1" si="151"/>
        <v>0</v>
      </c>
      <c r="G70" s="1131">
        <f t="shared" ca="1" si="151"/>
        <v>0</v>
      </c>
      <c r="H70" s="1131">
        <f t="shared" ca="1" si="151"/>
        <v>0</v>
      </c>
      <c r="I70" s="1131">
        <f t="shared" ca="1" si="151"/>
        <v>0</v>
      </c>
      <c r="J70" s="1131">
        <f t="shared" ca="1" si="151"/>
        <v>0</v>
      </c>
      <c r="K70" s="1131">
        <f t="shared" ca="1" si="151"/>
        <v>0</v>
      </c>
      <c r="L70" s="1131">
        <f t="shared" ca="1" si="151"/>
        <v>0</v>
      </c>
      <c r="M70" s="1131">
        <f t="shared" ca="1" si="151"/>
        <v>0</v>
      </c>
      <c r="N70" s="1131">
        <f t="shared" ca="1" si="151"/>
        <v>0</v>
      </c>
      <c r="O70" s="1131">
        <f t="shared" ca="1" si="103"/>
        <v>0</v>
      </c>
      <c r="P70" s="1131">
        <f t="shared" ca="1" si="104"/>
        <v>0</v>
      </c>
      <c r="Q70" s="1131"/>
      <c r="R70" s="1131"/>
      <c r="S70" s="1131">
        <f t="shared" ca="1" si="152"/>
        <v>0</v>
      </c>
      <c r="T70" s="1131">
        <f t="shared" ca="1" si="152"/>
        <v>0</v>
      </c>
      <c r="U70" s="1131">
        <f t="shared" ca="1" si="152"/>
        <v>0</v>
      </c>
      <c r="V70" s="1131">
        <f t="shared" ca="1" si="152"/>
        <v>0</v>
      </c>
      <c r="W70" s="1131">
        <f t="shared" ca="1" si="152"/>
        <v>0</v>
      </c>
      <c r="X70" s="1131">
        <f t="shared" ca="1" si="152"/>
        <v>0</v>
      </c>
      <c r="Y70" s="1131">
        <f t="shared" ca="1" si="152"/>
        <v>0</v>
      </c>
      <c r="Z70" s="1131">
        <f t="shared" ca="1" si="152"/>
        <v>0</v>
      </c>
      <c r="AA70" s="1131">
        <f t="shared" ca="1" si="152"/>
        <v>0</v>
      </c>
      <c r="AB70" s="1131">
        <f t="shared" ca="1" si="105"/>
        <v>0</v>
      </c>
      <c r="AC70" s="1131">
        <f t="shared" ca="1" si="106"/>
        <v>0</v>
      </c>
      <c r="AD70" s="1131"/>
      <c r="AE70" s="1131"/>
      <c r="AF70" s="1131">
        <f t="shared" ca="1" si="153"/>
        <v>0</v>
      </c>
      <c r="AG70" s="1131">
        <f t="shared" ca="1" si="153"/>
        <v>0</v>
      </c>
      <c r="AH70" s="1131">
        <f t="shared" ca="1" si="153"/>
        <v>0</v>
      </c>
      <c r="AI70" s="1131">
        <f t="shared" ca="1" si="153"/>
        <v>0</v>
      </c>
      <c r="AJ70" s="1131">
        <f t="shared" ca="1" si="153"/>
        <v>0</v>
      </c>
      <c r="AK70" s="1131">
        <f t="shared" ca="1" si="153"/>
        <v>0</v>
      </c>
      <c r="AL70" s="1131">
        <f t="shared" ca="1" si="153"/>
        <v>0</v>
      </c>
      <c r="AM70" s="1131">
        <f t="shared" ca="1" si="153"/>
        <v>0</v>
      </c>
      <c r="AN70" s="1131">
        <f t="shared" ca="1" si="153"/>
        <v>0</v>
      </c>
      <c r="AO70" s="1131">
        <f t="shared" ca="1" si="107"/>
        <v>0</v>
      </c>
      <c r="AP70" s="1131">
        <f t="shared" ca="1" si="108"/>
        <v>0</v>
      </c>
      <c r="AQ70" s="1131"/>
      <c r="AR70" s="1131"/>
      <c r="AS70" s="1131">
        <f t="shared" ca="1" si="109"/>
        <v>0</v>
      </c>
      <c r="AT70" s="1131">
        <f t="shared" ca="1" si="110"/>
        <v>0</v>
      </c>
      <c r="AU70" s="1131">
        <f t="shared" ca="1" si="111"/>
        <v>0</v>
      </c>
      <c r="AV70" s="1131">
        <f t="shared" ca="1" si="112"/>
        <v>0</v>
      </c>
      <c r="AW70" s="1131">
        <f t="shared" ca="1" si="113"/>
        <v>0</v>
      </c>
      <c r="AX70" s="1131">
        <f t="shared" ca="1" si="114"/>
        <v>0</v>
      </c>
      <c r="AY70" s="1131">
        <f t="shared" ca="1" si="115"/>
        <v>0</v>
      </c>
      <c r="AZ70" s="1131">
        <f t="shared" ca="1" si="116"/>
        <v>0</v>
      </c>
      <c r="BA70" s="1131">
        <f t="shared" ca="1" si="117"/>
        <v>0</v>
      </c>
      <c r="BB70" s="1131">
        <f t="shared" ca="1" si="136"/>
        <v>0</v>
      </c>
      <c r="BC70" s="1131">
        <f t="shared" ca="1" si="118"/>
        <v>0</v>
      </c>
      <c r="BD70" s="1131"/>
      <c r="BE70" s="1131"/>
      <c r="BF70" s="19">
        <f>'Global cost assumptions'!E44</f>
        <v>0.1</v>
      </c>
      <c r="BG70" s="1131">
        <f>'Global cost assumptions'!F44</f>
        <v>30</v>
      </c>
      <c r="BH70" s="1131"/>
      <c r="BI70" s="1131"/>
      <c r="BJ70" s="27">
        <f t="shared" ca="1" si="137"/>
        <v>0</v>
      </c>
      <c r="BK70" s="27">
        <f t="shared" ca="1" si="138"/>
        <v>0</v>
      </c>
      <c r="BL70" s="27">
        <f t="shared" ca="1" si="119"/>
        <v>0</v>
      </c>
      <c r="BM70" s="27">
        <f t="shared" ca="1" si="120"/>
        <v>0</v>
      </c>
      <c r="BN70" s="27">
        <f t="shared" ca="1" si="121"/>
        <v>0</v>
      </c>
      <c r="BO70" s="27">
        <f t="shared" ca="1" si="122"/>
        <v>0</v>
      </c>
      <c r="BP70" s="27">
        <f t="shared" ca="1" si="123"/>
        <v>0</v>
      </c>
      <c r="BQ70" s="27">
        <f t="shared" ca="1" si="124"/>
        <v>0</v>
      </c>
      <c r="BR70" s="27">
        <f t="shared" ca="1" si="125"/>
        <v>0</v>
      </c>
      <c r="BS70" s="27"/>
      <c r="BT70" s="1131"/>
      <c r="BU70" s="1131"/>
      <c r="BV70" s="1409">
        <f t="shared" ca="1" si="139"/>
        <v>0</v>
      </c>
      <c r="BW70" s="1917">
        <f t="shared" ca="1" si="140"/>
        <v>0</v>
      </c>
      <c r="BX70" s="1917">
        <f t="shared" ca="1" si="141"/>
        <v>0</v>
      </c>
      <c r="BY70" s="1917">
        <f t="shared" ca="1" si="142"/>
        <v>0</v>
      </c>
      <c r="BZ70" s="1917">
        <f t="shared" ca="1" si="143"/>
        <v>0</v>
      </c>
      <c r="CA70" s="1917">
        <f t="shared" ca="1" si="144"/>
        <v>0</v>
      </c>
      <c r="CB70" s="1917">
        <f t="shared" ca="1" si="145"/>
        <v>0</v>
      </c>
      <c r="CC70" s="1917">
        <f t="shared" ca="1" si="146"/>
        <v>0</v>
      </c>
      <c r="CD70" s="1917">
        <f t="shared" ca="1" si="147"/>
        <v>0</v>
      </c>
      <c r="CE70" s="1917">
        <f t="shared" si="148"/>
        <v>0</v>
      </c>
      <c r="CF70" s="1131">
        <f t="shared" ca="1" si="126"/>
        <v>0</v>
      </c>
      <c r="CG70" s="1131"/>
      <c r="CH70" s="1131"/>
      <c r="CI70" s="1409">
        <f t="shared" ca="1" si="149"/>
        <v>0</v>
      </c>
      <c r="CJ70" s="1409">
        <f t="shared" ca="1" si="127"/>
        <v>0</v>
      </c>
      <c r="CK70" s="1409">
        <f t="shared" ca="1" si="128"/>
        <v>0</v>
      </c>
      <c r="CL70" s="1409">
        <f t="shared" ca="1" si="129"/>
        <v>0</v>
      </c>
      <c r="CM70" s="1409">
        <f t="shared" ca="1" si="130"/>
        <v>0</v>
      </c>
      <c r="CN70" s="1409">
        <f t="shared" ca="1" si="131"/>
        <v>0</v>
      </c>
      <c r="CO70" s="1409">
        <f t="shared" ca="1" si="132"/>
        <v>0</v>
      </c>
      <c r="CP70" s="1409">
        <f t="shared" ca="1" si="133"/>
        <v>0</v>
      </c>
      <c r="CQ70" s="1409">
        <f t="shared" ca="1" si="134"/>
        <v>0</v>
      </c>
      <c r="CR70" s="1409">
        <f t="shared" ca="1" si="150"/>
        <v>0</v>
      </c>
      <c r="CS70" s="1131">
        <f t="shared" ca="1" si="135"/>
        <v>0</v>
      </c>
    </row>
    <row r="71" spans="3:97">
      <c r="C71" s="1763" t="s">
        <v>734</v>
      </c>
      <c r="D71" s="1763" t="s">
        <v>1952</v>
      </c>
      <c r="F71" s="1131">
        <f t="shared" ca="1" si="151"/>
        <v>0</v>
      </c>
      <c r="G71" s="1131">
        <f t="shared" ca="1" si="151"/>
        <v>0</v>
      </c>
      <c r="H71" s="1131">
        <f t="shared" ca="1" si="151"/>
        <v>0</v>
      </c>
      <c r="I71" s="1131">
        <f t="shared" ca="1" si="151"/>
        <v>0</v>
      </c>
      <c r="J71" s="1131">
        <f t="shared" ca="1" si="151"/>
        <v>0</v>
      </c>
      <c r="K71" s="1131">
        <f t="shared" ca="1" si="151"/>
        <v>0</v>
      </c>
      <c r="L71" s="1131">
        <f t="shared" ca="1" si="151"/>
        <v>0</v>
      </c>
      <c r="M71" s="1131">
        <f t="shared" ca="1" si="151"/>
        <v>0</v>
      </c>
      <c r="N71" s="1131">
        <f t="shared" ca="1" si="151"/>
        <v>0</v>
      </c>
      <c r="O71" s="1131">
        <f t="shared" ca="1" si="103"/>
        <v>0</v>
      </c>
      <c r="P71" s="1131">
        <f t="shared" ca="1" si="104"/>
        <v>0</v>
      </c>
      <c r="Q71" s="1131"/>
      <c r="R71" s="1131"/>
      <c r="S71" s="1131">
        <f t="shared" ca="1" si="152"/>
        <v>0</v>
      </c>
      <c r="T71" s="1131">
        <f t="shared" ca="1" si="152"/>
        <v>0</v>
      </c>
      <c r="U71" s="1131">
        <f t="shared" ca="1" si="152"/>
        <v>0</v>
      </c>
      <c r="V71" s="1131">
        <f t="shared" ca="1" si="152"/>
        <v>0</v>
      </c>
      <c r="W71" s="1131">
        <f t="shared" ca="1" si="152"/>
        <v>0</v>
      </c>
      <c r="X71" s="1131">
        <f t="shared" ca="1" si="152"/>
        <v>0</v>
      </c>
      <c r="Y71" s="1131">
        <f t="shared" ca="1" si="152"/>
        <v>0</v>
      </c>
      <c r="Z71" s="1131">
        <f t="shared" ca="1" si="152"/>
        <v>0</v>
      </c>
      <c r="AA71" s="1131">
        <f t="shared" ca="1" si="152"/>
        <v>0</v>
      </c>
      <c r="AB71" s="1131">
        <f t="shared" ca="1" si="105"/>
        <v>0</v>
      </c>
      <c r="AC71" s="1131">
        <f t="shared" ca="1" si="106"/>
        <v>0</v>
      </c>
      <c r="AD71" s="1131"/>
      <c r="AE71" s="1131"/>
      <c r="AF71" s="1131">
        <f t="shared" ca="1" si="153"/>
        <v>0</v>
      </c>
      <c r="AG71" s="1131">
        <f t="shared" ca="1" si="153"/>
        <v>0</v>
      </c>
      <c r="AH71" s="1131">
        <f t="shared" ca="1" si="153"/>
        <v>0</v>
      </c>
      <c r="AI71" s="1131">
        <f t="shared" ca="1" si="153"/>
        <v>0</v>
      </c>
      <c r="AJ71" s="1131">
        <f t="shared" ca="1" si="153"/>
        <v>0</v>
      </c>
      <c r="AK71" s="1131">
        <f t="shared" ca="1" si="153"/>
        <v>0</v>
      </c>
      <c r="AL71" s="1131">
        <f t="shared" ca="1" si="153"/>
        <v>0</v>
      </c>
      <c r="AM71" s="1131">
        <f t="shared" ca="1" si="153"/>
        <v>0</v>
      </c>
      <c r="AN71" s="1131">
        <f t="shared" ca="1" si="153"/>
        <v>0</v>
      </c>
      <c r="AO71" s="1131">
        <f t="shared" ca="1" si="107"/>
        <v>0</v>
      </c>
      <c r="AP71" s="1131">
        <f t="shared" ca="1" si="108"/>
        <v>0</v>
      </c>
      <c r="AQ71" s="1131"/>
      <c r="AR71" s="1131"/>
      <c r="AS71" s="1131">
        <f t="shared" ca="1" si="109"/>
        <v>0</v>
      </c>
      <c r="AT71" s="1131">
        <f t="shared" ca="1" si="110"/>
        <v>0</v>
      </c>
      <c r="AU71" s="1131">
        <f t="shared" ca="1" si="111"/>
        <v>0</v>
      </c>
      <c r="AV71" s="1131">
        <f t="shared" ca="1" si="112"/>
        <v>0</v>
      </c>
      <c r="AW71" s="1131">
        <f t="shared" ca="1" si="113"/>
        <v>0</v>
      </c>
      <c r="AX71" s="1131">
        <f t="shared" ca="1" si="114"/>
        <v>0</v>
      </c>
      <c r="AY71" s="1131">
        <f t="shared" ca="1" si="115"/>
        <v>0</v>
      </c>
      <c r="AZ71" s="1131">
        <f t="shared" ca="1" si="116"/>
        <v>0</v>
      </c>
      <c r="BA71" s="1131">
        <f t="shared" ca="1" si="117"/>
        <v>0</v>
      </c>
      <c r="BB71" s="1131">
        <f t="shared" ca="1" si="136"/>
        <v>0</v>
      </c>
      <c r="BC71" s="1131">
        <f t="shared" ca="1" si="118"/>
        <v>0</v>
      </c>
      <c r="BD71" s="1131"/>
      <c r="BE71" s="1131"/>
      <c r="BF71" s="19">
        <f>'Global cost assumptions'!E45</f>
        <v>0.1</v>
      </c>
      <c r="BG71" s="1131">
        <f>'Global cost assumptions'!F45</f>
        <v>30</v>
      </c>
      <c r="BH71" s="1131"/>
      <c r="BI71" s="1131"/>
      <c r="BJ71" s="27">
        <f t="shared" ca="1" si="137"/>
        <v>0</v>
      </c>
      <c r="BK71" s="27">
        <f t="shared" ca="1" si="138"/>
        <v>0</v>
      </c>
      <c r="BL71" s="27">
        <f t="shared" ca="1" si="119"/>
        <v>0</v>
      </c>
      <c r="BM71" s="27">
        <f t="shared" ca="1" si="120"/>
        <v>0</v>
      </c>
      <c r="BN71" s="27">
        <f t="shared" ca="1" si="121"/>
        <v>0</v>
      </c>
      <c r="BO71" s="27">
        <f t="shared" ca="1" si="122"/>
        <v>0</v>
      </c>
      <c r="BP71" s="27">
        <f t="shared" ca="1" si="123"/>
        <v>0</v>
      </c>
      <c r="BQ71" s="27">
        <f t="shared" ca="1" si="124"/>
        <v>0</v>
      </c>
      <c r="BR71" s="27">
        <f t="shared" ca="1" si="125"/>
        <v>0</v>
      </c>
      <c r="BS71" s="27"/>
      <c r="BT71" s="1131"/>
      <c r="BU71" s="1131"/>
      <c r="BV71" s="1409">
        <f t="shared" ca="1" si="139"/>
        <v>0</v>
      </c>
      <c r="BW71" s="1917">
        <f t="shared" ca="1" si="140"/>
        <v>0</v>
      </c>
      <c r="BX71" s="1917">
        <f t="shared" ca="1" si="141"/>
        <v>0</v>
      </c>
      <c r="BY71" s="1917">
        <f t="shared" ca="1" si="142"/>
        <v>0</v>
      </c>
      <c r="BZ71" s="1917">
        <f t="shared" ca="1" si="143"/>
        <v>0</v>
      </c>
      <c r="CA71" s="1917">
        <f t="shared" ca="1" si="144"/>
        <v>0</v>
      </c>
      <c r="CB71" s="1917">
        <f t="shared" ca="1" si="145"/>
        <v>0</v>
      </c>
      <c r="CC71" s="1917">
        <f t="shared" ca="1" si="146"/>
        <v>0</v>
      </c>
      <c r="CD71" s="1917">
        <f t="shared" ca="1" si="147"/>
        <v>0</v>
      </c>
      <c r="CE71" s="1917">
        <f t="shared" si="148"/>
        <v>0</v>
      </c>
      <c r="CF71" s="1131">
        <f t="shared" ca="1" si="126"/>
        <v>0</v>
      </c>
      <c r="CG71" s="1131"/>
      <c r="CH71" s="1131"/>
      <c r="CI71" s="1409">
        <f t="shared" ca="1" si="149"/>
        <v>0</v>
      </c>
      <c r="CJ71" s="1409">
        <f t="shared" ca="1" si="127"/>
        <v>0</v>
      </c>
      <c r="CK71" s="1409">
        <f t="shared" ca="1" si="128"/>
        <v>0</v>
      </c>
      <c r="CL71" s="1409">
        <f t="shared" ca="1" si="129"/>
        <v>0</v>
      </c>
      <c r="CM71" s="1409">
        <f t="shared" ca="1" si="130"/>
        <v>0</v>
      </c>
      <c r="CN71" s="1409">
        <f t="shared" ca="1" si="131"/>
        <v>0</v>
      </c>
      <c r="CO71" s="1409">
        <f t="shared" ca="1" si="132"/>
        <v>0</v>
      </c>
      <c r="CP71" s="1409">
        <f t="shared" ca="1" si="133"/>
        <v>0</v>
      </c>
      <c r="CQ71" s="1409">
        <f t="shared" ca="1" si="134"/>
        <v>0</v>
      </c>
      <c r="CR71" s="1409">
        <f t="shared" ca="1" si="150"/>
        <v>0</v>
      </c>
      <c r="CS71" s="1131">
        <f t="shared" ca="1" si="135"/>
        <v>0</v>
      </c>
    </row>
    <row r="72" spans="3:97">
      <c r="C72" s="1763" t="s">
        <v>1043</v>
      </c>
      <c r="D72" s="1763" t="s">
        <v>1044</v>
      </c>
      <c r="F72" s="1131">
        <f t="shared" ca="1" si="151"/>
        <v>0</v>
      </c>
      <c r="G72" s="1131">
        <f t="shared" ca="1" si="151"/>
        <v>0</v>
      </c>
      <c r="H72" s="1131">
        <f t="shared" ca="1" si="151"/>
        <v>0</v>
      </c>
      <c r="I72" s="1131">
        <f t="shared" ca="1" si="151"/>
        <v>0</v>
      </c>
      <c r="J72" s="1131">
        <f t="shared" ca="1" si="151"/>
        <v>0</v>
      </c>
      <c r="K72" s="1131">
        <f t="shared" ca="1" si="151"/>
        <v>0</v>
      </c>
      <c r="L72" s="1131">
        <f t="shared" ca="1" si="151"/>
        <v>0</v>
      </c>
      <c r="M72" s="1131">
        <f t="shared" ca="1" si="151"/>
        <v>0</v>
      </c>
      <c r="N72" s="1131">
        <f t="shared" ca="1" si="151"/>
        <v>0</v>
      </c>
      <c r="O72" s="1131">
        <f t="shared" ca="1" si="103"/>
        <v>0</v>
      </c>
      <c r="P72" s="1131">
        <f t="shared" ca="1" si="104"/>
        <v>0</v>
      </c>
      <c r="Q72" s="1131"/>
      <c r="R72" s="1131"/>
      <c r="S72" s="1131">
        <f t="shared" ca="1" si="152"/>
        <v>0</v>
      </c>
      <c r="T72" s="1131">
        <f t="shared" ca="1" si="152"/>
        <v>0</v>
      </c>
      <c r="U72" s="1131">
        <f t="shared" ca="1" si="152"/>
        <v>0</v>
      </c>
      <c r="V72" s="1131">
        <f t="shared" ca="1" si="152"/>
        <v>0</v>
      </c>
      <c r="W72" s="1131">
        <f t="shared" ca="1" si="152"/>
        <v>0</v>
      </c>
      <c r="X72" s="1131">
        <f t="shared" ca="1" si="152"/>
        <v>0</v>
      </c>
      <c r="Y72" s="1131">
        <f t="shared" ca="1" si="152"/>
        <v>0</v>
      </c>
      <c r="Z72" s="1131">
        <f t="shared" ca="1" si="152"/>
        <v>0</v>
      </c>
      <c r="AA72" s="1131">
        <f t="shared" ca="1" si="152"/>
        <v>0</v>
      </c>
      <c r="AB72" s="1131">
        <f t="shared" ca="1" si="105"/>
        <v>0</v>
      </c>
      <c r="AC72" s="1131">
        <f t="shared" ca="1" si="106"/>
        <v>0</v>
      </c>
      <c r="AD72" s="1131"/>
      <c r="AE72" s="1131"/>
      <c r="AF72" s="1131">
        <f t="shared" ca="1" si="153"/>
        <v>0</v>
      </c>
      <c r="AG72" s="1131">
        <f t="shared" ca="1" si="153"/>
        <v>0</v>
      </c>
      <c r="AH72" s="1131">
        <f t="shared" ca="1" si="153"/>
        <v>0</v>
      </c>
      <c r="AI72" s="1131">
        <f t="shared" ca="1" si="153"/>
        <v>0</v>
      </c>
      <c r="AJ72" s="1131">
        <f t="shared" ca="1" si="153"/>
        <v>0</v>
      </c>
      <c r="AK72" s="1131">
        <f t="shared" ca="1" si="153"/>
        <v>0</v>
      </c>
      <c r="AL72" s="1131">
        <f t="shared" ca="1" si="153"/>
        <v>0</v>
      </c>
      <c r="AM72" s="1131">
        <f t="shared" ca="1" si="153"/>
        <v>0</v>
      </c>
      <c r="AN72" s="1131">
        <f t="shared" ca="1" si="153"/>
        <v>0</v>
      </c>
      <c r="AO72" s="1131">
        <f t="shared" ca="1" si="107"/>
        <v>0</v>
      </c>
      <c r="AP72" s="1131">
        <f t="shared" ca="1" si="108"/>
        <v>0</v>
      </c>
      <c r="AQ72" s="1131"/>
      <c r="AR72" s="1131"/>
      <c r="AS72" s="1131">
        <f t="shared" ca="1" si="109"/>
        <v>0</v>
      </c>
      <c r="AT72" s="1131">
        <f t="shared" ca="1" si="110"/>
        <v>0</v>
      </c>
      <c r="AU72" s="1131">
        <f t="shared" ca="1" si="111"/>
        <v>0</v>
      </c>
      <c r="AV72" s="1131">
        <f t="shared" ca="1" si="112"/>
        <v>0</v>
      </c>
      <c r="AW72" s="1131">
        <f t="shared" ca="1" si="113"/>
        <v>0</v>
      </c>
      <c r="AX72" s="1131">
        <f t="shared" ca="1" si="114"/>
        <v>0</v>
      </c>
      <c r="AY72" s="1131">
        <f t="shared" ca="1" si="115"/>
        <v>0</v>
      </c>
      <c r="AZ72" s="1131">
        <f t="shared" ca="1" si="116"/>
        <v>0</v>
      </c>
      <c r="BA72" s="1131">
        <f t="shared" ca="1" si="117"/>
        <v>0</v>
      </c>
      <c r="BB72" s="1131">
        <f t="shared" ca="1" si="136"/>
        <v>0</v>
      </c>
      <c r="BC72" s="1131">
        <f t="shared" ca="1" si="118"/>
        <v>0</v>
      </c>
      <c r="BD72" s="1131"/>
      <c r="BE72" s="1131"/>
      <c r="BF72" s="19">
        <f>'Global cost assumptions'!E46</f>
        <v>0.1</v>
      </c>
      <c r="BG72" s="1131">
        <f>'Global cost assumptions'!F46</f>
        <v>30</v>
      </c>
      <c r="BH72" s="1131"/>
      <c r="BI72" s="1131"/>
      <c r="BJ72" s="27">
        <f t="shared" ca="1" si="137"/>
        <v>0</v>
      </c>
      <c r="BK72" s="27">
        <f t="shared" ca="1" si="138"/>
        <v>0</v>
      </c>
      <c r="BL72" s="27">
        <f t="shared" ca="1" si="119"/>
        <v>0</v>
      </c>
      <c r="BM72" s="27">
        <f t="shared" ca="1" si="120"/>
        <v>0</v>
      </c>
      <c r="BN72" s="27">
        <f t="shared" ca="1" si="121"/>
        <v>0</v>
      </c>
      <c r="BO72" s="27">
        <f t="shared" ca="1" si="122"/>
        <v>0</v>
      </c>
      <c r="BP72" s="27">
        <f t="shared" ca="1" si="123"/>
        <v>0</v>
      </c>
      <c r="BQ72" s="27">
        <f t="shared" ca="1" si="124"/>
        <v>0</v>
      </c>
      <c r="BR72" s="27">
        <f t="shared" ca="1" si="125"/>
        <v>0</v>
      </c>
      <c r="BS72" s="27"/>
      <c r="BT72" s="1131"/>
      <c r="BU72" s="1131"/>
      <c r="BV72" s="1409">
        <f t="shared" ca="1" si="139"/>
        <v>0</v>
      </c>
      <c r="BW72" s="1917">
        <f t="shared" ca="1" si="140"/>
        <v>0</v>
      </c>
      <c r="BX72" s="1917">
        <f t="shared" ca="1" si="141"/>
        <v>0</v>
      </c>
      <c r="BY72" s="1917">
        <f t="shared" ca="1" si="142"/>
        <v>0</v>
      </c>
      <c r="BZ72" s="1917">
        <f t="shared" ca="1" si="143"/>
        <v>0</v>
      </c>
      <c r="CA72" s="1917">
        <f t="shared" ca="1" si="144"/>
        <v>0</v>
      </c>
      <c r="CB72" s="1917">
        <f t="shared" ca="1" si="145"/>
        <v>0</v>
      </c>
      <c r="CC72" s="1917">
        <f t="shared" ca="1" si="146"/>
        <v>0</v>
      </c>
      <c r="CD72" s="1917">
        <f t="shared" ca="1" si="147"/>
        <v>0</v>
      </c>
      <c r="CE72" s="1917">
        <f t="shared" si="148"/>
        <v>0</v>
      </c>
      <c r="CF72" s="1131">
        <f t="shared" ca="1" si="126"/>
        <v>0</v>
      </c>
      <c r="CG72" s="1131"/>
      <c r="CH72" s="1131"/>
      <c r="CI72" s="1409">
        <f t="shared" ca="1" si="149"/>
        <v>0</v>
      </c>
      <c r="CJ72" s="1409">
        <f t="shared" ca="1" si="127"/>
        <v>0</v>
      </c>
      <c r="CK72" s="1409">
        <f t="shared" ca="1" si="128"/>
        <v>0</v>
      </c>
      <c r="CL72" s="1409">
        <f t="shared" ca="1" si="129"/>
        <v>0</v>
      </c>
      <c r="CM72" s="1409">
        <f t="shared" ca="1" si="130"/>
        <v>0</v>
      </c>
      <c r="CN72" s="1409">
        <f t="shared" ca="1" si="131"/>
        <v>0</v>
      </c>
      <c r="CO72" s="1409">
        <f t="shared" ca="1" si="132"/>
        <v>0</v>
      </c>
      <c r="CP72" s="1409">
        <f t="shared" ca="1" si="133"/>
        <v>0</v>
      </c>
      <c r="CQ72" s="1409">
        <f t="shared" ca="1" si="134"/>
        <v>0</v>
      </c>
      <c r="CR72" s="1409">
        <f t="shared" ca="1" si="150"/>
        <v>0</v>
      </c>
      <c r="CS72" s="1131">
        <f t="shared" ca="1" si="135"/>
        <v>0</v>
      </c>
    </row>
    <row r="73" spans="3:97">
      <c r="C73" s="1763" t="s">
        <v>706</v>
      </c>
      <c r="D73" s="1763" t="s">
        <v>1331</v>
      </c>
      <c r="F73" s="1131">
        <f t="shared" ca="1" si="151"/>
        <v>0</v>
      </c>
      <c r="G73" s="1131">
        <f t="shared" ca="1" si="151"/>
        <v>0</v>
      </c>
      <c r="H73" s="1131">
        <f t="shared" ca="1" si="151"/>
        <v>0</v>
      </c>
      <c r="I73" s="1131">
        <f t="shared" ca="1" si="151"/>
        <v>0</v>
      </c>
      <c r="J73" s="1131">
        <f t="shared" ca="1" si="151"/>
        <v>0</v>
      </c>
      <c r="K73" s="1131">
        <f t="shared" ca="1" si="151"/>
        <v>0</v>
      </c>
      <c r="L73" s="1131">
        <f t="shared" ca="1" si="151"/>
        <v>0</v>
      </c>
      <c r="M73" s="1131">
        <f t="shared" ca="1" si="151"/>
        <v>0</v>
      </c>
      <c r="N73" s="1131">
        <f t="shared" ca="1" si="151"/>
        <v>0</v>
      </c>
      <c r="O73" s="1131">
        <f t="shared" ca="1" si="103"/>
        <v>0</v>
      </c>
      <c r="P73" s="1131">
        <f t="shared" ca="1" si="104"/>
        <v>0</v>
      </c>
      <c r="Q73" s="1131"/>
      <c r="R73" s="1131"/>
      <c r="S73" s="1131">
        <f t="shared" ca="1" si="152"/>
        <v>0</v>
      </c>
      <c r="T73" s="1131">
        <f t="shared" ca="1" si="152"/>
        <v>0</v>
      </c>
      <c r="U73" s="1131">
        <f t="shared" ca="1" si="152"/>
        <v>0</v>
      </c>
      <c r="V73" s="1131">
        <f t="shared" ca="1" si="152"/>
        <v>0</v>
      </c>
      <c r="W73" s="1131">
        <f t="shared" ca="1" si="152"/>
        <v>0</v>
      </c>
      <c r="X73" s="1131">
        <f t="shared" ca="1" si="152"/>
        <v>0</v>
      </c>
      <c r="Y73" s="1131">
        <f t="shared" ca="1" si="152"/>
        <v>0</v>
      </c>
      <c r="Z73" s="1131">
        <f t="shared" ca="1" si="152"/>
        <v>0</v>
      </c>
      <c r="AA73" s="1131">
        <f t="shared" ca="1" si="152"/>
        <v>0</v>
      </c>
      <c r="AB73" s="1131">
        <f t="shared" ca="1" si="105"/>
        <v>0</v>
      </c>
      <c r="AC73" s="1131">
        <f t="shared" ca="1" si="106"/>
        <v>0</v>
      </c>
      <c r="AD73" s="1131"/>
      <c r="AE73" s="1131"/>
      <c r="AF73" s="1131">
        <f t="shared" ca="1" si="153"/>
        <v>0</v>
      </c>
      <c r="AG73" s="1131">
        <f t="shared" ca="1" si="153"/>
        <v>0</v>
      </c>
      <c r="AH73" s="1131">
        <f t="shared" ca="1" si="153"/>
        <v>0</v>
      </c>
      <c r="AI73" s="1131">
        <f t="shared" ca="1" si="153"/>
        <v>0</v>
      </c>
      <c r="AJ73" s="1131">
        <f t="shared" ca="1" si="153"/>
        <v>0</v>
      </c>
      <c r="AK73" s="1131">
        <f t="shared" ca="1" si="153"/>
        <v>0</v>
      </c>
      <c r="AL73" s="1131">
        <f t="shared" ca="1" si="153"/>
        <v>0</v>
      </c>
      <c r="AM73" s="1131">
        <f t="shared" ca="1" si="153"/>
        <v>0</v>
      </c>
      <c r="AN73" s="1131">
        <f t="shared" ca="1" si="153"/>
        <v>0</v>
      </c>
      <c r="AO73" s="1131">
        <f t="shared" ca="1" si="107"/>
        <v>0</v>
      </c>
      <c r="AP73" s="1131">
        <f t="shared" ca="1" si="108"/>
        <v>0</v>
      </c>
      <c r="AQ73" s="1131"/>
      <c r="AR73" s="1131"/>
      <c r="AS73" s="1131">
        <f t="shared" ca="1" si="109"/>
        <v>0</v>
      </c>
      <c r="AT73" s="1131">
        <f t="shared" ca="1" si="110"/>
        <v>0</v>
      </c>
      <c r="AU73" s="1131">
        <f t="shared" ca="1" si="111"/>
        <v>0</v>
      </c>
      <c r="AV73" s="1131">
        <f t="shared" ca="1" si="112"/>
        <v>0</v>
      </c>
      <c r="AW73" s="1131">
        <f t="shared" ca="1" si="113"/>
        <v>0</v>
      </c>
      <c r="AX73" s="1131">
        <f t="shared" ca="1" si="114"/>
        <v>0</v>
      </c>
      <c r="AY73" s="1131">
        <f t="shared" ca="1" si="115"/>
        <v>0</v>
      </c>
      <c r="AZ73" s="1131">
        <f t="shared" ca="1" si="116"/>
        <v>0</v>
      </c>
      <c r="BA73" s="1131">
        <f t="shared" ca="1" si="117"/>
        <v>0</v>
      </c>
      <c r="BB73" s="1131">
        <f t="shared" ca="1" si="136"/>
        <v>0</v>
      </c>
      <c r="BC73" s="1131">
        <f t="shared" ca="1" si="118"/>
        <v>0</v>
      </c>
      <c r="BD73" s="1131"/>
      <c r="BE73" s="1131"/>
      <c r="BF73" s="19">
        <f>'Global cost assumptions'!E47</f>
        <v>0.1</v>
      </c>
      <c r="BG73" s="1131">
        <f>'Global cost assumptions'!F47</f>
        <v>30</v>
      </c>
      <c r="BH73" s="1131"/>
      <c r="BI73" s="1131"/>
      <c r="BJ73" s="27">
        <f t="shared" ca="1" si="137"/>
        <v>0</v>
      </c>
      <c r="BK73" s="27">
        <f t="shared" ca="1" si="138"/>
        <v>0</v>
      </c>
      <c r="BL73" s="27">
        <f t="shared" ca="1" si="119"/>
        <v>0</v>
      </c>
      <c r="BM73" s="27">
        <f t="shared" ca="1" si="120"/>
        <v>0</v>
      </c>
      <c r="BN73" s="27">
        <f t="shared" ca="1" si="121"/>
        <v>0</v>
      </c>
      <c r="BO73" s="27">
        <f t="shared" ca="1" si="122"/>
        <v>0</v>
      </c>
      <c r="BP73" s="27">
        <f t="shared" ca="1" si="123"/>
        <v>0</v>
      </c>
      <c r="BQ73" s="27">
        <f t="shared" ca="1" si="124"/>
        <v>0</v>
      </c>
      <c r="BR73" s="27">
        <f t="shared" ca="1" si="125"/>
        <v>0</v>
      </c>
      <c r="BS73" s="27"/>
      <c r="BT73" s="1131"/>
      <c r="BU73" s="1131"/>
      <c r="BV73" s="1409">
        <f t="shared" ca="1" si="139"/>
        <v>0</v>
      </c>
      <c r="BW73" s="1917">
        <f t="shared" ca="1" si="140"/>
        <v>0</v>
      </c>
      <c r="BX73" s="1917">
        <f t="shared" ca="1" si="141"/>
        <v>0</v>
      </c>
      <c r="BY73" s="1917">
        <f t="shared" ca="1" si="142"/>
        <v>0</v>
      </c>
      <c r="BZ73" s="1917">
        <f t="shared" ca="1" si="143"/>
        <v>0</v>
      </c>
      <c r="CA73" s="1917">
        <f t="shared" ca="1" si="144"/>
        <v>0</v>
      </c>
      <c r="CB73" s="1917">
        <f t="shared" ca="1" si="145"/>
        <v>0</v>
      </c>
      <c r="CC73" s="1917">
        <f t="shared" ca="1" si="146"/>
        <v>0</v>
      </c>
      <c r="CD73" s="1917">
        <f t="shared" ca="1" si="147"/>
        <v>0</v>
      </c>
      <c r="CE73" s="1917">
        <f t="shared" si="148"/>
        <v>0</v>
      </c>
      <c r="CF73" s="1131">
        <f t="shared" ca="1" si="126"/>
        <v>0</v>
      </c>
      <c r="CG73" s="1131"/>
      <c r="CH73" s="1131"/>
      <c r="CI73" s="1409">
        <f t="shared" ca="1" si="149"/>
        <v>0</v>
      </c>
      <c r="CJ73" s="1409">
        <f t="shared" ca="1" si="127"/>
        <v>0</v>
      </c>
      <c r="CK73" s="1409">
        <f t="shared" ca="1" si="128"/>
        <v>0</v>
      </c>
      <c r="CL73" s="1409">
        <f t="shared" ca="1" si="129"/>
        <v>0</v>
      </c>
      <c r="CM73" s="1409">
        <f t="shared" ca="1" si="130"/>
        <v>0</v>
      </c>
      <c r="CN73" s="1409">
        <f t="shared" ca="1" si="131"/>
        <v>0</v>
      </c>
      <c r="CO73" s="1409">
        <f t="shared" ca="1" si="132"/>
        <v>0</v>
      </c>
      <c r="CP73" s="1409">
        <f t="shared" ca="1" si="133"/>
        <v>0</v>
      </c>
      <c r="CQ73" s="1409">
        <f t="shared" ca="1" si="134"/>
        <v>0</v>
      </c>
      <c r="CR73" s="1409">
        <f t="shared" ca="1" si="150"/>
        <v>0</v>
      </c>
      <c r="CS73" s="1131">
        <f t="shared" ca="1" si="135"/>
        <v>0</v>
      </c>
    </row>
    <row r="74" spans="3:97">
      <c r="C74" s="1763" t="s">
        <v>736</v>
      </c>
      <c r="D74" s="1763" t="s">
        <v>1009</v>
      </c>
      <c r="F74" s="1131">
        <f t="shared" ca="1" si="151"/>
        <v>0</v>
      </c>
      <c r="G74" s="1131">
        <f t="shared" ca="1" si="151"/>
        <v>0</v>
      </c>
      <c r="H74" s="1131">
        <f t="shared" ca="1" si="151"/>
        <v>0</v>
      </c>
      <c r="I74" s="1131">
        <f t="shared" ca="1" si="151"/>
        <v>0</v>
      </c>
      <c r="J74" s="1131">
        <f t="shared" ca="1" si="151"/>
        <v>0</v>
      </c>
      <c r="K74" s="1131">
        <f t="shared" ca="1" si="151"/>
        <v>0</v>
      </c>
      <c r="L74" s="1131">
        <f t="shared" ca="1" si="151"/>
        <v>0</v>
      </c>
      <c r="M74" s="1131">
        <f t="shared" ca="1" si="151"/>
        <v>0</v>
      </c>
      <c r="N74" s="1131">
        <f t="shared" ca="1" si="151"/>
        <v>0</v>
      </c>
      <c r="O74" s="1131">
        <f t="shared" ca="1" si="103"/>
        <v>0</v>
      </c>
      <c r="P74" s="1131">
        <f t="shared" ca="1" si="104"/>
        <v>0</v>
      </c>
      <c r="Q74" s="1131"/>
      <c r="R74" s="1131"/>
      <c r="S74" s="1131">
        <f t="shared" ca="1" si="152"/>
        <v>0</v>
      </c>
      <c r="T74" s="1131">
        <f t="shared" ca="1" si="152"/>
        <v>0</v>
      </c>
      <c r="U74" s="1131">
        <f t="shared" ca="1" si="152"/>
        <v>0</v>
      </c>
      <c r="V74" s="1131">
        <f t="shared" ca="1" si="152"/>
        <v>0</v>
      </c>
      <c r="W74" s="1131">
        <f t="shared" ca="1" si="152"/>
        <v>0</v>
      </c>
      <c r="X74" s="1131">
        <f t="shared" ca="1" si="152"/>
        <v>0</v>
      </c>
      <c r="Y74" s="1131">
        <f t="shared" ca="1" si="152"/>
        <v>0</v>
      </c>
      <c r="Z74" s="1131">
        <f t="shared" ca="1" si="152"/>
        <v>0</v>
      </c>
      <c r="AA74" s="1131">
        <f t="shared" ca="1" si="152"/>
        <v>0</v>
      </c>
      <c r="AB74" s="1131">
        <f t="shared" ca="1" si="105"/>
        <v>0</v>
      </c>
      <c r="AC74" s="1131">
        <f t="shared" ca="1" si="106"/>
        <v>0</v>
      </c>
      <c r="AD74" s="1131"/>
      <c r="AE74" s="1131"/>
      <c r="AF74" s="1131">
        <f t="shared" ca="1" si="153"/>
        <v>0</v>
      </c>
      <c r="AG74" s="1131">
        <f t="shared" ca="1" si="153"/>
        <v>0</v>
      </c>
      <c r="AH74" s="1131">
        <f t="shared" ca="1" si="153"/>
        <v>0</v>
      </c>
      <c r="AI74" s="1131">
        <f t="shared" ca="1" si="153"/>
        <v>0</v>
      </c>
      <c r="AJ74" s="1131">
        <f t="shared" ca="1" si="153"/>
        <v>0</v>
      </c>
      <c r="AK74" s="1131">
        <f t="shared" ca="1" si="153"/>
        <v>0</v>
      </c>
      <c r="AL74" s="1131">
        <f t="shared" ca="1" si="153"/>
        <v>0</v>
      </c>
      <c r="AM74" s="1131">
        <f t="shared" ca="1" si="153"/>
        <v>0</v>
      </c>
      <c r="AN74" s="1131">
        <f t="shared" ca="1" si="153"/>
        <v>0</v>
      </c>
      <c r="AO74" s="1131">
        <f t="shared" ca="1" si="107"/>
        <v>0</v>
      </c>
      <c r="AP74" s="1131">
        <f t="shared" ca="1" si="108"/>
        <v>0</v>
      </c>
      <c r="AQ74" s="1131"/>
      <c r="AR74" s="1131"/>
      <c r="AS74" s="1131">
        <f t="shared" ca="1" si="109"/>
        <v>0</v>
      </c>
      <c r="AT74" s="1131">
        <f t="shared" ca="1" si="110"/>
        <v>0</v>
      </c>
      <c r="AU74" s="1131">
        <f t="shared" ca="1" si="111"/>
        <v>0</v>
      </c>
      <c r="AV74" s="1131">
        <f t="shared" ca="1" si="112"/>
        <v>0</v>
      </c>
      <c r="AW74" s="1131">
        <f t="shared" ca="1" si="113"/>
        <v>0</v>
      </c>
      <c r="AX74" s="1131">
        <f t="shared" ca="1" si="114"/>
        <v>0</v>
      </c>
      <c r="AY74" s="1131">
        <f t="shared" ca="1" si="115"/>
        <v>0</v>
      </c>
      <c r="AZ74" s="1131">
        <f t="shared" ca="1" si="116"/>
        <v>0</v>
      </c>
      <c r="BA74" s="1131">
        <f t="shared" ca="1" si="117"/>
        <v>0</v>
      </c>
      <c r="BB74" s="1131">
        <f t="shared" ca="1" si="136"/>
        <v>0</v>
      </c>
      <c r="BC74" s="1131">
        <f t="shared" ca="1" si="118"/>
        <v>0</v>
      </c>
      <c r="BD74" s="1131"/>
      <c r="BE74" s="1131"/>
      <c r="BF74" s="19">
        <f>'Global cost assumptions'!E48</f>
        <v>0.1</v>
      </c>
      <c r="BG74" s="1131">
        <f>'Global cost assumptions'!F48</f>
        <v>30</v>
      </c>
      <c r="BH74" s="1131"/>
      <c r="BI74" s="1131"/>
      <c r="BJ74" s="27">
        <f t="shared" ca="1" si="137"/>
        <v>0</v>
      </c>
      <c r="BK74" s="27">
        <f t="shared" ca="1" si="138"/>
        <v>0</v>
      </c>
      <c r="BL74" s="27">
        <f t="shared" ca="1" si="119"/>
        <v>0</v>
      </c>
      <c r="BM74" s="27">
        <f t="shared" ca="1" si="120"/>
        <v>0</v>
      </c>
      <c r="BN74" s="27">
        <f t="shared" ca="1" si="121"/>
        <v>0</v>
      </c>
      <c r="BO74" s="27">
        <f t="shared" ca="1" si="122"/>
        <v>0</v>
      </c>
      <c r="BP74" s="27">
        <f t="shared" ca="1" si="123"/>
        <v>0</v>
      </c>
      <c r="BQ74" s="27">
        <f t="shared" ca="1" si="124"/>
        <v>0</v>
      </c>
      <c r="BR74" s="27">
        <f t="shared" ca="1" si="125"/>
        <v>0</v>
      </c>
      <c r="BS74" s="27"/>
      <c r="BT74" s="1131"/>
      <c r="BU74" s="1131"/>
      <c r="BV74" s="1409">
        <f t="shared" ca="1" si="139"/>
        <v>0</v>
      </c>
      <c r="BW74" s="1917">
        <f t="shared" ca="1" si="140"/>
        <v>0</v>
      </c>
      <c r="BX74" s="1917">
        <f t="shared" ca="1" si="141"/>
        <v>0</v>
      </c>
      <c r="BY74" s="1917">
        <f t="shared" ca="1" si="142"/>
        <v>0</v>
      </c>
      <c r="BZ74" s="1917">
        <f t="shared" ca="1" si="143"/>
        <v>0</v>
      </c>
      <c r="CA74" s="1917">
        <f t="shared" ca="1" si="144"/>
        <v>0</v>
      </c>
      <c r="CB74" s="1917">
        <f t="shared" ca="1" si="145"/>
        <v>0</v>
      </c>
      <c r="CC74" s="1917">
        <f t="shared" ca="1" si="146"/>
        <v>0</v>
      </c>
      <c r="CD74" s="1917">
        <f t="shared" ca="1" si="147"/>
        <v>0</v>
      </c>
      <c r="CE74" s="1917">
        <f t="shared" si="148"/>
        <v>0</v>
      </c>
      <c r="CF74" s="1131">
        <f t="shared" ca="1" si="126"/>
        <v>0</v>
      </c>
      <c r="CG74" s="1131"/>
      <c r="CH74" s="1131"/>
      <c r="CI74" s="1409">
        <f t="shared" ca="1" si="149"/>
        <v>0</v>
      </c>
      <c r="CJ74" s="1409">
        <f t="shared" ca="1" si="127"/>
        <v>0</v>
      </c>
      <c r="CK74" s="1409">
        <f t="shared" ca="1" si="128"/>
        <v>0</v>
      </c>
      <c r="CL74" s="1409">
        <f t="shared" ca="1" si="129"/>
        <v>0</v>
      </c>
      <c r="CM74" s="1409">
        <f t="shared" ca="1" si="130"/>
        <v>0</v>
      </c>
      <c r="CN74" s="1409">
        <f t="shared" ca="1" si="131"/>
        <v>0</v>
      </c>
      <c r="CO74" s="1409">
        <f t="shared" ca="1" si="132"/>
        <v>0</v>
      </c>
      <c r="CP74" s="1409">
        <f t="shared" ca="1" si="133"/>
        <v>0</v>
      </c>
      <c r="CQ74" s="1409">
        <f t="shared" ca="1" si="134"/>
        <v>0</v>
      </c>
      <c r="CR74" s="1409">
        <f t="shared" ca="1" si="150"/>
        <v>0</v>
      </c>
      <c r="CS74" s="1131">
        <f t="shared" ca="1" si="135"/>
        <v>0</v>
      </c>
    </row>
    <row r="75" spans="3:97">
      <c r="C75" s="1763" t="s">
        <v>1226</v>
      </c>
      <c r="D75" s="1763" t="s">
        <v>1225</v>
      </c>
      <c r="F75" s="1131">
        <f t="shared" ca="1" si="151"/>
        <v>0</v>
      </c>
      <c r="G75" s="1131">
        <f t="shared" ca="1" si="151"/>
        <v>0</v>
      </c>
      <c r="H75" s="1131">
        <f t="shared" ca="1" si="151"/>
        <v>0</v>
      </c>
      <c r="I75" s="1131">
        <f t="shared" ca="1" si="151"/>
        <v>0</v>
      </c>
      <c r="J75" s="1131">
        <f t="shared" ca="1" si="151"/>
        <v>0</v>
      </c>
      <c r="K75" s="1131">
        <f t="shared" ca="1" si="151"/>
        <v>0</v>
      </c>
      <c r="L75" s="1131">
        <f t="shared" ca="1" si="151"/>
        <v>0</v>
      </c>
      <c r="M75" s="1131">
        <f t="shared" ca="1" si="151"/>
        <v>0</v>
      </c>
      <c r="N75" s="1131">
        <f t="shared" ca="1" si="151"/>
        <v>0</v>
      </c>
      <c r="O75" s="1131">
        <f t="shared" ca="1" si="151"/>
        <v>0</v>
      </c>
      <c r="P75" s="1131">
        <f t="shared" ca="1" si="104"/>
        <v>0</v>
      </c>
      <c r="Q75" s="1131"/>
      <c r="R75" s="1131"/>
      <c r="S75" s="1131">
        <f t="shared" ca="1" si="152"/>
        <v>0</v>
      </c>
      <c r="T75" s="1131">
        <f t="shared" ca="1" si="152"/>
        <v>0</v>
      </c>
      <c r="U75" s="1131">
        <f t="shared" ca="1" si="152"/>
        <v>0</v>
      </c>
      <c r="V75" s="1131">
        <f t="shared" ca="1" si="152"/>
        <v>0</v>
      </c>
      <c r="W75" s="1131">
        <f t="shared" ca="1" si="152"/>
        <v>0</v>
      </c>
      <c r="X75" s="1131">
        <f t="shared" ca="1" si="152"/>
        <v>0</v>
      </c>
      <c r="Y75" s="1131">
        <f t="shared" ca="1" si="152"/>
        <v>0</v>
      </c>
      <c r="Z75" s="1131">
        <f t="shared" ca="1" si="152"/>
        <v>0</v>
      </c>
      <c r="AA75" s="1131">
        <f t="shared" ca="1" si="152"/>
        <v>0</v>
      </c>
      <c r="AB75" s="1131">
        <f t="shared" ca="1" si="152"/>
        <v>0</v>
      </c>
      <c r="AC75" s="1131">
        <f t="shared" ca="1" si="106"/>
        <v>0</v>
      </c>
      <c r="AD75" s="1131"/>
      <c r="AE75" s="1131"/>
      <c r="AF75" s="1131">
        <f t="shared" ca="1" si="153"/>
        <v>0</v>
      </c>
      <c r="AG75" s="1131">
        <f t="shared" ca="1" si="153"/>
        <v>0</v>
      </c>
      <c r="AH75" s="1131">
        <f t="shared" ca="1" si="153"/>
        <v>0</v>
      </c>
      <c r="AI75" s="1131">
        <f t="shared" ca="1" si="153"/>
        <v>0</v>
      </c>
      <c r="AJ75" s="1131">
        <f t="shared" ca="1" si="153"/>
        <v>0</v>
      </c>
      <c r="AK75" s="1131">
        <f t="shared" ca="1" si="153"/>
        <v>0</v>
      </c>
      <c r="AL75" s="1131">
        <f t="shared" ca="1" si="153"/>
        <v>0</v>
      </c>
      <c r="AM75" s="1131">
        <f t="shared" ca="1" si="153"/>
        <v>0</v>
      </c>
      <c r="AN75" s="1131">
        <f t="shared" ca="1" si="153"/>
        <v>0</v>
      </c>
      <c r="AO75" s="1131">
        <f t="shared" ca="1" si="153"/>
        <v>0</v>
      </c>
      <c r="AP75" s="1131">
        <f t="shared" ca="1" si="108"/>
        <v>0</v>
      </c>
      <c r="AQ75" s="1131"/>
      <c r="AR75" s="1131"/>
      <c r="AS75" s="1131">
        <f t="shared" ca="1" si="109"/>
        <v>0</v>
      </c>
      <c r="AT75" s="1131">
        <f t="shared" ca="1" si="110"/>
        <v>0</v>
      </c>
      <c r="AU75" s="1131">
        <f t="shared" ca="1" si="111"/>
        <v>0</v>
      </c>
      <c r="AV75" s="1131">
        <f t="shared" ca="1" si="112"/>
        <v>0</v>
      </c>
      <c r="AW75" s="1131">
        <f t="shared" ca="1" si="113"/>
        <v>0</v>
      </c>
      <c r="AX75" s="1131">
        <f t="shared" ca="1" si="114"/>
        <v>0</v>
      </c>
      <c r="AY75" s="1131">
        <f t="shared" ca="1" si="115"/>
        <v>0</v>
      </c>
      <c r="AZ75" s="1131">
        <f t="shared" ca="1" si="116"/>
        <v>0</v>
      </c>
      <c r="BA75" s="1131">
        <f t="shared" ca="1" si="117"/>
        <v>0</v>
      </c>
      <c r="BB75" s="1131">
        <f t="shared" ca="1" si="136"/>
        <v>0</v>
      </c>
      <c r="BC75" s="1131">
        <f t="shared" ca="1" si="118"/>
        <v>0</v>
      </c>
      <c r="BD75" s="1131"/>
      <c r="BE75" s="1131"/>
      <c r="BF75" s="19">
        <f>'Global cost assumptions'!E49</f>
        <v>0.1</v>
      </c>
      <c r="BG75" s="1131">
        <f>'Global cost assumptions'!F49</f>
        <v>30</v>
      </c>
      <c r="BH75" s="1131"/>
      <c r="BI75" s="1131"/>
      <c r="BJ75" s="27">
        <f t="shared" ca="1" si="137"/>
        <v>0</v>
      </c>
      <c r="BK75" s="27">
        <f t="shared" ca="1" si="138"/>
        <v>0</v>
      </c>
      <c r="BL75" s="27">
        <f t="shared" ca="1" si="119"/>
        <v>0</v>
      </c>
      <c r="BM75" s="27">
        <f t="shared" ca="1" si="120"/>
        <v>0</v>
      </c>
      <c r="BN75" s="27">
        <f t="shared" ca="1" si="121"/>
        <v>0</v>
      </c>
      <c r="BO75" s="27">
        <f t="shared" ca="1" si="122"/>
        <v>0</v>
      </c>
      <c r="BP75" s="27">
        <f t="shared" ca="1" si="123"/>
        <v>0</v>
      </c>
      <c r="BQ75" s="27">
        <f t="shared" ca="1" si="124"/>
        <v>0</v>
      </c>
      <c r="BR75" s="27">
        <f t="shared" ca="1" si="125"/>
        <v>0</v>
      </c>
      <c r="BS75" s="27"/>
      <c r="BT75" s="1131"/>
      <c r="BU75" s="1131"/>
      <c r="BV75" s="1409">
        <f t="shared" ca="1" si="139"/>
        <v>0</v>
      </c>
      <c r="BW75" s="1917">
        <f t="shared" ca="1" si="140"/>
        <v>0</v>
      </c>
      <c r="BX75" s="1917">
        <f t="shared" ca="1" si="141"/>
        <v>0</v>
      </c>
      <c r="BY75" s="1917">
        <f t="shared" ca="1" si="142"/>
        <v>0</v>
      </c>
      <c r="BZ75" s="1917">
        <f t="shared" ca="1" si="143"/>
        <v>0</v>
      </c>
      <c r="CA75" s="1917">
        <f t="shared" ca="1" si="144"/>
        <v>0</v>
      </c>
      <c r="CB75" s="1917">
        <f t="shared" ca="1" si="145"/>
        <v>0</v>
      </c>
      <c r="CC75" s="1917">
        <f t="shared" ca="1" si="146"/>
        <v>0</v>
      </c>
      <c r="CD75" s="1917">
        <f t="shared" ca="1" si="147"/>
        <v>0</v>
      </c>
      <c r="CE75" s="1917">
        <f t="shared" si="148"/>
        <v>0</v>
      </c>
      <c r="CF75" s="1131">
        <f t="shared" ca="1" si="126"/>
        <v>0</v>
      </c>
      <c r="CG75" s="1131"/>
      <c r="CH75" s="1131"/>
      <c r="CI75" s="1409">
        <f t="shared" ca="1" si="149"/>
        <v>0</v>
      </c>
      <c r="CJ75" s="1409">
        <f t="shared" ca="1" si="127"/>
        <v>0</v>
      </c>
      <c r="CK75" s="1409">
        <f t="shared" ca="1" si="128"/>
        <v>0</v>
      </c>
      <c r="CL75" s="1409">
        <f t="shared" ca="1" si="129"/>
        <v>0</v>
      </c>
      <c r="CM75" s="1409">
        <f t="shared" ca="1" si="130"/>
        <v>0</v>
      </c>
      <c r="CN75" s="1409">
        <f t="shared" ca="1" si="131"/>
        <v>0</v>
      </c>
      <c r="CO75" s="1409">
        <f t="shared" ca="1" si="132"/>
        <v>0</v>
      </c>
      <c r="CP75" s="1409">
        <f t="shared" ca="1" si="133"/>
        <v>0</v>
      </c>
      <c r="CQ75" s="1409">
        <f t="shared" ca="1" si="134"/>
        <v>0</v>
      </c>
      <c r="CR75" s="1409">
        <f t="shared" ca="1" si="150"/>
        <v>0</v>
      </c>
      <c r="CS75" s="1131">
        <f t="shared" ca="1" si="135"/>
        <v>0</v>
      </c>
    </row>
    <row r="76" spans="3:97">
      <c r="C76" s="1909" t="s">
        <v>2135</v>
      </c>
      <c r="D76" s="1909" t="s">
        <v>50</v>
      </c>
      <c r="F76" s="1131">
        <f t="shared" ca="1" si="151"/>
        <v>0</v>
      </c>
      <c r="G76" s="1131">
        <f t="shared" ca="1" si="151"/>
        <v>0</v>
      </c>
      <c r="H76" s="1131">
        <f t="shared" ca="1" si="151"/>
        <v>0</v>
      </c>
      <c r="I76" s="1131">
        <f t="shared" ca="1" si="151"/>
        <v>0</v>
      </c>
      <c r="J76" s="1131">
        <f t="shared" ca="1" si="151"/>
        <v>0</v>
      </c>
      <c r="K76" s="1131">
        <f t="shared" ca="1" si="151"/>
        <v>0</v>
      </c>
      <c r="L76" s="1131">
        <f t="shared" ca="1" si="151"/>
        <v>0</v>
      </c>
      <c r="M76" s="1131">
        <f t="shared" ca="1" si="151"/>
        <v>0</v>
      </c>
      <c r="N76" s="1131">
        <f t="shared" ca="1" si="151"/>
        <v>0</v>
      </c>
      <c r="O76" s="1131">
        <f t="shared" ca="1" si="151"/>
        <v>0</v>
      </c>
      <c r="P76" s="1131">
        <f t="shared" ca="1" si="104"/>
        <v>0</v>
      </c>
      <c r="Q76" s="1131"/>
      <c r="R76" s="1131"/>
      <c r="S76" s="1131">
        <f t="shared" ca="1" si="152"/>
        <v>0</v>
      </c>
      <c r="T76" s="1131">
        <f t="shared" ca="1" si="152"/>
        <v>0</v>
      </c>
      <c r="U76" s="1131">
        <f t="shared" ca="1" si="152"/>
        <v>0</v>
      </c>
      <c r="V76" s="1131">
        <f t="shared" ca="1" si="152"/>
        <v>0</v>
      </c>
      <c r="W76" s="1131">
        <f t="shared" ca="1" si="152"/>
        <v>0</v>
      </c>
      <c r="X76" s="1131">
        <f t="shared" ca="1" si="152"/>
        <v>0</v>
      </c>
      <c r="Y76" s="1131">
        <f t="shared" ca="1" si="152"/>
        <v>0</v>
      </c>
      <c r="Z76" s="1131">
        <f t="shared" ca="1" si="152"/>
        <v>0</v>
      </c>
      <c r="AA76" s="1131">
        <f t="shared" ca="1" si="152"/>
        <v>0</v>
      </c>
      <c r="AB76" s="1131">
        <f t="shared" ca="1" si="152"/>
        <v>0</v>
      </c>
      <c r="AC76" s="1131">
        <f t="shared" ca="1" si="106"/>
        <v>0</v>
      </c>
      <c r="AD76" s="1131"/>
      <c r="AE76" s="1131"/>
      <c r="AF76" s="1131">
        <f t="shared" ca="1" si="153"/>
        <v>0</v>
      </c>
      <c r="AG76" s="1131">
        <f t="shared" ca="1" si="153"/>
        <v>0</v>
      </c>
      <c r="AH76" s="1131">
        <f t="shared" ca="1" si="153"/>
        <v>0</v>
      </c>
      <c r="AI76" s="1131">
        <f t="shared" ca="1" si="153"/>
        <v>0</v>
      </c>
      <c r="AJ76" s="1131">
        <f t="shared" ca="1" si="153"/>
        <v>0</v>
      </c>
      <c r="AK76" s="1131">
        <f t="shared" ca="1" si="153"/>
        <v>0</v>
      </c>
      <c r="AL76" s="1131">
        <f t="shared" ca="1" si="153"/>
        <v>0</v>
      </c>
      <c r="AM76" s="1131">
        <f t="shared" ca="1" si="153"/>
        <v>0</v>
      </c>
      <c r="AN76" s="1131">
        <f t="shared" ca="1" si="153"/>
        <v>0</v>
      </c>
      <c r="AO76" s="1131">
        <f t="shared" ca="1" si="153"/>
        <v>0</v>
      </c>
      <c r="AP76" s="1131">
        <f t="shared" ca="1" si="108"/>
        <v>0</v>
      </c>
      <c r="AQ76" s="1131"/>
      <c r="AR76" s="1131"/>
      <c r="AS76" s="1131">
        <f t="shared" ca="1" si="109"/>
        <v>0</v>
      </c>
      <c r="AT76" s="1131">
        <f t="shared" ca="1" si="110"/>
        <v>0</v>
      </c>
      <c r="AU76" s="1131">
        <f t="shared" ca="1" si="111"/>
        <v>0</v>
      </c>
      <c r="AV76" s="1131">
        <f t="shared" ca="1" si="112"/>
        <v>0</v>
      </c>
      <c r="AW76" s="1131">
        <f t="shared" ca="1" si="113"/>
        <v>0</v>
      </c>
      <c r="AX76" s="1131">
        <f t="shared" ca="1" si="114"/>
        <v>0</v>
      </c>
      <c r="AY76" s="1131">
        <f t="shared" ca="1" si="115"/>
        <v>0</v>
      </c>
      <c r="AZ76" s="1131">
        <f t="shared" ca="1" si="116"/>
        <v>0</v>
      </c>
      <c r="BA76" s="1131">
        <f t="shared" ca="1" si="117"/>
        <v>0</v>
      </c>
      <c r="BB76" s="1131">
        <f t="shared" ca="1" si="136"/>
        <v>0</v>
      </c>
      <c r="BC76" s="1131">
        <f t="shared" ca="1" si="118"/>
        <v>0</v>
      </c>
      <c r="BD76" s="1131"/>
      <c r="BE76" s="1131"/>
      <c r="BF76" s="19">
        <f>'Global cost assumptions'!E50</f>
        <v>0.1</v>
      </c>
      <c r="BG76" s="1131">
        <f>'Global cost assumptions'!F50</f>
        <v>30</v>
      </c>
      <c r="BH76" s="1131"/>
      <c r="BI76" s="1131"/>
      <c r="BJ76" s="27">
        <f t="shared" ca="1" si="137"/>
        <v>0</v>
      </c>
      <c r="BK76" s="27">
        <f t="shared" ca="1" si="138"/>
        <v>0</v>
      </c>
      <c r="BL76" s="27">
        <f t="shared" ca="1" si="119"/>
        <v>0</v>
      </c>
      <c r="BM76" s="27">
        <f t="shared" ca="1" si="120"/>
        <v>0</v>
      </c>
      <c r="BN76" s="27">
        <f t="shared" ca="1" si="121"/>
        <v>0</v>
      </c>
      <c r="BO76" s="27">
        <f t="shared" ca="1" si="122"/>
        <v>0</v>
      </c>
      <c r="BP76" s="27">
        <f t="shared" ca="1" si="123"/>
        <v>0</v>
      </c>
      <c r="BQ76" s="27">
        <f t="shared" ca="1" si="124"/>
        <v>0</v>
      </c>
      <c r="BR76" s="27">
        <f t="shared" ca="1" si="125"/>
        <v>0</v>
      </c>
      <c r="BS76" s="27"/>
      <c r="BT76" s="1131"/>
      <c r="BU76" s="1131"/>
      <c r="BV76" s="1409">
        <f t="shared" ca="1" si="139"/>
        <v>0</v>
      </c>
      <c r="BW76" s="1917">
        <f t="shared" ca="1" si="140"/>
        <v>0</v>
      </c>
      <c r="BX76" s="1917">
        <f t="shared" ca="1" si="141"/>
        <v>0</v>
      </c>
      <c r="BY76" s="1917">
        <f t="shared" ca="1" si="142"/>
        <v>0</v>
      </c>
      <c r="BZ76" s="1917">
        <f t="shared" ca="1" si="143"/>
        <v>0</v>
      </c>
      <c r="CA76" s="1917">
        <f t="shared" ca="1" si="144"/>
        <v>0</v>
      </c>
      <c r="CB76" s="1917">
        <f t="shared" ca="1" si="145"/>
        <v>0</v>
      </c>
      <c r="CC76" s="1917">
        <f t="shared" ca="1" si="146"/>
        <v>0</v>
      </c>
      <c r="CD76" s="1917">
        <f t="shared" ca="1" si="147"/>
        <v>0</v>
      </c>
      <c r="CE76" s="1917">
        <f t="shared" si="148"/>
        <v>0</v>
      </c>
      <c r="CF76" s="1131">
        <f t="shared" ca="1" si="126"/>
        <v>0</v>
      </c>
      <c r="CG76" s="1131"/>
      <c r="CH76" s="1131"/>
      <c r="CI76" s="1409">
        <f t="shared" ca="1" si="149"/>
        <v>0</v>
      </c>
      <c r="CJ76" s="1409">
        <f t="shared" ca="1" si="127"/>
        <v>0</v>
      </c>
      <c r="CK76" s="1409">
        <f t="shared" ca="1" si="128"/>
        <v>0</v>
      </c>
      <c r="CL76" s="1409">
        <f t="shared" ca="1" si="129"/>
        <v>0</v>
      </c>
      <c r="CM76" s="1409">
        <f t="shared" ca="1" si="130"/>
        <v>0</v>
      </c>
      <c r="CN76" s="1409">
        <f t="shared" ca="1" si="131"/>
        <v>0</v>
      </c>
      <c r="CO76" s="1409">
        <f t="shared" ca="1" si="132"/>
        <v>0</v>
      </c>
      <c r="CP76" s="1409">
        <f t="shared" ca="1" si="133"/>
        <v>0</v>
      </c>
      <c r="CQ76" s="1409">
        <f t="shared" ca="1" si="134"/>
        <v>0</v>
      </c>
      <c r="CR76" s="1409">
        <f t="shared" ca="1" si="150"/>
        <v>0</v>
      </c>
      <c r="CS76" s="1131">
        <f t="shared" ca="1" si="135"/>
        <v>0</v>
      </c>
    </row>
    <row r="77" spans="3:97" s="1909" customFormat="1">
      <c r="C77" s="1909" t="s">
        <v>2136</v>
      </c>
      <c r="D77" s="1909" t="s">
        <v>2134</v>
      </c>
      <c r="F77" s="1131">
        <f t="shared" ca="1" si="151"/>
        <v>0</v>
      </c>
      <c r="G77" s="1131">
        <f t="shared" ca="1" si="151"/>
        <v>0</v>
      </c>
      <c r="H77" s="1131">
        <f t="shared" ca="1" si="151"/>
        <v>0</v>
      </c>
      <c r="I77" s="1131">
        <f t="shared" ca="1" si="151"/>
        <v>0</v>
      </c>
      <c r="J77" s="1131">
        <f t="shared" ca="1" si="151"/>
        <v>0</v>
      </c>
      <c r="K77" s="1131">
        <f t="shared" ca="1" si="151"/>
        <v>0</v>
      </c>
      <c r="L77" s="1131">
        <f t="shared" ca="1" si="151"/>
        <v>0</v>
      </c>
      <c r="M77" s="1131">
        <f t="shared" ca="1" si="151"/>
        <v>0</v>
      </c>
      <c r="N77" s="1131">
        <f t="shared" ca="1" si="151"/>
        <v>0</v>
      </c>
      <c r="O77" s="1131">
        <f t="shared" ca="1" si="151"/>
        <v>0</v>
      </c>
      <c r="P77" s="1131">
        <f t="shared" ca="1" si="104"/>
        <v>0</v>
      </c>
      <c r="Q77" s="1131"/>
      <c r="R77" s="1131"/>
      <c r="S77" s="1131">
        <f t="shared" ca="1" si="152"/>
        <v>0</v>
      </c>
      <c r="T77" s="1131">
        <f t="shared" ca="1" si="152"/>
        <v>0</v>
      </c>
      <c r="U77" s="1131">
        <f t="shared" ca="1" si="152"/>
        <v>0</v>
      </c>
      <c r="V77" s="1131">
        <f t="shared" ca="1" si="152"/>
        <v>0</v>
      </c>
      <c r="W77" s="1131">
        <f t="shared" ca="1" si="152"/>
        <v>0</v>
      </c>
      <c r="X77" s="1131">
        <f t="shared" ca="1" si="152"/>
        <v>0</v>
      </c>
      <c r="Y77" s="1131">
        <f t="shared" ca="1" si="152"/>
        <v>0</v>
      </c>
      <c r="Z77" s="1131">
        <f t="shared" ca="1" si="152"/>
        <v>0</v>
      </c>
      <c r="AA77" s="1131">
        <f t="shared" ca="1" si="152"/>
        <v>0</v>
      </c>
      <c r="AB77" s="1131">
        <f t="shared" ca="1" si="152"/>
        <v>0</v>
      </c>
      <c r="AC77" s="1131">
        <f t="shared" ca="1" si="106"/>
        <v>0</v>
      </c>
      <c r="AD77" s="1131"/>
      <c r="AE77" s="1131"/>
      <c r="AF77" s="1131">
        <f t="shared" ca="1" si="153"/>
        <v>0</v>
      </c>
      <c r="AG77" s="1131">
        <f t="shared" ca="1" si="153"/>
        <v>0</v>
      </c>
      <c r="AH77" s="1131">
        <f t="shared" ca="1" si="153"/>
        <v>0</v>
      </c>
      <c r="AI77" s="1131">
        <f t="shared" ca="1" si="153"/>
        <v>0</v>
      </c>
      <c r="AJ77" s="1131">
        <f t="shared" ca="1" si="153"/>
        <v>0</v>
      </c>
      <c r="AK77" s="1131">
        <f t="shared" ca="1" si="153"/>
        <v>0</v>
      </c>
      <c r="AL77" s="1131">
        <f t="shared" ca="1" si="153"/>
        <v>0</v>
      </c>
      <c r="AM77" s="1131">
        <f t="shared" ca="1" si="153"/>
        <v>0</v>
      </c>
      <c r="AN77" s="1131">
        <f t="shared" ca="1" si="153"/>
        <v>0</v>
      </c>
      <c r="AO77" s="1131">
        <f t="shared" ca="1" si="153"/>
        <v>0</v>
      </c>
      <c r="AP77" s="1131">
        <f t="shared" ca="1" si="108"/>
        <v>0</v>
      </c>
      <c r="AQ77" s="1131"/>
      <c r="AR77" s="1131"/>
      <c r="AS77" s="1131">
        <f t="shared" ref="AS77" ca="1" si="154">SUM(F77,S77,AF77)</f>
        <v>0</v>
      </c>
      <c r="AT77" s="1131">
        <f t="shared" ref="AT77" ca="1" si="155">SUM(G77,T77,AG77)</f>
        <v>0</v>
      </c>
      <c r="AU77" s="1131">
        <f t="shared" ref="AU77" ca="1" si="156">SUM(H77,U77,AH77)</f>
        <v>0</v>
      </c>
      <c r="AV77" s="1131">
        <f t="shared" ref="AV77" ca="1" si="157">SUM(I77,V77,AI77)</f>
        <v>0</v>
      </c>
      <c r="AW77" s="1131">
        <f t="shared" ref="AW77" ca="1" si="158">SUM(J77,W77,AJ77)</f>
        <v>0</v>
      </c>
      <c r="AX77" s="1131">
        <f t="shared" ref="AX77" ca="1" si="159">SUM(K77,X77,AK77)</f>
        <v>0</v>
      </c>
      <c r="AY77" s="1131">
        <f t="shared" ref="AY77" ca="1" si="160">SUM(L77,Y77,AL77)</f>
        <v>0</v>
      </c>
      <c r="AZ77" s="1131">
        <f t="shared" ref="AZ77" ca="1" si="161">SUM(M77,Z77,AM77)</f>
        <v>0</v>
      </c>
      <c r="BA77" s="1131">
        <f t="shared" ref="BA77" ca="1" si="162">SUM(N77,AA77,AN77)</f>
        <v>0</v>
      </c>
      <c r="BB77" s="1131">
        <f t="shared" ca="1" si="136"/>
        <v>0</v>
      </c>
      <c r="BC77" s="1131">
        <f t="shared" ca="1" si="118"/>
        <v>0</v>
      </c>
      <c r="BD77" s="1131"/>
      <c r="BE77" s="1131"/>
      <c r="BF77" s="19">
        <f>'Global cost assumptions'!E51</f>
        <v>0.1</v>
      </c>
      <c r="BG77" s="1131">
        <f>'Global cost assumptions'!F51</f>
        <v>30</v>
      </c>
      <c r="BH77" s="1131"/>
      <c r="BI77" s="1131"/>
      <c r="BJ77" s="27">
        <f t="shared" ca="1" si="137"/>
        <v>0</v>
      </c>
      <c r="BK77" s="27">
        <f t="shared" ca="1" si="138"/>
        <v>0</v>
      </c>
      <c r="BL77" s="27">
        <f t="shared" ca="1" si="119"/>
        <v>0</v>
      </c>
      <c r="BM77" s="27">
        <f t="shared" ca="1" si="120"/>
        <v>0</v>
      </c>
      <c r="BN77" s="27">
        <f t="shared" ca="1" si="121"/>
        <v>0</v>
      </c>
      <c r="BO77" s="27">
        <f t="shared" ca="1" si="122"/>
        <v>0</v>
      </c>
      <c r="BP77" s="27">
        <f t="shared" ca="1" si="123"/>
        <v>0</v>
      </c>
      <c r="BQ77" s="27">
        <f t="shared" ca="1" si="124"/>
        <v>0</v>
      </c>
      <c r="BR77" s="27">
        <f t="shared" ca="1" si="125"/>
        <v>0</v>
      </c>
      <c r="BS77" s="27"/>
      <c r="BT77" s="1131"/>
      <c r="BU77" s="1131"/>
      <c r="BV77" s="1409">
        <f t="shared" ca="1" si="139"/>
        <v>0</v>
      </c>
      <c r="BW77" s="1917">
        <f t="shared" ca="1" si="140"/>
        <v>0</v>
      </c>
      <c r="BX77" s="1917">
        <f t="shared" ca="1" si="141"/>
        <v>0</v>
      </c>
      <c r="BY77" s="1917">
        <f t="shared" ca="1" si="142"/>
        <v>0</v>
      </c>
      <c r="BZ77" s="1917">
        <f t="shared" ca="1" si="143"/>
        <v>0</v>
      </c>
      <c r="CA77" s="1917">
        <f t="shared" ca="1" si="144"/>
        <v>0</v>
      </c>
      <c r="CB77" s="1917">
        <f t="shared" ca="1" si="145"/>
        <v>0</v>
      </c>
      <c r="CC77" s="1917">
        <f t="shared" ca="1" si="146"/>
        <v>0</v>
      </c>
      <c r="CD77" s="1917">
        <f t="shared" ca="1" si="147"/>
        <v>0</v>
      </c>
      <c r="CE77" s="1917">
        <f t="shared" si="148"/>
        <v>0</v>
      </c>
      <c r="CF77" s="1131">
        <f t="shared" ca="1" si="126"/>
        <v>0</v>
      </c>
      <c r="CG77" s="1131"/>
      <c r="CH77" s="1131"/>
      <c r="CI77" s="1409">
        <f t="shared" ca="1" si="149"/>
        <v>0</v>
      </c>
      <c r="CJ77" s="1409">
        <f t="shared" ca="1" si="127"/>
        <v>0</v>
      </c>
      <c r="CK77" s="1409">
        <f t="shared" ca="1" si="128"/>
        <v>0</v>
      </c>
      <c r="CL77" s="1409">
        <f t="shared" ca="1" si="129"/>
        <v>0</v>
      </c>
      <c r="CM77" s="1409">
        <f t="shared" ca="1" si="130"/>
        <v>0</v>
      </c>
      <c r="CN77" s="1409">
        <f t="shared" ca="1" si="131"/>
        <v>0</v>
      </c>
      <c r="CO77" s="1409">
        <f t="shared" ca="1" si="132"/>
        <v>0</v>
      </c>
      <c r="CP77" s="1409">
        <f t="shared" ca="1" si="133"/>
        <v>0</v>
      </c>
      <c r="CQ77" s="1409">
        <f t="shared" ca="1" si="134"/>
        <v>0</v>
      </c>
      <c r="CR77" s="1409">
        <f t="shared" ca="1" si="150"/>
        <v>0</v>
      </c>
      <c r="CS77" s="1131">
        <f t="shared" ca="1" si="135"/>
        <v>0</v>
      </c>
    </row>
    <row r="78" spans="3:97">
      <c r="C78" s="1763" t="s">
        <v>642</v>
      </c>
      <c r="D78" s="1763" t="s">
        <v>640</v>
      </c>
      <c r="F78" s="1131">
        <f t="shared" ca="1" si="151"/>
        <v>0</v>
      </c>
      <c r="G78" s="1131">
        <f t="shared" ca="1" si="151"/>
        <v>0</v>
      </c>
      <c r="H78" s="1131">
        <f t="shared" ca="1" si="151"/>
        <v>0</v>
      </c>
      <c r="I78" s="1131">
        <f t="shared" ca="1" si="151"/>
        <v>0</v>
      </c>
      <c r="J78" s="1131">
        <f t="shared" ca="1" si="151"/>
        <v>0</v>
      </c>
      <c r="K78" s="1131">
        <f t="shared" ca="1" si="151"/>
        <v>0</v>
      </c>
      <c r="L78" s="1131">
        <f t="shared" ca="1" si="151"/>
        <v>0</v>
      </c>
      <c r="M78" s="1131">
        <f t="shared" ca="1" si="151"/>
        <v>0</v>
      </c>
      <c r="N78" s="1131">
        <f t="shared" ca="1" si="151"/>
        <v>0</v>
      </c>
      <c r="O78" s="1131">
        <f t="shared" ca="1" si="151"/>
        <v>0</v>
      </c>
      <c r="P78" s="1131">
        <f t="shared" ca="1" si="104"/>
        <v>0</v>
      </c>
      <c r="Q78" s="1131"/>
      <c r="R78" s="1131"/>
      <c r="S78" s="1131">
        <f t="shared" ca="1" si="152"/>
        <v>0</v>
      </c>
      <c r="T78" s="1131">
        <f t="shared" ca="1" si="152"/>
        <v>0</v>
      </c>
      <c r="U78" s="1131">
        <f t="shared" ca="1" si="152"/>
        <v>0</v>
      </c>
      <c r="V78" s="1131">
        <f t="shared" ca="1" si="152"/>
        <v>0</v>
      </c>
      <c r="W78" s="1131">
        <f t="shared" ca="1" si="152"/>
        <v>0</v>
      </c>
      <c r="X78" s="1131">
        <f t="shared" ca="1" si="152"/>
        <v>0</v>
      </c>
      <c r="Y78" s="1131">
        <f t="shared" ca="1" si="152"/>
        <v>0</v>
      </c>
      <c r="Z78" s="1131">
        <f t="shared" ca="1" si="152"/>
        <v>0</v>
      </c>
      <c r="AA78" s="1131">
        <f t="shared" ca="1" si="152"/>
        <v>0</v>
      </c>
      <c r="AB78" s="1131">
        <f t="shared" ca="1" si="152"/>
        <v>0</v>
      </c>
      <c r="AC78" s="1131">
        <f t="shared" ca="1" si="106"/>
        <v>0</v>
      </c>
      <c r="AD78" s="1131"/>
      <c r="AE78" s="1131"/>
      <c r="AF78" s="1131">
        <f t="shared" ca="1" si="153"/>
        <v>0</v>
      </c>
      <c r="AG78" s="1131">
        <f t="shared" ca="1" si="153"/>
        <v>0</v>
      </c>
      <c r="AH78" s="1131">
        <f t="shared" ca="1" si="153"/>
        <v>0</v>
      </c>
      <c r="AI78" s="1131">
        <f t="shared" ca="1" si="153"/>
        <v>0</v>
      </c>
      <c r="AJ78" s="1131">
        <f t="shared" ca="1" si="153"/>
        <v>0</v>
      </c>
      <c r="AK78" s="1131">
        <f t="shared" ca="1" si="153"/>
        <v>0</v>
      </c>
      <c r="AL78" s="1131">
        <f t="shared" ca="1" si="153"/>
        <v>0</v>
      </c>
      <c r="AM78" s="1131">
        <f t="shared" ca="1" si="153"/>
        <v>0</v>
      </c>
      <c r="AN78" s="1131">
        <f t="shared" ca="1" si="153"/>
        <v>0</v>
      </c>
      <c r="AO78" s="1131">
        <f t="shared" ca="1" si="153"/>
        <v>0</v>
      </c>
      <c r="AP78" s="1131">
        <f t="shared" ca="1" si="108"/>
        <v>0</v>
      </c>
      <c r="AQ78" s="1131"/>
      <c r="AR78" s="1131"/>
      <c r="AS78" s="1131">
        <f t="shared" ca="1" si="109"/>
        <v>0</v>
      </c>
      <c r="AT78" s="1131">
        <f t="shared" ca="1" si="110"/>
        <v>0</v>
      </c>
      <c r="AU78" s="1131">
        <f t="shared" ca="1" si="111"/>
        <v>0</v>
      </c>
      <c r="AV78" s="1131">
        <f t="shared" ca="1" si="112"/>
        <v>0</v>
      </c>
      <c r="AW78" s="1131">
        <f t="shared" ca="1" si="113"/>
        <v>0</v>
      </c>
      <c r="AX78" s="1131">
        <f t="shared" ca="1" si="114"/>
        <v>0</v>
      </c>
      <c r="AY78" s="1131">
        <f t="shared" ca="1" si="115"/>
        <v>0</v>
      </c>
      <c r="AZ78" s="1131">
        <f t="shared" ca="1" si="116"/>
        <v>0</v>
      </c>
      <c r="BA78" s="1131">
        <f t="shared" ca="1" si="117"/>
        <v>0</v>
      </c>
      <c r="BB78" s="1131">
        <f t="shared" ca="1" si="136"/>
        <v>0</v>
      </c>
      <c r="BC78" s="1131">
        <f t="shared" ca="1" si="118"/>
        <v>0</v>
      </c>
      <c r="BD78" s="1131"/>
      <c r="BE78" s="1131"/>
      <c r="BF78" s="19">
        <f>'Global cost assumptions'!E52</f>
        <v>0.1</v>
      </c>
      <c r="BG78" s="1131">
        <f>'Global cost assumptions'!F52</f>
        <v>30</v>
      </c>
      <c r="BH78" s="1131"/>
      <c r="BI78" s="1131"/>
      <c r="BJ78" s="27">
        <f t="shared" ca="1" si="137"/>
        <v>0</v>
      </c>
      <c r="BK78" s="27">
        <f t="shared" ca="1" si="138"/>
        <v>0</v>
      </c>
      <c r="BL78" s="27">
        <f t="shared" ca="1" si="119"/>
        <v>0</v>
      </c>
      <c r="BM78" s="27">
        <f t="shared" ca="1" si="120"/>
        <v>0</v>
      </c>
      <c r="BN78" s="27">
        <f t="shared" ca="1" si="121"/>
        <v>0</v>
      </c>
      <c r="BO78" s="27">
        <f t="shared" ca="1" si="122"/>
        <v>0</v>
      </c>
      <c r="BP78" s="27">
        <f t="shared" ca="1" si="123"/>
        <v>0</v>
      </c>
      <c r="BQ78" s="27">
        <f t="shared" ca="1" si="124"/>
        <v>0</v>
      </c>
      <c r="BR78" s="27">
        <f t="shared" ca="1" si="125"/>
        <v>0</v>
      </c>
      <c r="BS78" s="27"/>
      <c r="BT78" s="1131"/>
      <c r="BU78" s="1131"/>
      <c r="BV78" s="1409">
        <f t="shared" ca="1" si="139"/>
        <v>0</v>
      </c>
      <c r="BW78" s="1917">
        <f t="shared" ca="1" si="140"/>
        <v>0</v>
      </c>
      <c r="BX78" s="1917">
        <f t="shared" ca="1" si="141"/>
        <v>0</v>
      </c>
      <c r="BY78" s="1917">
        <f t="shared" ca="1" si="142"/>
        <v>0</v>
      </c>
      <c r="BZ78" s="1917">
        <f t="shared" ca="1" si="143"/>
        <v>0</v>
      </c>
      <c r="CA78" s="1917">
        <f t="shared" ca="1" si="144"/>
        <v>0</v>
      </c>
      <c r="CB78" s="1917">
        <f t="shared" ca="1" si="145"/>
        <v>0</v>
      </c>
      <c r="CC78" s="1917">
        <f t="shared" ca="1" si="146"/>
        <v>0</v>
      </c>
      <c r="CD78" s="1917">
        <f t="shared" ca="1" si="147"/>
        <v>0</v>
      </c>
      <c r="CE78" s="1917">
        <f t="shared" si="148"/>
        <v>0</v>
      </c>
      <c r="CF78" s="1131">
        <f t="shared" ca="1" si="126"/>
        <v>0</v>
      </c>
      <c r="CG78" s="1131"/>
      <c r="CH78" s="1131"/>
      <c r="CI78" s="1409">
        <f t="shared" ca="1" si="149"/>
        <v>0</v>
      </c>
      <c r="CJ78" s="1409">
        <f t="shared" ca="1" si="127"/>
        <v>0</v>
      </c>
      <c r="CK78" s="1409">
        <f t="shared" ca="1" si="128"/>
        <v>0</v>
      </c>
      <c r="CL78" s="1409">
        <f t="shared" ca="1" si="129"/>
        <v>0</v>
      </c>
      <c r="CM78" s="1409">
        <f t="shared" ca="1" si="130"/>
        <v>0</v>
      </c>
      <c r="CN78" s="1409">
        <f t="shared" ca="1" si="131"/>
        <v>0</v>
      </c>
      <c r="CO78" s="1409">
        <f t="shared" ca="1" si="132"/>
        <v>0</v>
      </c>
      <c r="CP78" s="1409">
        <f t="shared" ca="1" si="133"/>
        <v>0</v>
      </c>
      <c r="CQ78" s="1409">
        <f t="shared" ca="1" si="134"/>
        <v>0</v>
      </c>
      <c r="CR78" s="1409">
        <f t="shared" ca="1" si="150"/>
        <v>0</v>
      </c>
      <c r="CS78" s="1131">
        <f t="shared" ca="1" si="135"/>
        <v>0</v>
      </c>
    </row>
    <row r="79" spans="3:97">
      <c r="C79" s="1763" t="s">
        <v>646</v>
      </c>
      <c r="D79" s="1763" t="s">
        <v>1192</v>
      </c>
      <c r="F79" s="1131">
        <f t="shared" ca="1" si="151"/>
        <v>0</v>
      </c>
      <c r="G79" s="1131">
        <f t="shared" ca="1" si="151"/>
        <v>0</v>
      </c>
      <c r="H79" s="1131">
        <f t="shared" ca="1" si="151"/>
        <v>0</v>
      </c>
      <c r="I79" s="1131">
        <f t="shared" ca="1" si="151"/>
        <v>0</v>
      </c>
      <c r="J79" s="1131">
        <f t="shared" ca="1" si="151"/>
        <v>0</v>
      </c>
      <c r="K79" s="1131">
        <f t="shared" ca="1" si="151"/>
        <v>0</v>
      </c>
      <c r="L79" s="1131">
        <f t="shared" ca="1" si="151"/>
        <v>0</v>
      </c>
      <c r="M79" s="1131">
        <f t="shared" ca="1" si="151"/>
        <v>0</v>
      </c>
      <c r="N79" s="1131">
        <f t="shared" ca="1" si="151"/>
        <v>0</v>
      </c>
      <c r="O79" s="1131">
        <f t="shared" ca="1" si="151"/>
        <v>0</v>
      </c>
      <c r="P79" s="1131">
        <f t="shared" ca="1" si="104"/>
        <v>0</v>
      </c>
      <c r="Q79" s="1131"/>
      <c r="R79" s="1131"/>
      <c r="S79" s="1131">
        <f t="shared" ca="1" si="152"/>
        <v>0</v>
      </c>
      <c r="T79" s="1131">
        <f t="shared" ca="1" si="152"/>
        <v>0</v>
      </c>
      <c r="U79" s="1131">
        <f t="shared" ca="1" si="152"/>
        <v>0</v>
      </c>
      <c r="V79" s="1131">
        <f t="shared" ca="1" si="152"/>
        <v>0</v>
      </c>
      <c r="W79" s="1131">
        <f t="shared" ca="1" si="152"/>
        <v>0</v>
      </c>
      <c r="X79" s="1131">
        <f t="shared" ca="1" si="152"/>
        <v>0</v>
      </c>
      <c r="Y79" s="1131">
        <f t="shared" ca="1" si="152"/>
        <v>0</v>
      </c>
      <c r="Z79" s="1131">
        <f t="shared" ca="1" si="152"/>
        <v>0</v>
      </c>
      <c r="AA79" s="1131">
        <f t="shared" ca="1" si="152"/>
        <v>0</v>
      </c>
      <c r="AB79" s="1131">
        <f t="shared" ca="1" si="152"/>
        <v>0</v>
      </c>
      <c r="AC79" s="1131">
        <f t="shared" ca="1" si="106"/>
        <v>0</v>
      </c>
      <c r="AD79" s="1131"/>
      <c r="AE79" s="1131"/>
      <c r="AF79" s="1131">
        <f t="shared" ca="1" si="153"/>
        <v>0</v>
      </c>
      <c r="AG79" s="1131">
        <f t="shared" ca="1" si="153"/>
        <v>0</v>
      </c>
      <c r="AH79" s="1131">
        <f t="shared" ca="1" si="153"/>
        <v>0</v>
      </c>
      <c r="AI79" s="1131">
        <f t="shared" ca="1" si="153"/>
        <v>0</v>
      </c>
      <c r="AJ79" s="1131">
        <f t="shared" ca="1" si="153"/>
        <v>0</v>
      </c>
      <c r="AK79" s="1131">
        <f t="shared" ca="1" si="153"/>
        <v>0</v>
      </c>
      <c r="AL79" s="1131">
        <f t="shared" ca="1" si="153"/>
        <v>0</v>
      </c>
      <c r="AM79" s="1131">
        <f t="shared" ca="1" si="153"/>
        <v>0</v>
      </c>
      <c r="AN79" s="1131">
        <f t="shared" ca="1" si="153"/>
        <v>0</v>
      </c>
      <c r="AO79" s="1131">
        <f t="shared" ca="1" si="153"/>
        <v>0</v>
      </c>
      <c r="AP79" s="1131">
        <f t="shared" ca="1" si="108"/>
        <v>0</v>
      </c>
      <c r="AQ79" s="1131"/>
      <c r="AR79" s="1131"/>
      <c r="AS79" s="1131">
        <f t="shared" ca="1" si="109"/>
        <v>0</v>
      </c>
      <c r="AT79" s="1131">
        <f t="shared" ca="1" si="110"/>
        <v>0</v>
      </c>
      <c r="AU79" s="1131">
        <f t="shared" ca="1" si="111"/>
        <v>0</v>
      </c>
      <c r="AV79" s="1131">
        <f t="shared" ca="1" si="112"/>
        <v>0</v>
      </c>
      <c r="AW79" s="1131">
        <f t="shared" ca="1" si="113"/>
        <v>0</v>
      </c>
      <c r="AX79" s="1131">
        <f t="shared" ca="1" si="114"/>
        <v>0</v>
      </c>
      <c r="AY79" s="1131">
        <f t="shared" ca="1" si="115"/>
        <v>0</v>
      </c>
      <c r="AZ79" s="1131">
        <f t="shared" ca="1" si="116"/>
        <v>0</v>
      </c>
      <c r="BA79" s="1131">
        <f t="shared" ca="1" si="117"/>
        <v>0</v>
      </c>
      <c r="BB79" s="1131">
        <f t="shared" ca="1" si="136"/>
        <v>0</v>
      </c>
      <c r="BC79" s="1131">
        <f t="shared" ca="1" si="118"/>
        <v>0</v>
      </c>
      <c r="BD79" s="1131"/>
      <c r="BE79" s="1131"/>
      <c r="BF79" s="19">
        <f>'Global cost assumptions'!E53</f>
        <v>0.1</v>
      </c>
      <c r="BG79" s="1131">
        <f>'Global cost assumptions'!F53</f>
        <v>30</v>
      </c>
      <c r="BH79" s="1131"/>
      <c r="BI79" s="1131"/>
      <c r="BJ79" s="27">
        <f t="shared" ca="1" si="137"/>
        <v>0</v>
      </c>
      <c r="BK79" s="27">
        <f t="shared" ca="1" si="138"/>
        <v>0</v>
      </c>
      <c r="BL79" s="27">
        <f t="shared" ca="1" si="119"/>
        <v>0</v>
      </c>
      <c r="BM79" s="27">
        <f t="shared" ca="1" si="120"/>
        <v>0</v>
      </c>
      <c r="BN79" s="27">
        <f t="shared" ca="1" si="121"/>
        <v>0</v>
      </c>
      <c r="BO79" s="27">
        <f t="shared" ca="1" si="122"/>
        <v>0</v>
      </c>
      <c r="BP79" s="27">
        <f t="shared" ca="1" si="123"/>
        <v>0</v>
      </c>
      <c r="BQ79" s="27">
        <f t="shared" ca="1" si="124"/>
        <v>0</v>
      </c>
      <c r="BR79" s="27">
        <f t="shared" ca="1" si="125"/>
        <v>0</v>
      </c>
      <c r="BS79" s="27"/>
      <c r="BT79" s="1131"/>
      <c r="BU79" s="1131"/>
      <c r="BV79" s="1409">
        <f t="shared" ca="1" si="139"/>
        <v>0</v>
      </c>
      <c r="BW79" s="1917">
        <f t="shared" ca="1" si="140"/>
        <v>0</v>
      </c>
      <c r="BX79" s="1917">
        <f t="shared" ca="1" si="141"/>
        <v>0</v>
      </c>
      <c r="BY79" s="1917">
        <f t="shared" ca="1" si="142"/>
        <v>0</v>
      </c>
      <c r="BZ79" s="1917">
        <f t="shared" ca="1" si="143"/>
        <v>0</v>
      </c>
      <c r="CA79" s="1917">
        <f t="shared" ca="1" si="144"/>
        <v>0</v>
      </c>
      <c r="CB79" s="1917">
        <f t="shared" ca="1" si="145"/>
        <v>0</v>
      </c>
      <c r="CC79" s="1917">
        <f t="shared" ca="1" si="146"/>
        <v>0</v>
      </c>
      <c r="CD79" s="1917">
        <f t="shared" ca="1" si="147"/>
        <v>0</v>
      </c>
      <c r="CE79" s="1917">
        <f t="shared" si="148"/>
        <v>0</v>
      </c>
      <c r="CF79" s="1131">
        <f t="shared" ca="1" si="126"/>
        <v>0</v>
      </c>
      <c r="CG79" s="1131"/>
      <c r="CH79" s="1131"/>
      <c r="CI79" s="1409">
        <f t="shared" ca="1" si="149"/>
        <v>0</v>
      </c>
      <c r="CJ79" s="1409">
        <f t="shared" ca="1" si="127"/>
        <v>0</v>
      </c>
      <c r="CK79" s="1409">
        <f t="shared" ca="1" si="128"/>
        <v>0</v>
      </c>
      <c r="CL79" s="1409">
        <f t="shared" ca="1" si="129"/>
        <v>0</v>
      </c>
      <c r="CM79" s="1409">
        <f t="shared" ca="1" si="130"/>
        <v>0</v>
      </c>
      <c r="CN79" s="1409">
        <f t="shared" ca="1" si="131"/>
        <v>0</v>
      </c>
      <c r="CO79" s="1409">
        <f t="shared" ca="1" si="132"/>
        <v>0</v>
      </c>
      <c r="CP79" s="1409">
        <f t="shared" ca="1" si="133"/>
        <v>0</v>
      </c>
      <c r="CQ79" s="1409">
        <f t="shared" ca="1" si="134"/>
        <v>0</v>
      </c>
      <c r="CR79" s="1409">
        <f t="shared" ca="1" si="150"/>
        <v>0</v>
      </c>
      <c r="CS79" s="1131">
        <f t="shared" ca="1" si="135"/>
        <v>0</v>
      </c>
    </row>
    <row r="80" spans="3:97">
      <c r="C80" s="1763" t="s">
        <v>744</v>
      </c>
      <c r="D80" s="1763" t="s">
        <v>570</v>
      </c>
      <c r="F80" s="1131">
        <f t="shared" ref="F80:O95" ca="1" si="163">IFERROR(INDEX(INDIRECT($C80&amp;".Costs["&amp;F$58&amp;"]"), MATCH($F$57, INDIRECT($C80&amp;".Costs[Vector]"), 0)),0)</f>
        <v>0</v>
      </c>
      <c r="G80" s="1131">
        <f t="shared" ca="1" si="163"/>
        <v>0</v>
      </c>
      <c r="H80" s="1131">
        <f t="shared" ca="1" si="163"/>
        <v>0</v>
      </c>
      <c r="I80" s="1131">
        <f t="shared" ca="1" si="163"/>
        <v>0</v>
      </c>
      <c r="J80" s="1131">
        <f t="shared" ca="1" si="163"/>
        <v>0</v>
      </c>
      <c r="K80" s="1131">
        <f t="shared" ca="1" si="163"/>
        <v>0</v>
      </c>
      <c r="L80" s="1131">
        <f t="shared" ca="1" si="163"/>
        <v>0</v>
      </c>
      <c r="M80" s="1131">
        <f t="shared" ca="1" si="163"/>
        <v>0</v>
      </c>
      <c r="N80" s="1131">
        <f t="shared" ca="1" si="163"/>
        <v>0</v>
      </c>
      <c r="O80" s="1131">
        <f t="shared" ca="1" si="151"/>
        <v>0</v>
      </c>
      <c r="P80" s="1131">
        <f t="shared" ca="1" si="104"/>
        <v>0</v>
      </c>
      <c r="Q80" s="1131"/>
      <c r="R80" s="1131"/>
      <c r="S80" s="1131">
        <f t="shared" ref="S80:AB95" ca="1" si="164">IFERROR(INDEX(INDIRECT($C80&amp;".Costs["&amp;S$58&amp;"]"), MATCH($S$57, INDIRECT($C80&amp;".Costs[Vector]"), 0)),0)</f>
        <v>0</v>
      </c>
      <c r="T80" s="1131">
        <f t="shared" ca="1" si="164"/>
        <v>0</v>
      </c>
      <c r="U80" s="1131">
        <f t="shared" ca="1" si="164"/>
        <v>0</v>
      </c>
      <c r="V80" s="1131">
        <f t="shared" ca="1" si="164"/>
        <v>0</v>
      </c>
      <c r="W80" s="1131">
        <f t="shared" ca="1" si="164"/>
        <v>0</v>
      </c>
      <c r="X80" s="1131">
        <f t="shared" ca="1" si="164"/>
        <v>0</v>
      </c>
      <c r="Y80" s="1131">
        <f t="shared" ca="1" si="164"/>
        <v>0</v>
      </c>
      <c r="Z80" s="1131">
        <f t="shared" ca="1" si="164"/>
        <v>0</v>
      </c>
      <c r="AA80" s="1131">
        <f t="shared" ca="1" si="164"/>
        <v>0</v>
      </c>
      <c r="AB80" s="1131">
        <f t="shared" ca="1" si="152"/>
        <v>0</v>
      </c>
      <c r="AC80" s="1131">
        <f t="shared" ca="1" si="106"/>
        <v>0</v>
      </c>
      <c r="AD80" s="1131"/>
      <c r="AE80" s="1131"/>
      <c r="AF80" s="1131">
        <f t="shared" ref="AF80:AO95" ca="1" si="165">IFERROR(INDEX(INDIRECT($C80&amp;".Costs["&amp;AF$58&amp;"]"), MATCH($AF$57, INDIRECT($C80&amp;".Costs[Vector]"), 0)),0)</f>
        <v>0</v>
      </c>
      <c r="AG80" s="1131">
        <f t="shared" ca="1" si="165"/>
        <v>0</v>
      </c>
      <c r="AH80" s="1131">
        <f t="shared" ca="1" si="165"/>
        <v>0</v>
      </c>
      <c r="AI80" s="1131">
        <f t="shared" ca="1" si="165"/>
        <v>0</v>
      </c>
      <c r="AJ80" s="1131">
        <f t="shared" ca="1" si="165"/>
        <v>0</v>
      </c>
      <c r="AK80" s="1131">
        <f t="shared" ca="1" si="165"/>
        <v>0</v>
      </c>
      <c r="AL80" s="1131">
        <f t="shared" ca="1" si="165"/>
        <v>0</v>
      </c>
      <c r="AM80" s="1131">
        <f t="shared" ca="1" si="165"/>
        <v>0</v>
      </c>
      <c r="AN80" s="1131">
        <f t="shared" ca="1" si="165"/>
        <v>0</v>
      </c>
      <c r="AO80" s="1131">
        <f t="shared" ca="1" si="153"/>
        <v>0</v>
      </c>
      <c r="AP80" s="1131">
        <f t="shared" ca="1" si="108"/>
        <v>0</v>
      </c>
      <c r="AQ80" s="1131"/>
      <c r="AR80" s="1131"/>
      <c r="AS80" s="1131">
        <f t="shared" ca="1" si="109"/>
        <v>0</v>
      </c>
      <c r="AT80" s="1131">
        <f t="shared" ca="1" si="110"/>
        <v>0</v>
      </c>
      <c r="AU80" s="1131">
        <f t="shared" ca="1" si="111"/>
        <v>0</v>
      </c>
      <c r="AV80" s="1131">
        <f t="shared" ca="1" si="112"/>
        <v>0</v>
      </c>
      <c r="AW80" s="1131">
        <f t="shared" ca="1" si="113"/>
        <v>0</v>
      </c>
      <c r="AX80" s="1131">
        <f t="shared" ca="1" si="114"/>
        <v>0</v>
      </c>
      <c r="AY80" s="1131">
        <f t="shared" ca="1" si="115"/>
        <v>0</v>
      </c>
      <c r="AZ80" s="1131">
        <f t="shared" ca="1" si="116"/>
        <v>0</v>
      </c>
      <c r="BA80" s="1131">
        <f t="shared" ca="1" si="117"/>
        <v>0</v>
      </c>
      <c r="BB80" s="1131">
        <f t="shared" ca="1" si="136"/>
        <v>0</v>
      </c>
      <c r="BC80" s="1131">
        <f t="shared" ca="1" si="118"/>
        <v>0</v>
      </c>
      <c r="BD80" s="1131"/>
      <c r="BE80" s="1131"/>
      <c r="BF80" s="19">
        <f>'Global cost assumptions'!E54</f>
        <v>0.1</v>
      </c>
      <c r="BG80" s="1131">
        <f>'Global cost assumptions'!F54</f>
        <v>30</v>
      </c>
      <c r="BH80" s="1131"/>
      <c r="BI80" s="1131"/>
      <c r="BJ80" s="27">
        <f t="shared" ca="1" si="137"/>
        <v>0</v>
      </c>
      <c r="BK80" s="27">
        <f t="shared" ca="1" si="138"/>
        <v>0</v>
      </c>
      <c r="BL80" s="27">
        <f t="shared" ca="1" si="119"/>
        <v>0</v>
      </c>
      <c r="BM80" s="27">
        <f t="shared" ca="1" si="120"/>
        <v>0</v>
      </c>
      <c r="BN80" s="27">
        <f t="shared" ca="1" si="121"/>
        <v>0</v>
      </c>
      <c r="BO80" s="27">
        <f t="shared" ca="1" si="122"/>
        <v>0</v>
      </c>
      <c r="BP80" s="27">
        <f t="shared" ca="1" si="123"/>
        <v>0</v>
      </c>
      <c r="BQ80" s="27">
        <f t="shared" ca="1" si="124"/>
        <v>0</v>
      </c>
      <c r="BR80" s="27">
        <f t="shared" ca="1" si="125"/>
        <v>0</v>
      </c>
      <c r="BS80" s="27"/>
      <c r="BT80" s="1131"/>
      <c r="BU80" s="1131"/>
      <c r="BV80" s="1409">
        <f t="shared" ca="1" si="139"/>
        <v>0</v>
      </c>
      <c r="BW80" s="1917">
        <f t="shared" ca="1" si="140"/>
        <v>0</v>
      </c>
      <c r="BX80" s="1917">
        <f t="shared" ca="1" si="141"/>
        <v>0</v>
      </c>
      <c r="BY80" s="1917">
        <f t="shared" ca="1" si="142"/>
        <v>0</v>
      </c>
      <c r="BZ80" s="1917">
        <f t="shared" ca="1" si="143"/>
        <v>0</v>
      </c>
      <c r="CA80" s="1917">
        <f t="shared" ca="1" si="144"/>
        <v>0</v>
      </c>
      <c r="CB80" s="1917">
        <f t="shared" ca="1" si="145"/>
        <v>0</v>
      </c>
      <c r="CC80" s="1917">
        <f t="shared" ca="1" si="146"/>
        <v>0</v>
      </c>
      <c r="CD80" s="1917">
        <f t="shared" ca="1" si="147"/>
        <v>0</v>
      </c>
      <c r="CE80" s="1917">
        <f t="shared" si="148"/>
        <v>0</v>
      </c>
      <c r="CF80" s="1131">
        <f t="shared" ca="1" si="126"/>
        <v>0</v>
      </c>
      <c r="CG80" s="1131"/>
      <c r="CH80" s="1131"/>
      <c r="CI80" s="1409">
        <f t="shared" ca="1" si="149"/>
        <v>0</v>
      </c>
      <c r="CJ80" s="1409">
        <f t="shared" ca="1" si="127"/>
        <v>0</v>
      </c>
      <c r="CK80" s="1409">
        <f t="shared" ca="1" si="128"/>
        <v>0</v>
      </c>
      <c r="CL80" s="1409">
        <f t="shared" ca="1" si="129"/>
        <v>0</v>
      </c>
      <c r="CM80" s="1409">
        <f t="shared" ca="1" si="130"/>
        <v>0</v>
      </c>
      <c r="CN80" s="1409">
        <f t="shared" ca="1" si="131"/>
        <v>0</v>
      </c>
      <c r="CO80" s="1409">
        <f t="shared" ca="1" si="132"/>
        <v>0</v>
      </c>
      <c r="CP80" s="1409">
        <f t="shared" ca="1" si="133"/>
        <v>0</v>
      </c>
      <c r="CQ80" s="1409">
        <f t="shared" ca="1" si="134"/>
        <v>0</v>
      </c>
      <c r="CR80" s="1409">
        <f t="shared" ca="1" si="150"/>
        <v>0</v>
      </c>
      <c r="CS80" s="1131">
        <f t="shared" ca="1" si="135"/>
        <v>0</v>
      </c>
    </row>
    <row r="81" spans="3:97">
      <c r="C81" s="1902" t="s">
        <v>668</v>
      </c>
      <c r="D81" s="1902" t="s">
        <v>2066</v>
      </c>
      <c r="F81" s="1131">
        <f t="shared" ca="1" si="163"/>
        <v>0</v>
      </c>
      <c r="G81" s="1131">
        <f t="shared" ca="1" si="163"/>
        <v>0</v>
      </c>
      <c r="H81" s="1131">
        <f t="shared" ca="1" si="163"/>
        <v>0</v>
      </c>
      <c r="I81" s="1131">
        <f t="shared" ca="1" si="163"/>
        <v>0</v>
      </c>
      <c r="J81" s="1131">
        <f t="shared" ca="1" si="163"/>
        <v>0</v>
      </c>
      <c r="K81" s="1131">
        <f t="shared" ca="1" si="163"/>
        <v>0</v>
      </c>
      <c r="L81" s="1131">
        <f t="shared" ca="1" si="163"/>
        <v>0</v>
      </c>
      <c r="M81" s="1131">
        <f t="shared" ca="1" si="163"/>
        <v>0</v>
      </c>
      <c r="N81" s="1131">
        <f t="shared" ca="1" si="163"/>
        <v>0</v>
      </c>
      <c r="O81" s="1131">
        <f t="shared" ca="1" si="151"/>
        <v>0</v>
      </c>
      <c r="P81" s="1131">
        <f t="shared" ca="1" si="104"/>
        <v>0</v>
      </c>
      <c r="Q81" s="1131"/>
      <c r="R81" s="1131"/>
      <c r="S81" s="1131">
        <f t="shared" ca="1" si="164"/>
        <v>0</v>
      </c>
      <c r="T81" s="1131">
        <f t="shared" ca="1" si="164"/>
        <v>0</v>
      </c>
      <c r="U81" s="1131">
        <f t="shared" ca="1" si="164"/>
        <v>0</v>
      </c>
      <c r="V81" s="1131">
        <f t="shared" ca="1" si="164"/>
        <v>0</v>
      </c>
      <c r="W81" s="1131">
        <f t="shared" ca="1" si="164"/>
        <v>0</v>
      </c>
      <c r="X81" s="1131">
        <f t="shared" ca="1" si="164"/>
        <v>0</v>
      </c>
      <c r="Y81" s="1131">
        <f t="shared" ca="1" si="164"/>
        <v>0</v>
      </c>
      <c r="Z81" s="1131">
        <f t="shared" ca="1" si="164"/>
        <v>0</v>
      </c>
      <c r="AA81" s="1131">
        <f t="shared" ca="1" si="164"/>
        <v>0</v>
      </c>
      <c r="AB81" s="1131">
        <f t="shared" ca="1" si="152"/>
        <v>0</v>
      </c>
      <c r="AC81" s="1131">
        <f t="shared" ca="1" si="106"/>
        <v>0</v>
      </c>
      <c r="AD81" s="1131"/>
      <c r="AE81" s="1131"/>
      <c r="AF81" s="1131">
        <f t="shared" ca="1" si="165"/>
        <v>0</v>
      </c>
      <c r="AG81" s="1131">
        <f t="shared" ca="1" si="165"/>
        <v>0</v>
      </c>
      <c r="AH81" s="1131">
        <f t="shared" ca="1" si="165"/>
        <v>0</v>
      </c>
      <c r="AI81" s="1131">
        <f t="shared" ca="1" si="165"/>
        <v>0</v>
      </c>
      <c r="AJ81" s="1131">
        <f t="shared" ca="1" si="165"/>
        <v>0</v>
      </c>
      <c r="AK81" s="1131">
        <f t="shared" ca="1" si="165"/>
        <v>0</v>
      </c>
      <c r="AL81" s="1131">
        <f t="shared" ca="1" si="165"/>
        <v>0</v>
      </c>
      <c r="AM81" s="1131">
        <f t="shared" ca="1" si="165"/>
        <v>0</v>
      </c>
      <c r="AN81" s="1131">
        <f t="shared" ca="1" si="165"/>
        <v>0</v>
      </c>
      <c r="AO81" s="1131">
        <f t="shared" ca="1" si="153"/>
        <v>0</v>
      </c>
      <c r="AP81" s="1131">
        <f t="shared" ca="1" si="108"/>
        <v>0</v>
      </c>
      <c r="AQ81" s="1131"/>
      <c r="AR81" s="1131"/>
      <c r="AS81" s="1131">
        <f t="shared" ca="1" si="109"/>
        <v>0</v>
      </c>
      <c r="AT81" s="1131">
        <f t="shared" ca="1" si="110"/>
        <v>0</v>
      </c>
      <c r="AU81" s="1131">
        <f t="shared" ca="1" si="111"/>
        <v>0</v>
      </c>
      <c r="AV81" s="1131">
        <f t="shared" ca="1" si="112"/>
        <v>0</v>
      </c>
      <c r="AW81" s="1131">
        <f t="shared" ca="1" si="113"/>
        <v>0</v>
      </c>
      <c r="AX81" s="1131">
        <f t="shared" ca="1" si="114"/>
        <v>0</v>
      </c>
      <c r="AY81" s="1131">
        <f t="shared" ca="1" si="115"/>
        <v>0</v>
      </c>
      <c r="AZ81" s="1131">
        <f t="shared" ca="1" si="116"/>
        <v>0</v>
      </c>
      <c r="BA81" s="1131">
        <f t="shared" ca="1" si="117"/>
        <v>0</v>
      </c>
      <c r="BB81" s="1131">
        <f t="shared" ca="1" si="136"/>
        <v>0</v>
      </c>
      <c r="BC81" s="1131">
        <f t="shared" ca="1" si="118"/>
        <v>0</v>
      </c>
      <c r="BD81" s="1131"/>
      <c r="BE81" s="1131"/>
      <c r="BF81" s="19">
        <f>'Global cost assumptions'!E55</f>
        <v>0.1</v>
      </c>
      <c r="BG81" s="1131">
        <f>'Global cost assumptions'!F55</f>
        <v>30</v>
      </c>
      <c r="BH81" s="1131"/>
      <c r="BI81" s="1131"/>
      <c r="BJ81" s="27">
        <f t="shared" ca="1" si="137"/>
        <v>0</v>
      </c>
      <c r="BK81" s="27">
        <f t="shared" ca="1" si="138"/>
        <v>0</v>
      </c>
      <c r="BL81" s="27">
        <f t="shared" ca="1" si="119"/>
        <v>0</v>
      </c>
      <c r="BM81" s="27">
        <f t="shared" ca="1" si="120"/>
        <v>0</v>
      </c>
      <c r="BN81" s="27">
        <f t="shared" ca="1" si="121"/>
        <v>0</v>
      </c>
      <c r="BO81" s="27">
        <f t="shared" ca="1" si="122"/>
        <v>0</v>
      </c>
      <c r="BP81" s="27">
        <f t="shared" ca="1" si="123"/>
        <v>0</v>
      </c>
      <c r="BQ81" s="27">
        <f t="shared" ca="1" si="124"/>
        <v>0</v>
      </c>
      <c r="BR81" s="27">
        <f t="shared" ca="1" si="125"/>
        <v>0</v>
      </c>
      <c r="BS81" s="27"/>
      <c r="BT81" s="1131"/>
      <c r="BU81" s="1131"/>
      <c r="BV81" s="1409">
        <f t="shared" ca="1" si="139"/>
        <v>0</v>
      </c>
      <c r="BW81" s="1917">
        <f t="shared" ca="1" si="140"/>
        <v>0</v>
      </c>
      <c r="BX81" s="1917">
        <f t="shared" ca="1" si="141"/>
        <v>0</v>
      </c>
      <c r="BY81" s="1917">
        <f t="shared" ca="1" si="142"/>
        <v>0</v>
      </c>
      <c r="BZ81" s="1917">
        <f t="shared" ca="1" si="143"/>
        <v>0</v>
      </c>
      <c r="CA81" s="1917">
        <f t="shared" ca="1" si="144"/>
        <v>0</v>
      </c>
      <c r="CB81" s="1917">
        <f t="shared" ca="1" si="145"/>
        <v>0</v>
      </c>
      <c r="CC81" s="1917">
        <f t="shared" ca="1" si="146"/>
        <v>0</v>
      </c>
      <c r="CD81" s="1917">
        <f t="shared" ca="1" si="147"/>
        <v>0</v>
      </c>
      <c r="CE81" s="1917">
        <f t="shared" si="148"/>
        <v>0</v>
      </c>
      <c r="CF81" s="1131">
        <f t="shared" ca="1" si="126"/>
        <v>0</v>
      </c>
      <c r="CG81" s="1131"/>
      <c r="CH81" s="1131"/>
      <c r="CI81" s="1409">
        <f t="shared" ca="1" si="149"/>
        <v>0</v>
      </c>
      <c r="CJ81" s="1409">
        <f t="shared" ca="1" si="127"/>
        <v>0</v>
      </c>
      <c r="CK81" s="1409">
        <f t="shared" ca="1" si="128"/>
        <v>0</v>
      </c>
      <c r="CL81" s="1409">
        <f t="shared" ca="1" si="129"/>
        <v>0</v>
      </c>
      <c r="CM81" s="1409">
        <f t="shared" ca="1" si="130"/>
        <v>0</v>
      </c>
      <c r="CN81" s="1409">
        <f t="shared" ca="1" si="131"/>
        <v>0</v>
      </c>
      <c r="CO81" s="1409">
        <f t="shared" ca="1" si="132"/>
        <v>0</v>
      </c>
      <c r="CP81" s="1409">
        <f t="shared" ca="1" si="133"/>
        <v>0</v>
      </c>
      <c r="CQ81" s="1409">
        <f t="shared" ca="1" si="134"/>
        <v>0</v>
      </c>
      <c r="CR81" s="1409">
        <f t="shared" ca="1" si="150"/>
        <v>0</v>
      </c>
      <c r="CS81" s="1131">
        <f t="shared" ca="1" si="135"/>
        <v>0</v>
      </c>
    </row>
    <row r="82" spans="3:97">
      <c r="C82" s="1763" t="s">
        <v>687</v>
      </c>
      <c r="D82" s="1763" t="s">
        <v>1411</v>
      </c>
      <c r="F82" s="1131">
        <f t="shared" ca="1" si="163"/>
        <v>0</v>
      </c>
      <c r="G82" s="1131">
        <f t="shared" ca="1" si="163"/>
        <v>0</v>
      </c>
      <c r="H82" s="1131">
        <f t="shared" ca="1" si="163"/>
        <v>0</v>
      </c>
      <c r="I82" s="1131">
        <f t="shared" ca="1" si="163"/>
        <v>0</v>
      </c>
      <c r="J82" s="1131">
        <f t="shared" ca="1" si="163"/>
        <v>0</v>
      </c>
      <c r="K82" s="1131">
        <f t="shared" ca="1" si="163"/>
        <v>0</v>
      </c>
      <c r="L82" s="1131">
        <f t="shared" ca="1" si="163"/>
        <v>0</v>
      </c>
      <c r="M82" s="1131">
        <f t="shared" ca="1" si="163"/>
        <v>0</v>
      </c>
      <c r="N82" s="1131">
        <f t="shared" ca="1" si="163"/>
        <v>0</v>
      </c>
      <c r="O82" s="1131">
        <f t="shared" ca="1" si="151"/>
        <v>0</v>
      </c>
      <c r="P82" s="1131">
        <f t="shared" ca="1" si="104"/>
        <v>0</v>
      </c>
      <c r="Q82" s="1131"/>
      <c r="R82" s="1131"/>
      <c r="S82" s="1131">
        <f t="shared" ca="1" si="164"/>
        <v>0</v>
      </c>
      <c r="T82" s="1131">
        <f t="shared" ca="1" si="164"/>
        <v>0</v>
      </c>
      <c r="U82" s="1131">
        <f t="shared" ca="1" si="164"/>
        <v>0</v>
      </c>
      <c r="V82" s="1131">
        <f t="shared" ca="1" si="164"/>
        <v>0</v>
      </c>
      <c r="W82" s="1131">
        <f t="shared" ca="1" si="164"/>
        <v>0</v>
      </c>
      <c r="X82" s="1131">
        <f t="shared" ca="1" si="164"/>
        <v>0</v>
      </c>
      <c r="Y82" s="1131">
        <f t="shared" ca="1" si="164"/>
        <v>0</v>
      </c>
      <c r="Z82" s="1131">
        <f t="shared" ca="1" si="164"/>
        <v>0</v>
      </c>
      <c r="AA82" s="1131">
        <f t="shared" ca="1" si="164"/>
        <v>0</v>
      </c>
      <c r="AB82" s="1131">
        <f t="shared" ca="1" si="152"/>
        <v>0</v>
      </c>
      <c r="AC82" s="1131">
        <f t="shared" ca="1" si="106"/>
        <v>0</v>
      </c>
      <c r="AD82" s="1131"/>
      <c r="AE82" s="1131"/>
      <c r="AF82" s="1131">
        <f t="shared" ca="1" si="165"/>
        <v>0</v>
      </c>
      <c r="AG82" s="1131">
        <f t="shared" ca="1" si="165"/>
        <v>0</v>
      </c>
      <c r="AH82" s="1131">
        <f t="shared" ca="1" si="165"/>
        <v>0</v>
      </c>
      <c r="AI82" s="1131">
        <f t="shared" ca="1" si="165"/>
        <v>0</v>
      </c>
      <c r="AJ82" s="1131">
        <f t="shared" ca="1" si="165"/>
        <v>0</v>
      </c>
      <c r="AK82" s="1131">
        <f t="shared" ca="1" si="165"/>
        <v>0</v>
      </c>
      <c r="AL82" s="1131">
        <f t="shared" ca="1" si="165"/>
        <v>0</v>
      </c>
      <c r="AM82" s="1131">
        <f t="shared" ca="1" si="165"/>
        <v>0</v>
      </c>
      <c r="AN82" s="1131">
        <f t="shared" ca="1" si="165"/>
        <v>0</v>
      </c>
      <c r="AO82" s="1131">
        <f t="shared" ca="1" si="153"/>
        <v>0</v>
      </c>
      <c r="AP82" s="1131">
        <f t="shared" ca="1" si="108"/>
        <v>0</v>
      </c>
      <c r="AQ82" s="1131"/>
      <c r="AR82" s="1131"/>
      <c r="AS82" s="1131">
        <f t="shared" ca="1" si="109"/>
        <v>0</v>
      </c>
      <c r="AT82" s="1131">
        <f t="shared" ca="1" si="110"/>
        <v>0</v>
      </c>
      <c r="AU82" s="1131">
        <f t="shared" ca="1" si="111"/>
        <v>0</v>
      </c>
      <c r="AV82" s="1131">
        <f t="shared" ca="1" si="112"/>
        <v>0</v>
      </c>
      <c r="AW82" s="1131">
        <f t="shared" ca="1" si="113"/>
        <v>0</v>
      </c>
      <c r="AX82" s="1131">
        <f t="shared" ca="1" si="114"/>
        <v>0</v>
      </c>
      <c r="AY82" s="1131">
        <f t="shared" ca="1" si="115"/>
        <v>0</v>
      </c>
      <c r="AZ82" s="1131">
        <f t="shared" ca="1" si="116"/>
        <v>0</v>
      </c>
      <c r="BA82" s="1131">
        <f t="shared" ca="1" si="117"/>
        <v>0</v>
      </c>
      <c r="BB82" s="1131">
        <f t="shared" ca="1" si="136"/>
        <v>0</v>
      </c>
      <c r="BC82" s="1131">
        <f t="shared" ca="1" si="118"/>
        <v>0</v>
      </c>
      <c r="BD82" s="1131"/>
      <c r="BE82" s="1131"/>
      <c r="BF82" s="19">
        <f>'Global cost assumptions'!E56</f>
        <v>0.1</v>
      </c>
      <c r="BG82" s="1131">
        <f>'Global cost assumptions'!F56</f>
        <v>30</v>
      </c>
      <c r="BH82" s="1131"/>
      <c r="BI82" s="1131"/>
      <c r="BJ82" s="27">
        <f t="shared" ca="1" si="137"/>
        <v>0</v>
      </c>
      <c r="BK82" s="27">
        <f t="shared" ca="1" si="138"/>
        <v>0</v>
      </c>
      <c r="BL82" s="27">
        <f t="shared" ca="1" si="119"/>
        <v>0</v>
      </c>
      <c r="BM82" s="27">
        <f t="shared" ca="1" si="120"/>
        <v>0</v>
      </c>
      <c r="BN82" s="27">
        <f t="shared" ca="1" si="121"/>
        <v>0</v>
      </c>
      <c r="BO82" s="27">
        <f t="shared" ca="1" si="122"/>
        <v>0</v>
      </c>
      <c r="BP82" s="27">
        <f t="shared" ca="1" si="123"/>
        <v>0</v>
      </c>
      <c r="BQ82" s="27">
        <f t="shared" ca="1" si="124"/>
        <v>0</v>
      </c>
      <c r="BR82" s="27">
        <f t="shared" ca="1" si="125"/>
        <v>0</v>
      </c>
      <c r="BS82" s="27"/>
      <c r="BT82" s="1131"/>
      <c r="BU82" s="1131"/>
      <c r="BV82" s="1409">
        <f t="shared" ca="1" si="139"/>
        <v>0</v>
      </c>
      <c r="BW82" s="1917">
        <f t="shared" ca="1" si="140"/>
        <v>0</v>
      </c>
      <c r="BX82" s="1917">
        <f t="shared" ca="1" si="141"/>
        <v>0</v>
      </c>
      <c r="BY82" s="1917">
        <f t="shared" ca="1" si="142"/>
        <v>0</v>
      </c>
      <c r="BZ82" s="1917">
        <f t="shared" ca="1" si="143"/>
        <v>0</v>
      </c>
      <c r="CA82" s="1917">
        <f t="shared" ca="1" si="144"/>
        <v>0</v>
      </c>
      <c r="CB82" s="1917">
        <f t="shared" ca="1" si="145"/>
        <v>0</v>
      </c>
      <c r="CC82" s="1917">
        <f t="shared" ca="1" si="146"/>
        <v>0</v>
      </c>
      <c r="CD82" s="1917">
        <f t="shared" ca="1" si="147"/>
        <v>0</v>
      </c>
      <c r="CE82" s="1917">
        <f t="shared" si="148"/>
        <v>0</v>
      </c>
      <c r="CF82" s="1131">
        <f t="shared" ca="1" si="126"/>
        <v>0</v>
      </c>
      <c r="CG82" s="1131"/>
      <c r="CH82" s="1131"/>
      <c r="CI82" s="1409">
        <f t="shared" ca="1" si="149"/>
        <v>0</v>
      </c>
      <c r="CJ82" s="1409">
        <f t="shared" ca="1" si="127"/>
        <v>0</v>
      </c>
      <c r="CK82" s="1409">
        <f t="shared" ca="1" si="128"/>
        <v>0</v>
      </c>
      <c r="CL82" s="1409">
        <f t="shared" ca="1" si="129"/>
        <v>0</v>
      </c>
      <c r="CM82" s="1409">
        <f t="shared" ca="1" si="130"/>
        <v>0</v>
      </c>
      <c r="CN82" s="1409">
        <f t="shared" ca="1" si="131"/>
        <v>0</v>
      </c>
      <c r="CO82" s="1409">
        <f t="shared" ca="1" si="132"/>
        <v>0</v>
      </c>
      <c r="CP82" s="1409">
        <f t="shared" ca="1" si="133"/>
        <v>0</v>
      </c>
      <c r="CQ82" s="1409">
        <f t="shared" ca="1" si="134"/>
        <v>0</v>
      </c>
      <c r="CR82" s="1409">
        <f t="shared" ca="1" si="150"/>
        <v>0</v>
      </c>
      <c r="CS82" s="1131">
        <f t="shared" ca="1" si="135"/>
        <v>0</v>
      </c>
    </row>
    <row r="83" spans="3:97">
      <c r="C83" s="1763" t="s">
        <v>716</v>
      </c>
      <c r="D83" s="1763" t="s">
        <v>972</v>
      </c>
      <c r="F83" s="1131">
        <f t="shared" ca="1" si="163"/>
        <v>0</v>
      </c>
      <c r="G83" s="1131">
        <f t="shared" ca="1" si="163"/>
        <v>0</v>
      </c>
      <c r="H83" s="1131">
        <f t="shared" ca="1" si="163"/>
        <v>0</v>
      </c>
      <c r="I83" s="1131">
        <f t="shared" ca="1" si="163"/>
        <v>0</v>
      </c>
      <c r="J83" s="1131">
        <f t="shared" ca="1" si="163"/>
        <v>0</v>
      </c>
      <c r="K83" s="1131">
        <f t="shared" ca="1" si="163"/>
        <v>0</v>
      </c>
      <c r="L83" s="1131">
        <f t="shared" ca="1" si="163"/>
        <v>0</v>
      </c>
      <c r="M83" s="1131">
        <f t="shared" ca="1" si="163"/>
        <v>0</v>
      </c>
      <c r="N83" s="1131">
        <f t="shared" ca="1" si="163"/>
        <v>0</v>
      </c>
      <c r="O83" s="1131">
        <f t="shared" ca="1" si="151"/>
        <v>0</v>
      </c>
      <c r="P83" s="1131">
        <f t="shared" ca="1" si="104"/>
        <v>0</v>
      </c>
      <c r="Q83" s="1131"/>
      <c r="R83" s="1131"/>
      <c r="S83" s="1131">
        <f t="shared" ca="1" si="164"/>
        <v>0</v>
      </c>
      <c r="T83" s="1131">
        <f t="shared" ca="1" si="164"/>
        <v>0</v>
      </c>
      <c r="U83" s="1131">
        <f t="shared" ca="1" si="164"/>
        <v>0</v>
      </c>
      <c r="V83" s="1131">
        <f t="shared" ca="1" si="164"/>
        <v>0</v>
      </c>
      <c r="W83" s="1131">
        <f t="shared" ca="1" si="164"/>
        <v>0</v>
      </c>
      <c r="X83" s="1131">
        <f t="shared" ca="1" si="164"/>
        <v>0</v>
      </c>
      <c r="Y83" s="1131">
        <f t="shared" ca="1" si="164"/>
        <v>0</v>
      </c>
      <c r="Z83" s="1131">
        <f t="shared" ca="1" si="164"/>
        <v>0</v>
      </c>
      <c r="AA83" s="1131">
        <f t="shared" ca="1" si="164"/>
        <v>0</v>
      </c>
      <c r="AB83" s="1131">
        <f t="shared" ca="1" si="152"/>
        <v>0</v>
      </c>
      <c r="AC83" s="1131">
        <f t="shared" ca="1" si="106"/>
        <v>0</v>
      </c>
      <c r="AD83" s="1131"/>
      <c r="AE83" s="1131"/>
      <c r="AF83" s="1131">
        <f t="shared" ca="1" si="165"/>
        <v>0</v>
      </c>
      <c r="AG83" s="1131">
        <f t="shared" ca="1" si="165"/>
        <v>0</v>
      </c>
      <c r="AH83" s="1131">
        <f t="shared" ca="1" si="165"/>
        <v>0</v>
      </c>
      <c r="AI83" s="1131">
        <f t="shared" ca="1" si="165"/>
        <v>0</v>
      </c>
      <c r="AJ83" s="1131">
        <f t="shared" ca="1" si="165"/>
        <v>0</v>
      </c>
      <c r="AK83" s="1131">
        <f t="shared" ca="1" si="165"/>
        <v>0</v>
      </c>
      <c r="AL83" s="1131">
        <f t="shared" ca="1" si="165"/>
        <v>0</v>
      </c>
      <c r="AM83" s="1131">
        <f t="shared" ca="1" si="165"/>
        <v>0</v>
      </c>
      <c r="AN83" s="1131">
        <f t="shared" ca="1" si="165"/>
        <v>0</v>
      </c>
      <c r="AO83" s="1131">
        <f t="shared" ca="1" si="153"/>
        <v>0</v>
      </c>
      <c r="AP83" s="1131">
        <f t="shared" ca="1" si="108"/>
        <v>0</v>
      </c>
      <c r="AQ83" s="1131"/>
      <c r="AR83" s="1131"/>
      <c r="AS83" s="1131">
        <f t="shared" ca="1" si="109"/>
        <v>0</v>
      </c>
      <c r="AT83" s="1131">
        <f t="shared" ca="1" si="110"/>
        <v>0</v>
      </c>
      <c r="AU83" s="1131">
        <f t="shared" ca="1" si="111"/>
        <v>0</v>
      </c>
      <c r="AV83" s="1131">
        <f t="shared" ca="1" si="112"/>
        <v>0</v>
      </c>
      <c r="AW83" s="1131">
        <f t="shared" ca="1" si="113"/>
        <v>0</v>
      </c>
      <c r="AX83" s="1131">
        <f t="shared" ca="1" si="114"/>
        <v>0</v>
      </c>
      <c r="AY83" s="1131">
        <f t="shared" ca="1" si="115"/>
        <v>0</v>
      </c>
      <c r="AZ83" s="1131">
        <f t="shared" ca="1" si="116"/>
        <v>0</v>
      </c>
      <c r="BA83" s="1131">
        <f t="shared" ca="1" si="117"/>
        <v>0</v>
      </c>
      <c r="BB83" s="1131">
        <f t="shared" ca="1" si="136"/>
        <v>0</v>
      </c>
      <c r="BC83" s="1131">
        <f t="shared" ca="1" si="118"/>
        <v>0</v>
      </c>
      <c r="BD83" s="1131"/>
      <c r="BE83" s="1131"/>
      <c r="BF83" s="19">
        <f>'Global cost assumptions'!E57</f>
        <v>0.1</v>
      </c>
      <c r="BG83" s="1131">
        <f>'Global cost assumptions'!F57</f>
        <v>30</v>
      </c>
      <c r="BH83" s="1131"/>
      <c r="BI83" s="1131"/>
      <c r="BJ83" s="27">
        <f t="shared" ca="1" si="137"/>
        <v>0</v>
      </c>
      <c r="BK83" s="27">
        <f t="shared" ca="1" si="138"/>
        <v>0</v>
      </c>
      <c r="BL83" s="27">
        <f t="shared" ca="1" si="119"/>
        <v>0</v>
      </c>
      <c r="BM83" s="27">
        <f t="shared" ca="1" si="120"/>
        <v>0</v>
      </c>
      <c r="BN83" s="27">
        <f t="shared" ca="1" si="121"/>
        <v>0</v>
      </c>
      <c r="BO83" s="27">
        <f t="shared" ca="1" si="122"/>
        <v>0</v>
      </c>
      <c r="BP83" s="27">
        <f t="shared" ca="1" si="123"/>
        <v>0</v>
      </c>
      <c r="BQ83" s="27">
        <f t="shared" ca="1" si="124"/>
        <v>0</v>
      </c>
      <c r="BR83" s="27">
        <f t="shared" ca="1" si="125"/>
        <v>0</v>
      </c>
      <c r="BS83" s="27"/>
      <c r="BT83" s="1131"/>
      <c r="BU83" s="1131"/>
      <c r="BV83" s="1409">
        <f t="shared" ca="1" si="139"/>
        <v>0</v>
      </c>
      <c r="BW83" s="1917">
        <f t="shared" ca="1" si="140"/>
        <v>0</v>
      </c>
      <c r="BX83" s="1917">
        <f t="shared" ca="1" si="141"/>
        <v>0</v>
      </c>
      <c r="BY83" s="1917">
        <f t="shared" ca="1" si="142"/>
        <v>0</v>
      </c>
      <c r="BZ83" s="1917">
        <f t="shared" ca="1" si="143"/>
        <v>0</v>
      </c>
      <c r="CA83" s="1917">
        <f t="shared" ca="1" si="144"/>
        <v>0</v>
      </c>
      <c r="CB83" s="1917">
        <f t="shared" ca="1" si="145"/>
        <v>0</v>
      </c>
      <c r="CC83" s="1917">
        <f t="shared" ca="1" si="146"/>
        <v>0</v>
      </c>
      <c r="CD83" s="1917">
        <f t="shared" ca="1" si="147"/>
        <v>0</v>
      </c>
      <c r="CE83" s="1917">
        <f t="shared" si="148"/>
        <v>0</v>
      </c>
      <c r="CF83" s="1131">
        <f t="shared" ca="1" si="126"/>
        <v>0</v>
      </c>
      <c r="CG83" s="1131"/>
      <c r="CH83" s="1131"/>
      <c r="CI83" s="1409">
        <f t="shared" ca="1" si="149"/>
        <v>0</v>
      </c>
      <c r="CJ83" s="1409">
        <f t="shared" ca="1" si="127"/>
        <v>0</v>
      </c>
      <c r="CK83" s="1409">
        <f t="shared" ca="1" si="128"/>
        <v>0</v>
      </c>
      <c r="CL83" s="1409">
        <f t="shared" ca="1" si="129"/>
        <v>0</v>
      </c>
      <c r="CM83" s="1409">
        <f t="shared" ca="1" si="130"/>
        <v>0</v>
      </c>
      <c r="CN83" s="1409">
        <f t="shared" ca="1" si="131"/>
        <v>0</v>
      </c>
      <c r="CO83" s="1409">
        <f t="shared" ca="1" si="132"/>
        <v>0</v>
      </c>
      <c r="CP83" s="1409">
        <f t="shared" ca="1" si="133"/>
        <v>0</v>
      </c>
      <c r="CQ83" s="1409">
        <f t="shared" ca="1" si="134"/>
        <v>0</v>
      </c>
      <c r="CR83" s="1409">
        <f t="shared" ca="1" si="150"/>
        <v>0</v>
      </c>
      <c r="CS83" s="1131">
        <f t="shared" ca="1" si="135"/>
        <v>0</v>
      </c>
    </row>
    <row r="84" spans="3:97">
      <c r="C84" s="1763" t="s">
        <v>717</v>
      </c>
      <c r="D84" s="1763" t="s">
        <v>1412</v>
      </c>
      <c r="F84" s="1131">
        <f t="shared" ca="1" si="163"/>
        <v>0</v>
      </c>
      <c r="G84" s="1131">
        <f t="shared" ca="1" si="163"/>
        <v>0</v>
      </c>
      <c r="H84" s="1131">
        <f t="shared" ca="1" si="163"/>
        <v>0</v>
      </c>
      <c r="I84" s="1131">
        <f t="shared" ca="1" si="163"/>
        <v>0</v>
      </c>
      <c r="J84" s="1131">
        <f t="shared" ca="1" si="163"/>
        <v>0</v>
      </c>
      <c r="K84" s="1131">
        <f t="shared" ca="1" si="163"/>
        <v>0</v>
      </c>
      <c r="L84" s="1131">
        <f t="shared" ca="1" si="163"/>
        <v>0</v>
      </c>
      <c r="M84" s="1131">
        <f t="shared" ca="1" si="163"/>
        <v>0</v>
      </c>
      <c r="N84" s="1131">
        <f t="shared" ca="1" si="163"/>
        <v>0</v>
      </c>
      <c r="O84" s="1131">
        <f t="shared" ca="1" si="151"/>
        <v>0</v>
      </c>
      <c r="P84" s="1131">
        <f t="shared" ca="1" si="104"/>
        <v>0</v>
      </c>
      <c r="Q84" s="1131"/>
      <c r="R84" s="1131"/>
      <c r="S84" s="1131">
        <f t="shared" ca="1" si="164"/>
        <v>0</v>
      </c>
      <c r="T84" s="1131">
        <f t="shared" ca="1" si="164"/>
        <v>0</v>
      </c>
      <c r="U84" s="1131">
        <f t="shared" ca="1" si="164"/>
        <v>0</v>
      </c>
      <c r="V84" s="1131">
        <f t="shared" ca="1" si="164"/>
        <v>0</v>
      </c>
      <c r="W84" s="1131">
        <f t="shared" ca="1" si="164"/>
        <v>0</v>
      </c>
      <c r="X84" s="1131">
        <f t="shared" ca="1" si="164"/>
        <v>0</v>
      </c>
      <c r="Y84" s="1131">
        <f t="shared" ca="1" si="164"/>
        <v>0</v>
      </c>
      <c r="Z84" s="1131">
        <f t="shared" ca="1" si="164"/>
        <v>0</v>
      </c>
      <c r="AA84" s="1131">
        <f t="shared" ca="1" si="164"/>
        <v>0</v>
      </c>
      <c r="AB84" s="1131">
        <f t="shared" ca="1" si="152"/>
        <v>0</v>
      </c>
      <c r="AC84" s="1131">
        <f t="shared" ca="1" si="106"/>
        <v>0</v>
      </c>
      <c r="AD84" s="1131"/>
      <c r="AE84" s="1131"/>
      <c r="AF84" s="1131">
        <f t="shared" ca="1" si="165"/>
        <v>0</v>
      </c>
      <c r="AG84" s="1131">
        <f t="shared" ca="1" si="165"/>
        <v>0</v>
      </c>
      <c r="AH84" s="1131">
        <f t="shared" ca="1" si="165"/>
        <v>0</v>
      </c>
      <c r="AI84" s="1131">
        <f t="shared" ca="1" si="165"/>
        <v>0</v>
      </c>
      <c r="AJ84" s="1131">
        <f t="shared" ca="1" si="165"/>
        <v>0</v>
      </c>
      <c r="AK84" s="1131">
        <f t="shared" ca="1" si="165"/>
        <v>0</v>
      </c>
      <c r="AL84" s="1131">
        <f t="shared" ca="1" si="165"/>
        <v>0</v>
      </c>
      <c r="AM84" s="1131">
        <f t="shared" ca="1" si="165"/>
        <v>0</v>
      </c>
      <c r="AN84" s="1131">
        <f t="shared" ca="1" si="165"/>
        <v>0</v>
      </c>
      <c r="AO84" s="1131">
        <f t="shared" ca="1" si="153"/>
        <v>0</v>
      </c>
      <c r="AP84" s="1131">
        <f t="shared" ca="1" si="108"/>
        <v>0</v>
      </c>
      <c r="AQ84" s="1131"/>
      <c r="AR84" s="1131"/>
      <c r="AS84" s="1131">
        <f t="shared" ca="1" si="109"/>
        <v>0</v>
      </c>
      <c r="AT84" s="1131">
        <f t="shared" ca="1" si="110"/>
        <v>0</v>
      </c>
      <c r="AU84" s="1131">
        <f t="shared" ca="1" si="111"/>
        <v>0</v>
      </c>
      <c r="AV84" s="1131">
        <f t="shared" ca="1" si="112"/>
        <v>0</v>
      </c>
      <c r="AW84" s="1131">
        <f t="shared" ca="1" si="113"/>
        <v>0</v>
      </c>
      <c r="AX84" s="1131">
        <f t="shared" ca="1" si="114"/>
        <v>0</v>
      </c>
      <c r="AY84" s="1131">
        <f t="shared" ca="1" si="115"/>
        <v>0</v>
      </c>
      <c r="AZ84" s="1131">
        <f t="shared" ca="1" si="116"/>
        <v>0</v>
      </c>
      <c r="BA84" s="1131">
        <f t="shared" ca="1" si="117"/>
        <v>0</v>
      </c>
      <c r="BB84" s="1131">
        <f t="shared" ca="1" si="136"/>
        <v>0</v>
      </c>
      <c r="BC84" s="1131">
        <f t="shared" ca="1" si="118"/>
        <v>0</v>
      </c>
      <c r="BD84" s="1131"/>
      <c r="BE84" s="1131"/>
      <c r="BF84" s="19">
        <f>'Global cost assumptions'!E58</f>
        <v>0.1</v>
      </c>
      <c r="BG84" s="1131">
        <f>'Global cost assumptions'!F58</f>
        <v>30</v>
      </c>
      <c r="BH84" s="1131"/>
      <c r="BI84" s="1131"/>
      <c r="BJ84" s="27">
        <f t="shared" ca="1" si="137"/>
        <v>0</v>
      </c>
      <c r="BK84" s="27">
        <f t="shared" ca="1" si="138"/>
        <v>0</v>
      </c>
      <c r="BL84" s="27">
        <f t="shared" ca="1" si="119"/>
        <v>0</v>
      </c>
      <c r="BM84" s="27">
        <f t="shared" ca="1" si="120"/>
        <v>0</v>
      </c>
      <c r="BN84" s="27">
        <f t="shared" ca="1" si="121"/>
        <v>0</v>
      </c>
      <c r="BO84" s="27">
        <f t="shared" ca="1" si="122"/>
        <v>0</v>
      </c>
      <c r="BP84" s="27">
        <f t="shared" ca="1" si="123"/>
        <v>0</v>
      </c>
      <c r="BQ84" s="27">
        <f t="shared" ca="1" si="124"/>
        <v>0</v>
      </c>
      <c r="BR84" s="27">
        <f t="shared" ca="1" si="125"/>
        <v>0</v>
      </c>
      <c r="BS84" s="27"/>
      <c r="BT84" s="1131"/>
      <c r="BU84" s="1131"/>
      <c r="BV84" s="1409">
        <f t="shared" ca="1" si="139"/>
        <v>0</v>
      </c>
      <c r="BW84" s="1917">
        <f t="shared" ca="1" si="140"/>
        <v>0</v>
      </c>
      <c r="BX84" s="1917">
        <f t="shared" ca="1" si="141"/>
        <v>0</v>
      </c>
      <c r="BY84" s="1917">
        <f t="shared" ca="1" si="142"/>
        <v>0</v>
      </c>
      <c r="BZ84" s="1917">
        <f t="shared" ca="1" si="143"/>
        <v>0</v>
      </c>
      <c r="CA84" s="1917">
        <f t="shared" ca="1" si="144"/>
        <v>0</v>
      </c>
      <c r="CB84" s="1917">
        <f t="shared" ca="1" si="145"/>
        <v>0</v>
      </c>
      <c r="CC84" s="1917">
        <f t="shared" ca="1" si="146"/>
        <v>0</v>
      </c>
      <c r="CD84" s="1917">
        <f t="shared" ca="1" si="147"/>
        <v>0</v>
      </c>
      <c r="CE84" s="1917">
        <f t="shared" si="148"/>
        <v>0</v>
      </c>
      <c r="CF84" s="1131">
        <f t="shared" ca="1" si="126"/>
        <v>0</v>
      </c>
      <c r="CG84" s="1131"/>
      <c r="CH84" s="1131"/>
      <c r="CI84" s="1409">
        <f t="shared" ca="1" si="149"/>
        <v>0</v>
      </c>
      <c r="CJ84" s="1409">
        <f t="shared" ca="1" si="127"/>
        <v>0</v>
      </c>
      <c r="CK84" s="1409">
        <f t="shared" ca="1" si="128"/>
        <v>0</v>
      </c>
      <c r="CL84" s="1409">
        <f t="shared" ca="1" si="129"/>
        <v>0</v>
      </c>
      <c r="CM84" s="1409">
        <f t="shared" ca="1" si="130"/>
        <v>0</v>
      </c>
      <c r="CN84" s="1409">
        <f t="shared" ca="1" si="131"/>
        <v>0</v>
      </c>
      <c r="CO84" s="1409">
        <f t="shared" ca="1" si="132"/>
        <v>0</v>
      </c>
      <c r="CP84" s="1409">
        <f t="shared" ca="1" si="133"/>
        <v>0</v>
      </c>
      <c r="CQ84" s="1409">
        <f t="shared" ca="1" si="134"/>
        <v>0</v>
      </c>
      <c r="CR84" s="1409">
        <f t="shared" ca="1" si="150"/>
        <v>0</v>
      </c>
      <c r="CS84" s="1131">
        <f t="shared" ca="1" si="135"/>
        <v>0</v>
      </c>
    </row>
    <row r="85" spans="3:97">
      <c r="C85" s="1763" t="s">
        <v>721</v>
      </c>
      <c r="D85" s="1763" t="s">
        <v>723</v>
      </c>
      <c r="F85" s="1131">
        <f t="shared" ca="1" si="163"/>
        <v>0</v>
      </c>
      <c r="G85" s="1131">
        <f t="shared" ca="1" si="163"/>
        <v>0</v>
      </c>
      <c r="H85" s="1131">
        <f t="shared" ca="1" si="163"/>
        <v>0</v>
      </c>
      <c r="I85" s="1131">
        <f t="shared" ca="1" si="163"/>
        <v>0</v>
      </c>
      <c r="J85" s="1131">
        <f t="shared" ca="1" si="163"/>
        <v>0</v>
      </c>
      <c r="K85" s="1131">
        <f t="shared" ca="1" si="163"/>
        <v>0</v>
      </c>
      <c r="L85" s="1131">
        <f t="shared" ca="1" si="163"/>
        <v>0</v>
      </c>
      <c r="M85" s="1131">
        <f t="shared" ca="1" si="163"/>
        <v>0</v>
      </c>
      <c r="N85" s="1131">
        <f t="shared" ca="1" si="163"/>
        <v>0</v>
      </c>
      <c r="O85" s="1131">
        <f t="shared" ca="1" si="163"/>
        <v>0</v>
      </c>
      <c r="P85" s="1131">
        <f t="shared" ca="1" si="104"/>
        <v>0</v>
      </c>
      <c r="Q85" s="1131"/>
      <c r="R85" s="1131"/>
      <c r="S85" s="1131">
        <f t="shared" ca="1" si="164"/>
        <v>0</v>
      </c>
      <c r="T85" s="1131">
        <f t="shared" ca="1" si="164"/>
        <v>0</v>
      </c>
      <c r="U85" s="1131">
        <f t="shared" ca="1" si="164"/>
        <v>0</v>
      </c>
      <c r="V85" s="1131">
        <f t="shared" ca="1" si="164"/>
        <v>0</v>
      </c>
      <c r="W85" s="1131">
        <f t="shared" ca="1" si="164"/>
        <v>0</v>
      </c>
      <c r="X85" s="1131">
        <f t="shared" ca="1" si="164"/>
        <v>0</v>
      </c>
      <c r="Y85" s="1131">
        <f t="shared" ca="1" si="164"/>
        <v>0</v>
      </c>
      <c r="Z85" s="1131">
        <f t="shared" ca="1" si="164"/>
        <v>0</v>
      </c>
      <c r="AA85" s="1131">
        <f t="shared" ca="1" si="164"/>
        <v>0</v>
      </c>
      <c r="AB85" s="1131">
        <f t="shared" ca="1" si="164"/>
        <v>0</v>
      </c>
      <c r="AC85" s="1131">
        <f t="shared" ca="1" si="106"/>
        <v>0</v>
      </c>
      <c r="AD85" s="1131"/>
      <c r="AE85" s="1131"/>
      <c r="AF85" s="1131">
        <f t="shared" ca="1" si="165"/>
        <v>0</v>
      </c>
      <c r="AG85" s="1131">
        <f t="shared" ca="1" si="165"/>
        <v>0</v>
      </c>
      <c r="AH85" s="1131">
        <f t="shared" ca="1" si="165"/>
        <v>0</v>
      </c>
      <c r="AI85" s="1131">
        <f t="shared" ca="1" si="165"/>
        <v>0</v>
      </c>
      <c r="AJ85" s="1131">
        <f t="shared" ca="1" si="165"/>
        <v>0</v>
      </c>
      <c r="AK85" s="1131">
        <f t="shared" ca="1" si="165"/>
        <v>0</v>
      </c>
      <c r="AL85" s="1131">
        <f t="shared" ca="1" si="165"/>
        <v>0</v>
      </c>
      <c r="AM85" s="1131">
        <f t="shared" ca="1" si="165"/>
        <v>0</v>
      </c>
      <c r="AN85" s="1131">
        <f t="shared" ca="1" si="165"/>
        <v>0</v>
      </c>
      <c r="AO85" s="1131">
        <f t="shared" ca="1" si="165"/>
        <v>0</v>
      </c>
      <c r="AP85" s="1131">
        <f t="shared" ca="1" si="108"/>
        <v>0</v>
      </c>
      <c r="AQ85" s="1131"/>
      <c r="AR85" s="1131"/>
      <c r="AS85" s="1131">
        <f t="shared" ca="1" si="109"/>
        <v>0</v>
      </c>
      <c r="AT85" s="1131">
        <f t="shared" ca="1" si="110"/>
        <v>0</v>
      </c>
      <c r="AU85" s="1131">
        <f t="shared" ca="1" si="111"/>
        <v>0</v>
      </c>
      <c r="AV85" s="1131">
        <f t="shared" ca="1" si="112"/>
        <v>0</v>
      </c>
      <c r="AW85" s="1131">
        <f t="shared" ca="1" si="113"/>
        <v>0</v>
      </c>
      <c r="AX85" s="1131">
        <f t="shared" ca="1" si="114"/>
        <v>0</v>
      </c>
      <c r="AY85" s="1131">
        <f t="shared" ca="1" si="115"/>
        <v>0</v>
      </c>
      <c r="AZ85" s="1131">
        <f t="shared" ca="1" si="116"/>
        <v>0</v>
      </c>
      <c r="BA85" s="1131">
        <f t="shared" ca="1" si="117"/>
        <v>0</v>
      </c>
      <c r="BB85" s="1131">
        <f t="shared" ca="1" si="136"/>
        <v>0</v>
      </c>
      <c r="BC85" s="1131">
        <f t="shared" ca="1" si="118"/>
        <v>0</v>
      </c>
      <c r="BD85" s="1131"/>
      <c r="BE85" s="1131"/>
      <c r="BF85" s="19">
        <f>'Global cost assumptions'!E59</f>
        <v>0.1</v>
      </c>
      <c r="BG85" s="1131">
        <f>'Global cost assumptions'!F59</f>
        <v>30</v>
      </c>
      <c r="BH85" s="1131"/>
      <c r="BI85" s="1131"/>
      <c r="BJ85" s="27">
        <f t="shared" ca="1" si="137"/>
        <v>0</v>
      </c>
      <c r="BK85" s="27">
        <f t="shared" ca="1" si="138"/>
        <v>0</v>
      </c>
      <c r="BL85" s="27">
        <f t="shared" ca="1" si="119"/>
        <v>0</v>
      </c>
      <c r="BM85" s="27">
        <f t="shared" ca="1" si="120"/>
        <v>0</v>
      </c>
      <c r="BN85" s="27">
        <f t="shared" ca="1" si="121"/>
        <v>0</v>
      </c>
      <c r="BO85" s="27">
        <f t="shared" ca="1" si="122"/>
        <v>0</v>
      </c>
      <c r="BP85" s="27">
        <f t="shared" ca="1" si="123"/>
        <v>0</v>
      </c>
      <c r="BQ85" s="27">
        <f t="shared" ca="1" si="124"/>
        <v>0</v>
      </c>
      <c r="BR85" s="27">
        <f t="shared" ca="1" si="125"/>
        <v>0</v>
      </c>
      <c r="BS85" s="27"/>
      <c r="BT85" s="1131"/>
      <c r="BU85" s="1131"/>
      <c r="BV85" s="1409">
        <f t="shared" ca="1" si="139"/>
        <v>0</v>
      </c>
      <c r="BW85" s="1917">
        <f t="shared" ca="1" si="140"/>
        <v>0</v>
      </c>
      <c r="BX85" s="1917">
        <f t="shared" ca="1" si="141"/>
        <v>0</v>
      </c>
      <c r="BY85" s="1917">
        <f t="shared" ca="1" si="142"/>
        <v>0</v>
      </c>
      <c r="BZ85" s="1917">
        <f t="shared" ca="1" si="143"/>
        <v>0</v>
      </c>
      <c r="CA85" s="1917">
        <f t="shared" ca="1" si="144"/>
        <v>0</v>
      </c>
      <c r="CB85" s="1917">
        <f t="shared" ca="1" si="145"/>
        <v>0</v>
      </c>
      <c r="CC85" s="1917">
        <f t="shared" ca="1" si="146"/>
        <v>0</v>
      </c>
      <c r="CD85" s="1917">
        <f t="shared" ca="1" si="147"/>
        <v>0</v>
      </c>
      <c r="CE85" s="1917">
        <f t="shared" si="148"/>
        <v>0</v>
      </c>
      <c r="CF85" s="1131">
        <f t="shared" ca="1" si="126"/>
        <v>0</v>
      </c>
      <c r="CG85" s="1131"/>
      <c r="CH85" s="1131"/>
      <c r="CI85" s="1409">
        <f t="shared" ca="1" si="149"/>
        <v>0</v>
      </c>
      <c r="CJ85" s="1409">
        <f t="shared" ca="1" si="127"/>
        <v>0</v>
      </c>
      <c r="CK85" s="1409">
        <f t="shared" ca="1" si="128"/>
        <v>0</v>
      </c>
      <c r="CL85" s="1409">
        <f t="shared" ca="1" si="129"/>
        <v>0</v>
      </c>
      <c r="CM85" s="1409">
        <f t="shared" ca="1" si="130"/>
        <v>0</v>
      </c>
      <c r="CN85" s="1409">
        <f t="shared" ca="1" si="131"/>
        <v>0</v>
      </c>
      <c r="CO85" s="1409">
        <f t="shared" ca="1" si="132"/>
        <v>0</v>
      </c>
      <c r="CP85" s="1409">
        <f t="shared" ca="1" si="133"/>
        <v>0</v>
      </c>
      <c r="CQ85" s="1409">
        <f t="shared" ca="1" si="134"/>
        <v>0</v>
      </c>
      <c r="CR85" s="1409">
        <f t="shared" ca="1" si="150"/>
        <v>0</v>
      </c>
      <c r="CS85" s="1131">
        <f t="shared" ca="1" si="135"/>
        <v>0</v>
      </c>
    </row>
    <row r="86" spans="3:97">
      <c r="C86" s="1763" t="s">
        <v>722</v>
      </c>
      <c r="D86" s="1763" t="s">
        <v>724</v>
      </c>
      <c r="F86" s="1131">
        <f t="shared" ca="1" si="163"/>
        <v>0</v>
      </c>
      <c r="G86" s="1131">
        <f t="shared" ca="1" si="163"/>
        <v>0</v>
      </c>
      <c r="H86" s="1131">
        <f t="shared" ca="1" si="163"/>
        <v>0</v>
      </c>
      <c r="I86" s="1131">
        <f t="shared" ca="1" si="163"/>
        <v>0</v>
      </c>
      <c r="J86" s="1131">
        <f t="shared" ca="1" si="163"/>
        <v>0</v>
      </c>
      <c r="K86" s="1131">
        <f t="shared" ca="1" si="163"/>
        <v>0</v>
      </c>
      <c r="L86" s="1131">
        <f t="shared" ca="1" si="163"/>
        <v>0</v>
      </c>
      <c r="M86" s="1131">
        <f t="shared" ca="1" si="163"/>
        <v>0</v>
      </c>
      <c r="N86" s="1131">
        <f t="shared" ca="1" si="163"/>
        <v>0</v>
      </c>
      <c r="O86" s="1131">
        <f t="shared" ca="1" si="163"/>
        <v>0</v>
      </c>
      <c r="P86" s="1131">
        <f t="shared" ca="1" si="104"/>
        <v>0</v>
      </c>
      <c r="Q86" s="1131"/>
      <c r="R86" s="1131"/>
      <c r="S86" s="1131">
        <f t="shared" ca="1" si="164"/>
        <v>0</v>
      </c>
      <c r="T86" s="1131">
        <f t="shared" ca="1" si="164"/>
        <v>0</v>
      </c>
      <c r="U86" s="1131">
        <f t="shared" ca="1" si="164"/>
        <v>0</v>
      </c>
      <c r="V86" s="1131">
        <f t="shared" ca="1" si="164"/>
        <v>0</v>
      </c>
      <c r="W86" s="1131">
        <f t="shared" ca="1" si="164"/>
        <v>0</v>
      </c>
      <c r="X86" s="1131">
        <f t="shared" ca="1" si="164"/>
        <v>0</v>
      </c>
      <c r="Y86" s="1131">
        <f t="shared" ca="1" si="164"/>
        <v>0</v>
      </c>
      <c r="Z86" s="1131">
        <f t="shared" ca="1" si="164"/>
        <v>0</v>
      </c>
      <c r="AA86" s="1131">
        <f t="shared" ca="1" si="164"/>
        <v>0</v>
      </c>
      <c r="AB86" s="1131">
        <f t="shared" ca="1" si="164"/>
        <v>0</v>
      </c>
      <c r="AC86" s="1131">
        <f t="shared" ca="1" si="106"/>
        <v>0</v>
      </c>
      <c r="AD86" s="1131"/>
      <c r="AE86" s="1131"/>
      <c r="AF86" s="1131">
        <f t="shared" ca="1" si="165"/>
        <v>0</v>
      </c>
      <c r="AG86" s="1131">
        <f t="shared" ca="1" si="165"/>
        <v>0</v>
      </c>
      <c r="AH86" s="1131">
        <f t="shared" ca="1" si="165"/>
        <v>0</v>
      </c>
      <c r="AI86" s="1131">
        <f t="shared" ca="1" si="165"/>
        <v>0</v>
      </c>
      <c r="AJ86" s="1131">
        <f t="shared" ca="1" si="165"/>
        <v>0</v>
      </c>
      <c r="AK86" s="1131">
        <f t="shared" ca="1" si="165"/>
        <v>0</v>
      </c>
      <c r="AL86" s="1131">
        <f t="shared" ca="1" si="165"/>
        <v>0</v>
      </c>
      <c r="AM86" s="1131">
        <f t="shared" ca="1" si="165"/>
        <v>0</v>
      </c>
      <c r="AN86" s="1131">
        <f t="shared" ca="1" si="165"/>
        <v>0</v>
      </c>
      <c r="AO86" s="1131">
        <f t="shared" ca="1" si="165"/>
        <v>0</v>
      </c>
      <c r="AP86" s="1131">
        <f t="shared" ca="1" si="108"/>
        <v>0</v>
      </c>
      <c r="AQ86" s="1131"/>
      <c r="AR86" s="1131"/>
      <c r="AS86" s="1131">
        <f t="shared" ca="1" si="109"/>
        <v>0</v>
      </c>
      <c r="AT86" s="1131">
        <f t="shared" ca="1" si="110"/>
        <v>0</v>
      </c>
      <c r="AU86" s="1131">
        <f t="shared" ca="1" si="111"/>
        <v>0</v>
      </c>
      <c r="AV86" s="1131">
        <f t="shared" ca="1" si="112"/>
        <v>0</v>
      </c>
      <c r="AW86" s="1131">
        <f t="shared" ca="1" si="113"/>
        <v>0</v>
      </c>
      <c r="AX86" s="1131">
        <f t="shared" ca="1" si="114"/>
        <v>0</v>
      </c>
      <c r="AY86" s="1131">
        <f t="shared" ca="1" si="115"/>
        <v>0</v>
      </c>
      <c r="AZ86" s="1131">
        <f t="shared" ca="1" si="116"/>
        <v>0</v>
      </c>
      <c r="BA86" s="1131">
        <f t="shared" ca="1" si="117"/>
        <v>0</v>
      </c>
      <c r="BB86" s="1131">
        <f t="shared" ca="1" si="136"/>
        <v>0</v>
      </c>
      <c r="BC86" s="1131">
        <f t="shared" ca="1" si="118"/>
        <v>0</v>
      </c>
      <c r="BD86" s="1131"/>
      <c r="BE86" s="1131"/>
      <c r="BF86" s="19">
        <f>'Global cost assumptions'!E60</f>
        <v>0.1</v>
      </c>
      <c r="BG86" s="1131">
        <f>'Global cost assumptions'!F60</f>
        <v>30</v>
      </c>
      <c r="BH86" s="1131"/>
      <c r="BI86" s="1131"/>
      <c r="BJ86" s="27">
        <f t="shared" ca="1" si="137"/>
        <v>0</v>
      </c>
      <c r="BK86" s="27">
        <f t="shared" ca="1" si="138"/>
        <v>0</v>
      </c>
      <c r="BL86" s="27">
        <f t="shared" ca="1" si="119"/>
        <v>0</v>
      </c>
      <c r="BM86" s="27">
        <f t="shared" ca="1" si="120"/>
        <v>0</v>
      </c>
      <c r="BN86" s="27">
        <f t="shared" ca="1" si="121"/>
        <v>0</v>
      </c>
      <c r="BO86" s="27">
        <f t="shared" ca="1" si="122"/>
        <v>0</v>
      </c>
      <c r="BP86" s="27">
        <f t="shared" ca="1" si="123"/>
        <v>0</v>
      </c>
      <c r="BQ86" s="27">
        <f t="shared" ca="1" si="124"/>
        <v>0</v>
      </c>
      <c r="BR86" s="27">
        <f t="shared" ca="1" si="125"/>
        <v>0</v>
      </c>
      <c r="BS86" s="27"/>
      <c r="BT86" s="1131"/>
      <c r="BU86" s="1131"/>
      <c r="BV86" s="1409">
        <f t="shared" ca="1" si="139"/>
        <v>0</v>
      </c>
      <c r="BW86" s="1917">
        <f t="shared" ca="1" si="140"/>
        <v>0</v>
      </c>
      <c r="BX86" s="1917">
        <f t="shared" ca="1" si="141"/>
        <v>0</v>
      </c>
      <c r="BY86" s="1917">
        <f t="shared" ca="1" si="142"/>
        <v>0</v>
      </c>
      <c r="BZ86" s="1917">
        <f t="shared" ca="1" si="143"/>
        <v>0</v>
      </c>
      <c r="CA86" s="1917">
        <f t="shared" ca="1" si="144"/>
        <v>0</v>
      </c>
      <c r="CB86" s="1917">
        <f t="shared" ca="1" si="145"/>
        <v>0</v>
      </c>
      <c r="CC86" s="1917">
        <f t="shared" ca="1" si="146"/>
        <v>0</v>
      </c>
      <c r="CD86" s="1917">
        <f t="shared" ca="1" si="147"/>
        <v>0</v>
      </c>
      <c r="CE86" s="1917">
        <f t="shared" si="148"/>
        <v>0</v>
      </c>
      <c r="CF86" s="1131">
        <f t="shared" ca="1" si="126"/>
        <v>0</v>
      </c>
      <c r="CG86" s="1131"/>
      <c r="CH86" s="1131"/>
      <c r="CI86" s="1409">
        <f t="shared" ca="1" si="149"/>
        <v>0</v>
      </c>
      <c r="CJ86" s="1409">
        <f t="shared" ca="1" si="127"/>
        <v>0</v>
      </c>
      <c r="CK86" s="1409">
        <f t="shared" ca="1" si="128"/>
        <v>0</v>
      </c>
      <c r="CL86" s="1409">
        <f t="shared" ca="1" si="129"/>
        <v>0</v>
      </c>
      <c r="CM86" s="1409">
        <f t="shared" ca="1" si="130"/>
        <v>0</v>
      </c>
      <c r="CN86" s="1409">
        <f t="shared" ca="1" si="131"/>
        <v>0</v>
      </c>
      <c r="CO86" s="1409">
        <f t="shared" ca="1" si="132"/>
        <v>0</v>
      </c>
      <c r="CP86" s="1409">
        <f t="shared" ca="1" si="133"/>
        <v>0</v>
      </c>
      <c r="CQ86" s="1409">
        <f t="shared" ca="1" si="134"/>
        <v>0</v>
      </c>
      <c r="CR86" s="1409">
        <f t="shared" ca="1" si="150"/>
        <v>0</v>
      </c>
      <c r="CS86" s="1131">
        <f t="shared" ca="1" si="135"/>
        <v>0</v>
      </c>
    </row>
    <row r="87" spans="3:97">
      <c r="C87" s="1763" t="s">
        <v>689</v>
      </c>
      <c r="D87" s="1763" t="s">
        <v>425</v>
      </c>
      <c r="F87" s="1131">
        <f t="shared" ca="1" si="163"/>
        <v>0</v>
      </c>
      <c r="G87" s="1131">
        <f t="shared" ca="1" si="163"/>
        <v>0</v>
      </c>
      <c r="H87" s="1131">
        <f t="shared" ca="1" si="163"/>
        <v>0</v>
      </c>
      <c r="I87" s="1131">
        <f t="shared" ca="1" si="163"/>
        <v>0</v>
      </c>
      <c r="J87" s="1131">
        <f t="shared" ca="1" si="163"/>
        <v>0</v>
      </c>
      <c r="K87" s="1131">
        <f t="shared" ca="1" si="163"/>
        <v>0</v>
      </c>
      <c r="L87" s="1131">
        <f t="shared" ca="1" si="163"/>
        <v>0</v>
      </c>
      <c r="M87" s="1131">
        <f t="shared" ca="1" si="163"/>
        <v>0</v>
      </c>
      <c r="N87" s="1131">
        <f t="shared" ca="1" si="163"/>
        <v>0</v>
      </c>
      <c r="O87" s="1131">
        <f t="shared" ca="1" si="163"/>
        <v>0</v>
      </c>
      <c r="P87" s="1131">
        <f t="shared" ca="1" si="104"/>
        <v>0</v>
      </c>
      <c r="Q87" s="1131"/>
      <c r="R87" s="1131"/>
      <c r="S87" s="1131">
        <f t="shared" ca="1" si="164"/>
        <v>0</v>
      </c>
      <c r="T87" s="1131">
        <f t="shared" ca="1" si="164"/>
        <v>0</v>
      </c>
      <c r="U87" s="1131">
        <f t="shared" ca="1" si="164"/>
        <v>0</v>
      </c>
      <c r="V87" s="1131">
        <f t="shared" ca="1" si="164"/>
        <v>0</v>
      </c>
      <c r="W87" s="1131">
        <f t="shared" ca="1" si="164"/>
        <v>0</v>
      </c>
      <c r="X87" s="1131">
        <f t="shared" ca="1" si="164"/>
        <v>0</v>
      </c>
      <c r="Y87" s="1131">
        <f t="shared" ca="1" si="164"/>
        <v>0</v>
      </c>
      <c r="Z87" s="1131">
        <f t="shared" ca="1" si="164"/>
        <v>0</v>
      </c>
      <c r="AA87" s="1131">
        <f t="shared" ca="1" si="164"/>
        <v>0</v>
      </c>
      <c r="AB87" s="1131">
        <f t="shared" ca="1" si="164"/>
        <v>0</v>
      </c>
      <c r="AC87" s="1131">
        <f t="shared" ca="1" si="106"/>
        <v>0</v>
      </c>
      <c r="AD87" s="1131"/>
      <c r="AE87" s="1131"/>
      <c r="AF87" s="1131">
        <f t="shared" ca="1" si="165"/>
        <v>0</v>
      </c>
      <c r="AG87" s="1131">
        <f t="shared" ca="1" si="165"/>
        <v>0</v>
      </c>
      <c r="AH87" s="1131">
        <f t="shared" ca="1" si="165"/>
        <v>0</v>
      </c>
      <c r="AI87" s="1131">
        <f t="shared" ca="1" si="165"/>
        <v>0</v>
      </c>
      <c r="AJ87" s="1131">
        <f t="shared" ca="1" si="165"/>
        <v>0</v>
      </c>
      <c r="AK87" s="1131">
        <f t="shared" ca="1" si="165"/>
        <v>0</v>
      </c>
      <c r="AL87" s="1131">
        <f t="shared" ca="1" si="165"/>
        <v>0</v>
      </c>
      <c r="AM87" s="1131">
        <f t="shared" ca="1" si="165"/>
        <v>0</v>
      </c>
      <c r="AN87" s="1131">
        <f t="shared" ca="1" si="165"/>
        <v>0</v>
      </c>
      <c r="AO87" s="1131">
        <f t="shared" ca="1" si="165"/>
        <v>0</v>
      </c>
      <c r="AP87" s="1131">
        <f t="shared" ca="1" si="108"/>
        <v>0</v>
      </c>
      <c r="AQ87" s="1131"/>
      <c r="AR87" s="1131"/>
      <c r="AS87" s="1131">
        <f t="shared" ca="1" si="109"/>
        <v>0</v>
      </c>
      <c r="AT87" s="1131">
        <f t="shared" ca="1" si="110"/>
        <v>0</v>
      </c>
      <c r="AU87" s="1131">
        <f t="shared" ca="1" si="111"/>
        <v>0</v>
      </c>
      <c r="AV87" s="1131">
        <f t="shared" ca="1" si="112"/>
        <v>0</v>
      </c>
      <c r="AW87" s="1131">
        <f t="shared" ca="1" si="113"/>
        <v>0</v>
      </c>
      <c r="AX87" s="1131">
        <f t="shared" ca="1" si="114"/>
        <v>0</v>
      </c>
      <c r="AY87" s="1131">
        <f t="shared" ca="1" si="115"/>
        <v>0</v>
      </c>
      <c r="AZ87" s="1131">
        <f t="shared" ca="1" si="116"/>
        <v>0</v>
      </c>
      <c r="BA87" s="1131">
        <f t="shared" ca="1" si="117"/>
        <v>0</v>
      </c>
      <c r="BB87" s="1131">
        <f t="shared" ca="1" si="136"/>
        <v>0</v>
      </c>
      <c r="BC87" s="1131">
        <f t="shared" ca="1" si="118"/>
        <v>0</v>
      </c>
      <c r="BD87" s="1131"/>
      <c r="BE87" s="1131"/>
      <c r="BF87" s="19">
        <f>'Global cost assumptions'!E61</f>
        <v>0.1</v>
      </c>
      <c r="BG87" s="1131">
        <f>'Global cost assumptions'!F61</f>
        <v>30</v>
      </c>
      <c r="BH87" s="1131"/>
      <c r="BI87" s="1131"/>
      <c r="BJ87" s="27">
        <f t="shared" ca="1" si="137"/>
        <v>0</v>
      </c>
      <c r="BK87" s="27">
        <f t="shared" ca="1" si="138"/>
        <v>0</v>
      </c>
      <c r="BL87" s="27">
        <f t="shared" ca="1" si="119"/>
        <v>0</v>
      </c>
      <c r="BM87" s="27">
        <f t="shared" ca="1" si="120"/>
        <v>0</v>
      </c>
      <c r="BN87" s="27">
        <f t="shared" ca="1" si="121"/>
        <v>0</v>
      </c>
      <c r="BO87" s="27">
        <f t="shared" ca="1" si="122"/>
        <v>0</v>
      </c>
      <c r="BP87" s="27">
        <f t="shared" ca="1" si="123"/>
        <v>0</v>
      </c>
      <c r="BQ87" s="27">
        <f t="shared" ca="1" si="124"/>
        <v>0</v>
      </c>
      <c r="BR87" s="27">
        <f t="shared" ca="1" si="125"/>
        <v>0</v>
      </c>
      <c r="BS87" s="27"/>
      <c r="BT87" s="1131"/>
      <c r="BU87" s="1131"/>
      <c r="BV87" s="1409">
        <f t="shared" ca="1" si="139"/>
        <v>0</v>
      </c>
      <c r="BW87" s="1917">
        <f t="shared" ca="1" si="140"/>
        <v>0</v>
      </c>
      <c r="BX87" s="1917">
        <f t="shared" ca="1" si="141"/>
        <v>0</v>
      </c>
      <c r="BY87" s="1917">
        <f t="shared" ca="1" si="142"/>
        <v>0</v>
      </c>
      <c r="BZ87" s="1917">
        <f t="shared" ca="1" si="143"/>
        <v>0</v>
      </c>
      <c r="CA87" s="1917">
        <f t="shared" ca="1" si="144"/>
        <v>0</v>
      </c>
      <c r="CB87" s="1917">
        <f t="shared" ca="1" si="145"/>
        <v>0</v>
      </c>
      <c r="CC87" s="1917">
        <f t="shared" ca="1" si="146"/>
        <v>0</v>
      </c>
      <c r="CD87" s="1917">
        <f t="shared" ca="1" si="147"/>
        <v>0</v>
      </c>
      <c r="CE87" s="1917">
        <f t="shared" si="148"/>
        <v>0</v>
      </c>
      <c r="CF87" s="1131">
        <f t="shared" ca="1" si="126"/>
        <v>0</v>
      </c>
      <c r="CG87" s="1131"/>
      <c r="CH87" s="1131"/>
      <c r="CI87" s="1409">
        <f t="shared" ca="1" si="149"/>
        <v>0</v>
      </c>
      <c r="CJ87" s="1409">
        <f t="shared" ca="1" si="127"/>
        <v>0</v>
      </c>
      <c r="CK87" s="1409">
        <f t="shared" ca="1" si="128"/>
        <v>0</v>
      </c>
      <c r="CL87" s="1409">
        <f t="shared" ca="1" si="129"/>
        <v>0</v>
      </c>
      <c r="CM87" s="1409">
        <f t="shared" ca="1" si="130"/>
        <v>0</v>
      </c>
      <c r="CN87" s="1409">
        <f t="shared" ca="1" si="131"/>
        <v>0</v>
      </c>
      <c r="CO87" s="1409">
        <f t="shared" ca="1" si="132"/>
        <v>0</v>
      </c>
      <c r="CP87" s="1409">
        <f t="shared" ca="1" si="133"/>
        <v>0</v>
      </c>
      <c r="CQ87" s="1409">
        <f t="shared" ca="1" si="134"/>
        <v>0</v>
      </c>
      <c r="CR87" s="1409">
        <f t="shared" ca="1" si="150"/>
        <v>0</v>
      </c>
      <c r="CS87" s="1131">
        <f t="shared" ca="1" si="135"/>
        <v>0</v>
      </c>
    </row>
    <row r="88" spans="3:97">
      <c r="C88" s="1763" t="s">
        <v>691</v>
      </c>
      <c r="D88" s="1763" t="s">
        <v>996</v>
      </c>
      <c r="F88" s="1131">
        <f t="shared" ca="1" si="163"/>
        <v>0</v>
      </c>
      <c r="G88" s="1131">
        <f t="shared" ca="1" si="163"/>
        <v>0</v>
      </c>
      <c r="H88" s="1131">
        <f t="shared" ca="1" si="163"/>
        <v>0</v>
      </c>
      <c r="I88" s="1131">
        <f t="shared" ca="1" si="163"/>
        <v>0</v>
      </c>
      <c r="J88" s="1131">
        <f t="shared" ca="1" si="163"/>
        <v>0</v>
      </c>
      <c r="K88" s="1131">
        <f t="shared" ca="1" si="163"/>
        <v>0</v>
      </c>
      <c r="L88" s="1131">
        <f t="shared" ca="1" si="163"/>
        <v>0</v>
      </c>
      <c r="M88" s="1131">
        <f t="shared" ca="1" si="163"/>
        <v>0</v>
      </c>
      <c r="N88" s="1131">
        <f t="shared" ca="1" si="163"/>
        <v>0</v>
      </c>
      <c r="O88" s="1131">
        <f t="shared" ca="1" si="163"/>
        <v>0</v>
      </c>
      <c r="P88" s="1131">
        <f t="shared" ca="1" si="104"/>
        <v>0</v>
      </c>
      <c r="Q88" s="1131"/>
      <c r="R88" s="1131"/>
      <c r="S88" s="1131">
        <f t="shared" ca="1" si="164"/>
        <v>0</v>
      </c>
      <c r="T88" s="1131">
        <f t="shared" ca="1" si="164"/>
        <v>0</v>
      </c>
      <c r="U88" s="1131">
        <f t="shared" ca="1" si="164"/>
        <v>0</v>
      </c>
      <c r="V88" s="1131">
        <f t="shared" ca="1" si="164"/>
        <v>0</v>
      </c>
      <c r="W88" s="1131">
        <f t="shared" ca="1" si="164"/>
        <v>0</v>
      </c>
      <c r="X88" s="1131">
        <f t="shared" ca="1" si="164"/>
        <v>0</v>
      </c>
      <c r="Y88" s="1131">
        <f t="shared" ca="1" si="164"/>
        <v>0</v>
      </c>
      <c r="Z88" s="1131">
        <f t="shared" ca="1" si="164"/>
        <v>0</v>
      </c>
      <c r="AA88" s="1131">
        <f t="shared" ca="1" si="164"/>
        <v>0</v>
      </c>
      <c r="AB88" s="1131">
        <f t="shared" ca="1" si="164"/>
        <v>0</v>
      </c>
      <c r="AC88" s="1131">
        <f t="shared" ca="1" si="106"/>
        <v>0</v>
      </c>
      <c r="AD88" s="1131"/>
      <c r="AE88" s="1131"/>
      <c r="AF88" s="1131">
        <f t="shared" ca="1" si="165"/>
        <v>0</v>
      </c>
      <c r="AG88" s="1131">
        <f t="shared" ca="1" si="165"/>
        <v>0</v>
      </c>
      <c r="AH88" s="1131">
        <f t="shared" ca="1" si="165"/>
        <v>0</v>
      </c>
      <c r="AI88" s="1131">
        <f t="shared" ca="1" si="165"/>
        <v>0</v>
      </c>
      <c r="AJ88" s="1131">
        <f t="shared" ca="1" si="165"/>
        <v>0</v>
      </c>
      <c r="AK88" s="1131">
        <f t="shared" ca="1" si="165"/>
        <v>0</v>
      </c>
      <c r="AL88" s="1131">
        <f t="shared" ca="1" si="165"/>
        <v>0</v>
      </c>
      <c r="AM88" s="1131">
        <f t="shared" ca="1" si="165"/>
        <v>0</v>
      </c>
      <c r="AN88" s="1131">
        <f t="shared" ca="1" si="165"/>
        <v>0</v>
      </c>
      <c r="AO88" s="1131">
        <f t="shared" ca="1" si="165"/>
        <v>0</v>
      </c>
      <c r="AP88" s="1131">
        <f t="shared" ca="1" si="108"/>
        <v>0</v>
      </c>
      <c r="AQ88" s="1131"/>
      <c r="AR88" s="1131"/>
      <c r="AS88" s="1131">
        <f t="shared" ca="1" si="109"/>
        <v>0</v>
      </c>
      <c r="AT88" s="1131">
        <f t="shared" ca="1" si="110"/>
        <v>0</v>
      </c>
      <c r="AU88" s="1131">
        <f t="shared" ca="1" si="111"/>
        <v>0</v>
      </c>
      <c r="AV88" s="1131">
        <f t="shared" ca="1" si="112"/>
        <v>0</v>
      </c>
      <c r="AW88" s="1131">
        <f t="shared" ca="1" si="113"/>
        <v>0</v>
      </c>
      <c r="AX88" s="1131">
        <f t="shared" ca="1" si="114"/>
        <v>0</v>
      </c>
      <c r="AY88" s="1131">
        <f t="shared" ca="1" si="115"/>
        <v>0</v>
      </c>
      <c r="AZ88" s="1131">
        <f t="shared" ca="1" si="116"/>
        <v>0</v>
      </c>
      <c r="BA88" s="1131">
        <f t="shared" ca="1" si="117"/>
        <v>0</v>
      </c>
      <c r="BB88" s="1131">
        <f t="shared" ca="1" si="136"/>
        <v>0</v>
      </c>
      <c r="BC88" s="1131">
        <f t="shared" ca="1" si="118"/>
        <v>0</v>
      </c>
      <c r="BD88" s="1131"/>
      <c r="BE88" s="1131"/>
      <c r="BF88" s="19">
        <f>'Global cost assumptions'!E62</f>
        <v>0.1</v>
      </c>
      <c r="BG88" s="1131">
        <f>'Global cost assumptions'!F62</f>
        <v>30</v>
      </c>
      <c r="BH88" s="1131"/>
      <c r="BI88" s="1131"/>
      <c r="BJ88" s="27">
        <f t="shared" ca="1" si="137"/>
        <v>0</v>
      </c>
      <c r="BK88" s="27">
        <f t="shared" ca="1" si="138"/>
        <v>0</v>
      </c>
      <c r="BL88" s="27">
        <f t="shared" ca="1" si="119"/>
        <v>0</v>
      </c>
      <c r="BM88" s="27">
        <f t="shared" ca="1" si="120"/>
        <v>0</v>
      </c>
      <c r="BN88" s="27">
        <f t="shared" ca="1" si="121"/>
        <v>0</v>
      </c>
      <c r="BO88" s="27">
        <f t="shared" ca="1" si="122"/>
        <v>0</v>
      </c>
      <c r="BP88" s="27">
        <f t="shared" ca="1" si="123"/>
        <v>0</v>
      </c>
      <c r="BQ88" s="27">
        <f t="shared" ca="1" si="124"/>
        <v>0</v>
      </c>
      <c r="BR88" s="27">
        <f t="shared" ca="1" si="125"/>
        <v>0</v>
      </c>
      <c r="BS88" s="27"/>
      <c r="BT88" s="1131"/>
      <c r="BU88" s="1131"/>
      <c r="BV88" s="1409">
        <f t="shared" ca="1" si="139"/>
        <v>0</v>
      </c>
      <c r="BW88" s="1917">
        <f t="shared" ca="1" si="140"/>
        <v>0</v>
      </c>
      <c r="BX88" s="1917">
        <f t="shared" ca="1" si="141"/>
        <v>0</v>
      </c>
      <c r="BY88" s="1917">
        <f t="shared" ca="1" si="142"/>
        <v>0</v>
      </c>
      <c r="BZ88" s="1917">
        <f t="shared" ca="1" si="143"/>
        <v>0</v>
      </c>
      <c r="CA88" s="1917">
        <f t="shared" ca="1" si="144"/>
        <v>0</v>
      </c>
      <c r="CB88" s="1917">
        <f t="shared" ca="1" si="145"/>
        <v>0</v>
      </c>
      <c r="CC88" s="1917">
        <f t="shared" ca="1" si="146"/>
        <v>0</v>
      </c>
      <c r="CD88" s="1917">
        <f t="shared" ca="1" si="147"/>
        <v>0</v>
      </c>
      <c r="CE88" s="1917">
        <f t="shared" si="148"/>
        <v>0</v>
      </c>
      <c r="CF88" s="1131">
        <f t="shared" ca="1" si="126"/>
        <v>0</v>
      </c>
      <c r="CG88" s="1131"/>
      <c r="CH88" s="1131"/>
      <c r="CI88" s="1409">
        <f t="shared" ca="1" si="149"/>
        <v>0</v>
      </c>
      <c r="CJ88" s="1409">
        <f t="shared" ca="1" si="127"/>
        <v>0</v>
      </c>
      <c r="CK88" s="1409">
        <f t="shared" ca="1" si="128"/>
        <v>0</v>
      </c>
      <c r="CL88" s="1409">
        <f t="shared" ca="1" si="129"/>
        <v>0</v>
      </c>
      <c r="CM88" s="1409">
        <f t="shared" ca="1" si="130"/>
        <v>0</v>
      </c>
      <c r="CN88" s="1409">
        <f t="shared" ca="1" si="131"/>
        <v>0</v>
      </c>
      <c r="CO88" s="1409">
        <f t="shared" ca="1" si="132"/>
        <v>0</v>
      </c>
      <c r="CP88" s="1409">
        <f t="shared" ca="1" si="133"/>
        <v>0</v>
      </c>
      <c r="CQ88" s="1409">
        <f t="shared" ca="1" si="134"/>
        <v>0</v>
      </c>
      <c r="CR88" s="1409">
        <f t="shared" ca="1" si="150"/>
        <v>0</v>
      </c>
      <c r="CS88" s="1131">
        <f t="shared" ca="1" si="135"/>
        <v>0</v>
      </c>
    </row>
    <row r="89" spans="3:97">
      <c r="C89" s="1763" t="s">
        <v>703</v>
      </c>
      <c r="D89" s="1763" t="s">
        <v>997</v>
      </c>
      <c r="F89" s="1131">
        <f t="shared" ca="1" si="163"/>
        <v>0</v>
      </c>
      <c r="G89" s="1131">
        <f t="shared" ca="1" si="163"/>
        <v>0</v>
      </c>
      <c r="H89" s="1131">
        <f t="shared" ca="1" si="163"/>
        <v>0</v>
      </c>
      <c r="I89" s="1131">
        <f t="shared" ca="1" si="163"/>
        <v>0</v>
      </c>
      <c r="J89" s="1131">
        <f t="shared" ca="1" si="163"/>
        <v>0</v>
      </c>
      <c r="K89" s="1131">
        <f t="shared" ca="1" si="163"/>
        <v>0</v>
      </c>
      <c r="L89" s="1131">
        <f t="shared" ca="1" si="163"/>
        <v>0</v>
      </c>
      <c r="M89" s="1131">
        <f t="shared" ca="1" si="163"/>
        <v>0</v>
      </c>
      <c r="N89" s="1131">
        <f t="shared" ca="1" si="163"/>
        <v>0</v>
      </c>
      <c r="O89" s="1131">
        <f t="shared" ca="1" si="163"/>
        <v>0</v>
      </c>
      <c r="P89" s="1131">
        <f t="shared" ca="1" si="104"/>
        <v>0</v>
      </c>
      <c r="Q89" s="1131"/>
      <c r="R89" s="1131"/>
      <c r="S89" s="1131">
        <f t="shared" ca="1" si="164"/>
        <v>0</v>
      </c>
      <c r="T89" s="1131">
        <f t="shared" ca="1" si="164"/>
        <v>0</v>
      </c>
      <c r="U89" s="1131">
        <f t="shared" ca="1" si="164"/>
        <v>0</v>
      </c>
      <c r="V89" s="1131">
        <f t="shared" ca="1" si="164"/>
        <v>0</v>
      </c>
      <c r="W89" s="1131">
        <f t="shared" ca="1" si="164"/>
        <v>0</v>
      </c>
      <c r="X89" s="1131">
        <f t="shared" ca="1" si="164"/>
        <v>0</v>
      </c>
      <c r="Y89" s="1131">
        <f t="shared" ca="1" si="164"/>
        <v>0</v>
      </c>
      <c r="Z89" s="1131">
        <f t="shared" ca="1" si="164"/>
        <v>0</v>
      </c>
      <c r="AA89" s="1131">
        <f t="shared" ca="1" si="164"/>
        <v>0</v>
      </c>
      <c r="AB89" s="1131">
        <f t="shared" ca="1" si="164"/>
        <v>0</v>
      </c>
      <c r="AC89" s="1131">
        <f t="shared" ca="1" si="106"/>
        <v>0</v>
      </c>
      <c r="AD89" s="1131"/>
      <c r="AE89" s="1131"/>
      <c r="AF89" s="1131">
        <f t="shared" ca="1" si="165"/>
        <v>0</v>
      </c>
      <c r="AG89" s="1131">
        <f t="shared" ca="1" si="165"/>
        <v>0</v>
      </c>
      <c r="AH89" s="1131">
        <f t="shared" ca="1" si="165"/>
        <v>0</v>
      </c>
      <c r="AI89" s="1131">
        <f t="shared" ca="1" si="165"/>
        <v>0</v>
      </c>
      <c r="AJ89" s="1131">
        <f t="shared" ca="1" si="165"/>
        <v>0</v>
      </c>
      <c r="AK89" s="1131">
        <f t="shared" ca="1" si="165"/>
        <v>0</v>
      </c>
      <c r="AL89" s="1131">
        <f t="shared" ca="1" si="165"/>
        <v>0</v>
      </c>
      <c r="AM89" s="1131">
        <f t="shared" ca="1" si="165"/>
        <v>0</v>
      </c>
      <c r="AN89" s="1131">
        <f t="shared" ca="1" si="165"/>
        <v>0</v>
      </c>
      <c r="AO89" s="1131">
        <f t="shared" ca="1" si="165"/>
        <v>0</v>
      </c>
      <c r="AP89" s="1131">
        <f t="shared" ca="1" si="108"/>
        <v>0</v>
      </c>
      <c r="AQ89" s="1131"/>
      <c r="AR89" s="1131"/>
      <c r="AS89" s="1131">
        <f t="shared" ca="1" si="109"/>
        <v>0</v>
      </c>
      <c r="AT89" s="1131">
        <f t="shared" ca="1" si="110"/>
        <v>0</v>
      </c>
      <c r="AU89" s="1131">
        <f t="shared" ca="1" si="111"/>
        <v>0</v>
      </c>
      <c r="AV89" s="1131">
        <f t="shared" ca="1" si="112"/>
        <v>0</v>
      </c>
      <c r="AW89" s="1131">
        <f t="shared" ca="1" si="113"/>
        <v>0</v>
      </c>
      <c r="AX89" s="1131">
        <f t="shared" ca="1" si="114"/>
        <v>0</v>
      </c>
      <c r="AY89" s="1131">
        <f t="shared" ca="1" si="115"/>
        <v>0</v>
      </c>
      <c r="AZ89" s="1131">
        <f t="shared" ca="1" si="116"/>
        <v>0</v>
      </c>
      <c r="BA89" s="1131">
        <f t="shared" ca="1" si="117"/>
        <v>0</v>
      </c>
      <c r="BB89" s="1131">
        <f t="shared" ca="1" si="136"/>
        <v>0</v>
      </c>
      <c r="BC89" s="1131">
        <f t="shared" ca="1" si="118"/>
        <v>0</v>
      </c>
      <c r="BD89" s="1131"/>
      <c r="BE89" s="1131"/>
      <c r="BF89" s="19">
        <f>'Global cost assumptions'!E63</f>
        <v>0.1</v>
      </c>
      <c r="BG89" s="1131">
        <f>'Global cost assumptions'!F63</f>
        <v>30</v>
      </c>
      <c r="BH89" s="1131"/>
      <c r="BI89" s="1131"/>
      <c r="BJ89" s="27">
        <f t="shared" ca="1" si="137"/>
        <v>0</v>
      </c>
      <c r="BK89" s="27">
        <f t="shared" ca="1" si="138"/>
        <v>0</v>
      </c>
      <c r="BL89" s="27">
        <f t="shared" ca="1" si="119"/>
        <v>0</v>
      </c>
      <c r="BM89" s="27">
        <f t="shared" ca="1" si="120"/>
        <v>0</v>
      </c>
      <c r="BN89" s="27">
        <f t="shared" ca="1" si="121"/>
        <v>0</v>
      </c>
      <c r="BO89" s="27">
        <f t="shared" ca="1" si="122"/>
        <v>0</v>
      </c>
      <c r="BP89" s="27">
        <f t="shared" ca="1" si="123"/>
        <v>0</v>
      </c>
      <c r="BQ89" s="27">
        <f t="shared" ca="1" si="124"/>
        <v>0</v>
      </c>
      <c r="BR89" s="27">
        <f t="shared" ca="1" si="125"/>
        <v>0</v>
      </c>
      <c r="BS89" s="27"/>
      <c r="BT89" s="1131"/>
      <c r="BU89" s="1131"/>
      <c r="BV89" s="1409">
        <f t="shared" ca="1" si="139"/>
        <v>0</v>
      </c>
      <c r="BW89" s="1917">
        <f t="shared" ca="1" si="140"/>
        <v>0</v>
      </c>
      <c r="BX89" s="1917">
        <f t="shared" ca="1" si="141"/>
        <v>0</v>
      </c>
      <c r="BY89" s="1917">
        <f t="shared" ca="1" si="142"/>
        <v>0</v>
      </c>
      <c r="BZ89" s="1917">
        <f t="shared" ca="1" si="143"/>
        <v>0</v>
      </c>
      <c r="CA89" s="1917">
        <f t="shared" ca="1" si="144"/>
        <v>0</v>
      </c>
      <c r="CB89" s="1917">
        <f t="shared" ca="1" si="145"/>
        <v>0</v>
      </c>
      <c r="CC89" s="1917">
        <f t="shared" ca="1" si="146"/>
        <v>0</v>
      </c>
      <c r="CD89" s="1917">
        <f t="shared" ca="1" si="147"/>
        <v>0</v>
      </c>
      <c r="CE89" s="1917">
        <f t="shared" si="148"/>
        <v>0</v>
      </c>
      <c r="CF89" s="1131">
        <f t="shared" ca="1" si="126"/>
        <v>0</v>
      </c>
      <c r="CG89" s="1131"/>
      <c r="CH89" s="1131"/>
      <c r="CI89" s="1409">
        <f t="shared" ca="1" si="149"/>
        <v>0</v>
      </c>
      <c r="CJ89" s="1409">
        <f t="shared" ca="1" si="127"/>
        <v>0</v>
      </c>
      <c r="CK89" s="1409">
        <f t="shared" ca="1" si="128"/>
        <v>0</v>
      </c>
      <c r="CL89" s="1409">
        <f t="shared" ca="1" si="129"/>
        <v>0</v>
      </c>
      <c r="CM89" s="1409">
        <f t="shared" ca="1" si="130"/>
        <v>0</v>
      </c>
      <c r="CN89" s="1409">
        <f t="shared" ca="1" si="131"/>
        <v>0</v>
      </c>
      <c r="CO89" s="1409">
        <f t="shared" ca="1" si="132"/>
        <v>0</v>
      </c>
      <c r="CP89" s="1409">
        <f t="shared" ca="1" si="133"/>
        <v>0</v>
      </c>
      <c r="CQ89" s="1409">
        <f t="shared" ca="1" si="134"/>
        <v>0</v>
      </c>
      <c r="CR89" s="1409">
        <f t="shared" ca="1" si="150"/>
        <v>0</v>
      </c>
      <c r="CS89" s="1131">
        <f t="shared" ca="1" si="135"/>
        <v>0</v>
      </c>
    </row>
    <row r="90" spans="3:97">
      <c r="C90" s="1763" t="s">
        <v>704</v>
      </c>
      <c r="D90" s="1763" t="s">
        <v>726</v>
      </c>
      <c r="F90" s="1131">
        <f t="shared" ref="F90:O101" ca="1" si="166">IFERROR(INDEX(INDIRECT($C90&amp;".Costs["&amp;F$58&amp;"]"), MATCH($F$57, INDIRECT($C90&amp;".Costs[Vector]"), 0)),0)</f>
        <v>0</v>
      </c>
      <c r="G90" s="1131">
        <f t="shared" ca="1" si="166"/>
        <v>0</v>
      </c>
      <c r="H90" s="1131">
        <f t="shared" ca="1" si="166"/>
        <v>0</v>
      </c>
      <c r="I90" s="1131">
        <f t="shared" ca="1" si="166"/>
        <v>0</v>
      </c>
      <c r="J90" s="1131">
        <f t="shared" ca="1" si="166"/>
        <v>0</v>
      </c>
      <c r="K90" s="1131">
        <f t="shared" ca="1" si="166"/>
        <v>0</v>
      </c>
      <c r="L90" s="1131">
        <f t="shared" ca="1" si="166"/>
        <v>0</v>
      </c>
      <c r="M90" s="1131">
        <f t="shared" ca="1" si="166"/>
        <v>0</v>
      </c>
      <c r="N90" s="1131">
        <f t="shared" ca="1" si="166"/>
        <v>0</v>
      </c>
      <c r="O90" s="1131">
        <f t="shared" ca="1" si="163"/>
        <v>0</v>
      </c>
      <c r="P90" s="1131">
        <f t="shared" ca="1" si="104"/>
        <v>0</v>
      </c>
      <c r="Q90" s="1131"/>
      <c r="R90" s="1131"/>
      <c r="S90" s="1131">
        <f t="shared" ref="S90:AB101" ca="1" si="167">IFERROR(INDEX(INDIRECT($C90&amp;".Costs["&amp;S$58&amp;"]"), MATCH($S$57, INDIRECT($C90&amp;".Costs[Vector]"), 0)),0)</f>
        <v>0</v>
      </c>
      <c r="T90" s="1131">
        <f t="shared" ca="1" si="167"/>
        <v>0</v>
      </c>
      <c r="U90" s="1131">
        <f t="shared" ca="1" si="167"/>
        <v>0</v>
      </c>
      <c r="V90" s="1131">
        <f t="shared" ca="1" si="167"/>
        <v>0</v>
      </c>
      <c r="W90" s="1131">
        <f t="shared" ca="1" si="167"/>
        <v>0</v>
      </c>
      <c r="X90" s="1131">
        <f t="shared" ca="1" si="167"/>
        <v>0</v>
      </c>
      <c r="Y90" s="1131">
        <f t="shared" ca="1" si="167"/>
        <v>0</v>
      </c>
      <c r="Z90" s="1131">
        <f t="shared" ca="1" si="167"/>
        <v>0</v>
      </c>
      <c r="AA90" s="1131">
        <f t="shared" ca="1" si="167"/>
        <v>0</v>
      </c>
      <c r="AB90" s="1131">
        <f t="shared" ca="1" si="164"/>
        <v>0</v>
      </c>
      <c r="AC90" s="1131">
        <f t="shared" ca="1" si="106"/>
        <v>0</v>
      </c>
      <c r="AD90" s="1131"/>
      <c r="AE90" s="1131"/>
      <c r="AF90" s="1131">
        <f t="shared" ref="AF90:AO101" ca="1" si="168">IFERROR(INDEX(INDIRECT($C90&amp;".Costs["&amp;AF$58&amp;"]"), MATCH($AF$57, INDIRECT($C90&amp;".Costs[Vector]"), 0)),0)</f>
        <v>0</v>
      </c>
      <c r="AG90" s="1131">
        <f t="shared" ca="1" si="168"/>
        <v>0</v>
      </c>
      <c r="AH90" s="1131">
        <f t="shared" ca="1" si="168"/>
        <v>0</v>
      </c>
      <c r="AI90" s="1131">
        <f t="shared" ca="1" si="168"/>
        <v>0</v>
      </c>
      <c r="AJ90" s="1131">
        <f t="shared" ca="1" si="168"/>
        <v>0</v>
      </c>
      <c r="AK90" s="1131">
        <f t="shared" ca="1" si="168"/>
        <v>0</v>
      </c>
      <c r="AL90" s="1131">
        <f t="shared" ca="1" si="168"/>
        <v>0</v>
      </c>
      <c r="AM90" s="1131">
        <f t="shared" ca="1" si="168"/>
        <v>0</v>
      </c>
      <c r="AN90" s="1131">
        <f t="shared" ca="1" si="168"/>
        <v>0</v>
      </c>
      <c r="AO90" s="1131">
        <f t="shared" ca="1" si="165"/>
        <v>0</v>
      </c>
      <c r="AP90" s="1131">
        <f t="shared" ca="1" si="108"/>
        <v>0</v>
      </c>
      <c r="AQ90" s="1131"/>
      <c r="AR90" s="1131"/>
      <c r="AS90" s="1131">
        <f t="shared" ca="1" si="109"/>
        <v>0</v>
      </c>
      <c r="AT90" s="1131">
        <f t="shared" ca="1" si="110"/>
        <v>0</v>
      </c>
      <c r="AU90" s="1131">
        <f t="shared" ca="1" si="111"/>
        <v>0</v>
      </c>
      <c r="AV90" s="1131">
        <f t="shared" ca="1" si="112"/>
        <v>0</v>
      </c>
      <c r="AW90" s="1131">
        <f t="shared" ca="1" si="113"/>
        <v>0</v>
      </c>
      <c r="AX90" s="1131">
        <f t="shared" ca="1" si="114"/>
        <v>0</v>
      </c>
      <c r="AY90" s="1131">
        <f t="shared" ca="1" si="115"/>
        <v>0</v>
      </c>
      <c r="AZ90" s="1131">
        <f t="shared" ca="1" si="116"/>
        <v>0</v>
      </c>
      <c r="BA90" s="1131">
        <f t="shared" ca="1" si="117"/>
        <v>0</v>
      </c>
      <c r="BB90" s="1131">
        <f t="shared" ca="1" si="136"/>
        <v>0</v>
      </c>
      <c r="BC90" s="1131">
        <f t="shared" ca="1" si="118"/>
        <v>0</v>
      </c>
      <c r="BD90" s="1131"/>
      <c r="BE90" s="1131"/>
      <c r="BF90" s="19">
        <f>'Global cost assumptions'!E64</f>
        <v>0.1</v>
      </c>
      <c r="BG90" s="1131">
        <f>'Global cost assumptions'!F64</f>
        <v>30</v>
      </c>
      <c r="BH90" s="1131"/>
      <c r="BI90" s="1131"/>
      <c r="BJ90" s="27">
        <f t="shared" ca="1" si="137"/>
        <v>0</v>
      </c>
      <c r="BK90" s="27">
        <f t="shared" ca="1" si="138"/>
        <v>0</v>
      </c>
      <c r="BL90" s="27">
        <f t="shared" ca="1" si="119"/>
        <v>0</v>
      </c>
      <c r="BM90" s="27">
        <f t="shared" ca="1" si="120"/>
        <v>0</v>
      </c>
      <c r="BN90" s="27">
        <f t="shared" ca="1" si="121"/>
        <v>0</v>
      </c>
      <c r="BO90" s="27">
        <f t="shared" ca="1" si="122"/>
        <v>0</v>
      </c>
      <c r="BP90" s="27">
        <f t="shared" ca="1" si="123"/>
        <v>0</v>
      </c>
      <c r="BQ90" s="27">
        <f t="shared" ca="1" si="124"/>
        <v>0</v>
      </c>
      <c r="BR90" s="27">
        <f t="shared" ca="1" si="125"/>
        <v>0</v>
      </c>
      <c r="BS90" s="27"/>
      <c r="BT90" s="1131"/>
      <c r="BU90" s="1131"/>
      <c r="BV90" s="1409">
        <f t="shared" ca="1" si="139"/>
        <v>0</v>
      </c>
      <c r="BW90" s="1917">
        <f t="shared" ca="1" si="140"/>
        <v>0</v>
      </c>
      <c r="BX90" s="1917">
        <f t="shared" ca="1" si="141"/>
        <v>0</v>
      </c>
      <c r="BY90" s="1917">
        <f t="shared" ca="1" si="142"/>
        <v>0</v>
      </c>
      <c r="BZ90" s="1917">
        <f t="shared" ca="1" si="143"/>
        <v>0</v>
      </c>
      <c r="CA90" s="1917">
        <f t="shared" ca="1" si="144"/>
        <v>0</v>
      </c>
      <c r="CB90" s="1917">
        <f t="shared" ca="1" si="145"/>
        <v>0</v>
      </c>
      <c r="CC90" s="1917">
        <f t="shared" ca="1" si="146"/>
        <v>0</v>
      </c>
      <c r="CD90" s="1917">
        <f t="shared" ca="1" si="147"/>
        <v>0</v>
      </c>
      <c r="CE90" s="1917">
        <f t="shared" si="148"/>
        <v>0</v>
      </c>
      <c r="CF90" s="1131">
        <f t="shared" ca="1" si="126"/>
        <v>0</v>
      </c>
      <c r="CG90" s="1131"/>
      <c r="CH90" s="1131"/>
      <c r="CI90" s="1409">
        <f t="shared" ca="1" si="149"/>
        <v>0</v>
      </c>
      <c r="CJ90" s="1409">
        <f t="shared" ca="1" si="127"/>
        <v>0</v>
      </c>
      <c r="CK90" s="1409">
        <f t="shared" ca="1" si="128"/>
        <v>0</v>
      </c>
      <c r="CL90" s="1409">
        <f t="shared" ca="1" si="129"/>
        <v>0</v>
      </c>
      <c r="CM90" s="1409">
        <f t="shared" ca="1" si="130"/>
        <v>0</v>
      </c>
      <c r="CN90" s="1409">
        <f t="shared" ca="1" si="131"/>
        <v>0</v>
      </c>
      <c r="CO90" s="1409">
        <f t="shared" ca="1" si="132"/>
        <v>0</v>
      </c>
      <c r="CP90" s="1409">
        <f t="shared" ca="1" si="133"/>
        <v>0</v>
      </c>
      <c r="CQ90" s="1409">
        <f t="shared" ca="1" si="134"/>
        <v>0</v>
      </c>
      <c r="CR90" s="1409">
        <f t="shared" ca="1" si="150"/>
        <v>0</v>
      </c>
      <c r="CS90" s="1131">
        <f t="shared" ca="1" si="135"/>
        <v>0</v>
      </c>
    </row>
    <row r="91" spans="3:97">
      <c r="C91" s="1763" t="s">
        <v>725</v>
      </c>
      <c r="D91" s="1763" t="s">
        <v>1408</v>
      </c>
      <c r="F91" s="1131">
        <f t="shared" ca="1" si="166"/>
        <v>0</v>
      </c>
      <c r="G91" s="1131">
        <f t="shared" ca="1" si="166"/>
        <v>0</v>
      </c>
      <c r="H91" s="1131">
        <f t="shared" ca="1" si="166"/>
        <v>0</v>
      </c>
      <c r="I91" s="1131">
        <f t="shared" ca="1" si="166"/>
        <v>0</v>
      </c>
      <c r="J91" s="1131">
        <f t="shared" ca="1" si="166"/>
        <v>0</v>
      </c>
      <c r="K91" s="1131">
        <f t="shared" ca="1" si="166"/>
        <v>0</v>
      </c>
      <c r="L91" s="1131">
        <f t="shared" ca="1" si="166"/>
        <v>0</v>
      </c>
      <c r="M91" s="1131">
        <f t="shared" ca="1" si="166"/>
        <v>0</v>
      </c>
      <c r="N91" s="1131">
        <f t="shared" ca="1" si="166"/>
        <v>0</v>
      </c>
      <c r="O91" s="1131">
        <f t="shared" ca="1" si="163"/>
        <v>0</v>
      </c>
      <c r="P91" s="1131">
        <f t="shared" ca="1" si="104"/>
        <v>0</v>
      </c>
      <c r="Q91" s="1131"/>
      <c r="R91" s="1131"/>
      <c r="S91" s="1131">
        <f t="shared" ca="1" si="167"/>
        <v>0</v>
      </c>
      <c r="T91" s="1131">
        <f t="shared" ca="1" si="167"/>
        <v>0</v>
      </c>
      <c r="U91" s="1131">
        <f t="shared" ca="1" si="167"/>
        <v>0</v>
      </c>
      <c r="V91" s="1131">
        <f t="shared" ca="1" si="167"/>
        <v>0</v>
      </c>
      <c r="W91" s="1131">
        <f t="shared" ca="1" si="167"/>
        <v>0</v>
      </c>
      <c r="X91" s="1131">
        <f t="shared" ca="1" si="167"/>
        <v>0</v>
      </c>
      <c r="Y91" s="1131">
        <f t="shared" ca="1" si="167"/>
        <v>0</v>
      </c>
      <c r="Z91" s="1131">
        <f t="shared" ca="1" si="167"/>
        <v>0</v>
      </c>
      <c r="AA91" s="1131">
        <f t="shared" ca="1" si="167"/>
        <v>0</v>
      </c>
      <c r="AB91" s="1131">
        <f t="shared" ca="1" si="164"/>
        <v>0</v>
      </c>
      <c r="AC91" s="1131">
        <f t="shared" ca="1" si="106"/>
        <v>0</v>
      </c>
      <c r="AD91" s="1131"/>
      <c r="AE91" s="1131"/>
      <c r="AF91" s="1131">
        <f t="shared" ca="1" si="168"/>
        <v>0</v>
      </c>
      <c r="AG91" s="1131">
        <f t="shared" ca="1" si="168"/>
        <v>0</v>
      </c>
      <c r="AH91" s="1131">
        <f t="shared" ca="1" si="168"/>
        <v>0</v>
      </c>
      <c r="AI91" s="1131">
        <f t="shared" ca="1" si="168"/>
        <v>0</v>
      </c>
      <c r="AJ91" s="1131">
        <f t="shared" ca="1" si="168"/>
        <v>0</v>
      </c>
      <c r="AK91" s="1131">
        <f t="shared" ca="1" si="168"/>
        <v>0</v>
      </c>
      <c r="AL91" s="1131">
        <f t="shared" ca="1" si="168"/>
        <v>0</v>
      </c>
      <c r="AM91" s="1131">
        <f t="shared" ca="1" si="168"/>
        <v>0</v>
      </c>
      <c r="AN91" s="1131">
        <f t="shared" ca="1" si="168"/>
        <v>0</v>
      </c>
      <c r="AO91" s="1131">
        <f t="shared" ca="1" si="165"/>
        <v>0</v>
      </c>
      <c r="AP91" s="1131">
        <f t="shared" ca="1" si="108"/>
        <v>0</v>
      </c>
      <c r="AQ91" s="1131"/>
      <c r="AR91" s="1131"/>
      <c r="AS91" s="1131">
        <f t="shared" ref="AS91:AS101" ca="1" si="169">SUM(F91,S91,AF91)</f>
        <v>0</v>
      </c>
      <c r="AT91" s="1131">
        <f t="shared" ref="AT91:AT101" ca="1" si="170">SUM(G91,T91,AG91)</f>
        <v>0</v>
      </c>
      <c r="AU91" s="1131">
        <f t="shared" ref="AU91:AU101" ca="1" si="171">SUM(H91,U91,AH91)</f>
        <v>0</v>
      </c>
      <c r="AV91" s="1131">
        <f t="shared" ref="AV91:AV101" ca="1" si="172">SUM(I91,V91,AI91)</f>
        <v>0</v>
      </c>
      <c r="AW91" s="1131">
        <f t="shared" ref="AW91:AW101" ca="1" si="173">SUM(J91,W91,AJ91)</f>
        <v>0</v>
      </c>
      <c r="AX91" s="1131">
        <f t="shared" ref="AX91:AX101" ca="1" si="174">SUM(K91,X91,AK91)</f>
        <v>0</v>
      </c>
      <c r="AY91" s="1131">
        <f t="shared" ref="AY91:AY101" ca="1" si="175">SUM(L91,Y91,AL91)</f>
        <v>0</v>
      </c>
      <c r="AZ91" s="1131">
        <f t="shared" ref="AZ91:AZ101" ca="1" si="176">SUM(M91,Z91,AM91)</f>
        <v>0</v>
      </c>
      <c r="BA91" s="1131">
        <f t="shared" ref="BA91:BA101" ca="1" si="177">SUM(N91,AA91,AN91)</f>
        <v>0</v>
      </c>
      <c r="BB91" s="1131">
        <f t="shared" ca="1" si="136"/>
        <v>0</v>
      </c>
      <c r="BC91" s="1131">
        <f t="shared" ca="1" si="118"/>
        <v>0</v>
      </c>
      <c r="BD91" s="1131"/>
      <c r="BE91" s="1131"/>
      <c r="BF91" s="19">
        <f>'Global cost assumptions'!E65</f>
        <v>0.1</v>
      </c>
      <c r="BG91" s="1131">
        <f>'Global cost assumptions'!F65</f>
        <v>30</v>
      </c>
      <c r="BH91" s="1131"/>
      <c r="BI91" s="1131"/>
      <c r="BJ91" s="27">
        <f t="shared" ca="1" si="137"/>
        <v>0</v>
      </c>
      <c r="BK91" s="27">
        <f t="shared" ca="1" si="138"/>
        <v>0</v>
      </c>
      <c r="BL91" s="27">
        <f t="shared" ca="1" si="119"/>
        <v>0</v>
      </c>
      <c r="BM91" s="27">
        <f t="shared" ca="1" si="120"/>
        <v>0</v>
      </c>
      <c r="BN91" s="27">
        <f t="shared" ca="1" si="121"/>
        <v>0</v>
      </c>
      <c r="BO91" s="27">
        <f t="shared" ca="1" si="122"/>
        <v>0</v>
      </c>
      <c r="BP91" s="27">
        <f t="shared" ca="1" si="123"/>
        <v>0</v>
      </c>
      <c r="BQ91" s="27">
        <f t="shared" ca="1" si="124"/>
        <v>0</v>
      </c>
      <c r="BR91" s="27">
        <f t="shared" ca="1" si="125"/>
        <v>0</v>
      </c>
      <c r="BS91" s="27"/>
      <c r="BT91" s="1131"/>
      <c r="BU91" s="1131"/>
      <c r="BV91" s="1409">
        <f t="shared" ca="1" si="139"/>
        <v>0</v>
      </c>
      <c r="BW91" s="1917">
        <f t="shared" ca="1" si="140"/>
        <v>0</v>
      </c>
      <c r="BX91" s="1917">
        <f t="shared" ca="1" si="141"/>
        <v>0</v>
      </c>
      <c r="BY91" s="1917">
        <f t="shared" ca="1" si="142"/>
        <v>0</v>
      </c>
      <c r="BZ91" s="1917">
        <f t="shared" ca="1" si="143"/>
        <v>0</v>
      </c>
      <c r="CA91" s="1917">
        <f t="shared" ca="1" si="144"/>
        <v>0</v>
      </c>
      <c r="CB91" s="1917">
        <f t="shared" ca="1" si="145"/>
        <v>0</v>
      </c>
      <c r="CC91" s="1917">
        <f t="shared" ca="1" si="146"/>
        <v>0</v>
      </c>
      <c r="CD91" s="1917">
        <f t="shared" ca="1" si="147"/>
        <v>0</v>
      </c>
      <c r="CE91" s="1917">
        <f t="shared" si="148"/>
        <v>0</v>
      </c>
      <c r="CF91" s="1131">
        <f t="shared" ca="1" si="126"/>
        <v>0</v>
      </c>
      <c r="CG91" s="1131"/>
      <c r="CH91" s="1131"/>
      <c r="CI91" s="1409">
        <f t="shared" ca="1" si="149"/>
        <v>0</v>
      </c>
      <c r="CJ91" s="1409">
        <f t="shared" ca="1" si="127"/>
        <v>0</v>
      </c>
      <c r="CK91" s="1409">
        <f t="shared" ca="1" si="128"/>
        <v>0</v>
      </c>
      <c r="CL91" s="1409">
        <f t="shared" ca="1" si="129"/>
        <v>0</v>
      </c>
      <c r="CM91" s="1409">
        <f t="shared" ca="1" si="130"/>
        <v>0</v>
      </c>
      <c r="CN91" s="1409">
        <f t="shared" ca="1" si="131"/>
        <v>0</v>
      </c>
      <c r="CO91" s="1409">
        <f t="shared" ca="1" si="132"/>
        <v>0</v>
      </c>
      <c r="CP91" s="1409">
        <f t="shared" ca="1" si="133"/>
        <v>0</v>
      </c>
      <c r="CQ91" s="1409">
        <f t="shared" ca="1" si="134"/>
        <v>0</v>
      </c>
      <c r="CR91" s="1409">
        <f t="shared" ca="1" si="150"/>
        <v>0</v>
      </c>
      <c r="CS91" s="1131">
        <f t="shared" ca="1" si="135"/>
        <v>0</v>
      </c>
    </row>
    <row r="92" spans="3:97">
      <c r="C92" s="1763" t="s">
        <v>728</v>
      </c>
      <c r="D92" s="1763" t="s">
        <v>729</v>
      </c>
      <c r="F92" s="1131">
        <f t="shared" ca="1" si="166"/>
        <v>0</v>
      </c>
      <c r="G92" s="1131">
        <f t="shared" ca="1" si="166"/>
        <v>0</v>
      </c>
      <c r="H92" s="1131">
        <f t="shared" ca="1" si="166"/>
        <v>0</v>
      </c>
      <c r="I92" s="1131">
        <f t="shared" ca="1" si="166"/>
        <v>0</v>
      </c>
      <c r="J92" s="1131">
        <f t="shared" ca="1" si="166"/>
        <v>0</v>
      </c>
      <c r="K92" s="1131">
        <f t="shared" ca="1" si="166"/>
        <v>0</v>
      </c>
      <c r="L92" s="1131">
        <f t="shared" ca="1" si="166"/>
        <v>0</v>
      </c>
      <c r="M92" s="1131">
        <f t="shared" ca="1" si="166"/>
        <v>0</v>
      </c>
      <c r="N92" s="1131">
        <f t="shared" ca="1" si="166"/>
        <v>0</v>
      </c>
      <c r="O92" s="1131">
        <f t="shared" ca="1" si="163"/>
        <v>0</v>
      </c>
      <c r="P92" s="1131">
        <f t="shared" ca="1" si="104"/>
        <v>0</v>
      </c>
      <c r="Q92" s="1131"/>
      <c r="R92" s="1131"/>
      <c r="S92" s="1131">
        <f t="shared" ca="1" si="167"/>
        <v>0</v>
      </c>
      <c r="T92" s="1131">
        <f t="shared" ca="1" si="167"/>
        <v>0</v>
      </c>
      <c r="U92" s="1131">
        <f t="shared" ca="1" si="167"/>
        <v>0</v>
      </c>
      <c r="V92" s="1131">
        <f t="shared" ca="1" si="167"/>
        <v>0</v>
      </c>
      <c r="W92" s="1131">
        <f t="shared" ca="1" si="167"/>
        <v>0</v>
      </c>
      <c r="X92" s="1131">
        <f t="shared" ca="1" si="167"/>
        <v>0</v>
      </c>
      <c r="Y92" s="1131">
        <f t="shared" ca="1" si="167"/>
        <v>0</v>
      </c>
      <c r="Z92" s="1131">
        <f t="shared" ca="1" si="167"/>
        <v>0</v>
      </c>
      <c r="AA92" s="1131">
        <f t="shared" ca="1" si="167"/>
        <v>0</v>
      </c>
      <c r="AB92" s="1131">
        <f t="shared" ca="1" si="164"/>
        <v>0</v>
      </c>
      <c r="AC92" s="1131">
        <f t="shared" ca="1" si="106"/>
        <v>0</v>
      </c>
      <c r="AD92" s="1131"/>
      <c r="AE92" s="1131"/>
      <c r="AF92" s="1131">
        <f t="shared" ca="1" si="168"/>
        <v>0</v>
      </c>
      <c r="AG92" s="1131">
        <f t="shared" ca="1" si="168"/>
        <v>0</v>
      </c>
      <c r="AH92" s="1131">
        <f t="shared" ca="1" si="168"/>
        <v>0</v>
      </c>
      <c r="AI92" s="1131">
        <f t="shared" ca="1" si="168"/>
        <v>0</v>
      </c>
      <c r="AJ92" s="1131">
        <f t="shared" ca="1" si="168"/>
        <v>0</v>
      </c>
      <c r="AK92" s="1131">
        <f t="shared" ca="1" si="168"/>
        <v>0</v>
      </c>
      <c r="AL92" s="1131">
        <f t="shared" ca="1" si="168"/>
        <v>0</v>
      </c>
      <c r="AM92" s="1131">
        <f t="shared" ca="1" si="168"/>
        <v>0</v>
      </c>
      <c r="AN92" s="1131">
        <f t="shared" ca="1" si="168"/>
        <v>0</v>
      </c>
      <c r="AO92" s="1131">
        <f t="shared" ca="1" si="165"/>
        <v>0</v>
      </c>
      <c r="AP92" s="1131">
        <f t="shared" ca="1" si="108"/>
        <v>0</v>
      </c>
      <c r="AQ92" s="1131"/>
      <c r="AR92" s="1131"/>
      <c r="AS92" s="1131">
        <f t="shared" ca="1" si="169"/>
        <v>0</v>
      </c>
      <c r="AT92" s="1131">
        <f t="shared" ca="1" si="170"/>
        <v>0</v>
      </c>
      <c r="AU92" s="1131">
        <f t="shared" ca="1" si="171"/>
        <v>0</v>
      </c>
      <c r="AV92" s="1131">
        <f t="shared" ca="1" si="172"/>
        <v>0</v>
      </c>
      <c r="AW92" s="1131">
        <f t="shared" ca="1" si="173"/>
        <v>0</v>
      </c>
      <c r="AX92" s="1131">
        <f t="shared" ca="1" si="174"/>
        <v>0</v>
      </c>
      <c r="AY92" s="1131">
        <f t="shared" ca="1" si="175"/>
        <v>0</v>
      </c>
      <c r="AZ92" s="1131">
        <f t="shared" ca="1" si="176"/>
        <v>0</v>
      </c>
      <c r="BA92" s="1131">
        <f t="shared" ca="1" si="177"/>
        <v>0</v>
      </c>
      <c r="BB92" s="1131">
        <f t="shared" ca="1" si="136"/>
        <v>0</v>
      </c>
      <c r="BC92" s="1131">
        <f t="shared" ca="1" si="118"/>
        <v>0</v>
      </c>
      <c r="BD92" s="1131"/>
      <c r="BE92" s="1131"/>
      <c r="BF92" s="19">
        <f>'Global cost assumptions'!E66</f>
        <v>0.1</v>
      </c>
      <c r="BG92" s="1131">
        <f>'Global cost assumptions'!F66</f>
        <v>30</v>
      </c>
      <c r="BH92" s="1131"/>
      <c r="BI92" s="1131"/>
      <c r="BJ92" s="27">
        <f t="shared" ca="1" si="137"/>
        <v>0</v>
      </c>
      <c r="BK92" s="27">
        <f t="shared" ca="1" si="138"/>
        <v>0</v>
      </c>
      <c r="BL92" s="27">
        <f t="shared" ca="1" si="119"/>
        <v>0</v>
      </c>
      <c r="BM92" s="27">
        <f t="shared" ca="1" si="120"/>
        <v>0</v>
      </c>
      <c r="BN92" s="27">
        <f t="shared" ca="1" si="121"/>
        <v>0</v>
      </c>
      <c r="BO92" s="27">
        <f t="shared" ca="1" si="122"/>
        <v>0</v>
      </c>
      <c r="BP92" s="27">
        <f t="shared" ca="1" si="123"/>
        <v>0</v>
      </c>
      <c r="BQ92" s="27">
        <f t="shared" ca="1" si="124"/>
        <v>0</v>
      </c>
      <c r="BR92" s="27">
        <f t="shared" ca="1" si="125"/>
        <v>0</v>
      </c>
      <c r="BS92" s="27"/>
      <c r="BT92" s="1131"/>
      <c r="BU92" s="1131"/>
      <c r="BV92" s="1409">
        <f t="shared" ca="1" si="139"/>
        <v>0</v>
      </c>
      <c r="BW92" s="1917">
        <f t="shared" ca="1" si="140"/>
        <v>0</v>
      </c>
      <c r="BX92" s="1917">
        <f t="shared" ca="1" si="141"/>
        <v>0</v>
      </c>
      <c r="BY92" s="1917">
        <f t="shared" ca="1" si="142"/>
        <v>0</v>
      </c>
      <c r="BZ92" s="1917">
        <f t="shared" ca="1" si="143"/>
        <v>0</v>
      </c>
      <c r="CA92" s="1917">
        <f t="shared" ca="1" si="144"/>
        <v>0</v>
      </c>
      <c r="CB92" s="1917">
        <f t="shared" ca="1" si="145"/>
        <v>0</v>
      </c>
      <c r="CC92" s="1917">
        <f t="shared" ca="1" si="146"/>
        <v>0</v>
      </c>
      <c r="CD92" s="1917">
        <f t="shared" ca="1" si="147"/>
        <v>0</v>
      </c>
      <c r="CE92" s="1917">
        <f t="shared" si="148"/>
        <v>0</v>
      </c>
      <c r="CF92" s="1131">
        <f t="shared" ca="1" si="126"/>
        <v>0</v>
      </c>
      <c r="CG92" s="1131"/>
      <c r="CH92" s="1131"/>
      <c r="CI92" s="1409">
        <f t="shared" ca="1" si="149"/>
        <v>0</v>
      </c>
      <c r="CJ92" s="1409">
        <f t="shared" ca="1" si="127"/>
        <v>0</v>
      </c>
      <c r="CK92" s="1409">
        <f t="shared" ca="1" si="128"/>
        <v>0</v>
      </c>
      <c r="CL92" s="1409">
        <f t="shared" ca="1" si="129"/>
        <v>0</v>
      </c>
      <c r="CM92" s="1409">
        <f t="shared" ca="1" si="130"/>
        <v>0</v>
      </c>
      <c r="CN92" s="1409">
        <f t="shared" ca="1" si="131"/>
        <v>0</v>
      </c>
      <c r="CO92" s="1409">
        <f t="shared" ca="1" si="132"/>
        <v>0</v>
      </c>
      <c r="CP92" s="1409">
        <f t="shared" ca="1" si="133"/>
        <v>0</v>
      </c>
      <c r="CQ92" s="1409">
        <f t="shared" ca="1" si="134"/>
        <v>0</v>
      </c>
      <c r="CR92" s="1409">
        <f t="shared" ca="1" si="150"/>
        <v>0</v>
      </c>
      <c r="CS92" s="1131">
        <f t="shared" ca="1" si="135"/>
        <v>0</v>
      </c>
    </row>
    <row r="93" spans="3:97">
      <c r="C93" s="1763" t="s">
        <v>730</v>
      </c>
      <c r="D93" s="1763" t="s">
        <v>1409</v>
      </c>
      <c r="F93" s="1131">
        <f t="shared" ca="1" si="166"/>
        <v>0</v>
      </c>
      <c r="G93" s="1131">
        <f t="shared" ca="1" si="166"/>
        <v>0</v>
      </c>
      <c r="H93" s="1131">
        <f t="shared" ca="1" si="166"/>
        <v>0</v>
      </c>
      <c r="I93" s="1131">
        <f t="shared" ca="1" si="166"/>
        <v>0</v>
      </c>
      <c r="J93" s="1131">
        <f t="shared" ca="1" si="166"/>
        <v>0</v>
      </c>
      <c r="K93" s="1131">
        <f t="shared" ca="1" si="166"/>
        <v>0</v>
      </c>
      <c r="L93" s="1131">
        <f t="shared" ca="1" si="166"/>
        <v>0</v>
      </c>
      <c r="M93" s="1131">
        <f t="shared" ca="1" si="166"/>
        <v>0</v>
      </c>
      <c r="N93" s="1131">
        <f t="shared" ca="1" si="166"/>
        <v>0</v>
      </c>
      <c r="O93" s="1131">
        <f t="shared" ca="1" si="163"/>
        <v>0</v>
      </c>
      <c r="P93" s="1131">
        <f t="shared" ca="1" si="104"/>
        <v>0</v>
      </c>
      <c r="Q93" s="1131"/>
      <c r="R93" s="1131"/>
      <c r="S93" s="1131">
        <f t="shared" ca="1" si="167"/>
        <v>0</v>
      </c>
      <c r="T93" s="1131">
        <f t="shared" ca="1" si="167"/>
        <v>0</v>
      </c>
      <c r="U93" s="1131">
        <f t="shared" ca="1" si="167"/>
        <v>0</v>
      </c>
      <c r="V93" s="1131">
        <f t="shared" ca="1" si="167"/>
        <v>0</v>
      </c>
      <c r="W93" s="1131">
        <f t="shared" ca="1" si="167"/>
        <v>0</v>
      </c>
      <c r="X93" s="1131">
        <f t="shared" ca="1" si="167"/>
        <v>0</v>
      </c>
      <c r="Y93" s="1131">
        <f t="shared" ca="1" si="167"/>
        <v>0</v>
      </c>
      <c r="Z93" s="1131">
        <f t="shared" ca="1" si="167"/>
        <v>0</v>
      </c>
      <c r="AA93" s="1131">
        <f t="shared" ca="1" si="167"/>
        <v>0</v>
      </c>
      <c r="AB93" s="1131">
        <f t="shared" ca="1" si="164"/>
        <v>0</v>
      </c>
      <c r="AC93" s="1131">
        <f t="shared" ca="1" si="106"/>
        <v>0</v>
      </c>
      <c r="AD93" s="1131"/>
      <c r="AE93" s="1131"/>
      <c r="AF93" s="1131">
        <f t="shared" ca="1" si="168"/>
        <v>0</v>
      </c>
      <c r="AG93" s="1131">
        <f t="shared" ca="1" si="168"/>
        <v>0</v>
      </c>
      <c r="AH93" s="1131">
        <f t="shared" ca="1" si="168"/>
        <v>0</v>
      </c>
      <c r="AI93" s="1131">
        <f t="shared" ca="1" si="168"/>
        <v>0</v>
      </c>
      <c r="AJ93" s="1131">
        <f t="shared" ca="1" si="168"/>
        <v>0</v>
      </c>
      <c r="AK93" s="1131">
        <f t="shared" ca="1" si="168"/>
        <v>0</v>
      </c>
      <c r="AL93" s="1131">
        <f t="shared" ca="1" si="168"/>
        <v>0</v>
      </c>
      <c r="AM93" s="1131">
        <f t="shared" ca="1" si="168"/>
        <v>0</v>
      </c>
      <c r="AN93" s="1131">
        <f t="shared" ca="1" si="168"/>
        <v>0</v>
      </c>
      <c r="AO93" s="1131">
        <f t="shared" ca="1" si="165"/>
        <v>0</v>
      </c>
      <c r="AP93" s="1131">
        <f t="shared" ca="1" si="108"/>
        <v>0</v>
      </c>
      <c r="AQ93" s="1131"/>
      <c r="AR93" s="1131"/>
      <c r="AS93" s="1131">
        <f t="shared" ca="1" si="169"/>
        <v>0</v>
      </c>
      <c r="AT93" s="1131">
        <f t="shared" ca="1" si="170"/>
        <v>0</v>
      </c>
      <c r="AU93" s="1131">
        <f t="shared" ca="1" si="171"/>
        <v>0</v>
      </c>
      <c r="AV93" s="1131">
        <f t="shared" ca="1" si="172"/>
        <v>0</v>
      </c>
      <c r="AW93" s="1131">
        <f t="shared" ca="1" si="173"/>
        <v>0</v>
      </c>
      <c r="AX93" s="1131">
        <f t="shared" ca="1" si="174"/>
        <v>0</v>
      </c>
      <c r="AY93" s="1131">
        <f t="shared" ca="1" si="175"/>
        <v>0</v>
      </c>
      <c r="AZ93" s="1131">
        <f t="shared" ca="1" si="176"/>
        <v>0</v>
      </c>
      <c r="BA93" s="1131">
        <f t="shared" ca="1" si="177"/>
        <v>0</v>
      </c>
      <c r="BB93" s="1131">
        <f t="shared" ca="1" si="136"/>
        <v>0</v>
      </c>
      <c r="BC93" s="1131">
        <f t="shared" ca="1" si="118"/>
        <v>0</v>
      </c>
      <c r="BD93" s="1131"/>
      <c r="BE93" s="1131"/>
      <c r="BF93" s="19">
        <f>'Global cost assumptions'!E67</f>
        <v>0.1</v>
      </c>
      <c r="BG93" s="1131">
        <f>'Global cost assumptions'!F67</f>
        <v>30</v>
      </c>
      <c r="BH93" s="1131"/>
      <c r="BI93" s="1131"/>
      <c r="BJ93" s="27">
        <f t="shared" ca="1" si="137"/>
        <v>0</v>
      </c>
      <c r="BK93" s="27">
        <f t="shared" ca="1" si="138"/>
        <v>0</v>
      </c>
      <c r="BL93" s="27">
        <f t="shared" ca="1" si="119"/>
        <v>0</v>
      </c>
      <c r="BM93" s="27">
        <f t="shared" ca="1" si="120"/>
        <v>0</v>
      </c>
      <c r="BN93" s="27">
        <f t="shared" ca="1" si="121"/>
        <v>0</v>
      </c>
      <c r="BO93" s="27">
        <f t="shared" ca="1" si="122"/>
        <v>0</v>
      </c>
      <c r="BP93" s="27">
        <f t="shared" ca="1" si="123"/>
        <v>0</v>
      </c>
      <c r="BQ93" s="27">
        <f t="shared" ca="1" si="124"/>
        <v>0</v>
      </c>
      <c r="BR93" s="27">
        <f t="shared" ca="1" si="125"/>
        <v>0</v>
      </c>
      <c r="BS93" s="27"/>
      <c r="BT93" s="1131"/>
      <c r="BU93" s="1131"/>
      <c r="BV93" s="1409">
        <f t="shared" ca="1" si="139"/>
        <v>0</v>
      </c>
      <c r="BW93" s="1917">
        <f t="shared" ca="1" si="140"/>
        <v>0</v>
      </c>
      <c r="BX93" s="1917">
        <f t="shared" ca="1" si="141"/>
        <v>0</v>
      </c>
      <c r="BY93" s="1917">
        <f t="shared" ca="1" si="142"/>
        <v>0</v>
      </c>
      <c r="BZ93" s="1917">
        <f t="shared" ca="1" si="143"/>
        <v>0</v>
      </c>
      <c r="CA93" s="1917">
        <f t="shared" ca="1" si="144"/>
        <v>0</v>
      </c>
      <c r="CB93" s="1917">
        <f t="shared" ca="1" si="145"/>
        <v>0</v>
      </c>
      <c r="CC93" s="1917">
        <f t="shared" ca="1" si="146"/>
        <v>0</v>
      </c>
      <c r="CD93" s="1917">
        <f t="shared" ca="1" si="147"/>
        <v>0</v>
      </c>
      <c r="CE93" s="1917">
        <f t="shared" si="148"/>
        <v>0</v>
      </c>
      <c r="CF93" s="1131">
        <f t="shared" ca="1" si="126"/>
        <v>0</v>
      </c>
      <c r="CG93" s="1131"/>
      <c r="CH93" s="1131"/>
      <c r="CI93" s="1409">
        <f t="shared" ca="1" si="149"/>
        <v>0</v>
      </c>
      <c r="CJ93" s="1409">
        <f t="shared" ca="1" si="127"/>
        <v>0</v>
      </c>
      <c r="CK93" s="1409">
        <f t="shared" ca="1" si="128"/>
        <v>0</v>
      </c>
      <c r="CL93" s="1409">
        <f t="shared" ca="1" si="129"/>
        <v>0</v>
      </c>
      <c r="CM93" s="1409">
        <f t="shared" ca="1" si="130"/>
        <v>0</v>
      </c>
      <c r="CN93" s="1409">
        <f t="shared" ca="1" si="131"/>
        <v>0</v>
      </c>
      <c r="CO93" s="1409">
        <f t="shared" ca="1" si="132"/>
        <v>0</v>
      </c>
      <c r="CP93" s="1409">
        <f t="shared" ca="1" si="133"/>
        <v>0</v>
      </c>
      <c r="CQ93" s="1409">
        <f t="shared" ca="1" si="134"/>
        <v>0</v>
      </c>
      <c r="CR93" s="1409">
        <f t="shared" ca="1" si="150"/>
        <v>0</v>
      </c>
      <c r="CS93" s="1131">
        <f t="shared" ca="1" si="135"/>
        <v>0</v>
      </c>
    </row>
    <row r="94" spans="3:97">
      <c r="C94" s="1763" t="s">
        <v>712</v>
      </c>
      <c r="D94" s="1763" t="s">
        <v>1407</v>
      </c>
      <c r="F94" s="1131">
        <f t="shared" ca="1" si="166"/>
        <v>0</v>
      </c>
      <c r="G94" s="1131">
        <f t="shared" ca="1" si="166"/>
        <v>0</v>
      </c>
      <c r="H94" s="1131">
        <f t="shared" ca="1" si="166"/>
        <v>0</v>
      </c>
      <c r="I94" s="1131">
        <f t="shared" ca="1" si="166"/>
        <v>0</v>
      </c>
      <c r="J94" s="1131">
        <f t="shared" ca="1" si="166"/>
        <v>0</v>
      </c>
      <c r="K94" s="1131">
        <f t="shared" ca="1" si="166"/>
        <v>0</v>
      </c>
      <c r="L94" s="1131">
        <f t="shared" ca="1" si="166"/>
        <v>0</v>
      </c>
      <c r="M94" s="1131">
        <f t="shared" ca="1" si="166"/>
        <v>0</v>
      </c>
      <c r="N94" s="1131">
        <f t="shared" ca="1" si="166"/>
        <v>0</v>
      </c>
      <c r="O94" s="1131">
        <f t="shared" ca="1" si="163"/>
        <v>0</v>
      </c>
      <c r="P94" s="1131">
        <f t="shared" ca="1" si="104"/>
        <v>0</v>
      </c>
      <c r="Q94" s="1131"/>
      <c r="R94" s="1131"/>
      <c r="S94" s="1131">
        <f t="shared" ca="1" si="167"/>
        <v>0</v>
      </c>
      <c r="T94" s="1131">
        <f t="shared" ca="1" si="167"/>
        <v>0</v>
      </c>
      <c r="U94" s="1131">
        <f t="shared" ca="1" si="167"/>
        <v>0</v>
      </c>
      <c r="V94" s="1131">
        <f t="shared" ca="1" si="167"/>
        <v>0</v>
      </c>
      <c r="W94" s="1131">
        <f t="shared" ca="1" si="167"/>
        <v>0</v>
      </c>
      <c r="X94" s="1131">
        <f t="shared" ca="1" si="167"/>
        <v>0</v>
      </c>
      <c r="Y94" s="1131">
        <f t="shared" ca="1" si="167"/>
        <v>0</v>
      </c>
      <c r="Z94" s="1131">
        <f t="shared" ca="1" si="167"/>
        <v>0</v>
      </c>
      <c r="AA94" s="1131">
        <f t="shared" ca="1" si="167"/>
        <v>0</v>
      </c>
      <c r="AB94" s="1131">
        <f t="shared" ca="1" si="164"/>
        <v>0</v>
      </c>
      <c r="AC94" s="1131">
        <f t="shared" ca="1" si="106"/>
        <v>0</v>
      </c>
      <c r="AD94" s="1131"/>
      <c r="AE94" s="1131"/>
      <c r="AF94" s="1131">
        <f t="shared" ca="1" si="168"/>
        <v>0</v>
      </c>
      <c r="AG94" s="1131">
        <f t="shared" ca="1" si="168"/>
        <v>0</v>
      </c>
      <c r="AH94" s="1131">
        <f t="shared" ca="1" si="168"/>
        <v>0</v>
      </c>
      <c r="AI94" s="1131">
        <f t="shared" ca="1" si="168"/>
        <v>0</v>
      </c>
      <c r="AJ94" s="1131">
        <f t="shared" ca="1" si="168"/>
        <v>0</v>
      </c>
      <c r="AK94" s="1131">
        <f t="shared" ca="1" si="168"/>
        <v>0</v>
      </c>
      <c r="AL94" s="1131">
        <f t="shared" ca="1" si="168"/>
        <v>0</v>
      </c>
      <c r="AM94" s="1131">
        <f t="shared" ca="1" si="168"/>
        <v>0</v>
      </c>
      <c r="AN94" s="1131">
        <f t="shared" ca="1" si="168"/>
        <v>0</v>
      </c>
      <c r="AO94" s="1131">
        <f t="shared" ca="1" si="165"/>
        <v>0</v>
      </c>
      <c r="AP94" s="1131">
        <f t="shared" ca="1" si="108"/>
        <v>0</v>
      </c>
      <c r="AQ94" s="1131"/>
      <c r="AR94" s="1131"/>
      <c r="AS94" s="1131">
        <f t="shared" ca="1" si="169"/>
        <v>0</v>
      </c>
      <c r="AT94" s="1131">
        <f t="shared" ca="1" si="170"/>
        <v>0</v>
      </c>
      <c r="AU94" s="1131">
        <f t="shared" ca="1" si="171"/>
        <v>0</v>
      </c>
      <c r="AV94" s="1131">
        <f t="shared" ca="1" si="172"/>
        <v>0</v>
      </c>
      <c r="AW94" s="1131">
        <f t="shared" ca="1" si="173"/>
        <v>0</v>
      </c>
      <c r="AX94" s="1131">
        <f t="shared" ca="1" si="174"/>
        <v>0</v>
      </c>
      <c r="AY94" s="1131">
        <f t="shared" ca="1" si="175"/>
        <v>0</v>
      </c>
      <c r="AZ94" s="1131">
        <f t="shared" ca="1" si="176"/>
        <v>0</v>
      </c>
      <c r="BA94" s="1131">
        <f t="shared" ca="1" si="177"/>
        <v>0</v>
      </c>
      <c r="BB94" s="1131">
        <f t="shared" ca="1" si="136"/>
        <v>0</v>
      </c>
      <c r="BC94" s="1131">
        <f t="shared" ca="1" si="118"/>
        <v>0</v>
      </c>
      <c r="BD94" s="1131"/>
      <c r="BE94" s="1131"/>
      <c r="BF94" s="19">
        <f>'Global cost assumptions'!E68</f>
        <v>0.1</v>
      </c>
      <c r="BG94" s="1131">
        <f>'Global cost assumptions'!F68</f>
        <v>30</v>
      </c>
      <c r="BH94" s="1131"/>
      <c r="BI94" s="1131"/>
      <c r="BJ94" s="27">
        <f t="shared" ca="1" si="137"/>
        <v>0</v>
      </c>
      <c r="BK94" s="27">
        <f t="shared" ca="1" si="138"/>
        <v>0</v>
      </c>
      <c r="BL94" s="27">
        <f t="shared" ca="1" si="119"/>
        <v>0</v>
      </c>
      <c r="BM94" s="27">
        <f t="shared" ca="1" si="120"/>
        <v>0</v>
      </c>
      <c r="BN94" s="27">
        <f t="shared" ca="1" si="121"/>
        <v>0</v>
      </c>
      <c r="BO94" s="27">
        <f t="shared" ca="1" si="122"/>
        <v>0</v>
      </c>
      <c r="BP94" s="27">
        <f t="shared" ca="1" si="123"/>
        <v>0</v>
      </c>
      <c r="BQ94" s="27">
        <f t="shared" ca="1" si="124"/>
        <v>0</v>
      </c>
      <c r="BR94" s="27">
        <f t="shared" ca="1" si="125"/>
        <v>0</v>
      </c>
      <c r="BS94" s="27"/>
      <c r="BT94" s="1131"/>
      <c r="BU94" s="1131"/>
      <c r="BV94" s="1409">
        <f t="shared" ca="1" si="139"/>
        <v>0</v>
      </c>
      <c r="BW94" s="1917">
        <f t="shared" ca="1" si="140"/>
        <v>0</v>
      </c>
      <c r="BX94" s="1917">
        <f t="shared" ca="1" si="141"/>
        <v>0</v>
      </c>
      <c r="BY94" s="1917">
        <f t="shared" ca="1" si="142"/>
        <v>0</v>
      </c>
      <c r="BZ94" s="1917">
        <f t="shared" ca="1" si="143"/>
        <v>0</v>
      </c>
      <c r="CA94" s="1917">
        <f t="shared" ca="1" si="144"/>
        <v>0</v>
      </c>
      <c r="CB94" s="1917">
        <f t="shared" ca="1" si="145"/>
        <v>0</v>
      </c>
      <c r="CC94" s="1917">
        <f t="shared" ca="1" si="146"/>
        <v>0</v>
      </c>
      <c r="CD94" s="1917">
        <f t="shared" ca="1" si="147"/>
        <v>0</v>
      </c>
      <c r="CE94" s="1917">
        <f t="shared" si="148"/>
        <v>0</v>
      </c>
      <c r="CF94" s="1131">
        <f t="shared" ca="1" si="126"/>
        <v>0</v>
      </c>
      <c r="CG94" s="1131"/>
      <c r="CH94" s="1131"/>
      <c r="CI94" s="1409">
        <f t="shared" ca="1" si="149"/>
        <v>0</v>
      </c>
      <c r="CJ94" s="1409">
        <f t="shared" ca="1" si="127"/>
        <v>0</v>
      </c>
      <c r="CK94" s="1409">
        <f t="shared" ca="1" si="128"/>
        <v>0</v>
      </c>
      <c r="CL94" s="1409">
        <f t="shared" ca="1" si="129"/>
        <v>0</v>
      </c>
      <c r="CM94" s="1409">
        <f t="shared" ca="1" si="130"/>
        <v>0</v>
      </c>
      <c r="CN94" s="1409">
        <f t="shared" ca="1" si="131"/>
        <v>0</v>
      </c>
      <c r="CO94" s="1409">
        <f t="shared" ca="1" si="132"/>
        <v>0</v>
      </c>
      <c r="CP94" s="1409">
        <f t="shared" ca="1" si="133"/>
        <v>0</v>
      </c>
      <c r="CQ94" s="1409">
        <f t="shared" ca="1" si="134"/>
        <v>0</v>
      </c>
      <c r="CR94" s="1409">
        <f t="shared" ca="1" si="150"/>
        <v>0</v>
      </c>
      <c r="CS94" s="1131">
        <f t="shared" ca="1" si="135"/>
        <v>0</v>
      </c>
    </row>
    <row r="95" spans="3:97">
      <c r="C95" s="1763" t="s">
        <v>733</v>
      </c>
      <c r="D95" s="1763" t="s">
        <v>423</v>
      </c>
      <c r="F95" s="1131">
        <f t="shared" ca="1" si="166"/>
        <v>0</v>
      </c>
      <c r="G95" s="1131">
        <f t="shared" ca="1" si="166"/>
        <v>0</v>
      </c>
      <c r="H95" s="1131">
        <f t="shared" ca="1" si="166"/>
        <v>0</v>
      </c>
      <c r="I95" s="1131">
        <f t="shared" ca="1" si="166"/>
        <v>0</v>
      </c>
      <c r="J95" s="1131">
        <f t="shared" ca="1" si="166"/>
        <v>0</v>
      </c>
      <c r="K95" s="1131">
        <f t="shared" ca="1" si="166"/>
        <v>0</v>
      </c>
      <c r="L95" s="1131">
        <f t="shared" ca="1" si="166"/>
        <v>0</v>
      </c>
      <c r="M95" s="1131">
        <f t="shared" ca="1" si="166"/>
        <v>0</v>
      </c>
      <c r="N95" s="1131">
        <f t="shared" ca="1" si="166"/>
        <v>0</v>
      </c>
      <c r="O95" s="1131">
        <f t="shared" ca="1" si="163"/>
        <v>0</v>
      </c>
      <c r="P95" s="1131">
        <f t="shared" ca="1" si="104"/>
        <v>0</v>
      </c>
      <c r="Q95" s="1131"/>
      <c r="R95" s="1131"/>
      <c r="S95" s="1131">
        <f t="shared" ca="1" si="167"/>
        <v>0</v>
      </c>
      <c r="T95" s="1131">
        <f t="shared" ca="1" si="167"/>
        <v>0</v>
      </c>
      <c r="U95" s="1131">
        <f t="shared" ca="1" si="167"/>
        <v>0</v>
      </c>
      <c r="V95" s="1131">
        <f t="shared" ca="1" si="167"/>
        <v>0</v>
      </c>
      <c r="W95" s="1131">
        <f t="shared" ca="1" si="167"/>
        <v>0</v>
      </c>
      <c r="X95" s="1131">
        <f t="shared" ca="1" si="167"/>
        <v>0</v>
      </c>
      <c r="Y95" s="1131">
        <f t="shared" ca="1" si="167"/>
        <v>0</v>
      </c>
      <c r="Z95" s="1131">
        <f t="shared" ca="1" si="167"/>
        <v>0</v>
      </c>
      <c r="AA95" s="1131">
        <f t="shared" ca="1" si="167"/>
        <v>0</v>
      </c>
      <c r="AB95" s="1131">
        <f t="shared" ca="1" si="164"/>
        <v>0</v>
      </c>
      <c r="AC95" s="1131">
        <f t="shared" ca="1" si="106"/>
        <v>0</v>
      </c>
      <c r="AD95" s="1131"/>
      <c r="AE95" s="1131"/>
      <c r="AF95" s="1131">
        <f t="shared" ca="1" si="168"/>
        <v>0</v>
      </c>
      <c r="AG95" s="1131">
        <f t="shared" ca="1" si="168"/>
        <v>0</v>
      </c>
      <c r="AH95" s="1131">
        <f t="shared" ca="1" si="168"/>
        <v>0</v>
      </c>
      <c r="AI95" s="1131">
        <f t="shared" ca="1" si="168"/>
        <v>0</v>
      </c>
      <c r="AJ95" s="1131">
        <f t="shared" ca="1" si="168"/>
        <v>0</v>
      </c>
      <c r="AK95" s="1131">
        <f t="shared" ca="1" si="168"/>
        <v>0</v>
      </c>
      <c r="AL95" s="1131">
        <f t="shared" ca="1" si="168"/>
        <v>0</v>
      </c>
      <c r="AM95" s="1131">
        <f t="shared" ca="1" si="168"/>
        <v>0</v>
      </c>
      <c r="AN95" s="1131">
        <f t="shared" ca="1" si="168"/>
        <v>0</v>
      </c>
      <c r="AO95" s="1131">
        <f t="shared" ca="1" si="165"/>
        <v>0</v>
      </c>
      <c r="AP95" s="1131">
        <f t="shared" ca="1" si="108"/>
        <v>0</v>
      </c>
      <c r="AQ95" s="1131"/>
      <c r="AR95" s="1131"/>
      <c r="AS95" s="1131">
        <f t="shared" ca="1" si="169"/>
        <v>0</v>
      </c>
      <c r="AT95" s="1131">
        <f t="shared" ca="1" si="170"/>
        <v>0</v>
      </c>
      <c r="AU95" s="1131">
        <f t="shared" ca="1" si="171"/>
        <v>0</v>
      </c>
      <c r="AV95" s="1131">
        <f t="shared" ca="1" si="172"/>
        <v>0</v>
      </c>
      <c r="AW95" s="1131">
        <f t="shared" ca="1" si="173"/>
        <v>0</v>
      </c>
      <c r="AX95" s="1131">
        <f t="shared" ca="1" si="174"/>
        <v>0</v>
      </c>
      <c r="AY95" s="1131">
        <f t="shared" ca="1" si="175"/>
        <v>0</v>
      </c>
      <c r="AZ95" s="1131">
        <f t="shared" ca="1" si="176"/>
        <v>0</v>
      </c>
      <c r="BA95" s="1131">
        <f t="shared" ca="1" si="177"/>
        <v>0</v>
      </c>
      <c r="BB95" s="1131">
        <f t="shared" ca="1" si="136"/>
        <v>0</v>
      </c>
      <c r="BC95" s="1131">
        <f t="shared" ca="1" si="118"/>
        <v>0</v>
      </c>
      <c r="BD95" s="1131"/>
      <c r="BE95" s="1131"/>
      <c r="BF95" s="19">
        <f>'Global cost assumptions'!E69</f>
        <v>0.1</v>
      </c>
      <c r="BG95" s="1131">
        <f>'Global cost assumptions'!F69</f>
        <v>30</v>
      </c>
      <c r="BH95" s="1131"/>
      <c r="BI95" s="1131"/>
      <c r="BJ95" s="27">
        <f t="shared" ca="1" si="137"/>
        <v>0</v>
      </c>
      <c r="BK95" s="27">
        <f t="shared" ca="1" si="138"/>
        <v>0</v>
      </c>
      <c r="BL95" s="27">
        <f t="shared" ca="1" si="119"/>
        <v>0</v>
      </c>
      <c r="BM95" s="27">
        <f t="shared" ca="1" si="120"/>
        <v>0</v>
      </c>
      <c r="BN95" s="27">
        <f t="shared" ca="1" si="121"/>
        <v>0</v>
      </c>
      <c r="BO95" s="27">
        <f t="shared" ca="1" si="122"/>
        <v>0</v>
      </c>
      <c r="BP95" s="27">
        <f t="shared" ca="1" si="123"/>
        <v>0</v>
      </c>
      <c r="BQ95" s="27">
        <f t="shared" ca="1" si="124"/>
        <v>0</v>
      </c>
      <c r="BR95" s="27">
        <f t="shared" ca="1" si="125"/>
        <v>0</v>
      </c>
      <c r="BS95" s="27"/>
      <c r="BT95" s="1131"/>
      <c r="BU95" s="1131"/>
      <c r="BV95" s="1409">
        <f t="shared" ca="1" si="139"/>
        <v>0</v>
      </c>
      <c r="BW95" s="1917">
        <f t="shared" ca="1" si="140"/>
        <v>0</v>
      </c>
      <c r="BX95" s="1917">
        <f t="shared" ca="1" si="141"/>
        <v>0</v>
      </c>
      <c r="BY95" s="1917">
        <f t="shared" ca="1" si="142"/>
        <v>0</v>
      </c>
      <c r="BZ95" s="1917">
        <f t="shared" ca="1" si="143"/>
        <v>0</v>
      </c>
      <c r="CA95" s="1917">
        <f t="shared" ca="1" si="144"/>
        <v>0</v>
      </c>
      <c r="CB95" s="1917">
        <f t="shared" ca="1" si="145"/>
        <v>0</v>
      </c>
      <c r="CC95" s="1917">
        <f t="shared" ca="1" si="146"/>
        <v>0</v>
      </c>
      <c r="CD95" s="1917">
        <f t="shared" ca="1" si="147"/>
        <v>0</v>
      </c>
      <c r="CE95" s="1917">
        <f t="shared" si="148"/>
        <v>0</v>
      </c>
      <c r="CF95" s="1131">
        <f t="shared" ca="1" si="126"/>
        <v>0</v>
      </c>
      <c r="CG95" s="1131"/>
      <c r="CH95" s="1131"/>
      <c r="CI95" s="1409">
        <f t="shared" ca="1" si="149"/>
        <v>0</v>
      </c>
      <c r="CJ95" s="1409">
        <f t="shared" ca="1" si="127"/>
        <v>0</v>
      </c>
      <c r="CK95" s="1409">
        <f t="shared" ca="1" si="128"/>
        <v>0</v>
      </c>
      <c r="CL95" s="1409">
        <f t="shared" ca="1" si="129"/>
        <v>0</v>
      </c>
      <c r="CM95" s="1409">
        <f t="shared" ca="1" si="130"/>
        <v>0</v>
      </c>
      <c r="CN95" s="1409">
        <f t="shared" ca="1" si="131"/>
        <v>0</v>
      </c>
      <c r="CO95" s="1409">
        <f t="shared" ca="1" si="132"/>
        <v>0</v>
      </c>
      <c r="CP95" s="1409">
        <f t="shared" ca="1" si="133"/>
        <v>0</v>
      </c>
      <c r="CQ95" s="1409">
        <f t="shared" ca="1" si="134"/>
        <v>0</v>
      </c>
      <c r="CR95" s="1409">
        <f t="shared" ca="1" si="150"/>
        <v>0</v>
      </c>
      <c r="CS95" s="1131">
        <f t="shared" ca="1" si="135"/>
        <v>0</v>
      </c>
    </row>
    <row r="96" spans="3:97">
      <c r="C96" s="1763" t="s">
        <v>742</v>
      </c>
      <c r="D96" s="1763" t="s">
        <v>146</v>
      </c>
      <c r="F96" s="1131">
        <f t="shared" ca="1" si="166"/>
        <v>0</v>
      </c>
      <c r="G96" s="1131">
        <f t="shared" ca="1" si="166"/>
        <v>0</v>
      </c>
      <c r="H96" s="1131">
        <f t="shared" ca="1" si="166"/>
        <v>0</v>
      </c>
      <c r="I96" s="1131">
        <f t="shared" ca="1" si="166"/>
        <v>0</v>
      </c>
      <c r="J96" s="1131">
        <f t="shared" ca="1" si="166"/>
        <v>0</v>
      </c>
      <c r="K96" s="1131">
        <f t="shared" ca="1" si="166"/>
        <v>0</v>
      </c>
      <c r="L96" s="1131">
        <f t="shared" ca="1" si="166"/>
        <v>0</v>
      </c>
      <c r="M96" s="1131">
        <f t="shared" ca="1" si="166"/>
        <v>0</v>
      </c>
      <c r="N96" s="1131">
        <f t="shared" ca="1" si="166"/>
        <v>0</v>
      </c>
      <c r="O96" s="1131">
        <f t="shared" ca="1" si="166"/>
        <v>0</v>
      </c>
      <c r="P96" s="1131">
        <f t="shared" ca="1" si="104"/>
        <v>0</v>
      </c>
      <c r="Q96" s="1131"/>
      <c r="R96" s="1131"/>
      <c r="S96" s="1131">
        <f t="shared" ca="1" si="167"/>
        <v>0</v>
      </c>
      <c r="T96" s="1131">
        <f t="shared" ca="1" si="167"/>
        <v>0</v>
      </c>
      <c r="U96" s="1131">
        <f t="shared" ca="1" si="167"/>
        <v>0</v>
      </c>
      <c r="V96" s="1131">
        <f t="shared" ca="1" si="167"/>
        <v>0</v>
      </c>
      <c r="W96" s="1131">
        <f t="shared" ca="1" si="167"/>
        <v>0</v>
      </c>
      <c r="X96" s="1131">
        <f t="shared" ca="1" si="167"/>
        <v>0</v>
      </c>
      <c r="Y96" s="1131">
        <f t="shared" ca="1" si="167"/>
        <v>0</v>
      </c>
      <c r="Z96" s="1131">
        <f t="shared" ca="1" si="167"/>
        <v>0</v>
      </c>
      <c r="AA96" s="1131">
        <f t="shared" ca="1" si="167"/>
        <v>0</v>
      </c>
      <c r="AB96" s="1131">
        <f t="shared" ca="1" si="167"/>
        <v>0</v>
      </c>
      <c r="AC96" s="1131">
        <f t="shared" ca="1" si="106"/>
        <v>0</v>
      </c>
      <c r="AD96" s="1131"/>
      <c r="AE96" s="1131"/>
      <c r="AF96" s="1131">
        <f t="shared" ca="1" si="168"/>
        <v>0</v>
      </c>
      <c r="AG96" s="1131">
        <f t="shared" ca="1" si="168"/>
        <v>0</v>
      </c>
      <c r="AH96" s="1131">
        <f t="shared" ca="1" si="168"/>
        <v>0</v>
      </c>
      <c r="AI96" s="1131">
        <f t="shared" ca="1" si="168"/>
        <v>0</v>
      </c>
      <c r="AJ96" s="1131">
        <f t="shared" ca="1" si="168"/>
        <v>0</v>
      </c>
      <c r="AK96" s="1131">
        <f t="shared" ca="1" si="168"/>
        <v>0</v>
      </c>
      <c r="AL96" s="1131">
        <f t="shared" ca="1" si="168"/>
        <v>0</v>
      </c>
      <c r="AM96" s="1131">
        <f t="shared" ca="1" si="168"/>
        <v>0</v>
      </c>
      <c r="AN96" s="1131">
        <f t="shared" ca="1" si="168"/>
        <v>0</v>
      </c>
      <c r="AO96" s="1131">
        <f t="shared" ca="1" si="168"/>
        <v>0</v>
      </c>
      <c r="AP96" s="1131">
        <f t="shared" ca="1" si="108"/>
        <v>0</v>
      </c>
      <c r="AQ96" s="1131"/>
      <c r="AR96" s="1131"/>
      <c r="AS96" s="1131">
        <f t="shared" ca="1" si="169"/>
        <v>0</v>
      </c>
      <c r="AT96" s="1131">
        <f t="shared" ca="1" si="170"/>
        <v>0</v>
      </c>
      <c r="AU96" s="1131">
        <f t="shared" ca="1" si="171"/>
        <v>0</v>
      </c>
      <c r="AV96" s="1131">
        <f t="shared" ca="1" si="172"/>
        <v>0</v>
      </c>
      <c r="AW96" s="1131">
        <f t="shared" ca="1" si="173"/>
        <v>0</v>
      </c>
      <c r="AX96" s="1131">
        <f t="shared" ca="1" si="174"/>
        <v>0</v>
      </c>
      <c r="AY96" s="1131">
        <f t="shared" ca="1" si="175"/>
        <v>0</v>
      </c>
      <c r="AZ96" s="1131">
        <f t="shared" ca="1" si="176"/>
        <v>0</v>
      </c>
      <c r="BA96" s="1131">
        <f t="shared" ca="1" si="177"/>
        <v>0</v>
      </c>
      <c r="BB96" s="1131">
        <f t="shared" ca="1" si="136"/>
        <v>0</v>
      </c>
      <c r="BC96" s="1131">
        <f t="shared" ca="1" si="118"/>
        <v>0</v>
      </c>
      <c r="BD96" s="1131"/>
      <c r="BE96" s="1131"/>
      <c r="BF96" s="19">
        <f>'Global cost assumptions'!E70</f>
        <v>0.1</v>
      </c>
      <c r="BG96" s="1131">
        <f>'Global cost assumptions'!F70</f>
        <v>30</v>
      </c>
      <c r="BH96" s="1131"/>
      <c r="BI96" s="1131"/>
      <c r="BJ96" s="27">
        <f t="shared" ca="1" si="137"/>
        <v>0</v>
      </c>
      <c r="BK96" s="27">
        <f t="shared" ca="1" si="138"/>
        <v>0</v>
      </c>
      <c r="BL96" s="27">
        <f t="shared" ca="1" si="119"/>
        <v>0</v>
      </c>
      <c r="BM96" s="27">
        <f t="shared" ca="1" si="120"/>
        <v>0</v>
      </c>
      <c r="BN96" s="27">
        <f t="shared" ca="1" si="121"/>
        <v>0</v>
      </c>
      <c r="BO96" s="27">
        <f t="shared" ca="1" si="122"/>
        <v>0</v>
      </c>
      <c r="BP96" s="27">
        <f t="shared" ca="1" si="123"/>
        <v>0</v>
      </c>
      <c r="BQ96" s="27">
        <f t="shared" ca="1" si="124"/>
        <v>0</v>
      </c>
      <c r="BR96" s="27">
        <f t="shared" ca="1" si="125"/>
        <v>0</v>
      </c>
      <c r="BS96" s="27"/>
      <c r="BT96" s="1131"/>
      <c r="BU96" s="1131"/>
      <c r="BV96" s="1409">
        <f t="shared" ca="1" si="139"/>
        <v>0</v>
      </c>
      <c r="BW96" s="1917">
        <f t="shared" ca="1" si="140"/>
        <v>0</v>
      </c>
      <c r="BX96" s="1917">
        <f t="shared" ca="1" si="141"/>
        <v>0</v>
      </c>
      <c r="BY96" s="1917">
        <f t="shared" ca="1" si="142"/>
        <v>0</v>
      </c>
      <c r="BZ96" s="1917">
        <f t="shared" ca="1" si="143"/>
        <v>0</v>
      </c>
      <c r="CA96" s="1917">
        <f t="shared" ca="1" si="144"/>
        <v>0</v>
      </c>
      <c r="CB96" s="1917">
        <f t="shared" ca="1" si="145"/>
        <v>0</v>
      </c>
      <c r="CC96" s="1917">
        <f t="shared" ca="1" si="146"/>
        <v>0</v>
      </c>
      <c r="CD96" s="1917">
        <f t="shared" ca="1" si="147"/>
        <v>0</v>
      </c>
      <c r="CE96" s="1917">
        <f t="shared" si="148"/>
        <v>0</v>
      </c>
      <c r="CF96" s="1131">
        <f t="shared" ca="1" si="126"/>
        <v>0</v>
      </c>
      <c r="CG96" s="1131"/>
      <c r="CH96" s="1131"/>
      <c r="CI96" s="1409">
        <f t="shared" ca="1" si="149"/>
        <v>0</v>
      </c>
      <c r="CJ96" s="1409">
        <f t="shared" ca="1" si="127"/>
        <v>0</v>
      </c>
      <c r="CK96" s="1409">
        <f t="shared" ca="1" si="128"/>
        <v>0</v>
      </c>
      <c r="CL96" s="1409">
        <f t="shared" ca="1" si="129"/>
        <v>0</v>
      </c>
      <c r="CM96" s="1409">
        <f t="shared" ca="1" si="130"/>
        <v>0</v>
      </c>
      <c r="CN96" s="1409">
        <f t="shared" ca="1" si="131"/>
        <v>0</v>
      </c>
      <c r="CO96" s="1409">
        <f t="shared" ca="1" si="132"/>
        <v>0</v>
      </c>
      <c r="CP96" s="1409">
        <f t="shared" ca="1" si="133"/>
        <v>0</v>
      </c>
      <c r="CQ96" s="1409">
        <f t="shared" ca="1" si="134"/>
        <v>0</v>
      </c>
      <c r="CR96" s="1409">
        <f t="shared" ca="1" si="150"/>
        <v>0</v>
      </c>
      <c r="CS96" s="1131">
        <f t="shared" ca="1" si="135"/>
        <v>0</v>
      </c>
    </row>
    <row r="97" spans="3:97">
      <c r="C97" s="1763" t="s">
        <v>747</v>
      </c>
      <c r="D97" s="1763" t="s">
        <v>748</v>
      </c>
      <c r="F97" s="1131">
        <f t="shared" ca="1" si="166"/>
        <v>0</v>
      </c>
      <c r="G97" s="1131">
        <f t="shared" ca="1" si="166"/>
        <v>0</v>
      </c>
      <c r="H97" s="1131">
        <f t="shared" ca="1" si="166"/>
        <v>0</v>
      </c>
      <c r="I97" s="1131">
        <f t="shared" ca="1" si="166"/>
        <v>0</v>
      </c>
      <c r="J97" s="1131">
        <f t="shared" ca="1" si="166"/>
        <v>0</v>
      </c>
      <c r="K97" s="1131">
        <f t="shared" ca="1" si="166"/>
        <v>0</v>
      </c>
      <c r="L97" s="1131">
        <f t="shared" ca="1" si="166"/>
        <v>0</v>
      </c>
      <c r="M97" s="1131">
        <f t="shared" ca="1" si="166"/>
        <v>0</v>
      </c>
      <c r="N97" s="1131">
        <f t="shared" ca="1" si="166"/>
        <v>0</v>
      </c>
      <c r="O97" s="1131">
        <f t="shared" ca="1" si="166"/>
        <v>0</v>
      </c>
      <c r="P97" s="1131">
        <f t="shared" ca="1" si="104"/>
        <v>0</v>
      </c>
      <c r="Q97" s="1131"/>
      <c r="R97" s="1131"/>
      <c r="S97" s="1131">
        <f t="shared" ca="1" si="167"/>
        <v>0</v>
      </c>
      <c r="T97" s="1131">
        <f t="shared" ca="1" si="167"/>
        <v>0</v>
      </c>
      <c r="U97" s="1131">
        <f t="shared" ca="1" si="167"/>
        <v>0</v>
      </c>
      <c r="V97" s="1131">
        <f t="shared" ca="1" si="167"/>
        <v>0</v>
      </c>
      <c r="W97" s="1131">
        <f t="shared" ca="1" si="167"/>
        <v>0</v>
      </c>
      <c r="X97" s="1131">
        <f t="shared" ca="1" si="167"/>
        <v>0</v>
      </c>
      <c r="Y97" s="1131">
        <f t="shared" ca="1" si="167"/>
        <v>0</v>
      </c>
      <c r="Z97" s="1131">
        <f t="shared" ca="1" si="167"/>
        <v>0</v>
      </c>
      <c r="AA97" s="1131">
        <f t="shared" ca="1" si="167"/>
        <v>0</v>
      </c>
      <c r="AB97" s="1131">
        <f t="shared" ca="1" si="167"/>
        <v>0</v>
      </c>
      <c r="AC97" s="1131">
        <f t="shared" ca="1" si="106"/>
        <v>0</v>
      </c>
      <c r="AD97" s="1131"/>
      <c r="AE97" s="1131"/>
      <c r="AF97" s="1131">
        <f t="shared" ca="1" si="168"/>
        <v>77454.743977165679</v>
      </c>
      <c r="AG97" s="1131">
        <f t="shared" ca="1" si="168"/>
        <v>61673.94307652628</v>
      </c>
      <c r="AH97" s="1131">
        <f t="shared" ca="1" si="168"/>
        <v>48115.800954381259</v>
      </c>
      <c r="AI97" s="1131">
        <f t="shared" ca="1" si="168"/>
        <v>37572.064847132911</v>
      </c>
      <c r="AJ97" s="1131">
        <f t="shared" ca="1" si="168"/>
        <v>28659.883262646108</v>
      </c>
      <c r="AK97" s="1131">
        <f t="shared" ca="1" si="168"/>
        <v>22346.958977655057</v>
      </c>
      <c r="AL97" s="1131">
        <f t="shared" ca="1" si="168"/>
        <v>17462.138506048163</v>
      </c>
      <c r="AM97" s="1131">
        <f t="shared" ca="1" si="168"/>
        <v>13682.357542008991</v>
      </c>
      <c r="AN97" s="1131">
        <f t="shared" ca="1" si="168"/>
        <v>10757.635084110107</v>
      </c>
      <c r="AO97" s="1131">
        <f t="shared" ca="1" si="168"/>
        <v>0</v>
      </c>
      <c r="AP97" s="1131">
        <f t="shared" ca="1" si="108"/>
        <v>805465.78346912784</v>
      </c>
      <c r="AQ97" s="1131"/>
      <c r="AR97" s="1131"/>
      <c r="AS97" s="1131">
        <f t="shared" ca="1" si="169"/>
        <v>77454.743977165679</v>
      </c>
      <c r="AT97" s="1131">
        <f t="shared" ca="1" si="170"/>
        <v>61673.94307652628</v>
      </c>
      <c r="AU97" s="1131">
        <f t="shared" ca="1" si="171"/>
        <v>48115.800954381259</v>
      </c>
      <c r="AV97" s="1131">
        <f t="shared" ca="1" si="172"/>
        <v>37572.064847132911</v>
      </c>
      <c r="AW97" s="1131">
        <f t="shared" ca="1" si="173"/>
        <v>28659.883262646108</v>
      </c>
      <c r="AX97" s="1131">
        <f t="shared" ca="1" si="174"/>
        <v>22346.958977655057</v>
      </c>
      <c r="AY97" s="1131">
        <f t="shared" ca="1" si="175"/>
        <v>17462.138506048163</v>
      </c>
      <c r="AZ97" s="1131">
        <f t="shared" ca="1" si="176"/>
        <v>13682.357542008991</v>
      </c>
      <c r="BA97" s="1131">
        <f t="shared" ca="1" si="177"/>
        <v>10757.635084110107</v>
      </c>
      <c r="BB97" s="1131">
        <f t="shared" ca="1" si="136"/>
        <v>0</v>
      </c>
      <c r="BC97" s="1131">
        <f t="shared" ca="1" si="118"/>
        <v>805465.78346912784</v>
      </c>
      <c r="BD97" s="1131"/>
      <c r="BE97" s="1131"/>
      <c r="BF97" s="19">
        <f>'Global cost assumptions'!E71</f>
        <v>0.1</v>
      </c>
      <c r="BG97" s="1131">
        <f>'Global cost assumptions'!F71</f>
        <v>30</v>
      </c>
      <c r="BH97" s="1131"/>
      <c r="BI97" s="1131"/>
      <c r="BJ97" s="27">
        <f t="shared" ca="1" si="137"/>
        <v>0</v>
      </c>
      <c r="BK97" s="27">
        <f t="shared" ca="1" si="138"/>
        <v>0</v>
      </c>
      <c r="BL97" s="27">
        <f t="shared" ca="1" si="119"/>
        <v>0</v>
      </c>
      <c r="BM97" s="27">
        <f t="shared" ca="1" si="120"/>
        <v>0</v>
      </c>
      <c r="BN97" s="27">
        <f t="shared" ca="1" si="121"/>
        <v>0</v>
      </c>
      <c r="BO97" s="27">
        <f t="shared" ca="1" si="122"/>
        <v>0</v>
      </c>
      <c r="BP97" s="27">
        <f t="shared" ca="1" si="123"/>
        <v>0</v>
      </c>
      <c r="BQ97" s="27">
        <f t="shared" ca="1" si="124"/>
        <v>0</v>
      </c>
      <c r="BR97" s="27">
        <f t="shared" ca="1" si="125"/>
        <v>0</v>
      </c>
      <c r="BS97" s="27"/>
      <c r="BT97" s="1131"/>
      <c r="BU97" s="1131"/>
      <c r="BV97" s="1409">
        <f t="shared" ca="1" si="139"/>
        <v>0</v>
      </c>
      <c r="BW97" s="1917">
        <f t="shared" ca="1" si="140"/>
        <v>0</v>
      </c>
      <c r="BX97" s="1917">
        <f t="shared" ca="1" si="141"/>
        <v>0</v>
      </c>
      <c r="BY97" s="1917">
        <f t="shared" ca="1" si="142"/>
        <v>0</v>
      </c>
      <c r="BZ97" s="1917">
        <f t="shared" ca="1" si="143"/>
        <v>0</v>
      </c>
      <c r="CA97" s="1917">
        <f t="shared" ca="1" si="144"/>
        <v>0</v>
      </c>
      <c r="CB97" s="1917">
        <f t="shared" ca="1" si="145"/>
        <v>0</v>
      </c>
      <c r="CC97" s="1917">
        <f t="shared" ca="1" si="146"/>
        <v>0</v>
      </c>
      <c r="CD97" s="1917">
        <f t="shared" ca="1" si="147"/>
        <v>0</v>
      </c>
      <c r="CE97" s="1917">
        <f t="shared" si="148"/>
        <v>0</v>
      </c>
      <c r="CF97" s="1131">
        <f t="shared" ca="1" si="126"/>
        <v>0</v>
      </c>
      <c r="CG97" s="1131"/>
      <c r="CH97" s="1131"/>
      <c r="CI97" s="1409">
        <f t="shared" ca="1" si="149"/>
        <v>77454.743977165679</v>
      </c>
      <c r="CJ97" s="1409">
        <f t="shared" ca="1" si="127"/>
        <v>61673.94307652628</v>
      </c>
      <c r="CK97" s="1409">
        <f t="shared" ca="1" si="128"/>
        <v>48115.800954381259</v>
      </c>
      <c r="CL97" s="1409">
        <f t="shared" ca="1" si="129"/>
        <v>37572.064847132911</v>
      </c>
      <c r="CM97" s="1409">
        <f t="shared" ca="1" si="130"/>
        <v>28659.883262646108</v>
      </c>
      <c r="CN97" s="1409">
        <f t="shared" ca="1" si="131"/>
        <v>22346.958977655057</v>
      </c>
      <c r="CO97" s="1409">
        <f t="shared" ca="1" si="132"/>
        <v>17462.138506048163</v>
      </c>
      <c r="CP97" s="1409">
        <f t="shared" ca="1" si="133"/>
        <v>13682.357542008991</v>
      </c>
      <c r="CQ97" s="1409">
        <f t="shared" ca="1" si="134"/>
        <v>10757.635084110107</v>
      </c>
      <c r="CR97" s="1409">
        <f t="shared" ca="1" si="150"/>
        <v>0</v>
      </c>
      <c r="CS97" s="1131">
        <f t="shared" ca="1" si="135"/>
        <v>805465.78346912784</v>
      </c>
    </row>
    <row r="98" spans="3:97">
      <c r="C98" s="1763" t="s">
        <v>771</v>
      </c>
      <c r="D98" s="1763" t="s">
        <v>773</v>
      </c>
      <c r="F98" s="1131">
        <f t="shared" ca="1" si="166"/>
        <v>0</v>
      </c>
      <c r="G98" s="1131">
        <f t="shared" ca="1" si="166"/>
        <v>0</v>
      </c>
      <c r="H98" s="1131">
        <f t="shared" ca="1" si="166"/>
        <v>0</v>
      </c>
      <c r="I98" s="1131">
        <f t="shared" ca="1" si="166"/>
        <v>0</v>
      </c>
      <c r="J98" s="1131">
        <f t="shared" ca="1" si="166"/>
        <v>0</v>
      </c>
      <c r="K98" s="1131">
        <f t="shared" ca="1" si="166"/>
        <v>0</v>
      </c>
      <c r="L98" s="1131">
        <f t="shared" ca="1" si="166"/>
        <v>0</v>
      </c>
      <c r="M98" s="1131">
        <f t="shared" ca="1" si="166"/>
        <v>0</v>
      </c>
      <c r="N98" s="1131">
        <f t="shared" ca="1" si="166"/>
        <v>0</v>
      </c>
      <c r="O98" s="1131">
        <f t="shared" ca="1" si="166"/>
        <v>0</v>
      </c>
      <c r="P98" s="1131">
        <f t="shared" ca="1" si="104"/>
        <v>0</v>
      </c>
      <c r="Q98" s="1131"/>
      <c r="R98" s="1131"/>
      <c r="S98" s="1131">
        <f t="shared" ca="1" si="167"/>
        <v>0</v>
      </c>
      <c r="T98" s="1131">
        <f t="shared" ca="1" si="167"/>
        <v>0</v>
      </c>
      <c r="U98" s="1131">
        <f t="shared" ca="1" si="167"/>
        <v>0</v>
      </c>
      <c r="V98" s="1131">
        <f t="shared" ca="1" si="167"/>
        <v>0</v>
      </c>
      <c r="W98" s="1131">
        <f t="shared" ca="1" si="167"/>
        <v>0</v>
      </c>
      <c r="X98" s="1131">
        <f t="shared" ca="1" si="167"/>
        <v>0</v>
      </c>
      <c r="Y98" s="1131">
        <f t="shared" ca="1" si="167"/>
        <v>0</v>
      </c>
      <c r="Z98" s="1131">
        <f t="shared" ca="1" si="167"/>
        <v>0</v>
      </c>
      <c r="AA98" s="1131">
        <f t="shared" ca="1" si="167"/>
        <v>0.35411270348006985</v>
      </c>
      <c r="AB98" s="1131">
        <f t="shared" ca="1" si="167"/>
        <v>0</v>
      </c>
      <c r="AC98" s="1131">
        <f t="shared" ca="1" si="106"/>
        <v>0.46938452834221545</v>
      </c>
      <c r="AD98" s="1131"/>
      <c r="AE98" s="1131"/>
      <c r="AF98" s="1131">
        <f t="shared" ca="1" si="168"/>
        <v>0</v>
      </c>
      <c r="AG98" s="1131">
        <f t="shared" ca="1" si="168"/>
        <v>0</v>
      </c>
      <c r="AH98" s="1131">
        <f t="shared" ca="1" si="168"/>
        <v>0</v>
      </c>
      <c r="AI98" s="1131">
        <f t="shared" ca="1" si="168"/>
        <v>0</v>
      </c>
      <c r="AJ98" s="1131">
        <f t="shared" ca="1" si="168"/>
        <v>0</v>
      </c>
      <c r="AK98" s="1131">
        <f t="shared" ca="1" si="168"/>
        <v>0</v>
      </c>
      <c r="AL98" s="1131">
        <f t="shared" ca="1" si="168"/>
        <v>0</v>
      </c>
      <c r="AM98" s="1131">
        <f t="shared" ca="1" si="168"/>
        <v>0</v>
      </c>
      <c r="AN98" s="1131">
        <f t="shared" ca="1" si="168"/>
        <v>0</v>
      </c>
      <c r="AO98" s="1131">
        <f t="shared" ca="1" si="168"/>
        <v>0</v>
      </c>
      <c r="AP98" s="1131">
        <f t="shared" ca="1" si="108"/>
        <v>0</v>
      </c>
      <c r="AQ98" s="1131"/>
      <c r="AR98" s="1131"/>
      <c r="AS98" s="1131">
        <f t="shared" ca="1" si="169"/>
        <v>0</v>
      </c>
      <c r="AT98" s="1131">
        <f t="shared" ca="1" si="170"/>
        <v>0</v>
      </c>
      <c r="AU98" s="1131">
        <f t="shared" ca="1" si="171"/>
        <v>0</v>
      </c>
      <c r="AV98" s="1131">
        <f t="shared" ca="1" si="172"/>
        <v>0</v>
      </c>
      <c r="AW98" s="1131">
        <f t="shared" ca="1" si="173"/>
        <v>0</v>
      </c>
      <c r="AX98" s="1131">
        <f t="shared" ca="1" si="174"/>
        <v>0</v>
      </c>
      <c r="AY98" s="1131">
        <f t="shared" ca="1" si="175"/>
        <v>0</v>
      </c>
      <c r="AZ98" s="1131">
        <f t="shared" ca="1" si="176"/>
        <v>0</v>
      </c>
      <c r="BA98" s="1131">
        <f t="shared" ca="1" si="177"/>
        <v>0.35411270348006985</v>
      </c>
      <c r="BB98" s="1131">
        <f t="shared" ca="1" si="136"/>
        <v>0</v>
      </c>
      <c r="BC98" s="1131">
        <f t="shared" ca="1" si="118"/>
        <v>0.46938452834221545</v>
      </c>
      <c r="BD98" s="1131"/>
      <c r="BE98" s="1131"/>
      <c r="BF98" s="19">
        <f>'Global cost assumptions'!E72</f>
        <v>0.1</v>
      </c>
      <c r="BG98" s="1131">
        <f>'Global cost assumptions'!F72</f>
        <v>30</v>
      </c>
      <c r="BH98" s="1131"/>
      <c r="BI98" s="1131"/>
      <c r="BJ98" s="27">
        <f t="shared" ca="1" si="137"/>
        <v>0</v>
      </c>
      <c r="BK98" s="27">
        <f t="shared" ca="1" si="138"/>
        <v>0</v>
      </c>
      <c r="BL98" s="27">
        <f t="shared" ca="1" si="119"/>
        <v>0</v>
      </c>
      <c r="BM98" s="27">
        <f t="shared" ca="1" si="120"/>
        <v>0</v>
      </c>
      <c r="BN98" s="27">
        <f t="shared" ca="1" si="121"/>
        <v>0</v>
      </c>
      <c r="BO98" s="27">
        <f t="shared" ca="1" si="122"/>
        <v>0</v>
      </c>
      <c r="BP98" s="27">
        <f t="shared" ca="1" si="123"/>
        <v>0</v>
      </c>
      <c r="BQ98" s="27">
        <f t="shared" ca="1" si="124"/>
        <v>0</v>
      </c>
      <c r="BR98" s="27">
        <f t="shared" ca="1" si="125"/>
        <v>0</v>
      </c>
      <c r="BS98" s="27"/>
      <c r="BT98" s="1131"/>
      <c r="BU98" s="1131"/>
      <c r="BV98" s="1409">
        <f t="shared" ca="1" si="139"/>
        <v>0</v>
      </c>
      <c r="BW98" s="1917">
        <f t="shared" ca="1" si="140"/>
        <v>0</v>
      </c>
      <c r="BX98" s="1917">
        <f t="shared" ca="1" si="141"/>
        <v>0</v>
      </c>
      <c r="BY98" s="1917">
        <f t="shared" ca="1" si="142"/>
        <v>0</v>
      </c>
      <c r="BZ98" s="1917">
        <f t="shared" ca="1" si="143"/>
        <v>0</v>
      </c>
      <c r="CA98" s="1917">
        <f t="shared" ca="1" si="144"/>
        <v>0</v>
      </c>
      <c r="CB98" s="1917">
        <f t="shared" ca="1" si="145"/>
        <v>0</v>
      </c>
      <c r="CC98" s="1917">
        <f t="shared" ca="1" si="146"/>
        <v>0</v>
      </c>
      <c r="CD98" s="1917">
        <f t="shared" ca="1" si="147"/>
        <v>0</v>
      </c>
      <c r="CE98" s="1917">
        <f t="shared" si="148"/>
        <v>0</v>
      </c>
      <c r="CF98" s="1131">
        <f t="shared" ca="1" si="126"/>
        <v>0</v>
      </c>
      <c r="CG98" s="1131"/>
      <c r="CH98" s="1131"/>
      <c r="CI98" s="1409">
        <f t="shared" ca="1" si="149"/>
        <v>0</v>
      </c>
      <c r="CJ98" s="1409">
        <f t="shared" ca="1" si="127"/>
        <v>0</v>
      </c>
      <c r="CK98" s="1409">
        <f t="shared" ca="1" si="128"/>
        <v>0</v>
      </c>
      <c r="CL98" s="1409">
        <f t="shared" ca="1" si="129"/>
        <v>0</v>
      </c>
      <c r="CM98" s="1409">
        <f t="shared" ca="1" si="130"/>
        <v>0</v>
      </c>
      <c r="CN98" s="1409">
        <f t="shared" ca="1" si="131"/>
        <v>0</v>
      </c>
      <c r="CO98" s="1409">
        <f t="shared" ca="1" si="132"/>
        <v>0</v>
      </c>
      <c r="CP98" s="1409">
        <f t="shared" ca="1" si="133"/>
        <v>0</v>
      </c>
      <c r="CQ98" s="1409">
        <f t="shared" ca="1" si="134"/>
        <v>0.35411270348006985</v>
      </c>
      <c r="CR98" s="1409">
        <f t="shared" ca="1" si="150"/>
        <v>0</v>
      </c>
      <c r="CS98" s="1131">
        <f t="shared" ca="1" si="135"/>
        <v>0.46938452834221545</v>
      </c>
    </row>
    <row r="99" spans="3:97">
      <c r="C99" s="1763" t="s">
        <v>772</v>
      </c>
      <c r="D99" s="1763" t="s">
        <v>1222</v>
      </c>
      <c r="F99" s="1131">
        <f t="shared" ca="1" si="166"/>
        <v>0</v>
      </c>
      <c r="G99" s="1131">
        <f t="shared" ca="1" si="166"/>
        <v>0</v>
      </c>
      <c r="H99" s="1131">
        <f t="shared" ca="1" si="166"/>
        <v>0</v>
      </c>
      <c r="I99" s="1131">
        <f t="shared" ca="1" si="166"/>
        <v>0</v>
      </c>
      <c r="J99" s="1131">
        <f t="shared" ca="1" si="166"/>
        <v>0</v>
      </c>
      <c r="K99" s="1131">
        <f t="shared" ca="1" si="166"/>
        <v>0</v>
      </c>
      <c r="L99" s="1131">
        <f t="shared" ca="1" si="166"/>
        <v>0</v>
      </c>
      <c r="M99" s="1131">
        <f t="shared" ca="1" si="166"/>
        <v>0</v>
      </c>
      <c r="N99" s="1131">
        <f t="shared" ca="1" si="166"/>
        <v>0</v>
      </c>
      <c r="O99" s="1131">
        <f t="shared" ca="1" si="166"/>
        <v>0</v>
      </c>
      <c r="P99" s="1131">
        <f t="shared" ca="1" si="104"/>
        <v>0</v>
      </c>
      <c r="Q99" s="1131"/>
      <c r="R99" s="1131"/>
      <c r="S99" s="1131">
        <f t="shared" ca="1" si="167"/>
        <v>0</v>
      </c>
      <c r="T99" s="1131">
        <f t="shared" ca="1" si="167"/>
        <v>0</v>
      </c>
      <c r="U99" s="1131">
        <f t="shared" ca="1" si="167"/>
        <v>0</v>
      </c>
      <c r="V99" s="1131">
        <f t="shared" ca="1" si="167"/>
        <v>0</v>
      </c>
      <c r="W99" s="1131">
        <f t="shared" ca="1" si="167"/>
        <v>0</v>
      </c>
      <c r="X99" s="1131">
        <f t="shared" ca="1" si="167"/>
        <v>0</v>
      </c>
      <c r="Y99" s="1131">
        <f t="shared" ca="1" si="167"/>
        <v>0</v>
      </c>
      <c r="Z99" s="1131">
        <f t="shared" ca="1" si="167"/>
        <v>0</v>
      </c>
      <c r="AA99" s="1131">
        <f t="shared" ca="1" si="167"/>
        <v>0</v>
      </c>
      <c r="AB99" s="1131">
        <f t="shared" ca="1" si="167"/>
        <v>0</v>
      </c>
      <c r="AC99" s="1131">
        <f t="shared" ca="1" si="106"/>
        <v>0</v>
      </c>
      <c r="AD99" s="1131"/>
      <c r="AE99" s="1131"/>
      <c r="AF99" s="1131">
        <f t="shared" ca="1" si="168"/>
        <v>0</v>
      </c>
      <c r="AG99" s="1131">
        <f t="shared" ca="1" si="168"/>
        <v>0</v>
      </c>
      <c r="AH99" s="1131">
        <f t="shared" ca="1" si="168"/>
        <v>0</v>
      </c>
      <c r="AI99" s="1131">
        <f t="shared" ca="1" si="168"/>
        <v>0</v>
      </c>
      <c r="AJ99" s="1131">
        <f t="shared" ca="1" si="168"/>
        <v>0</v>
      </c>
      <c r="AK99" s="1131">
        <f t="shared" ca="1" si="168"/>
        <v>0</v>
      </c>
      <c r="AL99" s="1131">
        <f t="shared" ca="1" si="168"/>
        <v>0</v>
      </c>
      <c r="AM99" s="1131">
        <f t="shared" ca="1" si="168"/>
        <v>0</v>
      </c>
      <c r="AN99" s="1131">
        <f t="shared" ca="1" si="168"/>
        <v>-6043.3935641880398</v>
      </c>
      <c r="AO99" s="1131">
        <f t="shared" ca="1" si="168"/>
        <v>0</v>
      </c>
      <c r="AP99" s="1131">
        <f t="shared" ca="1" si="108"/>
        <v>-8010.6570869532134</v>
      </c>
      <c r="AQ99" s="1131"/>
      <c r="AR99" s="1131"/>
      <c r="AS99" s="1131">
        <f t="shared" ca="1" si="169"/>
        <v>0</v>
      </c>
      <c r="AT99" s="1131">
        <f t="shared" ca="1" si="170"/>
        <v>0</v>
      </c>
      <c r="AU99" s="1131">
        <f t="shared" ca="1" si="171"/>
        <v>0</v>
      </c>
      <c r="AV99" s="1131">
        <f t="shared" ca="1" si="172"/>
        <v>0</v>
      </c>
      <c r="AW99" s="1131">
        <f t="shared" ca="1" si="173"/>
        <v>0</v>
      </c>
      <c r="AX99" s="1131">
        <f t="shared" ca="1" si="174"/>
        <v>0</v>
      </c>
      <c r="AY99" s="1131">
        <f t="shared" ca="1" si="175"/>
        <v>0</v>
      </c>
      <c r="AZ99" s="1131">
        <f t="shared" ca="1" si="176"/>
        <v>0</v>
      </c>
      <c r="BA99" s="1131">
        <f t="shared" ca="1" si="177"/>
        <v>-6043.3935641880398</v>
      </c>
      <c r="BB99" s="1131">
        <f t="shared" ca="1" si="136"/>
        <v>0</v>
      </c>
      <c r="BC99" s="1131">
        <f t="shared" ca="1" si="118"/>
        <v>-8010.6570869532134</v>
      </c>
      <c r="BD99" s="1131"/>
      <c r="BE99" s="1131"/>
      <c r="BF99" s="19">
        <f>'Global cost assumptions'!E73</f>
        <v>0.1</v>
      </c>
      <c r="BG99" s="1131">
        <f>'Global cost assumptions'!F73</f>
        <v>30</v>
      </c>
      <c r="BH99" s="1131"/>
      <c r="BI99" s="1131"/>
      <c r="BJ99" s="27">
        <f t="shared" ca="1" si="137"/>
        <v>0</v>
      </c>
      <c r="BK99" s="27">
        <f t="shared" ca="1" si="138"/>
        <v>0</v>
      </c>
      <c r="BL99" s="27">
        <f t="shared" ca="1" si="119"/>
        <v>0</v>
      </c>
      <c r="BM99" s="27">
        <f t="shared" ca="1" si="120"/>
        <v>0</v>
      </c>
      <c r="BN99" s="27">
        <f t="shared" ca="1" si="121"/>
        <v>0</v>
      </c>
      <c r="BO99" s="27">
        <f t="shared" ca="1" si="122"/>
        <v>0</v>
      </c>
      <c r="BP99" s="27">
        <f t="shared" ca="1" si="123"/>
        <v>0</v>
      </c>
      <c r="BQ99" s="27">
        <f t="shared" ca="1" si="124"/>
        <v>0</v>
      </c>
      <c r="BR99" s="27">
        <f t="shared" ca="1" si="125"/>
        <v>0</v>
      </c>
      <c r="BS99" s="27"/>
      <c r="BT99" s="1131"/>
      <c r="BU99" s="1131"/>
      <c r="BV99" s="1409">
        <f t="shared" ca="1" si="139"/>
        <v>0</v>
      </c>
      <c r="BW99" s="1917">
        <f t="shared" ca="1" si="140"/>
        <v>0</v>
      </c>
      <c r="BX99" s="1917">
        <f t="shared" ca="1" si="141"/>
        <v>0</v>
      </c>
      <c r="BY99" s="1917">
        <f t="shared" ca="1" si="142"/>
        <v>0</v>
      </c>
      <c r="BZ99" s="1917">
        <f t="shared" ca="1" si="143"/>
        <v>0</v>
      </c>
      <c r="CA99" s="1917">
        <f t="shared" ca="1" si="144"/>
        <v>0</v>
      </c>
      <c r="CB99" s="1917">
        <f t="shared" ca="1" si="145"/>
        <v>0</v>
      </c>
      <c r="CC99" s="1917">
        <f t="shared" ca="1" si="146"/>
        <v>0</v>
      </c>
      <c r="CD99" s="1917">
        <f t="shared" ca="1" si="147"/>
        <v>0</v>
      </c>
      <c r="CE99" s="1917">
        <f t="shared" si="148"/>
        <v>0</v>
      </c>
      <c r="CF99" s="1131">
        <f t="shared" ca="1" si="126"/>
        <v>0</v>
      </c>
      <c r="CG99" s="1131"/>
      <c r="CH99" s="1131"/>
      <c r="CI99" s="1409">
        <f t="shared" ca="1" si="149"/>
        <v>0</v>
      </c>
      <c r="CJ99" s="1409">
        <f t="shared" ca="1" si="127"/>
        <v>0</v>
      </c>
      <c r="CK99" s="1409">
        <f t="shared" ca="1" si="128"/>
        <v>0</v>
      </c>
      <c r="CL99" s="1409">
        <f t="shared" ca="1" si="129"/>
        <v>0</v>
      </c>
      <c r="CM99" s="1409">
        <f t="shared" ca="1" si="130"/>
        <v>0</v>
      </c>
      <c r="CN99" s="1409">
        <f t="shared" ca="1" si="131"/>
        <v>0</v>
      </c>
      <c r="CO99" s="1409">
        <f t="shared" ca="1" si="132"/>
        <v>0</v>
      </c>
      <c r="CP99" s="1409">
        <f t="shared" ca="1" si="133"/>
        <v>0</v>
      </c>
      <c r="CQ99" s="1409">
        <f t="shared" ca="1" si="134"/>
        <v>-6043.3935641880398</v>
      </c>
      <c r="CR99" s="1409">
        <f t="shared" ca="1" si="150"/>
        <v>0</v>
      </c>
      <c r="CS99" s="1131">
        <f t="shared" ca="1" si="135"/>
        <v>-8010.6570869532134</v>
      </c>
    </row>
    <row r="100" spans="3:97">
      <c r="C100" s="1763" t="s">
        <v>981</v>
      </c>
      <c r="D100" s="1763" t="s">
        <v>980</v>
      </c>
      <c r="F100" s="1131">
        <f t="shared" ca="1" si="166"/>
        <v>0</v>
      </c>
      <c r="G100" s="1131">
        <f t="shared" ca="1" si="166"/>
        <v>0</v>
      </c>
      <c r="H100" s="1131">
        <f t="shared" ca="1" si="166"/>
        <v>0</v>
      </c>
      <c r="I100" s="1131">
        <f t="shared" ca="1" si="166"/>
        <v>0</v>
      </c>
      <c r="J100" s="1131">
        <f t="shared" ca="1" si="166"/>
        <v>0</v>
      </c>
      <c r="K100" s="1131">
        <f t="shared" ca="1" si="166"/>
        <v>0</v>
      </c>
      <c r="L100" s="1131">
        <f t="shared" ca="1" si="166"/>
        <v>0</v>
      </c>
      <c r="M100" s="1131">
        <f t="shared" ca="1" si="166"/>
        <v>0</v>
      </c>
      <c r="N100" s="1131">
        <f t="shared" ca="1" si="166"/>
        <v>0</v>
      </c>
      <c r="O100" s="1131">
        <f t="shared" ca="1" si="166"/>
        <v>0</v>
      </c>
      <c r="P100" s="1131">
        <f t="shared" ca="1" si="104"/>
        <v>0</v>
      </c>
      <c r="Q100" s="1131"/>
      <c r="R100" s="1131"/>
      <c r="S100" s="1131">
        <f t="shared" ca="1" si="167"/>
        <v>0</v>
      </c>
      <c r="T100" s="1131">
        <f t="shared" ca="1" si="167"/>
        <v>0</v>
      </c>
      <c r="U100" s="1131">
        <f t="shared" ca="1" si="167"/>
        <v>0</v>
      </c>
      <c r="V100" s="1131">
        <f t="shared" ca="1" si="167"/>
        <v>0</v>
      </c>
      <c r="W100" s="1131">
        <f t="shared" ca="1" si="167"/>
        <v>0</v>
      </c>
      <c r="X100" s="1131">
        <f t="shared" ca="1" si="167"/>
        <v>0</v>
      </c>
      <c r="Y100" s="1131">
        <f t="shared" ca="1" si="167"/>
        <v>0</v>
      </c>
      <c r="Z100" s="1131">
        <f t="shared" ca="1" si="167"/>
        <v>0</v>
      </c>
      <c r="AA100" s="1131">
        <f t="shared" ca="1" si="167"/>
        <v>0</v>
      </c>
      <c r="AB100" s="1131">
        <f t="shared" ca="1" si="167"/>
        <v>0</v>
      </c>
      <c r="AC100" s="1131">
        <f t="shared" ca="1" si="106"/>
        <v>0</v>
      </c>
      <c r="AD100" s="1131"/>
      <c r="AE100" s="1131"/>
      <c r="AF100" s="1131">
        <f t="shared" ca="1" si="168"/>
        <v>0</v>
      </c>
      <c r="AG100" s="1131">
        <f t="shared" ca="1" si="168"/>
        <v>0</v>
      </c>
      <c r="AH100" s="1131">
        <f t="shared" ca="1" si="168"/>
        <v>0</v>
      </c>
      <c r="AI100" s="1131">
        <f t="shared" ca="1" si="168"/>
        <v>0</v>
      </c>
      <c r="AJ100" s="1131">
        <f t="shared" ca="1" si="168"/>
        <v>0</v>
      </c>
      <c r="AK100" s="1131">
        <f t="shared" ca="1" si="168"/>
        <v>0</v>
      </c>
      <c r="AL100" s="1131">
        <f t="shared" ca="1" si="168"/>
        <v>0</v>
      </c>
      <c r="AM100" s="1131">
        <f t="shared" ca="1" si="168"/>
        <v>0</v>
      </c>
      <c r="AN100" s="1131">
        <f t="shared" ca="1" si="168"/>
        <v>0</v>
      </c>
      <c r="AO100" s="1131">
        <f t="shared" ca="1" si="168"/>
        <v>0</v>
      </c>
      <c r="AP100" s="1131">
        <f t="shared" ca="1" si="108"/>
        <v>0</v>
      </c>
      <c r="AQ100" s="1131"/>
      <c r="AR100" s="1131"/>
      <c r="AS100" s="1131">
        <f t="shared" ca="1" si="169"/>
        <v>0</v>
      </c>
      <c r="AT100" s="1131">
        <f t="shared" ca="1" si="170"/>
        <v>0</v>
      </c>
      <c r="AU100" s="1131">
        <f t="shared" ca="1" si="171"/>
        <v>0</v>
      </c>
      <c r="AV100" s="1131">
        <f t="shared" ca="1" si="172"/>
        <v>0</v>
      </c>
      <c r="AW100" s="1131">
        <f t="shared" ca="1" si="173"/>
        <v>0</v>
      </c>
      <c r="AX100" s="1131">
        <f t="shared" ca="1" si="174"/>
        <v>0</v>
      </c>
      <c r="AY100" s="1131">
        <f t="shared" ca="1" si="175"/>
        <v>0</v>
      </c>
      <c r="AZ100" s="1131">
        <f t="shared" ca="1" si="176"/>
        <v>0</v>
      </c>
      <c r="BA100" s="1131">
        <f t="shared" ca="1" si="177"/>
        <v>0</v>
      </c>
      <c r="BB100" s="1131">
        <f t="shared" ca="1" si="136"/>
        <v>0</v>
      </c>
      <c r="BC100" s="1131">
        <f t="shared" ca="1" si="118"/>
        <v>0</v>
      </c>
      <c r="BD100" s="1131"/>
      <c r="BE100" s="1131"/>
      <c r="BF100" s="19">
        <f>'Global cost assumptions'!E74</f>
        <v>0.1</v>
      </c>
      <c r="BG100" s="1131">
        <f>'Global cost assumptions'!F74</f>
        <v>30</v>
      </c>
      <c r="BH100" s="1131"/>
      <c r="BI100" s="1131"/>
      <c r="BJ100" s="27">
        <f t="shared" ca="1" si="137"/>
        <v>0</v>
      </c>
      <c r="BK100" s="27">
        <f t="shared" ca="1" si="138"/>
        <v>0</v>
      </c>
      <c r="BL100" s="27">
        <f t="shared" ca="1" si="119"/>
        <v>0</v>
      </c>
      <c r="BM100" s="27">
        <f t="shared" ca="1" si="120"/>
        <v>0</v>
      </c>
      <c r="BN100" s="27">
        <f t="shared" ca="1" si="121"/>
        <v>0</v>
      </c>
      <c r="BO100" s="27">
        <f t="shared" ca="1" si="122"/>
        <v>0</v>
      </c>
      <c r="BP100" s="27">
        <f t="shared" ca="1" si="123"/>
        <v>0</v>
      </c>
      <c r="BQ100" s="27">
        <f t="shared" ca="1" si="124"/>
        <v>0</v>
      </c>
      <c r="BR100" s="27">
        <f t="shared" ca="1" si="125"/>
        <v>0</v>
      </c>
      <c r="BS100" s="27"/>
      <c r="BT100" s="1131"/>
      <c r="BU100" s="1131"/>
      <c r="BV100" s="1409">
        <f t="shared" ca="1" si="139"/>
        <v>0</v>
      </c>
      <c r="BW100" s="1917">
        <f t="shared" ca="1" si="140"/>
        <v>0</v>
      </c>
      <c r="BX100" s="1917">
        <f t="shared" ca="1" si="141"/>
        <v>0</v>
      </c>
      <c r="BY100" s="1917">
        <f t="shared" ca="1" si="142"/>
        <v>0</v>
      </c>
      <c r="BZ100" s="1917">
        <f t="shared" ca="1" si="143"/>
        <v>0</v>
      </c>
      <c r="CA100" s="1917">
        <f t="shared" ca="1" si="144"/>
        <v>0</v>
      </c>
      <c r="CB100" s="1917">
        <f t="shared" ca="1" si="145"/>
        <v>0</v>
      </c>
      <c r="CC100" s="1917">
        <f t="shared" ca="1" si="146"/>
        <v>0</v>
      </c>
      <c r="CD100" s="1917">
        <f t="shared" ca="1" si="147"/>
        <v>0</v>
      </c>
      <c r="CE100" s="1917">
        <f t="shared" si="148"/>
        <v>0</v>
      </c>
      <c r="CF100" s="1131">
        <f t="shared" ca="1" si="126"/>
        <v>0</v>
      </c>
      <c r="CG100" s="1131"/>
      <c r="CH100" s="1131"/>
      <c r="CI100" s="1409">
        <f t="shared" ca="1" si="149"/>
        <v>0</v>
      </c>
      <c r="CJ100" s="1409">
        <f t="shared" ca="1" si="127"/>
        <v>0</v>
      </c>
      <c r="CK100" s="1409">
        <f t="shared" ca="1" si="128"/>
        <v>0</v>
      </c>
      <c r="CL100" s="1409">
        <f t="shared" ca="1" si="129"/>
        <v>0</v>
      </c>
      <c r="CM100" s="1409">
        <f t="shared" ca="1" si="130"/>
        <v>0</v>
      </c>
      <c r="CN100" s="1409">
        <f t="shared" ca="1" si="131"/>
        <v>0</v>
      </c>
      <c r="CO100" s="1409">
        <f t="shared" ca="1" si="132"/>
        <v>0</v>
      </c>
      <c r="CP100" s="1409">
        <f t="shared" ca="1" si="133"/>
        <v>0</v>
      </c>
      <c r="CQ100" s="1409">
        <f t="shared" ca="1" si="134"/>
        <v>0</v>
      </c>
      <c r="CR100" s="1409">
        <f t="shared" ca="1" si="150"/>
        <v>0</v>
      </c>
      <c r="CS100" s="1131">
        <f t="shared" ca="1" si="135"/>
        <v>0</v>
      </c>
    </row>
    <row r="101" spans="3:97" s="1950" customFormat="1">
      <c r="C101" s="1950" t="s">
        <v>2183</v>
      </c>
      <c r="D101" s="1950" t="s">
        <v>2184</v>
      </c>
      <c r="F101" s="1131">
        <f t="shared" ca="1" si="166"/>
        <v>0</v>
      </c>
      <c r="G101" s="1131">
        <f t="shared" ca="1" si="166"/>
        <v>0</v>
      </c>
      <c r="H101" s="1131">
        <f t="shared" ca="1" si="166"/>
        <v>0</v>
      </c>
      <c r="I101" s="1131">
        <f t="shared" ca="1" si="166"/>
        <v>0</v>
      </c>
      <c r="J101" s="1131">
        <f t="shared" ca="1" si="166"/>
        <v>0</v>
      </c>
      <c r="K101" s="1131">
        <f t="shared" ca="1" si="166"/>
        <v>0</v>
      </c>
      <c r="L101" s="1131">
        <f t="shared" ca="1" si="166"/>
        <v>0</v>
      </c>
      <c r="M101" s="1131">
        <f t="shared" ca="1" si="166"/>
        <v>0</v>
      </c>
      <c r="N101" s="1131">
        <f t="shared" ca="1" si="166"/>
        <v>59.343063428586369</v>
      </c>
      <c r="O101" s="1131">
        <f t="shared" ca="1" si="166"/>
        <v>0</v>
      </c>
      <c r="P101" s="1131">
        <f t="shared" ca="1" si="104"/>
        <v>78.660594675268129</v>
      </c>
      <c r="Q101" s="1131"/>
      <c r="R101" s="1131"/>
      <c r="S101" s="1131">
        <f t="shared" ca="1" si="167"/>
        <v>0</v>
      </c>
      <c r="T101" s="1131">
        <f t="shared" ca="1" si="167"/>
        <v>0</v>
      </c>
      <c r="U101" s="1131">
        <f t="shared" ca="1" si="167"/>
        <v>0</v>
      </c>
      <c r="V101" s="1131">
        <f t="shared" ca="1" si="167"/>
        <v>0</v>
      </c>
      <c r="W101" s="1131">
        <f t="shared" ca="1" si="167"/>
        <v>0</v>
      </c>
      <c r="X101" s="1131">
        <f t="shared" ca="1" si="167"/>
        <v>0</v>
      </c>
      <c r="Y101" s="1131">
        <f t="shared" ca="1" si="167"/>
        <v>0</v>
      </c>
      <c r="Z101" s="1131">
        <f t="shared" ca="1" si="167"/>
        <v>0</v>
      </c>
      <c r="AA101" s="1131">
        <f t="shared" ca="1" si="167"/>
        <v>0</v>
      </c>
      <c r="AB101" s="1131">
        <f t="shared" ca="1" si="167"/>
        <v>0</v>
      </c>
      <c r="AC101" s="1131">
        <f t="shared" ca="1" si="106"/>
        <v>0</v>
      </c>
      <c r="AD101" s="1131"/>
      <c r="AE101" s="1131"/>
      <c r="AF101" s="1131">
        <f t="shared" ca="1" si="168"/>
        <v>0</v>
      </c>
      <c r="AG101" s="1131">
        <f t="shared" ca="1" si="168"/>
        <v>0</v>
      </c>
      <c r="AH101" s="1131">
        <f t="shared" ca="1" si="168"/>
        <v>0</v>
      </c>
      <c r="AI101" s="1131">
        <f t="shared" ca="1" si="168"/>
        <v>0</v>
      </c>
      <c r="AJ101" s="1131">
        <f t="shared" ca="1" si="168"/>
        <v>0</v>
      </c>
      <c r="AK101" s="1131">
        <f t="shared" ca="1" si="168"/>
        <v>0</v>
      </c>
      <c r="AL101" s="1131">
        <f t="shared" ca="1" si="168"/>
        <v>0</v>
      </c>
      <c r="AM101" s="1131">
        <f t="shared" ca="1" si="168"/>
        <v>0</v>
      </c>
      <c r="AN101" s="1131">
        <f t="shared" ca="1" si="168"/>
        <v>0</v>
      </c>
      <c r="AO101" s="1131">
        <f t="shared" ca="1" si="168"/>
        <v>0</v>
      </c>
      <c r="AP101" s="1131">
        <f t="shared" ca="1" si="108"/>
        <v>0</v>
      </c>
      <c r="AQ101" s="1131"/>
      <c r="AR101" s="1131"/>
      <c r="AS101" s="1131">
        <f t="shared" ca="1" si="169"/>
        <v>0</v>
      </c>
      <c r="AT101" s="1131">
        <f t="shared" ca="1" si="170"/>
        <v>0</v>
      </c>
      <c r="AU101" s="1131">
        <f t="shared" ca="1" si="171"/>
        <v>0</v>
      </c>
      <c r="AV101" s="1131">
        <f t="shared" ca="1" si="172"/>
        <v>0</v>
      </c>
      <c r="AW101" s="1131">
        <f t="shared" ca="1" si="173"/>
        <v>0</v>
      </c>
      <c r="AX101" s="1131">
        <f t="shared" ca="1" si="174"/>
        <v>0</v>
      </c>
      <c r="AY101" s="1131">
        <f t="shared" ca="1" si="175"/>
        <v>0</v>
      </c>
      <c r="AZ101" s="1131">
        <f t="shared" ca="1" si="176"/>
        <v>0</v>
      </c>
      <c r="BA101" s="1131">
        <f t="shared" ca="1" si="177"/>
        <v>59.343063428586369</v>
      </c>
      <c r="BB101" s="1131">
        <f t="shared" ca="1" si="136"/>
        <v>0</v>
      </c>
      <c r="BC101" s="1131">
        <f t="shared" ca="1" si="118"/>
        <v>78.660594675268129</v>
      </c>
      <c r="BD101" s="1131"/>
      <c r="BE101" s="1131"/>
      <c r="BF101" s="19">
        <f>'Global cost assumptions'!E75</f>
        <v>0.1</v>
      </c>
      <c r="BG101" s="1131">
        <f>'Global cost assumptions'!F75</f>
        <v>30</v>
      </c>
      <c r="BH101" s="1131"/>
      <c r="BI101" s="1131"/>
      <c r="BJ101" s="27">
        <f t="shared" ref="BJ101" ca="1" si="178">-PMT($BF101,$BG101,F101*3)</f>
        <v>0</v>
      </c>
      <c r="BK101" s="27">
        <f t="shared" ref="BK101" ca="1" si="179">-PMT($BF101,$BG101,G101*5)</f>
        <v>0</v>
      </c>
      <c r="BL101" s="27">
        <f t="shared" ref="BL101" ca="1" si="180">-PMT($BF101,$BG101,H101*5)</f>
        <v>0</v>
      </c>
      <c r="BM101" s="27">
        <f t="shared" ref="BM101" ca="1" si="181">-PMT($BF101,$BG101,I101*5)</f>
        <v>0</v>
      </c>
      <c r="BN101" s="27">
        <f t="shared" ref="BN101" ca="1" si="182">-PMT($BF101,$BG101,J101*5)</f>
        <v>0</v>
      </c>
      <c r="BO101" s="27">
        <f t="shared" ref="BO101" ca="1" si="183">-PMT($BF101,$BG101,K101*5)</f>
        <v>0</v>
      </c>
      <c r="BP101" s="27">
        <f t="shared" ref="BP101" ca="1" si="184">-PMT($BF101,$BG101,L101*5)</f>
        <v>0</v>
      </c>
      <c r="BQ101" s="27">
        <f t="shared" ref="BQ101" ca="1" si="185">-PMT($BF101,$BG101,M101*5)</f>
        <v>0</v>
      </c>
      <c r="BR101" s="27">
        <f t="shared" ref="BR101" ca="1" si="186">-PMT($BF101,$BG101,N101*5)</f>
        <v>31.475337787564072</v>
      </c>
      <c r="BS101" s="27"/>
      <c r="BT101" s="1131"/>
      <c r="BU101" s="1131"/>
      <c r="BV101" s="1409">
        <f t="shared" ref="BV101" ca="1" si="187">BJ101</f>
        <v>0</v>
      </c>
      <c r="BW101" s="1917">
        <f t="shared" ref="BW101" ca="1" si="188">BK101+IF(BW$11-$BV$11&lt;$BG101,$BJ101,0)</f>
        <v>0</v>
      </c>
      <c r="BX101" s="1917">
        <f t="shared" ref="BX101" ca="1" si="189">BL101+IF(BX$11-$BV$11&lt;$BG101,$BJ101,0)+IF(BX$11-$BW$11&lt;$BG101,$BK101,0)</f>
        <v>0</v>
      </c>
      <c r="BY101" s="1917">
        <f t="shared" ref="BY101" ca="1" si="190">BM101+IF(BY$11-$BV$11&lt;$BG101,$BJ101,0)+IF(BY$11-$BW$11&lt;$BG101,$BK101,0)+IF(BY$11-$BX$11&lt;$BG101,$BL101,0)</f>
        <v>0</v>
      </c>
      <c r="BZ101" s="1917">
        <f t="shared" ref="BZ101" ca="1" si="191">BN101+IF(BZ$11-$BV$11&lt;$BG101,$BJ101,0)+IF(BZ$11-$BW$11&lt;$BG101,$BK101,0)+IF(BZ$11-$BX$11&lt;$BG101,$BL101,0)+IF(BZ$11-$BY$11&lt;$BG101,$BM101,0)</f>
        <v>0</v>
      </c>
      <c r="CA101" s="1917">
        <f t="shared" ref="CA101" ca="1" si="192">BO101+IF(CA$11-$BV$11&lt;$BG101,$BJ101,0)+IF(CA$11-$BW$11&lt;$BG101,$BK101,0)+IF(CA$11-$BX$11&lt;$BG101,$BL101,0)+IF(CA$11-$BY$11&lt;$BG101,$BM101,0)+IF(CA$11-$BZ$11&lt;$BG101,$BN101,0)</f>
        <v>0</v>
      </c>
      <c r="CB101" s="1917">
        <f t="shared" ref="CB101" ca="1" si="193">BP101+IF(CB$11-$BV$11&lt;$BG101,$BJ101,0)+IF(CB$11-$BW$11&lt;$BG101,$BK101,0)+IF(CB$11-$BX$11&lt;$BG101,$BL101,0)+IF(CB$11-$BY$11&lt;$BG101,$BM101,0)+IF(CB$11-$BZ$11&lt;$BG101,$BN101,0)+IF(CB$11-$CA$11&lt;$BG101,$BO101,0)</f>
        <v>0</v>
      </c>
      <c r="CC101" s="1917">
        <f t="shared" ref="CC101" ca="1" si="194">BQ101+IF(CC$11-$BV$11&lt;$BG101,$BJ101,0)+IF(CC$11-$BW$11&lt;$BG101,$BK101,0)+IF(CC$11-$BX$11&lt;$BG101,$BL101,0)+IF(CC$11-$BY$11&lt;$BG101,$BM101,0)+IF(CC$11-$BZ$11&lt;$BG101,$BN101,0)+IF(CC$11-$CA$11&lt;$BG101,$BO101,0)+IF(CC$11-$BZ$11&lt;$BG101,$BN101,0)+IF(CC$11-$CB$11&lt;$BG101,$BP101,0)</f>
        <v>0</v>
      </c>
      <c r="CD101" s="1917">
        <f t="shared" ref="CD101" ca="1" si="195">BR101+IF(CD$11-$BV$11&lt;$BG101,$BJ101,0)+IF(CD$11-$BW$11&lt;$BG101,$BK101,0)+IF(CD$11-$BX$11&lt;$BG101,$BL101,0)+IF(CD$11-$BY$11&lt;$BG101,$BM101,0)+IF(CD$11-$BZ$11&lt;$BG101,$BN101,0)+IF(CD$11-$CA$11&lt;$BG101,$BO101,0)+IF(CD$11-$BZ$11&lt;$BG101,$BN101,0)+IF(CD$11-$CB$11&lt;$BG101,$BP101,0)+IF(CD$11-$CC$11&lt;$BG101,$BQ101,0)</f>
        <v>31.475337787564072</v>
      </c>
      <c r="CE101" s="1917">
        <f t="shared" si="148"/>
        <v>0</v>
      </c>
      <c r="CF101" s="1131">
        <f t="shared" ca="1" si="126"/>
        <v>41.721283751287913</v>
      </c>
      <c r="CG101" s="1131"/>
      <c r="CH101" s="1131"/>
      <c r="CI101" s="1409">
        <f t="shared" ref="CI101" ca="1" si="196">S101+AF101+BV101</f>
        <v>0</v>
      </c>
      <c r="CJ101" s="1409">
        <f t="shared" ref="CJ101" ca="1" si="197">T101+AG101+BW101</f>
        <v>0</v>
      </c>
      <c r="CK101" s="1409">
        <f t="shared" ref="CK101" ca="1" si="198">U101+AH101+BX101</f>
        <v>0</v>
      </c>
      <c r="CL101" s="1409">
        <f t="shared" ref="CL101" ca="1" si="199">V101+AI101+BY101</f>
        <v>0</v>
      </c>
      <c r="CM101" s="1409">
        <f t="shared" ref="CM101" ca="1" si="200">W101+AJ101+BZ101</f>
        <v>0</v>
      </c>
      <c r="CN101" s="1409">
        <f t="shared" ref="CN101" ca="1" si="201">X101+AK101+CA101</f>
        <v>0</v>
      </c>
      <c r="CO101" s="1409">
        <f t="shared" ref="CO101" ca="1" si="202">Y101+AL101+CB101</f>
        <v>0</v>
      </c>
      <c r="CP101" s="1409">
        <f t="shared" ref="CP101" ca="1" si="203">Z101+AM101+CC101</f>
        <v>0</v>
      </c>
      <c r="CQ101" s="1409">
        <f t="shared" ref="CQ101" ca="1" si="204">AA101+AN101+CD101</f>
        <v>31.475337787564072</v>
      </c>
      <c r="CR101" s="1409">
        <f t="shared" ca="1" si="150"/>
        <v>0</v>
      </c>
      <c r="CS101" s="1131">
        <f t="shared" ca="1" si="135"/>
        <v>41.721283751287913</v>
      </c>
    </row>
    <row r="102" spans="3:97">
      <c r="D102" s="530" t="s">
        <v>132</v>
      </c>
      <c r="F102" s="1131">
        <f t="shared" ref="F102:O102" ca="1" si="205">SUM(F59:F101)</f>
        <v>0</v>
      </c>
      <c r="G102" s="1131">
        <f t="shared" ca="1" si="205"/>
        <v>495.61599999999993</v>
      </c>
      <c r="H102" s="1131">
        <f t="shared" ca="1" si="205"/>
        <v>734.94399999999996</v>
      </c>
      <c r="I102" s="1131">
        <f t="shared" ca="1" si="205"/>
        <v>1855.8624268799995</v>
      </c>
      <c r="J102" s="1131">
        <f t="shared" ca="1" si="205"/>
        <v>3917.9317900799983</v>
      </c>
      <c r="K102" s="1131">
        <f t="shared" ca="1" si="205"/>
        <v>5155.1734079999997</v>
      </c>
      <c r="L102" s="1131">
        <f t="shared" ca="1" si="205"/>
        <v>5155.1734080000006</v>
      </c>
      <c r="M102" s="1131">
        <f t="shared" ca="1" si="205"/>
        <v>5155.1734079999987</v>
      </c>
      <c r="N102" s="1131">
        <f t="shared" ca="1" si="205"/>
        <v>5214.5164714285847</v>
      </c>
      <c r="O102" s="1131">
        <f t="shared" ca="1" si="205"/>
        <v>0</v>
      </c>
      <c r="P102" s="1131">
        <f t="shared" ca="1" si="104"/>
        <v>54999.379087355352</v>
      </c>
      <c r="Q102" s="1131"/>
      <c r="R102" s="1131"/>
      <c r="S102" s="1131">
        <f t="shared" ref="S102:AB102" ca="1" si="206">SUM(S59:S101)</f>
        <v>0</v>
      </c>
      <c r="T102" s="1131">
        <f t="shared" ca="1" si="206"/>
        <v>15.339999999999998</v>
      </c>
      <c r="U102" s="1131">
        <f t="shared" ca="1" si="206"/>
        <v>20.740000000000002</v>
      </c>
      <c r="V102" s="1131">
        <f t="shared" ca="1" si="206"/>
        <v>55.079783999999989</v>
      </c>
      <c r="W102" s="1131">
        <f t="shared" ca="1" si="206"/>
        <v>116.27954399999996</v>
      </c>
      <c r="X102" s="1131">
        <f t="shared" ca="1" si="206"/>
        <v>152.99939999999998</v>
      </c>
      <c r="Y102" s="1131">
        <f t="shared" ca="1" si="206"/>
        <v>152.99940000000001</v>
      </c>
      <c r="Z102" s="1131">
        <f t="shared" ca="1" si="206"/>
        <v>152.99939999999998</v>
      </c>
      <c r="AA102" s="1131">
        <f t="shared" ca="1" si="206"/>
        <v>153.35351270348005</v>
      </c>
      <c r="AB102" s="1131">
        <f t="shared" ca="1" si="206"/>
        <v>0</v>
      </c>
      <c r="AC102" s="1131">
        <f t="shared" ca="1" si="106"/>
        <v>1629.3052890873266</v>
      </c>
      <c r="AD102" s="1131"/>
      <c r="AE102" s="1131"/>
      <c r="AF102" s="1131">
        <f t="shared" ref="AF102:AO102" ca="1" si="207">SUM(AF59:AF101)</f>
        <v>77454.743977165679</v>
      </c>
      <c r="AG102" s="1131">
        <f t="shared" ca="1" si="207"/>
        <v>61673.94307652628</v>
      </c>
      <c r="AH102" s="1131">
        <f t="shared" ca="1" si="207"/>
        <v>48115.800954381259</v>
      </c>
      <c r="AI102" s="1131">
        <f t="shared" ca="1" si="207"/>
        <v>37572.064847132911</v>
      </c>
      <c r="AJ102" s="1131">
        <f t="shared" ca="1" si="207"/>
        <v>28659.883262646108</v>
      </c>
      <c r="AK102" s="1131">
        <f t="shared" ca="1" si="207"/>
        <v>22346.958977655057</v>
      </c>
      <c r="AL102" s="1131">
        <f t="shared" ca="1" si="207"/>
        <v>17462.138506048163</v>
      </c>
      <c r="AM102" s="1131">
        <f t="shared" ca="1" si="207"/>
        <v>13682.357542008991</v>
      </c>
      <c r="AN102" s="1131">
        <f t="shared" ca="1" si="207"/>
        <v>4714.2415199220668</v>
      </c>
      <c r="AO102" s="1131">
        <f t="shared" ca="1" si="207"/>
        <v>0</v>
      </c>
      <c r="AP102" s="1131">
        <f t="shared" ca="1" si="108"/>
        <v>797455.12638217467</v>
      </c>
      <c r="AQ102" s="1131"/>
      <c r="AR102" s="1131"/>
      <c r="AS102" s="1131">
        <f t="shared" ref="AS102:BB102" ca="1" si="208">SUM(AS59:AS101)</f>
        <v>77454.743977165679</v>
      </c>
      <c r="AT102" s="1131">
        <f t="shared" ca="1" si="208"/>
        <v>62184.899076526279</v>
      </c>
      <c r="AU102" s="1131">
        <f t="shared" ca="1" si="208"/>
        <v>48871.48495438126</v>
      </c>
      <c r="AV102" s="1131">
        <f t="shared" ca="1" si="208"/>
        <v>39483.00705801291</v>
      </c>
      <c r="AW102" s="1131">
        <f t="shared" ca="1" si="208"/>
        <v>32694.094596726107</v>
      </c>
      <c r="AX102" s="1131">
        <f t="shared" ca="1" si="208"/>
        <v>27655.131785655056</v>
      </c>
      <c r="AY102" s="1131">
        <f t="shared" ca="1" si="208"/>
        <v>22770.311314048162</v>
      </c>
      <c r="AZ102" s="1131">
        <f t="shared" ca="1" si="208"/>
        <v>18990.53035000899</v>
      </c>
      <c r="BA102" s="1131">
        <f t="shared" ca="1" si="208"/>
        <v>10082.111504054132</v>
      </c>
      <c r="BB102" s="1131">
        <f t="shared" ca="1" si="208"/>
        <v>0</v>
      </c>
      <c r="BC102" s="1131">
        <f t="shared" ca="1" si="118"/>
        <v>854083.81075861724</v>
      </c>
      <c r="BD102" s="1131"/>
      <c r="BE102" s="1131"/>
      <c r="BF102" s="1131"/>
      <c r="BG102" s="1131"/>
      <c r="BH102" s="1131"/>
      <c r="BI102" s="1131"/>
      <c r="BJ102" s="1131">
        <f ca="1">SUM(BJ59:BJ100)</f>
        <v>0</v>
      </c>
      <c r="BK102" s="1131">
        <f t="shared" ref="BK102:BR102" ca="1" si="209">SUM(BK59:BK100)</f>
        <v>262.87286350988705</v>
      </c>
      <c r="BL102" s="1131">
        <f t="shared" ca="1" si="209"/>
        <v>389.81153513891894</v>
      </c>
      <c r="BM102" s="1131">
        <f t="shared" ca="1" si="209"/>
        <v>984.34245551869571</v>
      </c>
      <c r="BN102" s="1131">
        <f t="shared" ca="1" si="209"/>
        <v>2078.0562949839127</v>
      </c>
      <c r="BO102" s="1131">
        <f t="shared" ca="1" si="209"/>
        <v>2734.2845986630441</v>
      </c>
      <c r="BP102" s="1131">
        <f t="shared" ca="1" si="209"/>
        <v>2734.284598663045</v>
      </c>
      <c r="BQ102" s="1131">
        <f t="shared" ca="1" si="209"/>
        <v>2734.2845986630437</v>
      </c>
      <c r="BR102" s="1131">
        <f t="shared" ca="1" si="209"/>
        <v>2734.2845986630437</v>
      </c>
      <c r="BS102" s="1131"/>
      <c r="BT102" s="1131"/>
      <c r="BU102" s="1131"/>
      <c r="BV102" s="1131">
        <f ca="1">SUM(BV59:BV100)</f>
        <v>0</v>
      </c>
      <c r="BW102" s="1131">
        <f t="shared" ref="BW102:CE102" ca="1" si="210">SUM(BW59:BW100)</f>
        <v>262.87286350988705</v>
      </c>
      <c r="BX102" s="1131">
        <f t="shared" ca="1" si="210"/>
        <v>652.684398648806</v>
      </c>
      <c r="BY102" s="1131">
        <f t="shared" ca="1" si="210"/>
        <v>1637.0268541675018</v>
      </c>
      <c r="BZ102" s="1131">
        <f t="shared" ca="1" si="210"/>
        <v>3715.0831491514141</v>
      </c>
      <c r="CA102" s="1131">
        <f t="shared" ca="1" si="210"/>
        <v>6449.3677478144582</v>
      </c>
      <c r="CB102" s="1131">
        <f t="shared" ca="1" si="210"/>
        <v>9183.6523464775037</v>
      </c>
      <c r="CC102" s="1131">
        <f t="shared" ca="1" si="210"/>
        <v>13733.120376614574</v>
      </c>
      <c r="CD102" s="1131">
        <f t="shared" ca="1" si="210"/>
        <v>16077.593440138698</v>
      </c>
      <c r="CE102" s="1131">
        <f t="shared" si="210"/>
        <v>0</v>
      </c>
      <c r="CF102" s="1131">
        <f t="shared" ca="1" si="126"/>
        <v>90060.141524852501</v>
      </c>
      <c r="CG102" s="1131"/>
      <c r="CH102" s="1131"/>
      <c r="CI102" s="1131">
        <f ca="1">SUM(CI59:CI100)</f>
        <v>77454.743977165679</v>
      </c>
      <c r="CJ102" s="1131">
        <f t="shared" ref="CJ102:CR102" ca="1" si="211">SUM(CJ59:CJ100)</f>
        <v>61952.155940036166</v>
      </c>
      <c r="CK102" s="1131">
        <f t="shared" ca="1" si="211"/>
        <v>48789.225353030066</v>
      </c>
      <c r="CL102" s="1131">
        <f t="shared" ca="1" si="211"/>
        <v>39264.171485300416</v>
      </c>
      <c r="CM102" s="1131">
        <f t="shared" ca="1" si="211"/>
        <v>32491.245955797523</v>
      </c>
      <c r="CN102" s="1131">
        <f t="shared" ca="1" si="211"/>
        <v>28949.326125469513</v>
      </c>
      <c r="CO102" s="1131">
        <f t="shared" ca="1" si="211"/>
        <v>26798.790252525665</v>
      </c>
      <c r="CP102" s="1131">
        <f t="shared" ca="1" si="211"/>
        <v>27568.477318623565</v>
      </c>
      <c r="CQ102" s="1131">
        <f t="shared" ca="1" si="211"/>
        <v>20945.188472764246</v>
      </c>
      <c r="CR102" s="1131">
        <f t="shared" ca="1" si="211"/>
        <v>0</v>
      </c>
      <c r="CS102" s="1131">
        <f t="shared" ca="1" si="135"/>
        <v>889144.57319611451</v>
      </c>
    </row>
    <row r="103" spans="3:97">
      <c r="CF103" s="1131"/>
    </row>
  </sheetData>
  <mergeCells count="2">
    <mergeCell ref="BF10:BG10"/>
    <mergeCell ref="BF57:BG57"/>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6" enableFormatConditionsCalculation="0"/>
  <dimension ref="C2:Q75"/>
  <sheetViews>
    <sheetView topLeftCell="A33" workbookViewId="0">
      <selection activeCell="H55" sqref="H55"/>
    </sheetView>
  </sheetViews>
  <sheetFormatPr baseColWidth="10" defaultColWidth="8.83203125" defaultRowHeight="13" x14ac:dyDescent="0"/>
  <cols>
    <col min="1" max="3" width="8.83203125" style="1763"/>
    <col min="4" max="4" width="34.6640625" style="1763" bestFit="1" customWidth="1"/>
    <col min="5" max="5" width="16.5" style="1763" bestFit="1" customWidth="1"/>
    <col min="6" max="6" width="18.1640625" style="1763" bestFit="1" customWidth="1"/>
    <col min="7" max="7" width="25.33203125" style="1763" customWidth="1"/>
    <col min="8" max="12" width="8.83203125" style="1763"/>
    <col min="13" max="13" width="10.1640625" style="1763" bestFit="1" customWidth="1"/>
    <col min="14" max="16384" width="8.83203125" style="1763"/>
  </cols>
  <sheetData>
    <row r="2" spans="3:17" ht="18">
      <c r="C2" s="29" t="s">
        <v>1960</v>
      </c>
      <c r="G2" s="29" t="s">
        <v>1961</v>
      </c>
    </row>
    <row r="3" spans="3:17" ht="5.25" customHeight="1"/>
    <row r="4" spans="3:17" ht="15" thickBot="1">
      <c r="C4" s="1765" t="s">
        <v>77</v>
      </c>
      <c r="D4" s="1765" t="s">
        <v>73</v>
      </c>
      <c r="E4" s="1766" t="s">
        <v>74</v>
      </c>
      <c r="G4" s="1453" t="s">
        <v>598</v>
      </c>
      <c r="H4" s="1424">
        <v>2010</v>
      </c>
      <c r="I4" s="1424">
        <v>2015</v>
      </c>
      <c r="J4" s="1424">
        <v>2020</v>
      </c>
      <c r="K4" s="1424">
        <v>2025</v>
      </c>
      <c r="L4" s="1424">
        <v>2030</v>
      </c>
      <c r="M4" s="1424">
        <v>2035</v>
      </c>
      <c r="N4" s="1424">
        <v>2040</v>
      </c>
      <c r="O4" s="1424">
        <v>2045</v>
      </c>
      <c r="P4" s="1424">
        <v>2050</v>
      </c>
      <c r="Q4" s="1957" t="s">
        <v>2201</v>
      </c>
    </row>
    <row r="5" spans="3:17" s="1929" customFormat="1" ht="15" thickTop="1">
      <c r="C5" s="1930"/>
      <c r="D5" s="1930"/>
      <c r="E5" s="1931"/>
      <c r="G5" s="1932" t="s">
        <v>2178</v>
      </c>
      <c r="H5" s="1933">
        <v>3.5000000000000003E-2</v>
      </c>
      <c r="I5" s="1934">
        <f t="shared" ref="I5:N5" si="0">Discount_rate</f>
        <v>3.5000000000000003E-2</v>
      </c>
      <c r="J5" s="1934">
        <f t="shared" si="0"/>
        <v>3.5000000000000003E-2</v>
      </c>
      <c r="K5" s="1934">
        <f t="shared" si="0"/>
        <v>3.5000000000000003E-2</v>
      </c>
      <c r="L5" s="1934">
        <f t="shared" si="0"/>
        <v>3.5000000000000003E-2</v>
      </c>
      <c r="M5" s="1934">
        <f t="shared" si="0"/>
        <v>3.5000000000000003E-2</v>
      </c>
      <c r="N5" s="1934">
        <f t="shared" si="0"/>
        <v>3.5000000000000003E-2</v>
      </c>
      <c r="O5" s="1935">
        <v>0.03</v>
      </c>
      <c r="P5" s="1935">
        <v>0.03</v>
      </c>
      <c r="Q5" s="1936"/>
    </row>
    <row r="6" spans="3:17" s="1929" customFormat="1" ht="14">
      <c r="C6" s="1930"/>
      <c r="D6" s="1930"/>
      <c r="E6" s="1931"/>
      <c r="G6" s="1461" t="s">
        <v>1962</v>
      </c>
      <c r="H6" s="1922">
        <v>1</v>
      </c>
      <c r="I6" s="1922">
        <f t="shared" ref="I6:P6" si="1">H6/((1+I5)^5)</f>
        <v>0.84197316685852419</v>
      </c>
      <c r="J6" s="1922">
        <f t="shared" si="1"/>
        <v>0.70891881370977217</v>
      </c>
      <c r="K6" s="1922">
        <f t="shared" si="1"/>
        <v>0.59689061862480497</v>
      </c>
      <c r="L6" s="1922">
        <f t="shared" si="1"/>
        <v>0.50256588443167061</v>
      </c>
      <c r="M6" s="1922">
        <f t="shared" si="1"/>
        <v>0.42314698926998878</v>
      </c>
      <c r="N6" s="1922">
        <f t="shared" si="1"/>
        <v>0.35627841060230242</v>
      </c>
      <c r="O6" s="1922">
        <f t="shared" si="1"/>
        <v>0.30732888667197417</v>
      </c>
      <c r="P6" s="1922">
        <f t="shared" si="1"/>
        <v>0.26510459733825015</v>
      </c>
      <c r="Q6" s="1949">
        <f>P6</f>
        <v>0.26510459733825015</v>
      </c>
    </row>
    <row r="7" spans="3:17">
      <c r="C7" s="1767" t="s">
        <v>1953</v>
      </c>
      <c r="D7" s="1768" t="s">
        <v>1954</v>
      </c>
      <c r="E7" s="1769"/>
      <c r="G7" s="40"/>
      <c r="H7" s="1920"/>
      <c r="I7" s="1921"/>
      <c r="J7" s="1921"/>
      <c r="K7" s="1921"/>
      <c r="L7" s="1921"/>
      <c r="M7" s="1921"/>
      <c r="N7" s="1921"/>
      <c r="O7" s="1921"/>
      <c r="P7" s="1921"/>
    </row>
    <row r="8" spans="3:17">
      <c r="C8" s="1767" t="s">
        <v>1944</v>
      </c>
      <c r="D8" s="1768" t="s">
        <v>1945</v>
      </c>
      <c r="E8" s="1769"/>
    </row>
    <row r="9" spans="3:17">
      <c r="C9" s="1767" t="s">
        <v>1955</v>
      </c>
      <c r="D9" s="1768" t="s">
        <v>1956</v>
      </c>
      <c r="E9" s="1769"/>
      <c r="H9" s="1728"/>
      <c r="I9" s="1127"/>
      <c r="J9" s="1127"/>
      <c r="K9" s="1127"/>
      <c r="L9" s="1127"/>
      <c r="M9" s="1127"/>
      <c r="N9" s="1127"/>
      <c r="O9" s="1127"/>
      <c r="P9" s="1127"/>
    </row>
    <row r="10" spans="3:17">
      <c r="C10" s="1767" t="s">
        <v>1946</v>
      </c>
      <c r="D10" s="1768" t="s">
        <v>1947</v>
      </c>
      <c r="E10" s="1769"/>
    </row>
    <row r="11" spans="3:17">
      <c r="C11" s="1767" t="s">
        <v>1957</v>
      </c>
      <c r="D11" s="1768" t="s">
        <v>1958</v>
      </c>
      <c r="E11" s="1769"/>
    </row>
    <row r="12" spans="3:17">
      <c r="C12" s="1767" t="s">
        <v>1948</v>
      </c>
      <c r="D12" s="1768" t="s">
        <v>1949</v>
      </c>
      <c r="E12" s="1769"/>
    </row>
    <row r="14" spans="3:17" ht="18">
      <c r="C14" s="29" t="s">
        <v>1963</v>
      </c>
      <c r="D14" s="29"/>
    </row>
    <row r="15" spans="3:17" ht="4.5" customHeight="1"/>
    <row r="16" spans="3:17">
      <c r="C16" s="1770" t="s">
        <v>79</v>
      </c>
      <c r="D16" s="1771" t="s">
        <v>399</v>
      </c>
      <c r="E16" s="1771" t="s">
        <v>400</v>
      </c>
      <c r="F16" s="1772" t="str">
        <f>Preferences.moneyunits</f>
        <v>£m</v>
      </c>
      <c r="G16" s="1773" t="s">
        <v>1964</v>
      </c>
    </row>
    <row r="17" spans="3:12">
      <c r="C17" s="1455" t="s">
        <v>1965</v>
      </c>
      <c r="D17" s="40" t="s">
        <v>1966</v>
      </c>
      <c r="E17" s="1774" t="s">
        <v>1967</v>
      </c>
      <c r="F17" s="1404">
        <f t="shared" ref="F17:F25" si="2">$G17/INDEX(Conversions.Money.GBP, MATCH(F$16, Conversions.Money.Units, 0))</f>
        <v>2438.92</v>
      </c>
      <c r="G17" s="1775">
        <f>1*'Global assumptions'!C5*(2050-2010)</f>
        <v>2438920000</v>
      </c>
    </row>
    <row r="18" spans="3:12">
      <c r="C18" s="1712" t="s">
        <v>1968</v>
      </c>
      <c r="D18" s="30" t="s">
        <v>1969</v>
      </c>
      <c r="E18" s="36" t="s">
        <v>1970</v>
      </c>
      <c r="F18" s="1404">
        <f t="shared" si="2"/>
        <v>1000000</v>
      </c>
      <c r="G18" s="1776">
        <v>1000000000000</v>
      </c>
    </row>
    <row r="19" spans="3:12">
      <c r="C19" s="1712" t="s">
        <v>1971</v>
      </c>
      <c r="D19" s="30" t="s">
        <v>1972</v>
      </c>
      <c r="E19" s="36" t="s">
        <v>1973</v>
      </c>
      <c r="F19" s="1404">
        <f t="shared" si="2"/>
        <v>1000</v>
      </c>
      <c r="G19" s="1776">
        <v>1000000000</v>
      </c>
    </row>
    <row r="20" spans="3:12">
      <c r="C20" s="1712" t="s">
        <v>1974</v>
      </c>
      <c r="D20" s="30" t="s">
        <v>1975</v>
      </c>
      <c r="E20" s="36" t="s">
        <v>1976</v>
      </c>
      <c r="F20" s="1404">
        <f t="shared" si="2"/>
        <v>1</v>
      </c>
      <c r="G20" s="1776">
        <v>1000000</v>
      </c>
    </row>
    <row r="21" spans="3:12">
      <c r="C21" s="1712" t="s">
        <v>1977</v>
      </c>
      <c r="D21" s="30" t="s">
        <v>1978</v>
      </c>
      <c r="E21" s="36" t="s">
        <v>1979</v>
      </c>
      <c r="F21" s="1404">
        <f t="shared" si="2"/>
        <v>1E-3</v>
      </c>
      <c r="G21" s="1776">
        <v>1000</v>
      </c>
    </row>
    <row r="22" spans="3:12" s="1806" customFormat="1">
      <c r="C22" s="1712" t="s">
        <v>2024</v>
      </c>
      <c r="D22" s="30" t="s">
        <v>2026</v>
      </c>
      <c r="E22" s="36" t="s">
        <v>2025</v>
      </c>
      <c r="F22" s="1404">
        <f t="shared" si="2"/>
        <v>3968527.1046142331</v>
      </c>
      <c r="G22" s="1776">
        <f>1%*(SUM('Global assumptions'!E6:E14)*5)+('Global assumptions'!E5*3)*1000000</f>
        <v>3968527104614.2329</v>
      </c>
    </row>
    <row r="23" spans="3:12" s="1899" customFormat="1">
      <c r="C23" s="1712" t="s">
        <v>2068</v>
      </c>
      <c r="D23" s="30" t="s">
        <v>2069</v>
      </c>
      <c r="E23" s="36" t="s">
        <v>2070</v>
      </c>
      <c r="F23" s="1404">
        <f t="shared" si="2"/>
        <v>6.2893081761006289E-7</v>
      </c>
      <c r="G23" s="1776">
        <f>1/1.59</f>
        <v>0.62893081761006286</v>
      </c>
    </row>
    <row r="24" spans="3:12" s="1790" customFormat="1">
      <c r="C24" s="1712" t="s">
        <v>2012</v>
      </c>
      <c r="D24" s="30" t="s">
        <v>2013</v>
      </c>
      <c r="E24" s="36" t="s">
        <v>2014</v>
      </c>
      <c r="F24" s="1404">
        <f t="shared" si="2"/>
        <v>6.2500000000000005E-7</v>
      </c>
      <c r="G24" s="1776">
        <f>1/1.6</f>
        <v>0.625</v>
      </c>
    </row>
    <row r="25" spans="3:12">
      <c r="C25" s="1777" t="s">
        <v>1964</v>
      </c>
      <c r="D25" s="32" t="s">
        <v>1980</v>
      </c>
      <c r="E25" s="37" t="s">
        <v>1981</v>
      </c>
      <c r="F25" s="1406">
        <f t="shared" si="2"/>
        <v>9.9999999999999995E-7</v>
      </c>
      <c r="G25" s="1778">
        <v>1</v>
      </c>
    </row>
    <row r="27" spans="3:12">
      <c r="C27" s="38"/>
      <c r="D27" s="38"/>
      <c r="E27" s="1387" t="s">
        <v>1982</v>
      </c>
    </row>
    <row r="28" spans="3:12">
      <c r="D28" s="1418"/>
    </row>
    <row r="29" spans="3:12" ht="18">
      <c r="C29" s="29" t="s">
        <v>2177</v>
      </c>
      <c r="D29" s="1418"/>
      <c r="H29" s="29" t="s">
        <v>2174</v>
      </c>
    </row>
    <row r="30" spans="3:12" ht="6" customHeight="1">
      <c r="D30" s="1418"/>
      <c r="E30" s="1975"/>
      <c r="F30" s="1975"/>
    </row>
    <row r="31" spans="3:12" s="1914" customFormat="1">
      <c r="C31" s="1923" t="s">
        <v>184</v>
      </c>
      <c r="D31" s="1924"/>
      <c r="E31" s="1924" t="s">
        <v>2144</v>
      </c>
      <c r="F31" s="1925" t="s">
        <v>2054</v>
      </c>
      <c r="H31" s="1928" t="s">
        <v>2175</v>
      </c>
      <c r="I31" s="1424"/>
      <c r="J31" s="1454"/>
      <c r="K31" s="1763"/>
      <c r="L31" s="1763"/>
    </row>
    <row r="32" spans="3:12" s="1914" customFormat="1" ht="4.5" customHeight="1">
      <c r="C32" s="1455"/>
      <c r="D32" s="40"/>
      <c r="E32" s="40"/>
      <c r="F32" s="1460"/>
      <c r="H32" s="1455"/>
      <c r="I32" s="40"/>
      <c r="J32" s="1460"/>
      <c r="K32" s="1763"/>
      <c r="L32" s="1763"/>
    </row>
    <row r="33" spans="3:12">
      <c r="C33" s="1455" t="s">
        <v>623</v>
      </c>
      <c r="D33" s="40" t="s">
        <v>1524</v>
      </c>
      <c r="E33" s="1926">
        <v>0.1</v>
      </c>
      <c r="F33" s="1460">
        <v>30</v>
      </c>
      <c r="H33" s="1455" t="s">
        <v>2155</v>
      </c>
      <c r="I33" s="40">
        <v>57.915999999999997</v>
      </c>
      <c r="J33" s="1460">
        <f t="shared" ref="J33:J53" si="3">1+(($I$53-I33)/I33)</f>
        <v>1.7266385800124318</v>
      </c>
    </row>
    <row r="34" spans="3:12">
      <c r="C34" s="1455" t="s">
        <v>679</v>
      </c>
      <c r="D34" s="40" t="s">
        <v>1033</v>
      </c>
      <c r="E34" s="1926">
        <v>0.1</v>
      </c>
      <c r="F34" s="1460">
        <v>30</v>
      </c>
      <c r="H34" s="1455" t="s">
        <v>2156</v>
      </c>
      <c r="I34" s="40">
        <v>61.656999999999996</v>
      </c>
      <c r="J34" s="1460">
        <f t="shared" si="3"/>
        <v>1.6218758616215516</v>
      </c>
    </row>
    <row r="35" spans="3:12">
      <c r="C35" s="1455" t="s">
        <v>635</v>
      </c>
      <c r="D35" s="40" t="s">
        <v>1026</v>
      </c>
      <c r="E35" s="1926">
        <v>0.1</v>
      </c>
      <c r="F35" s="1460">
        <v>30</v>
      </c>
      <c r="H35" s="1455" t="s">
        <v>2157</v>
      </c>
      <c r="I35" s="40">
        <v>63.975000000000001</v>
      </c>
      <c r="J35" s="1460">
        <f t="shared" si="3"/>
        <v>1.5631105900742477</v>
      </c>
    </row>
    <row r="36" spans="3:12">
      <c r="C36" s="1455" t="s">
        <v>1070</v>
      </c>
      <c r="D36" s="40" t="s">
        <v>684</v>
      </c>
      <c r="E36" s="1926">
        <v>0.1</v>
      </c>
      <c r="F36" s="1460">
        <v>30</v>
      </c>
      <c r="H36" s="1455" t="s">
        <v>2158</v>
      </c>
      <c r="I36" s="40">
        <v>65.814999999999998</v>
      </c>
      <c r="J36" s="1460">
        <f t="shared" si="3"/>
        <v>1.5194104687381298</v>
      </c>
    </row>
    <row r="37" spans="3:12">
      <c r="C37" s="1455" t="s">
        <v>1071</v>
      </c>
      <c r="D37" s="40" t="s">
        <v>685</v>
      </c>
      <c r="E37" s="1926">
        <v>0.1</v>
      </c>
      <c r="F37" s="1460">
        <v>30</v>
      </c>
      <c r="H37" s="1455" t="s">
        <v>2159</v>
      </c>
      <c r="I37" s="40">
        <v>66.855999999999995</v>
      </c>
      <c r="J37" s="1460">
        <f t="shared" si="3"/>
        <v>1.4957520641378486</v>
      </c>
    </row>
    <row r="38" spans="3:12">
      <c r="C38" s="1455" t="s">
        <v>650</v>
      </c>
      <c r="D38" s="40" t="s">
        <v>63</v>
      </c>
      <c r="E38" s="1926">
        <v>0.1</v>
      </c>
      <c r="F38" s="1460">
        <v>30</v>
      </c>
      <c r="H38" s="1455" t="s">
        <v>2160</v>
      </c>
      <c r="I38" s="40">
        <v>68.647000000000006</v>
      </c>
      <c r="J38" s="1460">
        <f t="shared" si="3"/>
        <v>1.4567278977959706</v>
      </c>
    </row>
    <row r="39" spans="3:12">
      <c r="C39" s="1455" t="s">
        <v>652</v>
      </c>
      <c r="D39" s="40" t="s">
        <v>1250</v>
      </c>
      <c r="E39" s="1926">
        <v>0.1</v>
      </c>
      <c r="F39" s="1460">
        <v>30</v>
      </c>
      <c r="H39" s="1455" t="s">
        <v>2161</v>
      </c>
      <c r="I39" s="40">
        <v>71.131</v>
      </c>
      <c r="J39" s="1460">
        <f t="shared" si="3"/>
        <v>1.4058567994264104</v>
      </c>
      <c r="K39" s="1806"/>
      <c r="L39" s="1806"/>
    </row>
    <row r="40" spans="3:12">
      <c r="C40" s="1455" t="s">
        <v>653</v>
      </c>
      <c r="D40" s="40" t="s">
        <v>3</v>
      </c>
      <c r="E40" s="1926">
        <v>0.1</v>
      </c>
      <c r="F40" s="1460">
        <v>30</v>
      </c>
      <c r="H40" s="1455" t="s">
        <v>2162</v>
      </c>
      <c r="I40" s="40">
        <v>73.114000000000004</v>
      </c>
      <c r="J40" s="1460">
        <f t="shared" si="3"/>
        <v>1.3677271110867959</v>
      </c>
      <c r="K40" s="1899"/>
      <c r="L40" s="1899"/>
    </row>
    <row r="41" spans="3:12">
      <c r="C41" s="1455" t="s">
        <v>654</v>
      </c>
      <c r="D41" s="40" t="s">
        <v>1410</v>
      </c>
      <c r="E41" s="1926">
        <v>0.1</v>
      </c>
      <c r="F41" s="1460">
        <v>30</v>
      </c>
      <c r="H41" s="1455" t="s">
        <v>2163</v>
      </c>
      <c r="I41" s="40">
        <v>74.734999999999999</v>
      </c>
      <c r="J41" s="1460">
        <f t="shared" si="3"/>
        <v>1.3380611493945274</v>
      </c>
      <c r="K41" s="1790"/>
      <c r="L41" s="1790"/>
    </row>
    <row r="42" spans="3:12">
      <c r="C42" s="1455" t="s">
        <v>743</v>
      </c>
      <c r="D42" s="40" t="s">
        <v>1023</v>
      </c>
      <c r="E42" s="1926">
        <v>0.1</v>
      </c>
      <c r="F42" s="1460">
        <v>30</v>
      </c>
      <c r="H42" s="1455" t="s">
        <v>2164</v>
      </c>
      <c r="I42" s="40">
        <v>76.304000000000002</v>
      </c>
      <c r="J42" s="1460">
        <f t="shared" si="3"/>
        <v>1.3105472845460264</v>
      </c>
    </row>
    <row r="43" spans="3:12">
      <c r="C43" s="1455" t="s">
        <v>973</v>
      </c>
      <c r="D43" s="40" t="s">
        <v>1024</v>
      </c>
      <c r="E43" s="1926">
        <v>0.1</v>
      </c>
      <c r="F43" s="1460">
        <v>30</v>
      </c>
      <c r="H43" s="1455" t="s">
        <v>2165</v>
      </c>
      <c r="I43" s="40">
        <v>77.207999999999998</v>
      </c>
      <c r="J43" s="1460">
        <f t="shared" si="3"/>
        <v>1.2952025696818983</v>
      </c>
    </row>
    <row r="44" spans="3:12">
      <c r="C44" s="1455" t="s">
        <v>1021</v>
      </c>
      <c r="D44" s="40" t="s">
        <v>1025</v>
      </c>
      <c r="E44" s="1926">
        <v>0.1</v>
      </c>
      <c r="F44" s="1460">
        <v>30</v>
      </c>
      <c r="H44" s="1455" t="s">
        <v>2166</v>
      </c>
      <c r="I44" s="40">
        <v>78.849000000000004</v>
      </c>
      <c r="J44" s="1460">
        <f t="shared" si="3"/>
        <v>1.2682469023069411</v>
      </c>
    </row>
    <row r="45" spans="3:12">
      <c r="C45" s="1455" t="s">
        <v>734</v>
      </c>
      <c r="D45" s="40" t="s">
        <v>1952</v>
      </c>
      <c r="E45" s="1926">
        <v>0.1</v>
      </c>
      <c r="F45" s="1460">
        <v>30</v>
      </c>
      <c r="H45" s="1455" t="s">
        <v>2167</v>
      </c>
      <c r="I45" s="40">
        <v>81.290999999999997</v>
      </c>
      <c r="J45" s="1460">
        <f t="shared" si="3"/>
        <v>1.2301484789214059</v>
      </c>
    </row>
    <row r="46" spans="3:12">
      <c r="C46" s="1455" t="s">
        <v>1043</v>
      </c>
      <c r="D46" s="40" t="s">
        <v>1044</v>
      </c>
      <c r="E46" s="1926">
        <v>0.1</v>
      </c>
      <c r="F46" s="1460">
        <v>30</v>
      </c>
      <c r="H46" s="1455" t="s">
        <v>2168</v>
      </c>
      <c r="I46" s="40">
        <v>83.789000000000001</v>
      </c>
      <c r="J46" s="1460">
        <f t="shared" si="3"/>
        <v>1.1934740837102722</v>
      </c>
    </row>
    <row r="47" spans="3:12">
      <c r="C47" s="1455" t="s">
        <v>706</v>
      </c>
      <c r="D47" s="40" t="s">
        <v>1331</v>
      </c>
      <c r="E47" s="1926">
        <v>0.1</v>
      </c>
      <c r="F47" s="1460">
        <v>30</v>
      </c>
      <c r="H47" s="1455" t="s">
        <v>2169</v>
      </c>
      <c r="I47" s="40">
        <v>85.9</v>
      </c>
      <c r="J47" s="1460">
        <f t="shared" si="3"/>
        <v>1.1641443538998835</v>
      </c>
    </row>
    <row r="48" spans="3:12">
      <c r="C48" s="1455" t="s">
        <v>736</v>
      </c>
      <c r="D48" s="40" t="s">
        <v>1009</v>
      </c>
      <c r="E48" s="1926">
        <v>0.1</v>
      </c>
      <c r="F48" s="1460">
        <v>30</v>
      </c>
      <c r="H48" s="1455" t="s">
        <v>2170</v>
      </c>
      <c r="I48" s="40">
        <v>87.644999999999996</v>
      </c>
      <c r="J48" s="1460">
        <f t="shared" si="3"/>
        <v>1.1409663985395631</v>
      </c>
      <c r="K48" s="1914"/>
      <c r="L48" s="1914"/>
    </row>
    <row r="49" spans="3:12">
      <c r="C49" s="1455" t="s">
        <v>1226</v>
      </c>
      <c r="D49" s="40" t="s">
        <v>1225</v>
      </c>
      <c r="E49" s="1926">
        <v>0.1</v>
      </c>
      <c r="F49" s="1460">
        <v>30</v>
      </c>
      <c r="H49" s="1455" t="s">
        <v>2171</v>
      </c>
      <c r="I49" s="40">
        <v>90.32</v>
      </c>
      <c r="J49" s="1460">
        <f t="shared" si="3"/>
        <v>1.1071744906997343</v>
      </c>
      <c r="K49" s="1914"/>
      <c r="L49" s="1914"/>
    </row>
    <row r="50" spans="3:12">
      <c r="C50" s="1455" t="s">
        <v>2135</v>
      </c>
      <c r="D50" s="40" t="s">
        <v>50</v>
      </c>
      <c r="E50" s="1926">
        <v>0.1</v>
      </c>
      <c r="F50" s="1460">
        <v>30</v>
      </c>
      <c r="H50" s="1455" t="s">
        <v>576</v>
      </c>
      <c r="I50" s="40">
        <v>93.022999999999996</v>
      </c>
      <c r="J50" s="1460">
        <f t="shared" si="3"/>
        <v>1.0750029562581298</v>
      </c>
    </row>
    <row r="51" spans="3:12">
      <c r="C51" s="1455" t="s">
        <v>2136</v>
      </c>
      <c r="D51" s="40" t="s">
        <v>2134</v>
      </c>
      <c r="E51" s="1926">
        <v>0.1</v>
      </c>
      <c r="F51" s="1460">
        <v>30</v>
      </c>
      <c r="H51" s="1455" t="s">
        <v>2172</v>
      </c>
      <c r="I51" s="40">
        <v>95.783000000000001</v>
      </c>
      <c r="J51" s="1460">
        <f t="shared" si="3"/>
        <v>1.0440266017978137</v>
      </c>
    </row>
    <row r="52" spans="3:12">
      <c r="C52" s="1455" t="s">
        <v>642</v>
      </c>
      <c r="D52" s="40" t="s">
        <v>640</v>
      </c>
      <c r="E52" s="1926">
        <v>0.1</v>
      </c>
      <c r="F52" s="1460">
        <v>30</v>
      </c>
      <c r="H52" s="1455" t="s">
        <v>2173</v>
      </c>
      <c r="I52" s="40">
        <v>97.167000000000002</v>
      </c>
      <c r="J52" s="1460">
        <f t="shared" si="3"/>
        <v>1.0291559891732789</v>
      </c>
    </row>
    <row r="53" spans="3:12">
      <c r="C53" s="1455" t="s">
        <v>646</v>
      </c>
      <c r="D53" s="40" t="s">
        <v>1192</v>
      </c>
      <c r="E53" s="1926">
        <v>0.1</v>
      </c>
      <c r="F53" s="1460">
        <v>30</v>
      </c>
      <c r="H53" s="1461" t="s">
        <v>577</v>
      </c>
      <c r="I53" s="1114">
        <v>100</v>
      </c>
      <c r="J53" s="1462">
        <f t="shared" si="3"/>
        <v>1</v>
      </c>
    </row>
    <row r="54" spans="3:12">
      <c r="C54" s="1455" t="s">
        <v>744</v>
      </c>
      <c r="D54" s="40" t="s">
        <v>570</v>
      </c>
      <c r="E54" s="1926">
        <v>0.1</v>
      </c>
      <c r="F54" s="1460">
        <v>30</v>
      </c>
    </row>
    <row r="55" spans="3:12">
      <c r="C55" s="1455" t="s">
        <v>668</v>
      </c>
      <c r="D55" s="40" t="s">
        <v>2066</v>
      </c>
      <c r="E55" s="1926">
        <v>0.1</v>
      </c>
      <c r="F55" s="1460">
        <v>30</v>
      </c>
      <c r="H55" s="1919" t="s">
        <v>2176</v>
      </c>
    </row>
    <row r="56" spans="3:12">
      <c r="C56" s="1455" t="s">
        <v>687</v>
      </c>
      <c r="D56" s="40" t="s">
        <v>1411</v>
      </c>
      <c r="E56" s="1926">
        <v>0.1</v>
      </c>
      <c r="F56" s="1460">
        <v>30</v>
      </c>
    </row>
    <row r="57" spans="3:12">
      <c r="C57" s="1455" t="s">
        <v>716</v>
      </c>
      <c r="D57" s="40" t="s">
        <v>972</v>
      </c>
      <c r="E57" s="1926">
        <v>0.1</v>
      </c>
      <c r="F57" s="1460">
        <v>30</v>
      </c>
    </row>
    <row r="58" spans="3:12">
      <c r="C58" s="1455" t="s">
        <v>717</v>
      </c>
      <c r="D58" s="40" t="s">
        <v>1412</v>
      </c>
      <c r="E58" s="1926">
        <v>0.1</v>
      </c>
      <c r="F58" s="1460">
        <v>30</v>
      </c>
    </row>
    <row r="59" spans="3:12">
      <c r="C59" s="1455" t="s">
        <v>721</v>
      </c>
      <c r="D59" s="40" t="s">
        <v>723</v>
      </c>
      <c r="E59" s="1926">
        <v>0.1</v>
      </c>
      <c r="F59" s="1460">
        <v>30</v>
      </c>
    </row>
    <row r="60" spans="3:12">
      <c r="C60" s="1455" t="s">
        <v>722</v>
      </c>
      <c r="D60" s="40" t="s">
        <v>724</v>
      </c>
      <c r="E60" s="1926">
        <v>0.1</v>
      </c>
      <c r="F60" s="1460">
        <v>30</v>
      </c>
    </row>
    <row r="61" spans="3:12">
      <c r="C61" s="1455" t="s">
        <v>689</v>
      </c>
      <c r="D61" s="40" t="s">
        <v>425</v>
      </c>
      <c r="E61" s="1926">
        <v>0.1</v>
      </c>
      <c r="F61" s="1460">
        <v>30</v>
      </c>
    </row>
    <row r="62" spans="3:12">
      <c r="C62" s="1455" t="s">
        <v>691</v>
      </c>
      <c r="D62" s="40" t="s">
        <v>996</v>
      </c>
      <c r="E62" s="1926">
        <v>0.1</v>
      </c>
      <c r="F62" s="1460">
        <v>30</v>
      </c>
    </row>
    <row r="63" spans="3:12">
      <c r="C63" s="1455" t="s">
        <v>703</v>
      </c>
      <c r="D63" s="40" t="s">
        <v>997</v>
      </c>
      <c r="E63" s="1926">
        <v>0.1</v>
      </c>
      <c r="F63" s="1460">
        <v>30</v>
      </c>
    </row>
    <row r="64" spans="3:12">
      <c r="C64" s="1455" t="s">
        <v>704</v>
      </c>
      <c r="D64" s="40" t="s">
        <v>726</v>
      </c>
      <c r="E64" s="1926">
        <v>0.1</v>
      </c>
      <c r="F64" s="1460">
        <v>30</v>
      </c>
    </row>
    <row r="65" spans="3:6">
      <c r="C65" s="1455" t="s">
        <v>725</v>
      </c>
      <c r="D65" s="40" t="s">
        <v>1408</v>
      </c>
      <c r="E65" s="1926">
        <v>0.1</v>
      </c>
      <c r="F65" s="1460">
        <v>30</v>
      </c>
    </row>
    <row r="66" spans="3:6">
      <c r="C66" s="1455" t="s">
        <v>728</v>
      </c>
      <c r="D66" s="40" t="s">
        <v>729</v>
      </c>
      <c r="E66" s="1926">
        <v>0.1</v>
      </c>
      <c r="F66" s="1460">
        <v>30</v>
      </c>
    </row>
    <row r="67" spans="3:6">
      <c r="C67" s="1455" t="s">
        <v>730</v>
      </c>
      <c r="D67" s="40" t="s">
        <v>1409</v>
      </c>
      <c r="E67" s="1926">
        <v>0.1</v>
      </c>
      <c r="F67" s="1460">
        <v>30</v>
      </c>
    </row>
    <row r="68" spans="3:6">
      <c r="C68" s="1455" t="s">
        <v>712</v>
      </c>
      <c r="D68" s="40" t="s">
        <v>1407</v>
      </c>
      <c r="E68" s="1926">
        <v>0.1</v>
      </c>
      <c r="F68" s="1460">
        <v>30</v>
      </c>
    </row>
    <row r="69" spans="3:6">
      <c r="C69" s="1455" t="s">
        <v>733</v>
      </c>
      <c r="D69" s="40" t="s">
        <v>423</v>
      </c>
      <c r="E69" s="1926">
        <v>0.1</v>
      </c>
      <c r="F69" s="1460">
        <v>30</v>
      </c>
    </row>
    <row r="70" spans="3:6">
      <c r="C70" s="1455" t="s">
        <v>742</v>
      </c>
      <c r="D70" s="40" t="s">
        <v>146</v>
      </c>
      <c r="E70" s="1926">
        <v>0.1</v>
      </c>
      <c r="F70" s="1460">
        <v>30</v>
      </c>
    </row>
    <row r="71" spans="3:6">
      <c r="C71" s="1455" t="s">
        <v>747</v>
      </c>
      <c r="D71" s="40" t="s">
        <v>748</v>
      </c>
      <c r="E71" s="1926">
        <v>0.1</v>
      </c>
      <c r="F71" s="1460">
        <v>30</v>
      </c>
    </row>
    <row r="72" spans="3:6">
      <c r="C72" s="1455" t="s">
        <v>771</v>
      </c>
      <c r="D72" s="40" t="s">
        <v>773</v>
      </c>
      <c r="E72" s="1926">
        <v>0.1</v>
      </c>
      <c r="F72" s="1460">
        <v>30</v>
      </c>
    </row>
    <row r="73" spans="3:6">
      <c r="C73" s="1455" t="s">
        <v>772</v>
      </c>
      <c r="D73" s="40" t="s">
        <v>1222</v>
      </c>
      <c r="E73" s="1926">
        <v>0.1</v>
      </c>
      <c r="F73" s="1460">
        <v>30</v>
      </c>
    </row>
    <row r="74" spans="3:6" s="1956" customFormat="1">
      <c r="C74" s="1455" t="s">
        <v>981</v>
      </c>
      <c r="D74" s="40" t="s">
        <v>980</v>
      </c>
      <c r="E74" s="1926">
        <v>0.1</v>
      </c>
      <c r="F74" s="1460">
        <v>30</v>
      </c>
    </row>
    <row r="75" spans="3:6">
      <c r="C75" s="1461" t="s">
        <v>2183</v>
      </c>
      <c r="D75" s="1114" t="s">
        <v>2184</v>
      </c>
      <c r="E75" s="1927">
        <v>0.1</v>
      </c>
      <c r="F75" s="1462">
        <v>30</v>
      </c>
    </row>
  </sheetData>
  <mergeCells count="1">
    <mergeCell ref="E30:F30"/>
  </mergeCells>
  <pageMargins left="0.7" right="0.7" top="0.75" bottom="0.75" header="0.3" footer="0.3"/>
  <pageSetup paperSize="9" orientation="portrait"/>
  <tableParts count="1">
    <tablePart r:id="rId1"/>
  </tablePart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theme="5" tint="0.39997558519241921"/>
    <pageSetUpPr autoPageBreaks="0"/>
  </sheetPr>
  <dimension ref="A1:AF544"/>
  <sheetViews>
    <sheetView topLeftCell="A265" workbookViewId="0">
      <selection activeCell="Q285" sqref="Q285"/>
    </sheetView>
  </sheetViews>
  <sheetFormatPr baseColWidth="10" defaultColWidth="9.1640625" defaultRowHeight="13" x14ac:dyDescent="0"/>
  <cols>
    <col min="1" max="1" width="2.1640625" style="121" customWidth="1"/>
    <col min="2" max="2" width="4.5" customWidth="1"/>
    <col min="3" max="3" width="5.5" bestFit="1" customWidth="1"/>
    <col min="4" max="4" width="28.1640625" customWidth="1"/>
    <col min="5" max="5" width="1.5" customWidth="1"/>
    <col min="6" max="6" width="16" customWidth="1"/>
    <col min="7" max="7" width="1.6640625" customWidth="1"/>
    <col min="8" max="9" width="10" customWidth="1"/>
    <col min="10" max="11" width="10.5" bestFit="1" customWidth="1"/>
    <col min="12" max="14" width="10.33203125" bestFit="1" customWidth="1"/>
    <col min="15" max="17" width="11.33203125" bestFit="1" customWidth="1"/>
    <col min="19" max="19" width="16.6640625" style="121" bestFit="1" customWidth="1"/>
    <col min="20" max="20" width="20.6640625" bestFit="1" customWidth="1"/>
    <col min="21" max="21" width="8.5" customWidth="1"/>
    <col min="22" max="22" width="17.83203125" bestFit="1" customWidth="1"/>
    <col min="23" max="31" width="5.5" bestFit="1" customWidth="1"/>
  </cols>
  <sheetData>
    <row r="1" spans="1:32" ht="6.75" customHeight="1"/>
    <row r="2" spans="1:32" s="121" customFormat="1" ht="22">
      <c r="A2" s="851"/>
      <c r="B2" s="899" t="s">
        <v>1040</v>
      </c>
      <c r="C2" s="863"/>
      <c r="D2" s="863"/>
      <c r="E2" s="863"/>
      <c r="F2" s="863"/>
      <c r="G2" s="863"/>
      <c r="H2" s="863"/>
      <c r="I2" s="863"/>
      <c r="J2" s="863"/>
      <c r="K2" s="863"/>
      <c r="L2" s="863"/>
      <c r="M2" s="863"/>
      <c r="N2" s="863"/>
      <c r="O2" s="863"/>
      <c r="P2" s="863"/>
      <c r="Q2" s="863"/>
      <c r="R2" s="865"/>
    </row>
    <row r="3" spans="1:32" s="532" customFormat="1" ht="20.25" customHeight="1">
      <c r="B3" s="852"/>
      <c r="C3" s="854"/>
      <c r="D3" s="854"/>
      <c r="E3" s="854"/>
      <c r="F3" s="854"/>
      <c r="G3" s="854"/>
      <c r="H3" s="854"/>
      <c r="I3" s="854"/>
      <c r="J3" s="854"/>
      <c r="K3" s="854"/>
      <c r="L3" s="854"/>
      <c r="M3" s="854"/>
      <c r="N3" s="854"/>
      <c r="O3" s="854"/>
      <c r="P3" s="1158"/>
      <c r="Q3" s="1159"/>
      <c r="R3" s="870"/>
      <c r="T3"/>
      <c r="U3"/>
      <c r="V3"/>
      <c r="W3"/>
      <c r="X3"/>
      <c r="Y3"/>
      <c r="Z3"/>
      <c r="AA3"/>
      <c r="AB3"/>
      <c r="AC3"/>
      <c r="AD3"/>
      <c r="AE3"/>
      <c r="AF3"/>
    </row>
    <row r="4" spans="1:32" ht="20.25" customHeight="1">
      <c r="B4" s="852"/>
      <c r="C4" s="854"/>
      <c r="D4" s="1151" t="str">
        <f>Preferences.EnergyUnits &amp; " / year"</f>
        <v>TWh / year</v>
      </c>
      <c r="E4" s="854"/>
      <c r="F4" s="1152" t="s">
        <v>1401</v>
      </c>
      <c r="G4" s="854"/>
      <c r="H4" s="1153">
        <v>2007</v>
      </c>
      <c r="I4" s="1153">
        <v>2010</v>
      </c>
      <c r="J4" s="1153">
        <v>2015</v>
      </c>
      <c r="K4" s="1153">
        <v>2020</v>
      </c>
      <c r="L4" s="1153">
        <v>2025</v>
      </c>
      <c r="M4" s="1153">
        <v>2030</v>
      </c>
      <c r="N4" s="1153">
        <v>2035</v>
      </c>
      <c r="O4" s="1153">
        <v>2040</v>
      </c>
      <c r="P4" s="1153">
        <v>2045</v>
      </c>
      <c r="Q4" s="1153">
        <v>2050</v>
      </c>
      <c r="R4" s="856"/>
    </row>
    <row r="5" spans="1:32" s="121" customFormat="1">
      <c r="B5" s="852"/>
      <c r="C5" s="854"/>
      <c r="D5" s="854"/>
      <c r="E5" s="854"/>
      <c r="F5" s="854"/>
      <c r="G5" s="854"/>
      <c r="H5" s="854"/>
      <c r="I5" s="854"/>
      <c r="J5" s="854"/>
      <c r="K5" s="854"/>
      <c r="L5" s="854"/>
      <c r="M5" s="854"/>
      <c r="N5" s="854"/>
      <c r="O5" s="854"/>
      <c r="P5" s="854"/>
      <c r="Q5" s="854"/>
      <c r="R5" s="856"/>
    </row>
    <row r="6" spans="1:32" s="529" customFormat="1">
      <c r="B6" s="1160"/>
      <c r="C6" s="1181" t="s">
        <v>1041</v>
      </c>
      <c r="D6" s="1161"/>
      <c r="E6" s="854"/>
      <c r="F6" s="1162"/>
      <c r="G6" s="854"/>
      <c r="H6" s="1162"/>
      <c r="I6" s="1162"/>
      <c r="J6" s="1162"/>
      <c r="K6" s="1162"/>
      <c r="L6" s="1162"/>
      <c r="M6" s="1162"/>
      <c r="N6" s="1162"/>
      <c r="O6" s="1162"/>
      <c r="P6" s="1162"/>
      <c r="Q6" s="1162"/>
      <c r="R6" s="1163"/>
      <c r="S6" s="795"/>
    </row>
    <row r="7" spans="1:32" s="529" customFormat="1">
      <c r="B7" s="1160"/>
      <c r="C7" s="1161" t="s">
        <v>33</v>
      </c>
      <c r="D7" s="1161" t="str">
        <f>INDEX(Vectors[Description], MATCH($C7, Vectors[Code], 0))</f>
        <v>Road transport</v>
      </c>
      <c r="E7" s="854"/>
      <c r="F7" s="1162" t="e">
        <f ca="1">INDEX(INDIRECT("'"&amp;F$4&amp;"'!Year.NetBalance"), MATCH('Intermediate output'!$C7, INDIRECT("'"&amp;F$4&amp;"'!Year.Vectors"), 0))</f>
        <v>#REF!</v>
      </c>
      <c r="G7" s="854"/>
      <c r="H7" s="1162" t="e">
        <f ca="1">INDEX(INDIRECT("'"&amp;H$4&amp;"'!Year.NetBalance"), MATCH('Intermediate output'!$C7, INDIRECT("'"&amp;H$4&amp;"'!Year.Vectors"), 0))</f>
        <v>#REF!</v>
      </c>
      <c r="I7" s="1162" t="e">
        <f ca="1">INDEX(INDIRECT("'"&amp;I$4&amp;"'!Year.NetBalance"), MATCH('Intermediate output'!$C7, INDIRECT("'"&amp;I$4&amp;"'!Year.Vectors"), 0))</f>
        <v>#REF!</v>
      </c>
      <c r="J7" s="1162" t="e">
        <f ca="1">INDEX(INDIRECT("'"&amp;J$4&amp;"'!Year.NetBalance"), MATCH('Intermediate output'!$C7, INDIRECT("'"&amp;J$4&amp;"'!Year.Vectors"), 0))</f>
        <v>#REF!</v>
      </c>
      <c r="K7" s="1162" t="e">
        <f ca="1">INDEX(INDIRECT("'"&amp;K$4&amp;"'!Year.NetBalance"), MATCH('Intermediate output'!$C7, INDIRECT("'"&amp;K$4&amp;"'!Year.Vectors"), 0))</f>
        <v>#REF!</v>
      </c>
      <c r="L7" s="1162" t="e">
        <f ca="1">INDEX(INDIRECT("'"&amp;L$4&amp;"'!Year.NetBalance"), MATCH('Intermediate output'!$C7, INDIRECT("'"&amp;L$4&amp;"'!Year.Vectors"), 0))</f>
        <v>#REF!</v>
      </c>
      <c r="M7" s="1162" t="e">
        <f ca="1">INDEX(INDIRECT("'"&amp;M$4&amp;"'!Year.NetBalance"), MATCH('Intermediate output'!$C7, INDIRECT("'"&amp;M$4&amp;"'!Year.Vectors"), 0))</f>
        <v>#REF!</v>
      </c>
      <c r="N7" s="1162" t="e">
        <f ca="1">INDEX(INDIRECT("'"&amp;N$4&amp;"'!Year.NetBalance"), MATCH('Intermediate output'!$C7, INDIRECT("'"&amp;N$4&amp;"'!Year.Vectors"), 0))</f>
        <v>#REF!</v>
      </c>
      <c r="O7" s="1162" t="e">
        <f ca="1">INDEX(INDIRECT("'"&amp;O$4&amp;"'!Year.NetBalance"), MATCH('Intermediate output'!$C7, INDIRECT("'"&amp;O$4&amp;"'!Year.Vectors"), 0))</f>
        <v>#REF!</v>
      </c>
      <c r="P7" s="1162" t="e">
        <f ca="1">INDEX(INDIRECT("'"&amp;P$4&amp;"'!Year.NetBalance"), MATCH('Intermediate output'!$C7, INDIRECT("'"&amp;P$4&amp;"'!Year.Vectors"), 0))</f>
        <v>#REF!</v>
      </c>
      <c r="Q7" s="1162">
        <f ca="1">INDEX(INDIRECT("'"&amp;Q$4&amp;"'!Year.NetBalance"), MATCH('Intermediate output'!$C7, INDIRECT("'"&amp;Q$4&amp;"'!Year.Vectors"), 0))</f>
        <v>0</v>
      </c>
      <c r="R7" s="1163"/>
      <c r="S7" s="795"/>
    </row>
    <row r="8" spans="1:32" s="529" customFormat="1">
      <c r="B8" s="1160"/>
      <c r="C8" s="1161" t="s">
        <v>34</v>
      </c>
      <c r="D8" s="1161" t="str">
        <f>INDEX(Vectors[Description], MATCH($C8, Vectors[Code], 0))</f>
        <v>Rail transport</v>
      </c>
      <c r="E8" s="854"/>
      <c r="F8" s="1162" t="e">
        <f ca="1">INDEX(INDIRECT("'"&amp;F$4&amp;"'!Year.NetBalance"), MATCH('Intermediate output'!$C8, INDIRECT("'"&amp;F$4&amp;"'!Year.Vectors"), 0))</f>
        <v>#REF!</v>
      </c>
      <c r="G8" s="854"/>
      <c r="H8" s="1162" t="e">
        <f ca="1">INDEX(INDIRECT("'"&amp;H$4&amp;"'!Year.NetBalance"), MATCH('Intermediate output'!$C8, INDIRECT("'"&amp;H$4&amp;"'!Year.Vectors"), 0))</f>
        <v>#REF!</v>
      </c>
      <c r="I8" s="1162" t="e">
        <f ca="1">INDEX(INDIRECT("'"&amp;I$4&amp;"'!Year.NetBalance"), MATCH('Intermediate output'!$C8, INDIRECT("'"&amp;I$4&amp;"'!Year.Vectors"), 0))</f>
        <v>#REF!</v>
      </c>
      <c r="J8" s="1162" t="e">
        <f ca="1">INDEX(INDIRECT("'"&amp;J$4&amp;"'!Year.NetBalance"), MATCH('Intermediate output'!$C8, INDIRECT("'"&amp;J$4&amp;"'!Year.Vectors"), 0))</f>
        <v>#REF!</v>
      </c>
      <c r="K8" s="1162" t="e">
        <f ca="1">INDEX(INDIRECT("'"&amp;K$4&amp;"'!Year.NetBalance"), MATCH('Intermediate output'!$C8, INDIRECT("'"&amp;K$4&amp;"'!Year.Vectors"), 0))</f>
        <v>#REF!</v>
      </c>
      <c r="L8" s="1162" t="e">
        <f ca="1">INDEX(INDIRECT("'"&amp;L$4&amp;"'!Year.NetBalance"), MATCH('Intermediate output'!$C8, INDIRECT("'"&amp;L$4&amp;"'!Year.Vectors"), 0))</f>
        <v>#REF!</v>
      </c>
      <c r="M8" s="1162" t="e">
        <f ca="1">INDEX(INDIRECT("'"&amp;M$4&amp;"'!Year.NetBalance"), MATCH('Intermediate output'!$C8, INDIRECT("'"&amp;M$4&amp;"'!Year.Vectors"), 0))</f>
        <v>#REF!</v>
      </c>
      <c r="N8" s="1162" t="e">
        <f ca="1">INDEX(INDIRECT("'"&amp;N$4&amp;"'!Year.NetBalance"), MATCH('Intermediate output'!$C8, INDIRECT("'"&amp;N$4&amp;"'!Year.Vectors"), 0))</f>
        <v>#REF!</v>
      </c>
      <c r="O8" s="1162" t="e">
        <f ca="1">INDEX(INDIRECT("'"&amp;O$4&amp;"'!Year.NetBalance"), MATCH('Intermediate output'!$C8, INDIRECT("'"&amp;O$4&amp;"'!Year.Vectors"), 0))</f>
        <v>#REF!</v>
      </c>
      <c r="P8" s="1162" t="e">
        <f ca="1">INDEX(INDIRECT("'"&amp;P$4&amp;"'!Year.NetBalance"), MATCH('Intermediate output'!$C8, INDIRECT("'"&amp;P$4&amp;"'!Year.Vectors"), 0))</f>
        <v>#REF!</v>
      </c>
      <c r="Q8" s="1162">
        <f ca="1">INDEX(INDIRECT("'"&amp;Q$4&amp;"'!Year.NetBalance"), MATCH('Intermediate output'!$C8, INDIRECT("'"&amp;Q$4&amp;"'!Year.Vectors"), 0))</f>
        <v>0</v>
      </c>
      <c r="R8" s="1163"/>
      <c r="S8" s="795"/>
    </row>
    <row r="9" spans="1:32" s="529" customFormat="1">
      <c r="B9" s="1160"/>
      <c r="C9" s="1161" t="s">
        <v>35</v>
      </c>
      <c r="D9" s="1161" t="str">
        <f>INDEX(Vectors[Description], MATCH($C9, Vectors[Code], 0))</f>
        <v>Domestic aviation</v>
      </c>
      <c r="E9" s="854"/>
      <c r="F9" s="1162" t="e">
        <f ca="1">INDEX(INDIRECT("'"&amp;F$4&amp;"'!Year.NetBalance"), MATCH('Intermediate output'!$C9, INDIRECT("'"&amp;F$4&amp;"'!Year.Vectors"), 0))</f>
        <v>#REF!</v>
      </c>
      <c r="G9" s="854"/>
      <c r="H9" s="1162" t="e">
        <f ca="1">INDEX(INDIRECT("'"&amp;H$4&amp;"'!Year.NetBalance"), MATCH('Intermediate output'!$C9, INDIRECT("'"&amp;H$4&amp;"'!Year.Vectors"), 0))</f>
        <v>#REF!</v>
      </c>
      <c r="I9" s="1162" t="e">
        <f ca="1">INDEX(INDIRECT("'"&amp;I$4&amp;"'!Year.NetBalance"), MATCH('Intermediate output'!$C9, INDIRECT("'"&amp;I$4&amp;"'!Year.Vectors"), 0))</f>
        <v>#REF!</v>
      </c>
      <c r="J9" s="1162" t="e">
        <f ca="1">INDEX(INDIRECT("'"&amp;J$4&amp;"'!Year.NetBalance"), MATCH('Intermediate output'!$C9, INDIRECT("'"&amp;J$4&amp;"'!Year.Vectors"), 0))</f>
        <v>#REF!</v>
      </c>
      <c r="K9" s="1162" t="e">
        <f ca="1">INDEX(INDIRECT("'"&amp;K$4&amp;"'!Year.NetBalance"), MATCH('Intermediate output'!$C9, INDIRECT("'"&amp;K$4&amp;"'!Year.Vectors"), 0))</f>
        <v>#REF!</v>
      </c>
      <c r="L9" s="1162" t="e">
        <f ca="1">INDEX(INDIRECT("'"&amp;L$4&amp;"'!Year.NetBalance"), MATCH('Intermediate output'!$C9, INDIRECT("'"&amp;L$4&amp;"'!Year.Vectors"), 0))</f>
        <v>#REF!</v>
      </c>
      <c r="M9" s="1162" t="e">
        <f ca="1">INDEX(INDIRECT("'"&amp;M$4&amp;"'!Year.NetBalance"), MATCH('Intermediate output'!$C9, INDIRECT("'"&amp;M$4&amp;"'!Year.Vectors"), 0))</f>
        <v>#REF!</v>
      </c>
      <c r="N9" s="1162" t="e">
        <f ca="1">INDEX(INDIRECT("'"&amp;N$4&amp;"'!Year.NetBalance"), MATCH('Intermediate output'!$C9, INDIRECT("'"&amp;N$4&amp;"'!Year.Vectors"), 0))</f>
        <v>#REF!</v>
      </c>
      <c r="O9" s="1162" t="e">
        <f ca="1">INDEX(INDIRECT("'"&amp;O$4&amp;"'!Year.NetBalance"), MATCH('Intermediate output'!$C9, INDIRECT("'"&amp;O$4&amp;"'!Year.Vectors"), 0))</f>
        <v>#REF!</v>
      </c>
      <c r="P9" s="1162" t="e">
        <f ca="1">INDEX(INDIRECT("'"&amp;P$4&amp;"'!Year.NetBalance"), MATCH('Intermediate output'!$C9, INDIRECT("'"&amp;P$4&amp;"'!Year.Vectors"), 0))</f>
        <v>#REF!</v>
      </c>
      <c r="Q9" s="1162">
        <f ca="1">INDEX(INDIRECT("'"&amp;Q$4&amp;"'!Year.NetBalance"), MATCH('Intermediate output'!$C9, INDIRECT("'"&amp;Q$4&amp;"'!Year.Vectors"), 0))</f>
        <v>0</v>
      </c>
      <c r="R9" s="1163"/>
      <c r="S9" s="795"/>
    </row>
    <row r="10" spans="1:32" s="529" customFormat="1">
      <c r="B10" s="1160"/>
      <c r="C10" s="1161" t="s">
        <v>36</v>
      </c>
      <c r="D10" s="1161" t="str">
        <f>INDEX(Vectors[Description], MATCH($C10, Vectors[Code], 0))</f>
        <v>National navigation</v>
      </c>
      <c r="E10" s="854"/>
      <c r="F10" s="1162" t="e">
        <f ca="1">INDEX(INDIRECT("'"&amp;F$4&amp;"'!Year.NetBalance"), MATCH('Intermediate output'!$C10, INDIRECT("'"&amp;F$4&amp;"'!Year.Vectors"), 0))</f>
        <v>#REF!</v>
      </c>
      <c r="G10" s="854"/>
      <c r="H10" s="1162" t="e">
        <f ca="1">INDEX(INDIRECT("'"&amp;H$4&amp;"'!Year.NetBalance"), MATCH('Intermediate output'!$C10, INDIRECT("'"&amp;H$4&amp;"'!Year.Vectors"), 0))</f>
        <v>#REF!</v>
      </c>
      <c r="I10" s="1162" t="e">
        <f ca="1">INDEX(INDIRECT("'"&amp;I$4&amp;"'!Year.NetBalance"), MATCH('Intermediate output'!$C10, INDIRECT("'"&amp;I$4&amp;"'!Year.Vectors"), 0))</f>
        <v>#REF!</v>
      </c>
      <c r="J10" s="1162" t="e">
        <f ca="1">INDEX(INDIRECT("'"&amp;J$4&amp;"'!Year.NetBalance"), MATCH('Intermediate output'!$C10, INDIRECT("'"&amp;J$4&amp;"'!Year.Vectors"), 0))</f>
        <v>#REF!</v>
      </c>
      <c r="K10" s="1162" t="e">
        <f ca="1">INDEX(INDIRECT("'"&amp;K$4&amp;"'!Year.NetBalance"), MATCH('Intermediate output'!$C10, INDIRECT("'"&amp;K$4&amp;"'!Year.Vectors"), 0))</f>
        <v>#REF!</v>
      </c>
      <c r="L10" s="1162" t="e">
        <f ca="1">INDEX(INDIRECT("'"&amp;L$4&amp;"'!Year.NetBalance"), MATCH('Intermediate output'!$C10, INDIRECT("'"&amp;L$4&amp;"'!Year.Vectors"), 0))</f>
        <v>#REF!</v>
      </c>
      <c r="M10" s="1162" t="e">
        <f ca="1">INDEX(INDIRECT("'"&amp;M$4&amp;"'!Year.NetBalance"), MATCH('Intermediate output'!$C10, INDIRECT("'"&amp;M$4&amp;"'!Year.Vectors"), 0))</f>
        <v>#REF!</v>
      </c>
      <c r="N10" s="1162" t="e">
        <f ca="1">INDEX(INDIRECT("'"&amp;N$4&amp;"'!Year.NetBalance"), MATCH('Intermediate output'!$C10, INDIRECT("'"&amp;N$4&amp;"'!Year.Vectors"), 0))</f>
        <v>#REF!</v>
      </c>
      <c r="O10" s="1162" t="e">
        <f ca="1">INDEX(INDIRECT("'"&amp;O$4&amp;"'!Year.NetBalance"), MATCH('Intermediate output'!$C10, INDIRECT("'"&amp;O$4&amp;"'!Year.Vectors"), 0))</f>
        <v>#REF!</v>
      </c>
      <c r="P10" s="1162" t="e">
        <f ca="1">INDEX(INDIRECT("'"&amp;P$4&amp;"'!Year.NetBalance"), MATCH('Intermediate output'!$C10, INDIRECT("'"&amp;P$4&amp;"'!Year.Vectors"), 0))</f>
        <v>#REF!</v>
      </c>
      <c r="Q10" s="1162">
        <f ca="1">INDEX(INDIRECT("'"&amp;Q$4&amp;"'!Year.NetBalance"), MATCH('Intermediate output'!$C10, INDIRECT("'"&amp;Q$4&amp;"'!Year.Vectors"), 0))</f>
        <v>0</v>
      </c>
      <c r="R10" s="1163"/>
      <c r="S10" s="795"/>
    </row>
    <row r="11" spans="1:32" s="529" customFormat="1">
      <c r="B11" s="1160"/>
      <c r="C11" s="1161" t="s">
        <v>737</v>
      </c>
      <c r="D11" s="1161" t="str">
        <f>INDEX(Vectors[Description], MATCH($C11, Vectors[Code], 0))</f>
        <v>International aviation</v>
      </c>
      <c r="E11" s="854"/>
      <c r="F11" s="1162" t="e">
        <f ca="1">INDEX(INDIRECT("'"&amp;F$4&amp;"'!Year.NetBalance"), MATCH('Intermediate output'!$C11, INDIRECT("'"&amp;F$4&amp;"'!Year.Vectors"), 0))</f>
        <v>#REF!</v>
      </c>
      <c r="G11" s="854"/>
      <c r="H11" s="1162" t="e">
        <f ca="1">INDEX(INDIRECT("'"&amp;H$4&amp;"'!Year.NetBalance"), MATCH('Intermediate output'!$C11, INDIRECT("'"&amp;H$4&amp;"'!Year.Vectors"), 0))</f>
        <v>#REF!</v>
      </c>
      <c r="I11" s="1162" t="e">
        <f ca="1">INDEX(INDIRECT("'"&amp;I$4&amp;"'!Year.NetBalance"), MATCH('Intermediate output'!$C11, INDIRECT("'"&amp;I$4&amp;"'!Year.Vectors"), 0))</f>
        <v>#REF!</v>
      </c>
      <c r="J11" s="1162" t="e">
        <f ca="1">INDEX(INDIRECT("'"&amp;J$4&amp;"'!Year.NetBalance"), MATCH('Intermediate output'!$C11, INDIRECT("'"&amp;J$4&amp;"'!Year.Vectors"), 0))</f>
        <v>#REF!</v>
      </c>
      <c r="K11" s="1162" t="e">
        <f ca="1">INDEX(INDIRECT("'"&amp;K$4&amp;"'!Year.NetBalance"), MATCH('Intermediate output'!$C11, INDIRECT("'"&amp;K$4&amp;"'!Year.Vectors"), 0))</f>
        <v>#REF!</v>
      </c>
      <c r="L11" s="1162" t="e">
        <f ca="1">INDEX(INDIRECT("'"&amp;L$4&amp;"'!Year.NetBalance"), MATCH('Intermediate output'!$C11, INDIRECT("'"&amp;L$4&amp;"'!Year.Vectors"), 0))</f>
        <v>#REF!</v>
      </c>
      <c r="M11" s="1162" t="e">
        <f ca="1">INDEX(INDIRECT("'"&amp;M$4&amp;"'!Year.NetBalance"), MATCH('Intermediate output'!$C11, INDIRECT("'"&amp;M$4&amp;"'!Year.Vectors"), 0))</f>
        <v>#REF!</v>
      </c>
      <c r="N11" s="1162" t="e">
        <f ca="1">INDEX(INDIRECT("'"&amp;N$4&amp;"'!Year.NetBalance"), MATCH('Intermediate output'!$C11, INDIRECT("'"&amp;N$4&amp;"'!Year.Vectors"), 0))</f>
        <v>#REF!</v>
      </c>
      <c r="O11" s="1162" t="e">
        <f ca="1">INDEX(INDIRECT("'"&amp;O$4&amp;"'!Year.NetBalance"), MATCH('Intermediate output'!$C11, INDIRECT("'"&amp;O$4&amp;"'!Year.Vectors"), 0))</f>
        <v>#REF!</v>
      </c>
      <c r="P11" s="1162" t="e">
        <f ca="1">INDEX(INDIRECT("'"&amp;P$4&amp;"'!Year.NetBalance"), MATCH('Intermediate output'!$C11, INDIRECT("'"&amp;P$4&amp;"'!Year.Vectors"), 0))</f>
        <v>#REF!</v>
      </c>
      <c r="Q11" s="1162">
        <f ca="1">INDEX(INDIRECT("'"&amp;Q$4&amp;"'!Year.NetBalance"), MATCH('Intermediate output'!$C11, INDIRECT("'"&amp;Q$4&amp;"'!Year.Vectors"), 0))</f>
        <v>0</v>
      </c>
      <c r="R11" s="1163"/>
      <c r="S11" s="795"/>
    </row>
    <row r="12" spans="1:32" s="529" customFormat="1">
      <c r="B12" s="1160"/>
      <c r="C12" s="1161" t="s">
        <v>738</v>
      </c>
      <c r="D12" s="1161" t="str">
        <f>INDEX(Vectors[Description], MATCH($C12, Vectors[Code], 0))</f>
        <v>International shipping</v>
      </c>
      <c r="E12" s="854"/>
      <c r="F12" s="1162" t="e">
        <f ca="1">INDEX(INDIRECT("'"&amp;F$4&amp;"'!Year.NetBalance"), MATCH('Intermediate output'!$C12, INDIRECT("'"&amp;F$4&amp;"'!Year.Vectors"), 0))</f>
        <v>#REF!</v>
      </c>
      <c r="G12" s="854"/>
      <c r="H12" s="1162" t="e">
        <f ca="1">INDEX(INDIRECT("'"&amp;H$4&amp;"'!Year.NetBalance"), MATCH('Intermediate output'!$C12, INDIRECT("'"&amp;H$4&amp;"'!Year.Vectors"), 0))</f>
        <v>#REF!</v>
      </c>
      <c r="I12" s="1162" t="e">
        <f ca="1">INDEX(INDIRECT("'"&amp;I$4&amp;"'!Year.NetBalance"), MATCH('Intermediate output'!$C12, INDIRECT("'"&amp;I$4&amp;"'!Year.Vectors"), 0))</f>
        <v>#REF!</v>
      </c>
      <c r="J12" s="1162" t="e">
        <f ca="1">INDEX(INDIRECT("'"&amp;J$4&amp;"'!Year.NetBalance"), MATCH('Intermediate output'!$C12, INDIRECT("'"&amp;J$4&amp;"'!Year.Vectors"), 0))</f>
        <v>#REF!</v>
      </c>
      <c r="K12" s="1162" t="e">
        <f ca="1">INDEX(INDIRECT("'"&amp;K$4&amp;"'!Year.NetBalance"), MATCH('Intermediate output'!$C12, INDIRECT("'"&amp;K$4&amp;"'!Year.Vectors"), 0))</f>
        <v>#REF!</v>
      </c>
      <c r="L12" s="1162" t="e">
        <f ca="1">INDEX(INDIRECT("'"&amp;L$4&amp;"'!Year.NetBalance"), MATCH('Intermediate output'!$C12, INDIRECT("'"&amp;L$4&amp;"'!Year.Vectors"), 0))</f>
        <v>#REF!</v>
      </c>
      <c r="M12" s="1162" t="e">
        <f ca="1">INDEX(INDIRECT("'"&amp;M$4&amp;"'!Year.NetBalance"), MATCH('Intermediate output'!$C12, INDIRECT("'"&amp;M$4&amp;"'!Year.Vectors"), 0))</f>
        <v>#REF!</v>
      </c>
      <c r="N12" s="1162" t="e">
        <f ca="1">INDEX(INDIRECT("'"&amp;N$4&amp;"'!Year.NetBalance"), MATCH('Intermediate output'!$C12, INDIRECT("'"&amp;N$4&amp;"'!Year.Vectors"), 0))</f>
        <v>#REF!</v>
      </c>
      <c r="O12" s="1162" t="e">
        <f ca="1">INDEX(INDIRECT("'"&amp;O$4&amp;"'!Year.NetBalance"), MATCH('Intermediate output'!$C12, INDIRECT("'"&amp;O$4&amp;"'!Year.Vectors"), 0))</f>
        <v>#REF!</v>
      </c>
      <c r="P12" s="1162" t="e">
        <f ca="1">INDEX(INDIRECT("'"&amp;P$4&amp;"'!Year.NetBalance"), MATCH('Intermediate output'!$C12, INDIRECT("'"&amp;P$4&amp;"'!Year.Vectors"), 0))</f>
        <v>#REF!</v>
      </c>
      <c r="Q12" s="1162">
        <f ca="1">INDEX(INDIRECT("'"&amp;Q$4&amp;"'!Year.NetBalance"), MATCH('Intermediate output'!$C12, INDIRECT("'"&amp;Q$4&amp;"'!Year.Vectors"), 0))</f>
        <v>0</v>
      </c>
      <c r="R12" s="1163"/>
      <c r="S12" s="795"/>
    </row>
    <row r="13" spans="1:32" s="121" customFormat="1">
      <c r="B13" s="852"/>
      <c r="C13" s="854"/>
      <c r="D13" s="854" t="s">
        <v>244</v>
      </c>
      <c r="E13" s="854"/>
      <c r="F13" s="1164" t="e">
        <f ca="1">SUM(F7:F12)</f>
        <v>#REF!</v>
      </c>
      <c r="G13" s="854"/>
      <c r="H13" s="1164" t="e">
        <f t="shared" ref="H13:Q13" ca="1" si="0">SUM(H7:H12)</f>
        <v>#REF!</v>
      </c>
      <c r="I13" s="1164" t="e">
        <f t="shared" ca="1" si="0"/>
        <v>#REF!</v>
      </c>
      <c r="J13" s="1164" t="e">
        <f t="shared" ca="1" si="0"/>
        <v>#REF!</v>
      </c>
      <c r="K13" s="1164" t="e">
        <f t="shared" ca="1" si="0"/>
        <v>#REF!</v>
      </c>
      <c r="L13" s="1164" t="e">
        <f t="shared" ca="1" si="0"/>
        <v>#REF!</v>
      </c>
      <c r="M13" s="1164" t="e">
        <f t="shared" ca="1" si="0"/>
        <v>#REF!</v>
      </c>
      <c r="N13" s="1164" t="e">
        <f t="shared" ca="1" si="0"/>
        <v>#REF!</v>
      </c>
      <c r="O13" s="1164" t="e">
        <f t="shared" ca="1" si="0"/>
        <v>#REF!</v>
      </c>
      <c r="P13" s="1164" t="e">
        <f t="shared" ca="1" si="0"/>
        <v>#REF!</v>
      </c>
      <c r="Q13" s="1164">
        <f t="shared" ca="1" si="0"/>
        <v>0</v>
      </c>
      <c r="R13" s="1165"/>
      <c r="S13" s="27"/>
      <c r="U13" s="27"/>
      <c r="V13" s="27"/>
    </row>
    <row r="14" spans="1:32">
      <c r="B14" s="852"/>
      <c r="C14" s="1182" t="s">
        <v>13</v>
      </c>
      <c r="D14" s="854" t="str">
        <f>INDEX(Vectors[Description], MATCH($C14, Vectors[Code], 0))</f>
        <v>Industry</v>
      </c>
      <c r="E14" s="854"/>
      <c r="F14" s="1164" t="e">
        <f ca="1">INDEX(INDIRECT("'"&amp;F$4&amp;"'!Year.NetBalance"), MATCH('Intermediate output'!$C14, INDIRECT("'"&amp;F$4&amp;"'!Year.Vectors"), 0))</f>
        <v>#REF!</v>
      </c>
      <c r="G14" s="854"/>
      <c r="H14" s="1164" t="e">
        <f ca="1">INDEX(INDIRECT("'"&amp;H$4&amp;"'!Year.NetBalance"), MATCH('Intermediate output'!$C14, INDIRECT("'"&amp;H$4&amp;"'!Year.Vectors"), 0))</f>
        <v>#REF!</v>
      </c>
      <c r="I14" s="1164" t="e">
        <f ca="1">INDEX(INDIRECT("'"&amp;I$4&amp;"'!Year.NetBalance"), MATCH('Intermediate output'!$C14, INDIRECT("'"&amp;I$4&amp;"'!Year.Vectors"), 0))</f>
        <v>#REF!</v>
      </c>
      <c r="J14" s="1164" t="e">
        <f ca="1">INDEX(INDIRECT("'"&amp;J$4&amp;"'!Year.NetBalance"), MATCH('Intermediate output'!$C14, INDIRECT("'"&amp;J$4&amp;"'!Year.Vectors"), 0))</f>
        <v>#REF!</v>
      </c>
      <c r="K14" s="1164" t="e">
        <f ca="1">INDEX(INDIRECT("'"&amp;K$4&amp;"'!Year.NetBalance"), MATCH('Intermediate output'!$C14, INDIRECT("'"&amp;K$4&amp;"'!Year.Vectors"), 0))</f>
        <v>#REF!</v>
      </c>
      <c r="L14" s="1164" t="e">
        <f ca="1">INDEX(INDIRECT("'"&amp;L$4&amp;"'!Year.NetBalance"), MATCH('Intermediate output'!$C14, INDIRECT("'"&amp;L$4&amp;"'!Year.Vectors"), 0))</f>
        <v>#REF!</v>
      </c>
      <c r="M14" s="1164" t="e">
        <f ca="1">INDEX(INDIRECT("'"&amp;M$4&amp;"'!Year.NetBalance"), MATCH('Intermediate output'!$C14, INDIRECT("'"&amp;M$4&amp;"'!Year.Vectors"), 0))</f>
        <v>#REF!</v>
      </c>
      <c r="N14" s="1164" t="e">
        <f ca="1">INDEX(INDIRECT("'"&amp;N$4&amp;"'!Year.NetBalance"), MATCH('Intermediate output'!$C14, INDIRECT("'"&amp;N$4&amp;"'!Year.Vectors"), 0))</f>
        <v>#REF!</v>
      </c>
      <c r="O14" s="1164" t="e">
        <f ca="1">INDEX(INDIRECT("'"&amp;O$4&amp;"'!Year.NetBalance"), MATCH('Intermediate output'!$C14, INDIRECT("'"&amp;O$4&amp;"'!Year.Vectors"), 0))</f>
        <v>#REF!</v>
      </c>
      <c r="P14" s="1164" t="e">
        <f ca="1">INDEX(INDIRECT("'"&amp;P$4&amp;"'!Year.NetBalance"), MATCH('Intermediate output'!$C14, INDIRECT("'"&amp;P$4&amp;"'!Year.Vectors"), 0))</f>
        <v>#REF!</v>
      </c>
      <c r="Q14" s="1164">
        <f ca="1">INDEX(INDIRECT("'"&amp;Q$4&amp;"'!Year.NetBalance"), MATCH('Intermediate output'!$C14, INDIRECT("'"&amp;Q$4&amp;"'!Year.Vectors"), 0))</f>
        <v>0</v>
      </c>
      <c r="R14" s="1165"/>
      <c r="S14" s="27"/>
    </row>
    <row r="15" spans="1:32">
      <c r="B15" s="852"/>
      <c r="C15" s="1182" t="s">
        <v>6</v>
      </c>
      <c r="D15" s="854" t="str">
        <f>INDEX(Vectors[Description], MATCH($C15, Vectors[Code], 0))</f>
        <v>Heating and cooling</v>
      </c>
      <c r="E15" s="854"/>
      <c r="F15" s="1164" t="e">
        <f ca="1">INDEX(INDIRECT("'"&amp;F$4&amp;"'!Year.NetBalance"), MATCH('Intermediate output'!$C15, INDIRECT("'"&amp;F$4&amp;"'!Year.Vectors"), 0))</f>
        <v>#REF!</v>
      </c>
      <c r="G15" s="854"/>
      <c r="H15" s="1164" t="e">
        <f ca="1">INDEX(INDIRECT("'"&amp;H$4&amp;"'!Year.NetBalance"), MATCH('Intermediate output'!$C15, INDIRECT("'"&amp;H$4&amp;"'!Year.Vectors"), 0))</f>
        <v>#REF!</v>
      </c>
      <c r="I15" s="1164" t="e">
        <f ca="1">INDEX(INDIRECT("'"&amp;I$4&amp;"'!Year.NetBalance"), MATCH('Intermediate output'!$C15, INDIRECT("'"&amp;I$4&amp;"'!Year.Vectors"), 0))</f>
        <v>#REF!</v>
      </c>
      <c r="J15" s="1164" t="e">
        <f ca="1">INDEX(INDIRECT("'"&amp;J$4&amp;"'!Year.NetBalance"), MATCH('Intermediate output'!$C15, INDIRECT("'"&amp;J$4&amp;"'!Year.Vectors"), 0))</f>
        <v>#REF!</v>
      </c>
      <c r="K15" s="1164" t="e">
        <f ca="1">INDEX(INDIRECT("'"&amp;K$4&amp;"'!Year.NetBalance"), MATCH('Intermediate output'!$C15, INDIRECT("'"&amp;K$4&amp;"'!Year.Vectors"), 0))</f>
        <v>#REF!</v>
      </c>
      <c r="L15" s="1164" t="e">
        <f ca="1">INDEX(INDIRECT("'"&amp;L$4&amp;"'!Year.NetBalance"), MATCH('Intermediate output'!$C15, INDIRECT("'"&amp;L$4&amp;"'!Year.Vectors"), 0))</f>
        <v>#REF!</v>
      </c>
      <c r="M15" s="1164" t="e">
        <f ca="1">INDEX(INDIRECT("'"&amp;M$4&amp;"'!Year.NetBalance"), MATCH('Intermediate output'!$C15, INDIRECT("'"&amp;M$4&amp;"'!Year.Vectors"), 0))</f>
        <v>#REF!</v>
      </c>
      <c r="N15" s="1164" t="e">
        <f ca="1">INDEX(INDIRECT("'"&amp;N$4&amp;"'!Year.NetBalance"), MATCH('Intermediate output'!$C15, INDIRECT("'"&amp;N$4&amp;"'!Year.Vectors"), 0))</f>
        <v>#REF!</v>
      </c>
      <c r="O15" s="1164" t="e">
        <f ca="1">INDEX(INDIRECT("'"&amp;O$4&amp;"'!Year.NetBalance"), MATCH('Intermediate output'!$C15, INDIRECT("'"&amp;O$4&amp;"'!Year.Vectors"), 0))</f>
        <v>#REF!</v>
      </c>
      <c r="P15" s="1164" t="e">
        <f ca="1">INDEX(INDIRECT("'"&amp;P$4&amp;"'!Year.NetBalance"), MATCH('Intermediate output'!$C15, INDIRECT("'"&amp;P$4&amp;"'!Year.Vectors"), 0))</f>
        <v>#REF!</v>
      </c>
      <c r="Q15" s="1164">
        <f ca="1">INDEX(INDIRECT("'"&amp;Q$4&amp;"'!Year.NetBalance"), MATCH('Intermediate output'!$C15, INDIRECT("'"&amp;Q$4&amp;"'!Year.Vectors"), 0))</f>
        <v>0</v>
      </c>
      <c r="R15" s="1165"/>
      <c r="S15" s="27"/>
    </row>
    <row r="16" spans="1:32">
      <c r="B16" s="852"/>
      <c r="C16" s="1182" t="s">
        <v>51</v>
      </c>
      <c r="D16" s="854" t="str">
        <f>INDEX(Vectors[Description], MATCH($C16, Vectors[Code], 0))</f>
        <v>Lighting &amp; appliances</v>
      </c>
      <c r="E16" s="854"/>
      <c r="F16" s="1164" t="e">
        <f ca="1">INDEX(INDIRECT("'"&amp;F$4&amp;"'!Year.NetBalance"), MATCH('Intermediate output'!$C16, INDIRECT("'"&amp;F$4&amp;"'!Year.Vectors"), 0))</f>
        <v>#REF!</v>
      </c>
      <c r="G16" s="854"/>
      <c r="H16" s="1164" t="e">
        <f ca="1">INDEX(INDIRECT("'"&amp;H$4&amp;"'!Year.NetBalance"), MATCH('Intermediate output'!$C16, INDIRECT("'"&amp;H$4&amp;"'!Year.Vectors"), 0))</f>
        <v>#REF!</v>
      </c>
      <c r="I16" s="1164" t="e">
        <f ca="1">INDEX(INDIRECT("'"&amp;I$4&amp;"'!Year.NetBalance"), MATCH('Intermediate output'!$C16, INDIRECT("'"&amp;I$4&amp;"'!Year.Vectors"), 0))</f>
        <v>#REF!</v>
      </c>
      <c r="J16" s="1164" t="e">
        <f ca="1">INDEX(INDIRECT("'"&amp;J$4&amp;"'!Year.NetBalance"), MATCH('Intermediate output'!$C16, INDIRECT("'"&amp;J$4&amp;"'!Year.Vectors"), 0))</f>
        <v>#REF!</v>
      </c>
      <c r="K16" s="1164" t="e">
        <f ca="1">INDEX(INDIRECT("'"&amp;K$4&amp;"'!Year.NetBalance"), MATCH('Intermediate output'!$C16, INDIRECT("'"&amp;K$4&amp;"'!Year.Vectors"), 0))</f>
        <v>#REF!</v>
      </c>
      <c r="L16" s="1164" t="e">
        <f ca="1">INDEX(INDIRECT("'"&amp;L$4&amp;"'!Year.NetBalance"), MATCH('Intermediate output'!$C16, INDIRECT("'"&amp;L$4&amp;"'!Year.Vectors"), 0))</f>
        <v>#REF!</v>
      </c>
      <c r="M16" s="1164" t="e">
        <f ca="1">INDEX(INDIRECT("'"&amp;M$4&amp;"'!Year.NetBalance"), MATCH('Intermediate output'!$C16, INDIRECT("'"&amp;M$4&amp;"'!Year.Vectors"), 0))</f>
        <v>#REF!</v>
      </c>
      <c r="N16" s="1164" t="e">
        <f ca="1">INDEX(INDIRECT("'"&amp;N$4&amp;"'!Year.NetBalance"), MATCH('Intermediate output'!$C16, INDIRECT("'"&amp;N$4&amp;"'!Year.Vectors"), 0))</f>
        <v>#REF!</v>
      </c>
      <c r="O16" s="1164" t="e">
        <f ca="1">INDEX(INDIRECT("'"&amp;O$4&amp;"'!Year.NetBalance"), MATCH('Intermediate output'!$C16, INDIRECT("'"&amp;O$4&amp;"'!Year.Vectors"), 0))</f>
        <v>#REF!</v>
      </c>
      <c r="P16" s="1164" t="e">
        <f ca="1">INDEX(INDIRECT("'"&amp;P$4&amp;"'!Year.NetBalance"), MATCH('Intermediate output'!$C16, INDIRECT("'"&amp;P$4&amp;"'!Year.Vectors"), 0))</f>
        <v>#REF!</v>
      </c>
      <c r="Q16" s="1164">
        <f ca="1">INDEX(INDIRECT("'"&amp;Q$4&amp;"'!Year.NetBalance"), MATCH('Intermediate output'!$C16, INDIRECT("'"&amp;Q$4&amp;"'!Year.Vectors"), 0))</f>
        <v>0</v>
      </c>
      <c r="R16" s="1165"/>
      <c r="S16" s="27"/>
    </row>
    <row r="17" spans="2:19">
      <c r="B17" s="852"/>
      <c r="C17" s="1182" t="s">
        <v>37</v>
      </c>
      <c r="D17" s="854" t="str">
        <f>INDEX(Vectors[Description], MATCH($C17, Vectors[Code], 0))</f>
        <v>Food consumption [UNUSED]</v>
      </c>
      <c r="E17" s="854"/>
      <c r="F17" s="1164" t="e">
        <f ca="1">INDEX(INDIRECT("'"&amp;F$4&amp;"'!Year.NetBalance"), MATCH('Intermediate output'!$C17, INDIRECT("'"&amp;F$4&amp;"'!Year.Vectors"), 0))</f>
        <v>#REF!</v>
      </c>
      <c r="G17" s="854"/>
      <c r="H17" s="1164" t="e">
        <f ca="1">INDEX(INDIRECT("'"&amp;H$4&amp;"'!Year.NetBalance"), MATCH('Intermediate output'!$C17, INDIRECT("'"&amp;H$4&amp;"'!Year.Vectors"), 0))</f>
        <v>#REF!</v>
      </c>
      <c r="I17" s="1164" t="e">
        <f ca="1">INDEX(INDIRECT("'"&amp;I$4&amp;"'!Year.NetBalance"), MATCH('Intermediate output'!$C17, INDIRECT("'"&amp;I$4&amp;"'!Year.Vectors"), 0))</f>
        <v>#REF!</v>
      </c>
      <c r="J17" s="1164" t="e">
        <f ca="1">INDEX(INDIRECT("'"&amp;J$4&amp;"'!Year.NetBalance"), MATCH('Intermediate output'!$C17, INDIRECT("'"&amp;J$4&amp;"'!Year.Vectors"), 0))</f>
        <v>#REF!</v>
      </c>
      <c r="K17" s="1164" t="e">
        <f ca="1">INDEX(INDIRECT("'"&amp;K$4&amp;"'!Year.NetBalance"), MATCH('Intermediate output'!$C17, INDIRECT("'"&amp;K$4&amp;"'!Year.Vectors"), 0))</f>
        <v>#REF!</v>
      </c>
      <c r="L17" s="1164" t="e">
        <f ca="1">INDEX(INDIRECT("'"&amp;L$4&amp;"'!Year.NetBalance"), MATCH('Intermediate output'!$C17, INDIRECT("'"&amp;L$4&amp;"'!Year.Vectors"), 0))</f>
        <v>#REF!</v>
      </c>
      <c r="M17" s="1164" t="e">
        <f ca="1">INDEX(INDIRECT("'"&amp;M$4&amp;"'!Year.NetBalance"), MATCH('Intermediate output'!$C17, INDIRECT("'"&amp;M$4&amp;"'!Year.Vectors"), 0))</f>
        <v>#REF!</v>
      </c>
      <c r="N17" s="1164" t="e">
        <f ca="1">INDEX(INDIRECT("'"&amp;N$4&amp;"'!Year.NetBalance"), MATCH('Intermediate output'!$C17, INDIRECT("'"&amp;N$4&amp;"'!Year.Vectors"), 0))</f>
        <v>#REF!</v>
      </c>
      <c r="O17" s="1164" t="e">
        <f ca="1">INDEX(INDIRECT("'"&amp;O$4&amp;"'!Year.NetBalance"), MATCH('Intermediate output'!$C17, INDIRECT("'"&amp;O$4&amp;"'!Year.Vectors"), 0))</f>
        <v>#REF!</v>
      </c>
      <c r="P17" s="1164" t="e">
        <f ca="1">INDEX(INDIRECT("'"&amp;P$4&amp;"'!Year.NetBalance"), MATCH('Intermediate output'!$C17, INDIRECT("'"&amp;P$4&amp;"'!Year.Vectors"), 0))</f>
        <v>#REF!</v>
      </c>
      <c r="Q17" s="1164">
        <f ca="1">INDEX(INDIRECT("'"&amp;Q$4&amp;"'!Year.NetBalance"), MATCH('Intermediate output'!$C17, INDIRECT("'"&amp;Q$4&amp;"'!Year.Vectors"), 0))</f>
        <v>0</v>
      </c>
      <c r="R17" s="1165"/>
      <c r="S17" s="27"/>
    </row>
    <row r="18" spans="2:19" s="586" customFormat="1" ht="17">
      <c r="B18" s="1166"/>
      <c r="C18" s="1183"/>
      <c r="D18" s="1154" t="s">
        <v>778</v>
      </c>
      <c r="E18" s="854"/>
      <c r="F18" s="1155" t="e">
        <f ca="1">F13+F14+F15+F16+F17</f>
        <v>#REF!</v>
      </c>
      <c r="G18" s="854"/>
      <c r="H18" s="1155" t="e">
        <f ca="1">H13+H14+H15+H16+H17</f>
        <v>#REF!</v>
      </c>
      <c r="I18" s="1155" t="e">
        <f t="shared" ref="I18:Q18" ca="1" si="1">I13+I14+I15+I16+I17</f>
        <v>#REF!</v>
      </c>
      <c r="J18" s="1155" t="e">
        <f t="shared" ca="1" si="1"/>
        <v>#REF!</v>
      </c>
      <c r="K18" s="1155" t="e">
        <f t="shared" ca="1" si="1"/>
        <v>#REF!</v>
      </c>
      <c r="L18" s="1155" t="e">
        <f t="shared" ca="1" si="1"/>
        <v>#REF!</v>
      </c>
      <c r="M18" s="1155" t="e">
        <f t="shared" ca="1" si="1"/>
        <v>#REF!</v>
      </c>
      <c r="N18" s="1155" t="e">
        <f t="shared" ca="1" si="1"/>
        <v>#REF!</v>
      </c>
      <c r="O18" s="1155" t="e">
        <f t="shared" ca="1" si="1"/>
        <v>#REF!</v>
      </c>
      <c r="P18" s="1155" t="e">
        <f t="shared" ca="1" si="1"/>
        <v>#REF!</v>
      </c>
      <c r="Q18" s="1155">
        <f t="shared" ca="1" si="1"/>
        <v>0</v>
      </c>
      <c r="R18" s="1167"/>
      <c r="S18" s="591"/>
    </row>
    <row r="19" spans="2:19" s="530" customFormat="1">
      <c r="B19" s="1168"/>
      <c r="C19" s="1184"/>
      <c r="D19" s="866"/>
      <c r="E19" s="854"/>
      <c r="F19" s="1169"/>
      <c r="G19" s="854"/>
      <c r="H19" s="1169"/>
      <c r="I19" s="1169"/>
      <c r="J19" s="1169"/>
      <c r="K19" s="1169"/>
      <c r="L19" s="1169"/>
      <c r="M19" s="1169"/>
      <c r="N19" s="1169"/>
      <c r="O19" s="1169"/>
      <c r="P19" s="1169"/>
      <c r="Q19" s="1169"/>
      <c r="R19" s="1170"/>
      <c r="S19" s="563"/>
    </row>
    <row r="20" spans="2:19" s="246" customFormat="1">
      <c r="B20" s="1171"/>
      <c r="C20" s="1185"/>
      <c r="D20" s="1172" t="s">
        <v>949</v>
      </c>
      <c r="E20" s="854"/>
      <c r="F20" s="1173"/>
      <c r="G20" s="854"/>
      <c r="H20" s="1173" t="e">
        <f t="shared" ref="H20:Q20" ca="1" si="2">MAX(0,H$47-H$18)</f>
        <v>#REF!</v>
      </c>
      <c r="I20" s="1173" t="e">
        <f t="shared" ca="1" si="2"/>
        <v>#REF!</v>
      </c>
      <c r="J20" s="1173" t="e">
        <f t="shared" ca="1" si="2"/>
        <v>#REF!</v>
      </c>
      <c r="K20" s="1173" t="e">
        <f t="shared" ca="1" si="2"/>
        <v>#REF!</v>
      </c>
      <c r="L20" s="1173" t="e">
        <f t="shared" ca="1" si="2"/>
        <v>#REF!</v>
      </c>
      <c r="M20" s="1173" t="e">
        <f t="shared" ca="1" si="2"/>
        <v>#REF!</v>
      </c>
      <c r="N20" s="1173" t="e">
        <f t="shared" ca="1" si="2"/>
        <v>#REF!</v>
      </c>
      <c r="O20" s="1173" t="e">
        <f t="shared" ca="1" si="2"/>
        <v>#REF!</v>
      </c>
      <c r="P20" s="1173" t="e">
        <f t="shared" ca="1" si="2"/>
        <v>#REF!</v>
      </c>
      <c r="Q20" s="1173">
        <f t="shared" ca="1" si="2"/>
        <v>138.158140919076</v>
      </c>
      <c r="R20" s="1174"/>
      <c r="S20" s="794"/>
    </row>
    <row r="21" spans="2:19" s="121" customFormat="1">
      <c r="B21" s="852"/>
      <c r="C21" s="1182"/>
      <c r="D21" s="854"/>
      <c r="E21" s="854"/>
      <c r="F21" s="854"/>
      <c r="G21" s="854"/>
      <c r="H21" s="1164"/>
      <c r="I21" s="1164"/>
      <c r="J21" s="1164"/>
      <c r="K21" s="1164"/>
      <c r="L21" s="1164"/>
      <c r="M21" s="1164"/>
      <c r="N21" s="1164"/>
      <c r="O21" s="1164"/>
      <c r="P21" s="1164"/>
      <c r="Q21" s="1164"/>
      <c r="R21" s="1165"/>
      <c r="S21" s="27"/>
    </row>
    <row r="22" spans="2:19" s="529" customFormat="1">
      <c r="B22" s="1160"/>
      <c r="C22" s="1181" t="s">
        <v>1013</v>
      </c>
      <c r="D22" s="1161"/>
      <c r="E22" s="854"/>
      <c r="F22" s="1162"/>
      <c r="G22" s="854"/>
      <c r="H22" s="1162"/>
      <c r="I22" s="1162"/>
      <c r="J22" s="1162"/>
      <c r="K22" s="1162"/>
      <c r="L22" s="1162"/>
      <c r="M22" s="1162"/>
      <c r="N22" s="1162"/>
      <c r="O22" s="1162"/>
      <c r="P22" s="1162"/>
      <c r="Q22" s="1162"/>
      <c r="R22" s="1163"/>
      <c r="S22" s="795"/>
    </row>
    <row r="23" spans="2:19" s="529" customFormat="1">
      <c r="B23" s="1160"/>
      <c r="C23" s="1186" t="s">
        <v>7</v>
      </c>
      <c r="D23" s="1161" t="str">
        <f>INDEX(Vectors[Description], MATCH($C23, Vectors[Code], 0))</f>
        <v>Nuclear fission</v>
      </c>
      <c r="E23" s="854"/>
      <c r="F23" s="1162" t="e">
        <f ca="1">-INDEX(INDIRECT("'"&amp;F$4&amp;"'!Year.NetBalance"), MATCH('Intermediate output'!$C23, INDIRECT("'"&amp;F$4&amp;"'!Year.Vectors"), 0))</f>
        <v>#REF!</v>
      </c>
      <c r="G23" s="854"/>
      <c r="H23" s="1162" t="e">
        <f ca="1">-INDEX(INDIRECT("'"&amp;H$4&amp;"'!Year.NetBalance"), MATCH('Intermediate output'!$C23, INDIRECT("'"&amp;H$4&amp;"'!Year.Vectors"), 0))</f>
        <v>#REF!</v>
      </c>
      <c r="I23" s="1162" t="e">
        <f ca="1">-INDEX(INDIRECT("'"&amp;I$4&amp;"'!Year.NetBalance"), MATCH('Intermediate output'!$C23, INDIRECT("'"&amp;I$4&amp;"'!Year.Vectors"), 0))</f>
        <v>#REF!</v>
      </c>
      <c r="J23" s="1162" t="e">
        <f ca="1">-INDEX(INDIRECT("'"&amp;J$4&amp;"'!Year.NetBalance"), MATCH('Intermediate output'!$C23, INDIRECT("'"&amp;J$4&amp;"'!Year.Vectors"), 0))</f>
        <v>#REF!</v>
      </c>
      <c r="K23" s="1162" t="e">
        <f ca="1">-INDEX(INDIRECT("'"&amp;K$4&amp;"'!Year.NetBalance"), MATCH('Intermediate output'!$C23, INDIRECT("'"&amp;K$4&amp;"'!Year.Vectors"), 0))</f>
        <v>#REF!</v>
      </c>
      <c r="L23" s="1162" t="e">
        <f ca="1">-INDEX(INDIRECT("'"&amp;L$4&amp;"'!Year.NetBalance"), MATCH('Intermediate output'!$C23, INDIRECT("'"&amp;L$4&amp;"'!Year.Vectors"), 0))</f>
        <v>#REF!</v>
      </c>
      <c r="M23" s="1162" t="e">
        <f ca="1">-INDEX(INDIRECT("'"&amp;M$4&amp;"'!Year.NetBalance"), MATCH('Intermediate output'!$C23, INDIRECT("'"&amp;M$4&amp;"'!Year.Vectors"), 0))</f>
        <v>#REF!</v>
      </c>
      <c r="N23" s="1162" t="e">
        <f ca="1">-INDEX(INDIRECT("'"&amp;N$4&amp;"'!Year.NetBalance"), MATCH('Intermediate output'!$C23, INDIRECT("'"&amp;N$4&amp;"'!Year.Vectors"), 0))</f>
        <v>#REF!</v>
      </c>
      <c r="O23" s="1162" t="e">
        <f ca="1">-INDEX(INDIRECT("'"&amp;O$4&amp;"'!Year.NetBalance"), MATCH('Intermediate output'!$C23, INDIRECT("'"&amp;O$4&amp;"'!Year.Vectors"), 0))</f>
        <v>#REF!</v>
      </c>
      <c r="P23" s="1162" t="e">
        <f ca="1">-INDEX(INDIRECT("'"&amp;P$4&amp;"'!Year.NetBalance"), MATCH('Intermediate output'!$C23, INDIRECT("'"&amp;P$4&amp;"'!Year.Vectors"), 0))</f>
        <v>#REF!</v>
      </c>
      <c r="Q23" s="1162">
        <f ca="1">-INDEX(INDIRECT("'"&amp;Q$4&amp;"'!Year.NetBalance"), MATCH('Intermediate output'!$C23, INDIRECT("'"&amp;Q$4&amp;"'!Year.Vectors"), 0))</f>
        <v>0</v>
      </c>
      <c r="R23" s="1163"/>
      <c r="S23" s="795"/>
    </row>
    <row r="24" spans="2:19" s="529" customFormat="1">
      <c r="B24" s="1160"/>
      <c r="C24" s="1186" t="s">
        <v>30</v>
      </c>
      <c r="D24" s="1161" t="str">
        <f>INDEX(Vectors[Description], MATCH($C24, Vectors[Code], 0))</f>
        <v>Solar</v>
      </c>
      <c r="E24" s="854"/>
      <c r="F24" s="1162" t="e">
        <f ca="1">-INDEX(INDIRECT("'"&amp;F$4&amp;"'!Year.NetBalance"), MATCH('Intermediate output'!$C24, INDIRECT("'"&amp;F$4&amp;"'!Year.Vectors"), 0))</f>
        <v>#REF!</v>
      </c>
      <c r="G24" s="854"/>
      <c r="H24" s="1162" t="e">
        <f ca="1">-INDEX(INDIRECT("'"&amp;H$4&amp;"'!Year.NetBalance"), MATCH('Intermediate output'!$C24, INDIRECT("'"&amp;H$4&amp;"'!Year.Vectors"), 0))</f>
        <v>#REF!</v>
      </c>
      <c r="I24" s="1162" t="e">
        <f ca="1">-INDEX(INDIRECT("'"&amp;I$4&amp;"'!Year.NetBalance"), MATCH('Intermediate output'!$C24, INDIRECT("'"&amp;I$4&amp;"'!Year.Vectors"), 0))</f>
        <v>#REF!</v>
      </c>
      <c r="J24" s="1162" t="e">
        <f ca="1">-INDEX(INDIRECT("'"&amp;J$4&amp;"'!Year.NetBalance"), MATCH('Intermediate output'!$C24, INDIRECT("'"&amp;J$4&amp;"'!Year.Vectors"), 0))</f>
        <v>#REF!</v>
      </c>
      <c r="K24" s="1162" t="e">
        <f ca="1">-INDEX(INDIRECT("'"&amp;K$4&amp;"'!Year.NetBalance"), MATCH('Intermediate output'!$C24, INDIRECT("'"&amp;K$4&amp;"'!Year.Vectors"), 0))</f>
        <v>#REF!</v>
      </c>
      <c r="L24" s="1162" t="e">
        <f ca="1">-INDEX(INDIRECT("'"&amp;L$4&amp;"'!Year.NetBalance"), MATCH('Intermediate output'!$C24, INDIRECT("'"&amp;L$4&amp;"'!Year.Vectors"), 0))</f>
        <v>#REF!</v>
      </c>
      <c r="M24" s="1162" t="e">
        <f ca="1">-INDEX(INDIRECT("'"&amp;M$4&amp;"'!Year.NetBalance"), MATCH('Intermediate output'!$C24, INDIRECT("'"&amp;M$4&amp;"'!Year.Vectors"), 0))</f>
        <v>#REF!</v>
      </c>
      <c r="N24" s="1162" t="e">
        <f ca="1">-INDEX(INDIRECT("'"&amp;N$4&amp;"'!Year.NetBalance"), MATCH('Intermediate output'!$C24, INDIRECT("'"&amp;N$4&amp;"'!Year.Vectors"), 0))</f>
        <v>#REF!</v>
      </c>
      <c r="O24" s="1162" t="e">
        <f ca="1">-INDEX(INDIRECT("'"&amp;O$4&amp;"'!Year.NetBalance"), MATCH('Intermediate output'!$C24, INDIRECT("'"&amp;O$4&amp;"'!Year.Vectors"), 0))</f>
        <v>#REF!</v>
      </c>
      <c r="P24" s="1162" t="e">
        <f ca="1">-INDEX(INDIRECT("'"&amp;P$4&amp;"'!Year.NetBalance"), MATCH('Intermediate output'!$C24, INDIRECT("'"&amp;P$4&amp;"'!Year.Vectors"), 0))</f>
        <v>#REF!</v>
      </c>
      <c r="Q24" s="1162">
        <f ca="1">-INDEX(INDIRECT("'"&amp;Q$4&amp;"'!Year.NetBalance"), MATCH('Intermediate output'!$C24, INDIRECT("'"&amp;Q$4&amp;"'!Year.Vectors"), 0))</f>
        <v>0</v>
      </c>
      <c r="R24" s="1163"/>
      <c r="S24" s="795"/>
    </row>
    <row r="25" spans="2:19" s="529" customFormat="1">
      <c r="B25" s="1160"/>
      <c r="C25" s="1186" t="s">
        <v>8</v>
      </c>
      <c r="D25" s="1161" t="str">
        <f>INDEX(Vectors[Description], MATCH($C25, Vectors[Code], 0))</f>
        <v>Wind</v>
      </c>
      <c r="E25" s="854"/>
      <c r="F25" s="1162" t="e">
        <f ca="1">-INDEX(INDIRECT("'"&amp;F$4&amp;"'!Year.NetBalance"), MATCH('Intermediate output'!$C25, INDIRECT("'"&amp;F$4&amp;"'!Year.Vectors"), 0))</f>
        <v>#REF!</v>
      </c>
      <c r="G25" s="854"/>
      <c r="H25" s="1162" t="e">
        <f ca="1">-INDEX(INDIRECT("'"&amp;H$4&amp;"'!Year.NetBalance"), MATCH('Intermediate output'!$C25, INDIRECT("'"&amp;H$4&amp;"'!Year.Vectors"), 0))</f>
        <v>#REF!</v>
      </c>
      <c r="I25" s="1162" t="e">
        <f ca="1">-INDEX(INDIRECT("'"&amp;I$4&amp;"'!Year.NetBalance"), MATCH('Intermediate output'!$C25, INDIRECT("'"&amp;I$4&amp;"'!Year.Vectors"), 0))</f>
        <v>#REF!</v>
      </c>
      <c r="J25" s="1162" t="e">
        <f ca="1">-INDEX(INDIRECT("'"&amp;J$4&amp;"'!Year.NetBalance"), MATCH('Intermediate output'!$C25, INDIRECT("'"&amp;J$4&amp;"'!Year.Vectors"), 0))</f>
        <v>#REF!</v>
      </c>
      <c r="K25" s="1162" t="e">
        <f ca="1">-INDEX(INDIRECT("'"&amp;K$4&amp;"'!Year.NetBalance"), MATCH('Intermediate output'!$C25, INDIRECT("'"&amp;K$4&amp;"'!Year.Vectors"), 0))</f>
        <v>#REF!</v>
      </c>
      <c r="L25" s="1162" t="e">
        <f ca="1">-INDEX(INDIRECT("'"&amp;L$4&amp;"'!Year.NetBalance"), MATCH('Intermediate output'!$C25, INDIRECT("'"&amp;L$4&amp;"'!Year.Vectors"), 0))</f>
        <v>#REF!</v>
      </c>
      <c r="M25" s="1162" t="e">
        <f ca="1">-INDEX(INDIRECT("'"&amp;M$4&amp;"'!Year.NetBalance"), MATCH('Intermediate output'!$C25, INDIRECT("'"&amp;M$4&amp;"'!Year.Vectors"), 0))</f>
        <v>#REF!</v>
      </c>
      <c r="N25" s="1162" t="e">
        <f ca="1">-INDEX(INDIRECT("'"&amp;N$4&amp;"'!Year.NetBalance"), MATCH('Intermediate output'!$C25, INDIRECT("'"&amp;N$4&amp;"'!Year.Vectors"), 0))</f>
        <v>#REF!</v>
      </c>
      <c r="O25" s="1162" t="e">
        <f ca="1">-INDEX(INDIRECT("'"&amp;O$4&amp;"'!Year.NetBalance"), MATCH('Intermediate output'!$C25, INDIRECT("'"&amp;O$4&amp;"'!Year.Vectors"), 0))</f>
        <v>#REF!</v>
      </c>
      <c r="P25" s="1162" t="e">
        <f ca="1">-INDEX(INDIRECT("'"&amp;P$4&amp;"'!Year.NetBalance"), MATCH('Intermediate output'!$C25, INDIRECT("'"&amp;P$4&amp;"'!Year.Vectors"), 0))</f>
        <v>#REF!</v>
      </c>
      <c r="Q25" s="1162">
        <f ca="1">-INDEX(INDIRECT("'"&amp;Q$4&amp;"'!Year.NetBalance"), MATCH('Intermediate output'!$C25, INDIRECT("'"&amp;Q$4&amp;"'!Year.Vectors"), 0))</f>
        <v>0</v>
      </c>
      <c r="R25" s="1163"/>
      <c r="S25" s="795"/>
    </row>
    <row r="26" spans="2:19" s="529" customFormat="1">
      <c r="B26" s="1160"/>
      <c r="C26" s="1186" t="s">
        <v>9</v>
      </c>
      <c r="D26" s="1161" t="str">
        <f>INDEX(Vectors[Description], MATCH($C26, Vectors[Code], 0))</f>
        <v>Tidal</v>
      </c>
      <c r="E26" s="854"/>
      <c r="F26" s="1162" t="e">
        <f ca="1">-INDEX(INDIRECT("'"&amp;F$4&amp;"'!Year.NetBalance"), MATCH('Intermediate output'!$C26, INDIRECT("'"&amp;F$4&amp;"'!Year.Vectors"), 0))</f>
        <v>#REF!</v>
      </c>
      <c r="G26" s="854"/>
      <c r="H26" s="1162" t="e">
        <f ca="1">-INDEX(INDIRECT("'"&amp;H$4&amp;"'!Year.NetBalance"), MATCH('Intermediate output'!$C26, INDIRECT("'"&amp;H$4&amp;"'!Year.Vectors"), 0))</f>
        <v>#REF!</v>
      </c>
      <c r="I26" s="1162" t="e">
        <f ca="1">-INDEX(INDIRECT("'"&amp;I$4&amp;"'!Year.NetBalance"), MATCH('Intermediate output'!$C26, INDIRECT("'"&amp;I$4&amp;"'!Year.Vectors"), 0))</f>
        <v>#REF!</v>
      </c>
      <c r="J26" s="1162" t="e">
        <f ca="1">-INDEX(INDIRECT("'"&amp;J$4&amp;"'!Year.NetBalance"), MATCH('Intermediate output'!$C26, INDIRECT("'"&amp;J$4&amp;"'!Year.Vectors"), 0))</f>
        <v>#REF!</v>
      </c>
      <c r="K26" s="1162" t="e">
        <f ca="1">-INDEX(INDIRECT("'"&amp;K$4&amp;"'!Year.NetBalance"), MATCH('Intermediate output'!$C26, INDIRECT("'"&amp;K$4&amp;"'!Year.Vectors"), 0))</f>
        <v>#REF!</v>
      </c>
      <c r="L26" s="1162" t="e">
        <f ca="1">-INDEX(INDIRECT("'"&amp;L$4&amp;"'!Year.NetBalance"), MATCH('Intermediate output'!$C26, INDIRECT("'"&amp;L$4&amp;"'!Year.Vectors"), 0))</f>
        <v>#REF!</v>
      </c>
      <c r="M26" s="1162" t="e">
        <f ca="1">-INDEX(INDIRECT("'"&amp;M$4&amp;"'!Year.NetBalance"), MATCH('Intermediate output'!$C26, INDIRECT("'"&amp;M$4&amp;"'!Year.Vectors"), 0))</f>
        <v>#REF!</v>
      </c>
      <c r="N26" s="1162" t="e">
        <f ca="1">-INDEX(INDIRECT("'"&amp;N$4&amp;"'!Year.NetBalance"), MATCH('Intermediate output'!$C26, INDIRECT("'"&amp;N$4&amp;"'!Year.Vectors"), 0))</f>
        <v>#REF!</v>
      </c>
      <c r="O26" s="1162" t="e">
        <f ca="1">-INDEX(INDIRECT("'"&amp;O$4&amp;"'!Year.NetBalance"), MATCH('Intermediate output'!$C26, INDIRECT("'"&amp;O$4&amp;"'!Year.Vectors"), 0))</f>
        <v>#REF!</v>
      </c>
      <c r="P26" s="1162" t="e">
        <f ca="1">-INDEX(INDIRECT("'"&amp;P$4&amp;"'!Year.NetBalance"), MATCH('Intermediate output'!$C26, INDIRECT("'"&amp;P$4&amp;"'!Year.Vectors"), 0))</f>
        <v>#REF!</v>
      </c>
      <c r="Q26" s="1162">
        <f ca="1">-INDEX(INDIRECT("'"&amp;Q$4&amp;"'!Year.NetBalance"), MATCH('Intermediate output'!$C26, INDIRECT("'"&amp;Q$4&amp;"'!Year.Vectors"), 0))</f>
        <v>0</v>
      </c>
      <c r="R26" s="1163"/>
      <c r="S26" s="27"/>
    </row>
    <row r="27" spans="2:19" s="529" customFormat="1">
      <c r="B27" s="1160"/>
      <c r="C27" s="1186" t="s">
        <v>10</v>
      </c>
      <c r="D27" s="1161" t="str">
        <f>INDEX(Vectors[Description], MATCH($C27, Vectors[Code], 0))</f>
        <v>Wave</v>
      </c>
      <c r="E27" s="854"/>
      <c r="F27" s="1162" t="e">
        <f ca="1">-INDEX(INDIRECT("'"&amp;F$4&amp;"'!Year.NetBalance"), MATCH('Intermediate output'!$C27, INDIRECT("'"&amp;F$4&amp;"'!Year.Vectors"), 0))</f>
        <v>#REF!</v>
      </c>
      <c r="G27" s="854"/>
      <c r="H27" s="1162" t="e">
        <f ca="1">-INDEX(INDIRECT("'"&amp;H$4&amp;"'!Year.NetBalance"), MATCH('Intermediate output'!$C27, INDIRECT("'"&amp;H$4&amp;"'!Year.Vectors"), 0))</f>
        <v>#REF!</v>
      </c>
      <c r="I27" s="1162" t="e">
        <f ca="1">-INDEX(INDIRECT("'"&amp;I$4&amp;"'!Year.NetBalance"), MATCH('Intermediate output'!$C27, INDIRECT("'"&amp;I$4&amp;"'!Year.Vectors"), 0))</f>
        <v>#REF!</v>
      </c>
      <c r="J27" s="1162" t="e">
        <f ca="1">-INDEX(INDIRECT("'"&amp;J$4&amp;"'!Year.NetBalance"), MATCH('Intermediate output'!$C27, INDIRECT("'"&amp;J$4&amp;"'!Year.Vectors"), 0))</f>
        <v>#REF!</v>
      </c>
      <c r="K27" s="1162" t="e">
        <f ca="1">-INDEX(INDIRECT("'"&amp;K$4&amp;"'!Year.NetBalance"), MATCH('Intermediate output'!$C27, INDIRECT("'"&amp;K$4&amp;"'!Year.Vectors"), 0))</f>
        <v>#REF!</v>
      </c>
      <c r="L27" s="1162" t="e">
        <f ca="1">-INDEX(INDIRECT("'"&amp;L$4&amp;"'!Year.NetBalance"), MATCH('Intermediate output'!$C27, INDIRECT("'"&amp;L$4&amp;"'!Year.Vectors"), 0))</f>
        <v>#REF!</v>
      </c>
      <c r="M27" s="1162" t="e">
        <f ca="1">-INDEX(INDIRECT("'"&amp;M$4&amp;"'!Year.NetBalance"), MATCH('Intermediate output'!$C27, INDIRECT("'"&amp;M$4&amp;"'!Year.Vectors"), 0))</f>
        <v>#REF!</v>
      </c>
      <c r="N27" s="1162" t="e">
        <f ca="1">-INDEX(INDIRECT("'"&amp;N$4&amp;"'!Year.NetBalance"), MATCH('Intermediate output'!$C27, INDIRECT("'"&amp;N$4&amp;"'!Year.Vectors"), 0))</f>
        <v>#REF!</v>
      </c>
      <c r="O27" s="1162" t="e">
        <f ca="1">-INDEX(INDIRECT("'"&amp;O$4&amp;"'!Year.NetBalance"), MATCH('Intermediate output'!$C27, INDIRECT("'"&amp;O$4&amp;"'!Year.Vectors"), 0))</f>
        <v>#REF!</v>
      </c>
      <c r="P27" s="1162" t="e">
        <f ca="1">-INDEX(INDIRECT("'"&amp;P$4&amp;"'!Year.NetBalance"), MATCH('Intermediate output'!$C27, INDIRECT("'"&amp;P$4&amp;"'!Year.Vectors"), 0))</f>
        <v>#REF!</v>
      </c>
      <c r="Q27" s="1162">
        <f ca="1">-INDEX(INDIRECT("'"&amp;Q$4&amp;"'!Year.NetBalance"), MATCH('Intermediate output'!$C27, INDIRECT("'"&amp;Q$4&amp;"'!Year.Vectors"), 0))</f>
        <v>0</v>
      </c>
      <c r="R27" s="1163"/>
      <c r="S27" s="795"/>
    </row>
    <row r="28" spans="2:19" s="529" customFormat="1">
      <c r="B28" s="1160"/>
      <c r="C28" s="1186" t="s">
        <v>11</v>
      </c>
      <c r="D28" s="1161" t="str">
        <f>INDEX(Vectors[Description], MATCH($C28, Vectors[Code], 0))</f>
        <v>Geothermal</v>
      </c>
      <c r="E28" s="854"/>
      <c r="F28" s="1162" t="e">
        <f ca="1">-INDEX(INDIRECT("'"&amp;F$4&amp;"'!Year.NetBalance"), MATCH('Intermediate output'!$C28, INDIRECT("'"&amp;F$4&amp;"'!Year.Vectors"), 0))</f>
        <v>#REF!</v>
      </c>
      <c r="G28" s="854"/>
      <c r="H28" s="1162" t="e">
        <f ca="1">-INDEX(INDIRECT("'"&amp;H$4&amp;"'!Year.NetBalance"), MATCH('Intermediate output'!$C28, INDIRECT("'"&amp;H$4&amp;"'!Year.Vectors"), 0))</f>
        <v>#REF!</v>
      </c>
      <c r="I28" s="1162" t="e">
        <f ca="1">-INDEX(INDIRECT("'"&amp;I$4&amp;"'!Year.NetBalance"), MATCH('Intermediate output'!$C28, INDIRECT("'"&amp;I$4&amp;"'!Year.Vectors"), 0))</f>
        <v>#REF!</v>
      </c>
      <c r="J28" s="1162" t="e">
        <f ca="1">-INDEX(INDIRECT("'"&amp;J$4&amp;"'!Year.NetBalance"), MATCH('Intermediate output'!$C28, INDIRECT("'"&amp;J$4&amp;"'!Year.Vectors"), 0))</f>
        <v>#REF!</v>
      </c>
      <c r="K28" s="1162" t="e">
        <f ca="1">-INDEX(INDIRECT("'"&amp;K$4&amp;"'!Year.NetBalance"), MATCH('Intermediate output'!$C28, INDIRECT("'"&amp;K$4&amp;"'!Year.Vectors"), 0))</f>
        <v>#REF!</v>
      </c>
      <c r="L28" s="1162" t="e">
        <f ca="1">-INDEX(INDIRECT("'"&amp;L$4&amp;"'!Year.NetBalance"), MATCH('Intermediate output'!$C28, INDIRECT("'"&amp;L$4&amp;"'!Year.Vectors"), 0))</f>
        <v>#REF!</v>
      </c>
      <c r="M28" s="1162" t="e">
        <f ca="1">-INDEX(INDIRECT("'"&amp;M$4&amp;"'!Year.NetBalance"), MATCH('Intermediate output'!$C28, INDIRECT("'"&amp;M$4&amp;"'!Year.Vectors"), 0))</f>
        <v>#REF!</v>
      </c>
      <c r="N28" s="1162" t="e">
        <f ca="1">-INDEX(INDIRECT("'"&amp;N$4&amp;"'!Year.NetBalance"), MATCH('Intermediate output'!$C28, INDIRECT("'"&amp;N$4&amp;"'!Year.Vectors"), 0))</f>
        <v>#REF!</v>
      </c>
      <c r="O28" s="1162" t="e">
        <f ca="1">-INDEX(INDIRECT("'"&amp;O$4&amp;"'!Year.NetBalance"), MATCH('Intermediate output'!$C28, INDIRECT("'"&amp;O$4&amp;"'!Year.Vectors"), 0))</f>
        <v>#REF!</v>
      </c>
      <c r="P28" s="1162" t="e">
        <f ca="1">-INDEX(INDIRECT("'"&amp;P$4&amp;"'!Year.NetBalance"), MATCH('Intermediate output'!$C28, INDIRECT("'"&amp;P$4&amp;"'!Year.Vectors"), 0))</f>
        <v>#REF!</v>
      </c>
      <c r="Q28" s="1162">
        <f ca="1">-INDEX(INDIRECT("'"&amp;Q$4&amp;"'!Year.NetBalance"), MATCH('Intermediate output'!$C28, INDIRECT("'"&amp;Q$4&amp;"'!Year.Vectors"), 0))</f>
        <v>0</v>
      </c>
      <c r="R28" s="1163"/>
      <c r="S28" s="795"/>
    </row>
    <row r="29" spans="2:19" s="529" customFormat="1">
      <c r="B29" s="1160"/>
      <c r="C29" s="1186" t="s">
        <v>12</v>
      </c>
      <c r="D29" s="1161" t="str">
        <f>INDEX(Vectors[Description], MATCH($C29, Vectors[Code], 0))</f>
        <v>Hydro</v>
      </c>
      <c r="E29" s="854"/>
      <c r="F29" s="1162" t="e">
        <f ca="1">-INDEX(INDIRECT("'"&amp;F$4&amp;"'!Year.NetBalance"), MATCH('Intermediate output'!$C29, INDIRECT("'"&amp;F$4&amp;"'!Year.Vectors"), 0))</f>
        <v>#REF!</v>
      </c>
      <c r="G29" s="854"/>
      <c r="H29" s="1162" t="e">
        <f ca="1">-INDEX(INDIRECT("'"&amp;H$4&amp;"'!Year.NetBalance"), MATCH('Intermediate output'!$C29, INDIRECT("'"&amp;H$4&amp;"'!Year.Vectors"), 0))</f>
        <v>#REF!</v>
      </c>
      <c r="I29" s="1162" t="e">
        <f ca="1">-INDEX(INDIRECT("'"&amp;I$4&amp;"'!Year.NetBalance"), MATCH('Intermediate output'!$C29, INDIRECT("'"&amp;I$4&amp;"'!Year.Vectors"), 0))</f>
        <v>#REF!</v>
      </c>
      <c r="J29" s="1162" t="e">
        <f ca="1">-INDEX(INDIRECT("'"&amp;J$4&amp;"'!Year.NetBalance"), MATCH('Intermediate output'!$C29, INDIRECT("'"&amp;J$4&amp;"'!Year.Vectors"), 0))</f>
        <v>#REF!</v>
      </c>
      <c r="K29" s="1162" t="e">
        <f ca="1">-INDEX(INDIRECT("'"&amp;K$4&amp;"'!Year.NetBalance"), MATCH('Intermediate output'!$C29, INDIRECT("'"&amp;K$4&amp;"'!Year.Vectors"), 0))</f>
        <v>#REF!</v>
      </c>
      <c r="L29" s="1162" t="e">
        <f ca="1">-INDEX(INDIRECT("'"&amp;L$4&amp;"'!Year.NetBalance"), MATCH('Intermediate output'!$C29, INDIRECT("'"&amp;L$4&amp;"'!Year.Vectors"), 0))</f>
        <v>#REF!</v>
      </c>
      <c r="M29" s="1162" t="e">
        <f ca="1">-INDEX(INDIRECT("'"&amp;M$4&amp;"'!Year.NetBalance"), MATCH('Intermediate output'!$C29, INDIRECT("'"&amp;M$4&amp;"'!Year.Vectors"), 0))</f>
        <v>#REF!</v>
      </c>
      <c r="N29" s="1162" t="e">
        <f ca="1">-INDEX(INDIRECT("'"&amp;N$4&amp;"'!Year.NetBalance"), MATCH('Intermediate output'!$C29, INDIRECT("'"&amp;N$4&amp;"'!Year.Vectors"), 0))</f>
        <v>#REF!</v>
      </c>
      <c r="O29" s="1162" t="e">
        <f ca="1">-INDEX(INDIRECT("'"&amp;O$4&amp;"'!Year.NetBalance"), MATCH('Intermediate output'!$C29, INDIRECT("'"&amp;O$4&amp;"'!Year.Vectors"), 0))</f>
        <v>#REF!</v>
      </c>
      <c r="P29" s="1162" t="e">
        <f ca="1">-INDEX(INDIRECT("'"&amp;P$4&amp;"'!Year.NetBalance"), MATCH('Intermediate output'!$C29, INDIRECT("'"&amp;P$4&amp;"'!Year.Vectors"), 0))</f>
        <v>#REF!</v>
      </c>
      <c r="Q29" s="1162">
        <f ca="1">-INDEX(INDIRECT("'"&amp;Q$4&amp;"'!Year.NetBalance"), MATCH('Intermediate output'!$C29, INDIRECT("'"&amp;Q$4&amp;"'!Year.Vectors"), 0))</f>
        <v>0</v>
      </c>
      <c r="R29" s="1163"/>
      <c r="S29" s="27"/>
    </row>
    <row r="30" spans="2:19" s="529" customFormat="1">
      <c r="B30" s="1160"/>
      <c r="C30" s="1186" t="s">
        <v>54</v>
      </c>
      <c r="D30" s="1161" t="str">
        <f>INDEX(Vectors[Description], MATCH($C30, Vectors[Code], 0))</f>
        <v>Electricity oversupply (imports)</v>
      </c>
      <c r="E30" s="854"/>
      <c r="F30" s="1162" t="e">
        <f ca="1">-INDEX(INDIRECT("'"&amp;F$4&amp;"'!Year.NetBalance"), MATCH('Intermediate output'!$C30, INDIRECT("'"&amp;F$4&amp;"'!Year.Vectors"), 0))</f>
        <v>#REF!</v>
      </c>
      <c r="G30" s="854"/>
      <c r="H30" s="1162" t="e">
        <f ca="1">-INDEX(INDIRECT("'"&amp;H$4&amp;"'!Year.NetBalance"), MATCH('Intermediate output'!$C30, INDIRECT("'"&amp;H$4&amp;"'!Year.Vectors"), 0))</f>
        <v>#REF!</v>
      </c>
      <c r="I30" s="1162" t="e">
        <f ca="1">-INDEX(INDIRECT("'"&amp;I$4&amp;"'!Year.NetBalance"), MATCH('Intermediate output'!$C30, INDIRECT("'"&amp;I$4&amp;"'!Year.Vectors"), 0))</f>
        <v>#REF!</v>
      </c>
      <c r="J30" s="1162" t="e">
        <f ca="1">-INDEX(INDIRECT("'"&amp;J$4&amp;"'!Year.NetBalance"), MATCH('Intermediate output'!$C30, INDIRECT("'"&amp;J$4&amp;"'!Year.Vectors"), 0))</f>
        <v>#REF!</v>
      </c>
      <c r="K30" s="1162" t="e">
        <f ca="1">-INDEX(INDIRECT("'"&amp;K$4&amp;"'!Year.NetBalance"), MATCH('Intermediate output'!$C30, INDIRECT("'"&amp;K$4&amp;"'!Year.Vectors"), 0))</f>
        <v>#REF!</v>
      </c>
      <c r="L30" s="1162" t="e">
        <f ca="1">-INDEX(INDIRECT("'"&amp;L$4&amp;"'!Year.NetBalance"), MATCH('Intermediate output'!$C30, INDIRECT("'"&amp;L$4&amp;"'!Year.Vectors"), 0))</f>
        <v>#REF!</v>
      </c>
      <c r="M30" s="1162" t="e">
        <f ca="1">-INDEX(INDIRECT("'"&amp;M$4&amp;"'!Year.NetBalance"), MATCH('Intermediate output'!$C30, INDIRECT("'"&amp;M$4&amp;"'!Year.Vectors"), 0))</f>
        <v>#REF!</v>
      </c>
      <c r="N30" s="1162" t="e">
        <f ca="1">-INDEX(INDIRECT("'"&amp;N$4&amp;"'!Year.NetBalance"), MATCH('Intermediate output'!$C30, INDIRECT("'"&amp;N$4&amp;"'!Year.Vectors"), 0))</f>
        <v>#REF!</v>
      </c>
      <c r="O30" s="1162" t="e">
        <f ca="1">-INDEX(INDIRECT("'"&amp;O$4&amp;"'!Year.NetBalance"), MATCH('Intermediate output'!$C30, INDIRECT("'"&amp;O$4&amp;"'!Year.Vectors"), 0))</f>
        <v>#REF!</v>
      </c>
      <c r="P30" s="1162" t="e">
        <f ca="1">-INDEX(INDIRECT("'"&amp;P$4&amp;"'!Year.NetBalance"), MATCH('Intermediate output'!$C30, INDIRECT("'"&amp;P$4&amp;"'!Year.Vectors"), 0))</f>
        <v>#REF!</v>
      </c>
      <c r="Q30" s="1162">
        <f ca="1">-INDEX(INDIRECT("'"&amp;Q$4&amp;"'!Year.NetBalance"), MATCH('Intermediate output'!$C30, INDIRECT("'"&amp;Q$4&amp;"'!Year.Vectors"), 0))</f>
        <v>-261.96211411772401</v>
      </c>
      <c r="R30" s="1163"/>
      <c r="S30" s="795"/>
    </row>
    <row r="31" spans="2:19" s="121" customFormat="1">
      <c r="B31" s="852"/>
      <c r="C31" s="1182"/>
      <c r="D31" s="854" t="s">
        <v>1138</v>
      </c>
      <c r="E31" s="854"/>
      <c r="F31" s="1164" t="e">
        <f ca="1">SUM(F23:F30)</f>
        <v>#REF!</v>
      </c>
      <c r="G31" s="854"/>
      <c r="H31" s="1164" t="e">
        <f ca="1">SUM(H23:H30)</f>
        <v>#REF!</v>
      </c>
      <c r="I31" s="1164" t="e">
        <f t="shared" ref="I31:Q31" ca="1" si="3">SUM(I23:I30)</f>
        <v>#REF!</v>
      </c>
      <c r="J31" s="1164" t="e">
        <f t="shared" ca="1" si="3"/>
        <v>#REF!</v>
      </c>
      <c r="K31" s="1164" t="e">
        <f t="shared" ca="1" si="3"/>
        <v>#REF!</v>
      </c>
      <c r="L31" s="1164" t="e">
        <f t="shared" ca="1" si="3"/>
        <v>#REF!</v>
      </c>
      <c r="M31" s="1164" t="e">
        <f t="shared" ca="1" si="3"/>
        <v>#REF!</v>
      </c>
      <c r="N31" s="1164" t="e">
        <f t="shared" ca="1" si="3"/>
        <v>#REF!</v>
      </c>
      <c r="O31" s="1164" t="e">
        <f t="shared" ca="1" si="3"/>
        <v>#REF!</v>
      </c>
      <c r="P31" s="1164" t="e">
        <f t="shared" ca="1" si="3"/>
        <v>#REF!</v>
      </c>
      <c r="Q31" s="1164">
        <f t="shared" ca="1" si="3"/>
        <v>-261.96211411772401</v>
      </c>
      <c r="R31" s="1165"/>
      <c r="S31" s="27"/>
    </row>
    <row r="32" spans="2:19">
      <c r="B32" s="852"/>
      <c r="C32" s="1182" t="s">
        <v>98</v>
      </c>
      <c r="D32" s="854" t="str">
        <f>INDEX(Vectors[Description], MATCH($C32, Vectors[Code], 0))</f>
        <v>Environmental heat</v>
      </c>
      <c r="E32" s="854"/>
      <c r="F32" s="1164" t="e">
        <f ca="1">-INDEX(INDIRECT("'"&amp;F$4&amp;"'!Year.NetBalance"), MATCH('Intermediate output'!$C32, INDIRECT("'"&amp;F$4&amp;"'!Year.Vectors"), 0))</f>
        <v>#REF!</v>
      </c>
      <c r="G32" s="854"/>
      <c r="H32" s="1164" t="e">
        <f ca="1">-INDEX(INDIRECT("'"&amp;H$4&amp;"'!Year.NetBalance"), MATCH('Intermediate output'!$C32, INDIRECT("'"&amp;H$4&amp;"'!Year.Vectors"), 0))</f>
        <v>#REF!</v>
      </c>
      <c r="I32" s="1164" t="e">
        <f ca="1">-INDEX(INDIRECT("'"&amp;I$4&amp;"'!Year.NetBalance"), MATCH('Intermediate output'!$C32, INDIRECT("'"&amp;I$4&amp;"'!Year.Vectors"), 0))</f>
        <v>#REF!</v>
      </c>
      <c r="J32" s="1164" t="e">
        <f ca="1">-INDEX(INDIRECT("'"&amp;J$4&amp;"'!Year.NetBalance"), MATCH('Intermediate output'!$C32, INDIRECT("'"&amp;J$4&amp;"'!Year.Vectors"), 0))</f>
        <v>#REF!</v>
      </c>
      <c r="K32" s="1164" t="e">
        <f ca="1">-INDEX(INDIRECT("'"&amp;K$4&amp;"'!Year.NetBalance"), MATCH('Intermediate output'!$C32, INDIRECT("'"&amp;K$4&amp;"'!Year.Vectors"), 0))</f>
        <v>#REF!</v>
      </c>
      <c r="L32" s="1164" t="e">
        <f ca="1">-INDEX(INDIRECT("'"&amp;L$4&amp;"'!Year.NetBalance"), MATCH('Intermediate output'!$C32, INDIRECT("'"&amp;L$4&amp;"'!Year.Vectors"), 0))</f>
        <v>#REF!</v>
      </c>
      <c r="M32" s="1164" t="e">
        <f ca="1">-INDEX(INDIRECT("'"&amp;M$4&amp;"'!Year.NetBalance"), MATCH('Intermediate output'!$C32, INDIRECT("'"&amp;M$4&amp;"'!Year.Vectors"), 0))</f>
        <v>#REF!</v>
      </c>
      <c r="N32" s="1164" t="e">
        <f ca="1">-INDEX(INDIRECT("'"&amp;N$4&amp;"'!Year.NetBalance"), MATCH('Intermediate output'!$C32, INDIRECT("'"&amp;N$4&amp;"'!Year.Vectors"), 0))</f>
        <v>#REF!</v>
      </c>
      <c r="O32" s="1164" t="e">
        <f ca="1">-INDEX(INDIRECT("'"&amp;O$4&amp;"'!Year.NetBalance"), MATCH('Intermediate output'!$C32, INDIRECT("'"&amp;O$4&amp;"'!Year.Vectors"), 0))</f>
        <v>#REF!</v>
      </c>
      <c r="P32" s="1164" t="e">
        <f ca="1">-INDEX(INDIRECT("'"&amp;P$4&amp;"'!Year.NetBalance"), MATCH('Intermediate output'!$C32, INDIRECT("'"&amp;P$4&amp;"'!Year.Vectors"), 0))</f>
        <v>#REF!</v>
      </c>
      <c r="Q32" s="1164">
        <f ca="1">-INDEX(INDIRECT("'"&amp;Q$4&amp;"'!Year.NetBalance"), MATCH('Intermediate output'!$C32, INDIRECT("'"&amp;Q$4&amp;"'!Year.Vectors"), 0))</f>
        <v>0</v>
      </c>
      <c r="R32" s="1165"/>
      <c r="S32" s="27"/>
    </row>
    <row r="33" spans="2:31" s="529" customFormat="1">
      <c r="B33" s="1160"/>
      <c r="C33" s="1161" t="s">
        <v>49</v>
      </c>
      <c r="D33" s="1161" t="str">
        <f>INDEX(Vectors[Description], MATCH($C33, Vectors[Code], 0))</f>
        <v>Waste</v>
      </c>
      <c r="E33" s="854"/>
      <c r="F33" s="1162" t="e">
        <f ca="1">-INDEX(INDIRECT("'"&amp;F$4&amp;"'!Year.NetBalance"), MATCH('Intermediate output'!$C33, INDIRECT("'"&amp;F$4&amp;"'!Year.Vectors"), 0))</f>
        <v>#REF!</v>
      </c>
      <c r="G33" s="854"/>
      <c r="H33" s="1162" t="e">
        <f ca="1">-INDEX(INDIRECT("'"&amp;H$4&amp;"'!Year.NetBalance"), MATCH('Intermediate output'!$C33, INDIRECT("'"&amp;H$4&amp;"'!Year.Vectors"), 0))</f>
        <v>#REF!</v>
      </c>
      <c r="I33" s="1162" t="e">
        <f ca="1">-INDEX(INDIRECT("'"&amp;I$4&amp;"'!Year.NetBalance"), MATCH('Intermediate output'!$C33, INDIRECT("'"&amp;I$4&amp;"'!Year.Vectors"), 0))</f>
        <v>#REF!</v>
      </c>
      <c r="J33" s="1162" t="e">
        <f ca="1">-INDEX(INDIRECT("'"&amp;J$4&amp;"'!Year.NetBalance"), MATCH('Intermediate output'!$C33, INDIRECT("'"&amp;J$4&amp;"'!Year.Vectors"), 0))</f>
        <v>#REF!</v>
      </c>
      <c r="K33" s="1162" t="e">
        <f ca="1">-INDEX(INDIRECT("'"&amp;K$4&amp;"'!Year.NetBalance"), MATCH('Intermediate output'!$C33, INDIRECT("'"&amp;K$4&amp;"'!Year.Vectors"), 0))</f>
        <v>#REF!</v>
      </c>
      <c r="L33" s="1162" t="e">
        <f ca="1">-INDEX(INDIRECT("'"&amp;L$4&amp;"'!Year.NetBalance"), MATCH('Intermediate output'!$C33, INDIRECT("'"&amp;L$4&amp;"'!Year.Vectors"), 0))</f>
        <v>#REF!</v>
      </c>
      <c r="M33" s="1162" t="e">
        <f ca="1">-INDEX(INDIRECT("'"&amp;M$4&amp;"'!Year.NetBalance"), MATCH('Intermediate output'!$C33, INDIRECT("'"&amp;M$4&amp;"'!Year.Vectors"), 0))</f>
        <v>#REF!</v>
      </c>
      <c r="N33" s="1162" t="e">
        <f ca="1">-INDEX(INDIRECT("'"&amp;N$4&amp;"'!Year.NetBalance"), MATCH('Intermediate output'!$C33, INDIRECT("'"&amp;N$4&amp;"'!Year.Vectors"), 0))</f>
        <v>#REF!</v>
      </c>
      <c r="O33" s="1162" t="e">
        <f ca="1">-INDEX(INDIRECT("'"&amp;O$4&amp;"'!Year.NetBalance"), MATCH('Intermediate output'!$C33, INDIRECT("'"&amp;O$4&amp;"'!Year.Vectors"), 0))</f>
        <v>#REF!</v>
      </c>
      <c r="P33" s="1162" t="e">
        <f ca="1">-INDEX(INDIRECT("'"&amp;P$4&amp;"'!Year.NetBalance"), MATCH('Intermediate output'!$C33, INDIRECT("'"&amp;P$4&amp;"'!Year.Vectors"), 0))</f>
        <v>#REF!</v>
      </c>
      <c r="Q33" s="1162">
        <f ca="1">-INDEX(INDIRECT("'"&amp;Q$4&amp;"'!Year.NetBalance"), MATCH('Intermediate output'!$C33, INDIRECT("'"&amp;Q$4&amp;"'!Year.Vectors"), 0))</f>
        <v>0</v>
      </c>
      <c r="R33" s="1163"/>
      <c r="S33" s="795"/>
    </row>
    <row r="34" spans="2:31" s="529" customFormat="1">
      <c r="B34" s="1160"/>
      <c r="C34" s="1161" t="s">
        <v>784</v>
      </c>
      <c r="D34" s="1161" t="str">
        <f>INDEX(Vectors[Description], MATCH($C34, Vectors[Code], 0))</f>
        <v>Agriculture</v>
      </c>
      <c r="E34" s="854"/>
      <c r="F34" s="1162" t="e">
        <f ca="1">-INDEX(INDIRECT("'"&amp;F$4&amp;"'!Year.NetBalance"), MATCH('Intermediate output'!$C34, INDIRECT("'"&amp;F$4&amp;"'!Year.Vectors"), 0))</f>
        <v>#REF!</v>
      </c>
      <c r="G34" s="854"/>
      <c r="H34" s="1162" t="e">
        <f ca="1">-INDEX(INDIRECT("'"&amp;H$4&amp;"'!Year.NetBalance"), MATCH('Intermediate output'!$C34, INDIRECT("'"&amp;H$4&amp;"'!Year.Vectors"), 0))</f>
        <v>#REF!</v>
      </c>
      <c r="I34" s="1162" t="e">
        <f ca="1">-INDEX(INDIRECT("'"&amp;I$4&amp;"'!Year.NetBalance"), MATCH('Intermediate output'!$C34, INDIRECT("'"&amp;I$4&amp;"'!Year.Vectors"), 0))</f>
        <v>#REF!</v>
      </c>
      <c r="J34" s="1162" t="e">
        <f ca="1">-INDEX(INDIRECT("'"&amp;J$4&amp;"'!Year.NetBalance"), MATCH('Intermediate output'!$C34, INDIRECT("'"&amp;J$4&amp;"'!Year.Vectors"), 0))</f>
        <v>#REF!</v>
      </c>
      <c r="K34" s="1162" t="e">
        <f ca="1">-INDEX(INDIRECT("'"&amp;K$4&amp;"'!Year.NetBalance"), MATCH('Intermediate output'!$C34, INDIRECT("'"&amp;K$4&amp;"'!Year.Vectors"), 0))</f>
        <v>#REF!</v>
      </c>
      <c r="L34" s="1162" t="e">
        <f ca="1">-INDEX(INDIRECT("'"&amp;L$4&amp;"'!Year.NetBalance"), MATCH('Intermediate output'!$C34, INDIRECT("'"&amp;L$4&amp;"'!Year.Vectors"), 0))</f>
        <v>#REF!</v>
      </c>
      <c r="M34" s="1162" t="e">
        <f ca="1">-INDEX(INDIRECT("'"&amp;M$4&amp;"'!Year.NetBalance"), MATCH('Intermediate output'!$C34, INDIRECT("'"&amp;M$4&amp;"'!Year.Vectors"), 0))</f>
        <v>#REF!</v>
      </c>
      <c r="N34" s="1162" t="e">
        <f ca="1">-INDEX(INDIRECT("'"&amp;N$4&amp;"'!Year.NetBalance"), MATCH('Intermediate output'!$C34, INDIRECT("'"&amp;N$4&amp;"'!Year.Vectors"), 0))</f>
        <v>#REF!</v>
      </c>
      <c r="O34" s="1162" t="e">
        <f ca="1">-INDEX(INDIRECT("'"&amp;O$4&amp;"'!Year.NetBalance"), MATCH('Intermediate output'!$C34, INDIRECT("'"&amp;O$4&amp;"'!Year.Vectors"), 0))</f>
        <v>#REF!</v>
      </c>
      <c r="P34" s="1162" t="e">
        <f ca="1">-INDEX(INDIRECT("'"&amp;P$4&amp;"'!Year.NetBalance"), MATCH('Intermediate output'!$C34, INDIRECT("'"&amp;P$4&amp;"'!Year.Vectors"), 0))</f>
        <v>#REF!</v>
      </c>
      <c r="Q34" s="1162">
        <f ca="1">-INDEX(INDIRECT("'"&amp;Q$4&amp;"'!Year.NetBalance"), MATCH('Intermediate output'!$C34, INDIRECT("'"&amp;Q$4&amp;"'!Year.Vectors"), 0))</f>
        <v>0</v>
      </c>
      <c r="R34" s="1163"/>
      <c r="S34" s="795"/>
    </row>
    <row r="35" spans="2:31" s="529" customFormat="1">
      <c r="B35" s="1160"/>
      <c r="C35" s="1161" t="s">
        <v>53</v>
      </c>
      <c r="D35" s="1161" t="str">
        <f>INDEX(Vectors[Description], MATCH($C35, Vectors[Code], 0))</f>
        <v>Biomass oversupply (imports)</v>
      </c>
      <c r="E35" s="854"/>
      <c r="F35" s="1162" t="e">
        <f ca="1">-INDEX(INDIRECT("'"&amp;F$4&amp;"'!Year.NetBalance"), MATCH('Intermediate output'!$C35, INDIRECT("'"&amp;F$4&amp;"'!Year.Vectors"), 0))</f>
        <v>#REF!</v>
      </c>
      <c r="G35" s="854"/>
      <c r="H35" s="1162" t="e">
        <f ca="1">-INDEX(INDIRECT("'"&amp;H$4&amp;"'!Year.NetBalance"), MATCH('Intermediate output'!$C35, INDIRECT("'"&amp;H$4&amp;"'!Year.Vectors"), 0))</f>
        <v>#REF!</v>
      </c>
      <c r="I35" s="1162" t="e">
        <f ca="1">-INDEX(INDIRECT("'"&amp;I$4&amp;"'!Year.NetBalance"), MATCH('Intermediate output'!$C35, INDIRECT("'"&amp;I$4&amp;"'!Year.Vectors"), 0))</f>
        <v>#REF!</v>
      </c>
      <c r="J35" s="1162" t="e">
        <f ca="1">-INDEX(INDIRECT("'"&amp;J$4&amp;"'!Year.NetBalance"), MATCH('Intermediate output'!$C35, INDIRECT("'"&amp;J$4&amp;"'!Year.Vectors"), 0))</f>
        <v>#REF!</v>
      </c>
      <c r="K35" s="1162" t="e">
        <f ca="1">-INDEX(INDIRECT("'"&amp;K$4&amp;"'!Year.NetBalance"), MATCH('Intermediate output'!$C35, INDIRECT("'"&amp;K$4&amp;"'!Year.Vectors"), 0))</f>
        <v>#REF!</v>
      </c>
      <c r="L35" s="1162" t="e">
        <f ca="1">-INDEX(INDIRECT("'"&amp;L$4&amp;"'!Year.NetBalance"), MATCH('Intermediate output'!$C35, INDIRECT("'"&amp;L$4&amp;"'!Year.Vectors"), 0))</f>
        <v>#REF!</v>
      </c>
      <c r="M35" s="1162" t="e">
        <f ca="1">-INDEX(INDIRECT("'"&amp;M$4&amp;"'!Year.NetBalance"), MATCH('Intermediate output'!$C35, INDIRECT("'"&amp;M$4&amp;"'!Year.Vectors"), 0))</f>
        <v>#REF!</v>
      </c>
      <c r="N35" s="1162" t="e">
        <f ca="1">-INDEX(INDIRECT("'"&amp;N$4&amp;"'!Year.NetBalance"), MATCH('Intermediate output'!$C35, INDIRECT("'"&amp;N$4&amp;"'!Year.Vectors"), 0))</f>
        <v>#REF!</v>
      </c>
      <c r="O35" s="1162" t="e">
        <f ca="1">-INDEX(INDIRECT("'"&amp;O$4&amp;"'!Year.NetBalance"), MATCH('Intermediate output'!$C35, INDIRECT("'"&amp;O$4&amp;"'!Year.Vectors"), 0))</f>
        <v>#REF!</v>
      </c>
      <c r="P35" s="1162" t="e">
        <f ca="1">-INDEX(INDIRECT("'"&amp;P$4&amp;"'!Year.NetBalance"), MATCH('Intermediate output'!$C35, INDIRECT("'"&amp;P$4&amp;"'!Year.Vectors"), 0))</f>
        <v>#REF!</v>
      </c>
      <c r="Q35" s="1162">
        <f ca="1">-INDEX(INDIRECT("'"&amp;Q$4&amp;"'!Year.NetBalance"), MATCH('Intermediate output'!$C35, INDIRECT("'"&amp;Q$4&amp;"'!Year.Vectors"), 0))</f>
        <v>0</v>
      </c>
      <c r="R35" s="1163"/>
      <c r="S35" s="795"/>
    </row>
    <row r="36" spans="2:31" s="121" customFormat="1">
      <c r="B36" s="852"/>
      <c r="C36" s="854"/>
      <c r="D36" s="854" t="s">
        <v>786</v>
      </c>
      <c r="E36" s="854"/>
      <c r="F36" s="1164" t="e">
        <f ca="1">SUM(F33:F35)</f>
        <v>#REF!</v>
      </c>
      <c r="G36" s="854"/>
      <c r="H36" s="1164" t="e">
        <f t="shared" ref="H36:Q36" ca="1" si="4">SUM(H33:H35)</f>
        <v>#REF!</v>
      </c>
      <c r="I36" s="1164" t="e">
        <f t="shared" ca="1" si="4"/>
        <v>#REF!</v>
      </c>
      <c r="J36" s="1164" t="e">
        <f t="shared" ca="1" si="4"/>
        <v>#REF!</v>
      </c>
      <c r="K36" s="1164" t="e">
        <f t="shared" ca="1" si="4"/>
        <v>#REF!</v>
      </c>
      <c r="L36" s="1164" t="e">
        <f t="shared" ca="1" si="4"/>
        <v>#REF!</v>
      </c>
      <c r="M36" s="1164" t="e">
        <f t="shared" ca="1" si="4"/>
        <v>#REF!</v>
      </c>
      <c r="N36" s="1164" t="e">
        <f t="shared" ca="1" si="4"/>
        <v>#REF!</v>
      </c>
      <c r="O36" s="1164" t="e">
        <f t="shared" ca="1" si="4"/>
        <v>#REF!</v>
      </c>
      <c r="P36" s="1164" t="e">
        <f t="shared" ca="1" si="4"/>
        <v>#REF!</v>
      </c>
      <c r="Q36" s="1164">
        <f t="shared" ca="1" si="4"/>
        <v>0</v>
      </c>
      <c r="R36" s="1165"/>
      <c r="S36" s="27"/>
    </row>
    <row r="37" spans="2:31" s="529" customFormat="1">
      <c r="B37" s="1160"/>
      <c r="C37" s="1161" t="s">
        <v>749</v>
      </c>
      <c r="D37" s="1161" t="str">
        <f>INDEX(Vectors[Description], MATCH($C37, Vectors[Code], 0))</f>
        <v>Coal oversupply (imports)</v>
      </c>
      <c r="E37" s="854"/>
      <c r="F37" s="1162" t="e">
        <f ca="1">-INDEX(INDIRECT("'"&amp;F$4&amp;"'!Year.NetBalance"), MATCH('Intermediate output'!$C37, INDIRECT("'"&amp;F$4&amp;"'!Year.Vectors"), 0))</f>
        <v>#REF!</v>
      </c>
      <c r="G37" s="854"/>
      <c r="H37" s="1162" t="e">
        <f ca="1">-INDEX(INDIRECT("'"&amp;H$4&amp;"'!Year.NetBalance"), MATCH('Intermediate output'!$C37, INDIRECT("'"&amp;H$4&amp;"'!Year.Vectors"), 0))</f>
        <v>#REF!</v>
      </c>
      <c r="I37" s="1162" t="e">
        <f ca="1">-INDEX(INDIRECT("'"&amp;I$4&amp;"'!Year.NetBalance"), MATCH('Intermediate output'!$C37, INDIRECT("'"&amp;I$4&amp;"'!Year.Vectors"), 0))</f>
        <v>#REF!</v>
      </c>
      <c r="J37" s="1162" t="e">
        <f ca="1">-INDEX(INDIRECT("'"&amp;J$4&amp;"'!Year.NetBalance"), MATCH('Intermediate output'!$C37, INDIRECT("'"&amp;J$4&amp;"'!Year.Vectors"), 0))</f>
        <v>#REF!</v>
      </c>
      <c r="K37" s="1162" t="e">
        <f ca="1">-INDEX(INDIRECT("'"&amp;K$4&amp;"'!Year.NetBalance"), MATCH('Intermediate output'!$C37, INDIRECT("'"&amp;K$4&amp;"'!Year.Vectors"), 0))</f>
        <v>#REF!</v>
      </c>
      <c r="L37" s="1162" t="e">
        <f ca="1">-INDEX(INDIRECT("'"&amp;L$4&amp;"'!Year.NetBalance"), MATCH('Intermediate output'!$C37, INDIRECT("'"&amp;L$4&amp;"'!Year.Vectors"), 0))</f>
        <v>#REF!</v>
      </c>
      <c r="M37" s="1162" t="e">
        <f ca="1">-INDEX(INDIRECT("'"&amp;M$4&amp;"'!Year.NetBalance"), MATCH('Intermediate output'!$C37, INDIRECT("'"&amp;M$4&amp;"'!Year.Vectors"), 0))</f>
        <v>#REF!</v>
      </c>
      <c r="N37" s="1162" t="e">
        <f ca="1">-INDEX(INDIRECT("'"&amp;N$4&amp;"'!Year.NetBalance"), MATCH('Intermediate output'!$C37, INDIRECT("'"&amp;N$4&amp;"'!Year.Vectors"), 0))</f>
        <v>#REF!</v>
      </c>
      <c r="O37" s="1162" t="e">
        <f ca="1">-INDEX(INDIRECT("'"&amp;O$4&amp;"'!Year.NetBalance"), MATCH('Intermediate output'!$C37, INDIRECT("'"&amp;O$4&amp;"'!Year.Vectors"), 0))</f>
        <v>#REF!</v>
      </c>
      <c r="P37" s="1162" t="e">
        <f ca="1">-INDEX(INDIRECT("'"&amp;P$4&amp;"'!Year.NetBalance"), MATCH('Intermediate output'!$C37, INDIRECT("'"&amp;P$4&amp;"'!Year.Vectors"), 0))</f>
        <v>#REF!</v>
      </c>
      <c r="Q37" s="1162">
        <f ca="1">-INDEX(INDIRECT("'"&amp;Q$4&amp;"'!Year.NetBalance"), MATCH('Intermediate output'!$C37, INDIRECT("'"&amp;Q$4&amp;"'!Year.Vectors"), 0))</f>
        <v>336.15525503679999</v>
      </c>
      <c r="R37" s="1163"/>
      <c r="S37" s="795"/>
    </row>
    <row r="38" spans="2:31" s="529" customFormat="1">
      <c r="B38" s="1160"/>
      <c r="C38" s="1161" t="s">
        <v>757</v>
      </c>
      <c r="D38" s="1161" t="str">
        <f>INDEX(Vectors[Description], MATCH($C38, Vectors[Code], 0))</f>
        <v>Coal reserves</v>
      </c>
      <c r="E38" s="854"/>
      <c r="F38" s="1162" t="e">
        <f ca="1">-INDEX(INDIRECT("'"&amp;F$4&amp;"'!Year.NetBalance"), MATCH('Intermediate output'!$C38, INDIRECT("'"&amp;F$4&amp;"'!Year.Vectors"), 0))</f>
        <v>#REF!</v>
      </c>
      <c r="G38" s="854"/>
      <c r="H38" s="1162" t="e">
        <f ca="1">-INDEX(INDIRECT("'"&amp;H$4&amp;"'!Year.NetBalance"), MATCH('Intermediate output'!$C38, INDIRECT("'"&amp;H$4&amp;"'!Year.Vectors"), 0))</f>
        <v>#REF!</v>
      </c>
      <c r="I38" s="1162" t="e">
        <f ca="1">-INDEX(INDIRECT("'"&amp;I$4&amp;"'!Year.NetBalance"), MATCH('Intermediate output'!$C38, INDIRECT("'"&amp;I$4&amp;"'!Year.Vectors"), 0))</f>
        <v>#REF!</v>
      </c>
      <c r="J38" s="1162" t="e">
        <f ca="1">-INDEX(INDIRECT("'"&amp;J$4&amp;"'!Year.NetBalance"), MATCH('Intermediate output'!$C38, INDIRECT("'"&amp;J$4&amp;"'!Year.Vectors"), 0))</f>
        <v>#REF!</v>
      </c>
      <c r="K38" s="1162" t="e">
        <f ca="1">-INDEX(INDIRECT("'"&amp;K$4&amp;"'!Year.NetBalance"), MATCH('Intermediate output'!$C38, INDIRECT("'"&amp;K$4&amp;"'!Year.Vectors"), 0))</f>
        <v>#REF!</v>
      </c>
      <c r="L38" s="1162" t="e">
        <f ca="1">-INDEX(INDIRECT("'"&amp;L$4&amp;"'!Year.NetBalance"), MATCH('Intermediate output'!$C38, INDIRECT("'"&amp;L$4&amp;"'!Year.Vectors"), 0))</f>
        <v>#REF!</v>
      </c>
      <c r="M38" s="1162" t="e">
        <f ca="1">-INDEX(INDIRECT("'"&amp;M$4&amp;"'!Year.NetBalance"), MATCH('Intermediate output'!$C38, INDIRECT("'"&amp;M$4&amp;"'!Year.Vectors"), 0))</f>
        <v>#REF!</v>
      </c>
      <c r="N38" s="1162" t="e">
        <f ca="1">-INDEX(INDIRECT("'"&amp;N$4&amp;"'!Year.NetBalance"), MATCH('Intermediate output'!$C38, INDIRECT("'"&amp;N$4&amp;"'!Year.Vectors"), 0))</f>
        <v>#REF!</v>
      </c>
      <c r="O38" s="1162" t="e">
        <f ca="1">-INDEX(INDIRECT("'"&amp;O$4&amp;"'!Year.NetBalance"), MATCH('Intermediate output'!$C38, INDIRECT("'"&amp;O$4&amp;"'!Year.Vectors"), 0))</f>
        <v>#REF!</v>
      </c>
      <c r="P38" s="1162" t="e">
        <f ca="1">-INDEX(INDIRECT("'"&amp;P$4&amp;"'!Year.NetBalance"), MATCH('Intermediate output'!$C38, INDIRECT("'"&amp;P$4&amp;"'!Year.Vectors"), 0))</f>
        <v>#REF!</v>
      </c>
      <c r="Q38" s="1162">
        <f ca="1">-INDEX(INDIRECT("'"&amp;Q$4&amp;"'!Year.NetBalance"), MATCH('Intermediate output'!$C38, INDIRECT("'"&amp;Q$4&amp;"'!Year.Vectors"), 0))</f>
        <v>63.965000000000003</v>
      </c>
      <c r="R38" s="1163"/>
      <c r="S38" s="795"/>
    </row>
    <row r="39" spans="2:31" s="121" customFormat="1">
      <c r="B39" s="852"/>
      <c r="C39" s="854"/>
      <c r="D39" s="854" t="s">
        <v>125</v>
      </c>
      <c r="E39" s="854"/>
      <c r="F39" s="1164" t="e">
        <f ca="1">SUM(F37:F38)</f>
        <v>#REF!</v>
      </c>
      <c r="G39" s="854"/>
      <c r="H39" s="1164" t="e">
        <f ca="1">SUM(H37:H38)</f>
        <v>#REF!</v>
      </c>
      <c r="I39" s="1164" t="e">
        <f t="shared" ref="I39:Q39" ca="1" si="5">SUM(I37:I38)</f>
        <v>#REF!</v>
      </c>
      <c r="J39" s="1164" t="e">
        <f t="shared" ca="1" si="5"/>
        <v>#REF!</v>
      </c>
      <c r="K39" s="1164" t="e">
        <f t="shared" ca="1" si="5"/>
        <v>#REF!</v>
      </c>
      <c r="L39" s="1164" t="e">
        <f t="shared" ca="1" si="5"/>
        <v>#REF!</v>
      </c>
      <c r="M39" s="1164" t="e">
        <f t="shared" ca="1" si="5"/>
        <v>#REF!</v>
      </c>
      <c r="N39" s="1164" t="e">
        <f t="shared" ca="1" si="5"/>
        <v>#REF!</v>
      </c>
      <c r="O39" s="1164" t="e">
        <f t="shared" ca="1" si="5"/>
        <v>#REF!</v>
      </c>
      <c r="P39" s="1164" t="e">
        <f t="shared" ca="1" si="5"/>
        <v>#REF!</v>
      </c>
      <c r="Q39" s="1164">
        <f t="shared" ca="1" si="5"/>
        <v>400.12025503680002</v>
      </c>
      <c r="R39" s="1165"/>
      <c r="S39" s="27"/>
      <c r="U39" s="27"/>
      <c r="V39" s="27"/>
    </row>
    <row r="40" spans="2:31" s="529" customFormat="1">
      <c r="B40" s="1160"/>
      <c r="C40" s="1161" t="s">
        <v>758</v>
      </c>
      <c r="D40" s="1161" t="str">
        <f>INDEX(Vectors[Description], MATCH($C40, Vectors[Code], 0))</f>
        <v>Oil reserves</v>
      </c>
      <c r="E40" s="854"/>
      <c r="F40" s="1162" t="e">
        <f ca="1">-INDEX(INDIRECT("'"&amp;F$4&amp;"'!Year.NetBalance"), MATCH('Intermediate output'!$C40, INDIRECT("'"&amp;F$4&amp;"'!Year.Vectors"), 0))</f>
        <v>#REF!</v>
      </c>
      <c r="G40" s="854"/>
      <c r="H40" s="1162" t="e">
        <f ca="1">-INDEX(INDIRECT("'"&amp;H$4&amp;"'!Year.NetBalance"), MATCH('Intermediate output'!$C40, INDIRECT("'"&amp;H$4&amp;"'!Year.Vectors"), 0))</f>
        <v>#REF!</v>
      </c>
      <c r="I40" s="1162" t="e">
        <f ca="1">-INDEX(INDIRECT("'"&amp;I$4&amp;"'!Year.NetBalance"), MATCH('Intermediate output'!$C40, INDIRECT("'"&amp;I$4&amp;"'!Year.Vectors"), 0))</f>
        <v>#REF!</v>
      </c>
      <c r="J40" s="1162" t="e">
        <f ca="1">-INDEX(INDIRECT("'"&amp;J$4&amp;"'!Year.NetBalance"), MATCH('Intermediate output'!$C40, INDIRECT("'"&amp;J$4&amp;"'!Year.Vectors"), 0))</f>
        <v>#REF!</v>
      </c>
      <c r="K40" s="1162" t="e">
        <f ca="1">-INDEX(INDIRECT("'"&amp;K$4&amp;"'!Year.NetBalance"), MATCH('Intermediate output'!$C40, INDIRECT("'"&amp;K$4&amp;"'!Year.Vectors"), 0))</f>
        <v>#REF!</v>
      </c>
      <c r="L40" s="1162" t="e">
        <f ca="1">-INDEX(INDIRECT("'"&amp;L$4&amp;"'!Year.NetBalance"), MATCH('Intermediate output'!$C40, INDIRECT("'"&amp;L$4&amp;"'!Year.Vectors"), 0))</f>
        <v>#REF!</v>
      </c>
      <c r="M40" s="1162" t="e">
        <f ca="1">-INDEX(INDIRECT("'"&amp;M$4&amp;"'!Year.NetBalance"), MATCH('Intermediate output'!$C40, INDIRECT("'"&amp;M$4&amp;"'!Year.Vectors"), 0))</f>
        <v>#REF!</v>
      </c>
      <c r="N40" s="1162" t="e">
        <f ca="1">-INDEX(INDIRECT("'"&amp;N$4&amp;"'!Year.NetBalance"), MATCH('Intermediate output'!$C40, INDIRECT("'"&amp;N$4&amp;"'!Year.Vectors"), 0))</f>
        <v>#REF!</v>
      </c>
      <c r="O40" s="1162" t="e">
        <f ca="1">-INDEX(INDIRECT("'"&amp;O$4&amp;"'!Year.NetBalance"), MATCH('Intermediate output'!$C40, INDIRECT("'"&amp;O$4&amp;"'!Year.Vectors"), 0))</f>
        <v>#REF!</v>
      </c>
      <c r="P40" s="1162" t="e">
        <f ca="1">-INDEX(INDIRECT("'"&amp;P$4&amp;"'!Year.NetBalance"), MATCH('Intermediate output'!$C40, INDIRECT("'"&amp;P$4&amp;"'!Year.Vectors"), 0))</f>
        <v>#REF!</v>
      </c>
      <c r="Q40" s="1162">
        <f ca="1">-INDEX(INDIRECT("'"&amp;Q$4&amp;"'!Year.NetBalance"), MATCH('Intermediate output'!$C40, INDIRECT("'"&amp;Q$4&amp;"'!Year.Vectors"), 0))</f>
        <v>107.70336000383915</v>
      </c>
      <c r="R40" s="1163"/>
      <c r="S40" s="795"/>
      <c r="U40" s="795"/>
    </row>
    <row r="41" spans="2:31" s="529" customFormat="1">
      <c r="B41" s="1160"/>
      <c r="C41" s="1161" t="s">
        <v>750</v>
      </c>
      <c r="D41" s="1161" t="str">
        <f>INDEX(Vectors[Description], MATCH($C41, Vectors[Code], 0))</f>
        <v>Oil and petroleum products oversupply (imports)</v>
      </c>
      <c r="E41" s="854"/>
      <c r="F41" s="1162" t="e">
        <f ca="1">-INDEX(INDIRECT("'"&amp;F$4&amp;"'!Year.NetBalance"), MATCH('Intermediate output'!$C41, INDIRECT("'"&amp;F$4&amp;"'!Year.Vectors"), 0))</f>
        <v>#REF!</v>
      </c>
      <c r="G41" s="854"/>
      <c r="H41" s="1162" t="e">
        <f ca="1">-INDEX(INDIRECT("'"&amp;H$4&amp;"'!Year.NetBalance"), MATCH('Intermediate output'!$C41, INDIRECT("'"&amp;H$4&amp;"'!Year.Vectors"), 0))</f>
        <v>#REF!</v>
      </c>
      <c r="I41" s="1162" t="e">
        <f ca="1">-INDEX(INDIRECT("'"&amp;I$4&amp;"'!Year.NetBalance"), MATCH('Intermediate output'!$C41, INDIRECT("'"&amp;I$4&amp;"'!Year.Vectors"), 0))</f>
        <v>#REF!</v>
      </c>
      <c r="J41" s="1162" t="e">
        <f ca="1">-INDEX(INDIRECT("'"&amp;J$4&amp;"'!Year.NetBalance"), MATCH('Intermediate output'!$C41, INDIRECT("'"&amp;J$4&amp;"'!Year.Vectors"), 0))</f>
        <v>#REF!</v>
      </c>
      <c r="K41" s="1162" t="e">
        <f ca="1">-INDEX(INDIRECT("'"&amp;K$4&amp;"'!Year.NetBalance"), MATCH('Intermediate output'!$C41, INDIRECT("'"&amp;K$4&amp;"'!Year.Vectors"), 0))</f>
        <v>#REF!</v>
      </c>
      <c r="L41" s="1162" t="e">
        <f ca="1">-INDEX(INDIRECT("'"&amp;L$4&amp;"'!Year.NetBalance"), MATCH('Intermediate output'!$C41, INDIRECT("'"&amp;L$4&amp;"'!Year.Vectors"), 0))</f>
        <v>#REF!</v>
      </c>
      <c r="M41" s="1162" t="e">
        <f ca="1">-INDEX(INDIRECT("'"&amp;M$4&amp;"'!Year.NetBalance"), MATCH('Intermediate output'!$C41, INDIRECT("'"&amp;M$4&amp;"'!Year.Vectors"), 0))</f>
        <v>#REF!</v>
      </c>
      <c r="N41" s="1162" t="e">
        <f ca="1">-INDEX(INDIRECT("'"&amp;N$4&amp;"'!Year.NetBalance"), MATCH('Intermediate output'!$C41, INDIRECT("'"&amp;N$4&amp;"'!Year.Vectors"), 0))</f>
        <v>#REF!</v>
      </c>
      <c r="O41" s="1162" t="e">
        <f ca="1">-INDEX(INDIRECT("'"&amp;O$4&amp;"'!Year.NetBalance"), MATCH('Intermediate output'!$C41, INDIRECT("'"&amp;O$4&amp;"'!Year.Vectors"), 0))</f>
        <v>#REF!</v>
      </c>
      <c r="P41" s="1162" t="e">
        <f ca="1">-INDEX(INDIRECT("'"&amp;P$4&amp;"'!Year.NetBalance"), MATCH('Intermediate output'!$C41, INDIRECT("'"&amp;P$4&amp;"'!Year.Vectors"), 0))</f>
        <v>#REF!</v>
      </c>
      <c r="Q41" s="1162">
        <f ca="1">-INDEX(INDIRECT("'"&amp;Q$4&amp;"'!Year.NetBalance"), MATCH('Intermediate output'!$C41, INDIRECT("'"&amp;Q$4&amp;"'!Year.Vectors"), 0))</f>
        <v>-107.70336000383915</v>
      </c>
      <c r="R41" s="1163"/>
      <c r="S41" s="795"/>
      <c r="U41" s="795"/>
    </row>
    <row r="42" spans="2:31" s="529" customFormat="1">
      <c r="B42" s="1160"/>
      <c r="C42" s="1161" t="s">
        <v>648</v>
      </c>
      <c r="D42" s="1161" t="str">
        <f>INDEX(Vectors[Description], MATCH($C42, Vectors[Code], 0))</f>
        <v>Petroleum products oversupply</v>
      </c>
      <c r="E42" s="854"/>
      <c r="F42" s="1162" t="e">
        <f ca="1">-INDEX(INDIRECT("'"&amp;F$4&amp;"'!Year.NetBalance"), MATCH('Intermediate output'!$C42, INDIRECT("'"&amp;F$4&amp;"'!Year.Vectors"), 0))</f>
        <v>#REF!</v>
      </c>
      <c r="G42" s="854"/>
      <c r="H42" s="1162" t="e">
        <f ca="1">-INDEX(INDIRECT("'"&amp;H$4&amp;"'!Year.NetBalance"), MATCH('Intermediate output'!$C42, INDIRECT("'"&amp;H$4&amp;"'!Year.Vectors"), 0))</f>
        <v>#REF!</v>
      </c>
      <c r="I42" s="1162" t="e">
        <f ca="1">-INDEX(INDIRECT("'"&amp;I$4&amp;"'!Year.NetBalance"), MATCH('Intermediate output'!$C42, INDIRECT("'"&amp;I$4&amp;"'!Year.Vectors"), 0))</f>
        <v>#REF!</v>
      </c>
      <c r="J42" s="1162" t="e">
        <f ca="1">-INDEX(INDIRECT("'"&amp;J$4&amp;"'!Year.NetBalance"), MATCH('Intermediate output'!$C42, INDIRECT("'"&amp;J$4&amp;"'!Year.Vectors"), 0))</f>
        <v>#REF!</v>
      </c>
      <c r="K42" s="1162" t="e">
        <f ca="1">-INDEX(INDIRECT("'"&amp;K$4&amp;"'!Year.NetBalance"), MATCH('Intermediate output'!$C42, INDIRECT("'"&amp;K$4&amp;"'!Year.Vectors"), 0))</f>
        <v>#REF!</v>
      </c>
      <c r="L42" s="1162" t="e">
        <f ca="1">-INDEX(INDIRECT("'"&amp;L$4&amp;"'!Year.NetBalance"), MATCH('Intermediate output'!$C42, INDIRECT("'"&amp;L$4&amp;"'!Year.Vectors"), 0))</f>
        <v>#REF!</v>
      </c>
      <c r="M42" s="1162" t="e">
        <f ca="1">-INDEX(INDIRECT("'"&amp;M$4&amp;"'!Year.NetBalance"), MATCH('Intermediate output'!$C42, INDIRECT("'"&amp;M$4&amp;"'!Year.Vectors"), 0))</f>
        <v>#REF!</v>
      </c>
      <c r="N42" s="1162" t="e">
        <f ca="1">-INDEX(INDIRECT("'"&amp;N$4&amp;"'!Year.NetBalance"), MATCH('Intermediate output'!$C42, INDIRECT("'"&amp;N$4&amp;"'!Year.Vectors"), 0))</f>
        <v>#REF!</v>
      </c>
      <c r="O42" s="1162" t="e">
        <f ca="1">-INDEX(INDIRECT("'"&amp;O$4&amp;"'!Year.NetBalance"), MATCH('Intermediate output'!$C42, INDIRECT("'"&amp;O$4&amp;"'!Year.Vectors"), 0))</f>
        <v>#REF!</v>
      </c>
      <c r="P42" s="1162" t="e">
        <f ca="1">-INDEX(INDIRECT("'"&amp;P$4&amp;"'!Year.NetBalance"), MATCH('Intermediate output'!$C42, INDIRECT("'"&amp;P$4&amp;"'!Year.Vectors"), 0))</f>
        <v>#REF!</v>
      </c>
      <c r="Q42" s="1162">
        <f ca="1">-INDEX(INDIRECT("'"&amp;Q$4&amp;"'!Year.NetBalance"), MATCH('Intermediate output'!$C42, INDIRECT("'"&amp;Q$4&amp;"'!Year.Vectors"), 0))</f>
        <v>0</v>
      </c>
      <c r="R42" s="1163"/>
      <c r="S42" s="795"/>
      <c r="U42" s="795"/>
    </row>
    <row r="43" spans="2:31" s="121" customFormat="1">
      <c r="B43" s="852"/>
      <c r="C43" s="854"/>
      <c r="D43" s="854" t="s">
        <v>1004</v>
      </c>
      <c r="E43" s="854"/>
      <c r="F43" s="1164" t="e">
        <f ca="1">SUM(F40:F42)</f>
        <v>#REF!</v>
      </c>
      <c r="G43" s="854"/>
      <c r="H43" s="1164" t="e">
        <f ca="1">SUM(H40:H42)</f>
        <v>#REF!</v>
      </c>
      <c r="I43" s="1164" t="e">
        <f t="shared" ref="I43:Q43" ca="1" si="6">SUM(I40:I42)</f>
        <v>#REF!</v>
      </c>
      <c r="J43" s="1164" t="e">
        <f t="shared" ca="1" si="6"/>
        <v>#REF!</v>
      </c>
      <c r="K43" s="1164" t="e">
        <f t="shared" ca="1" si="6"/>
        <v>#REF!</v>
      </c>
      <c r="L43" s="1164" t="e">
        <f t="shared" ca="1" si="6"/>
        <v>#REF!</v>
      </c>
      <c r="M43" s="1164" t="e">
        <f t="shared" ca="1" si="6"/>
        <v>#REF!</v>
      </c>
      <c r="N43" s="1164" t="e">
        <f t="shared" ca="1" si="6"/>
        <v>#REF!</v>
      </c>
      <c r="O43" s="1164" t="e">
        <f t="shared" ca="1" si="6"/>
        <v>#REF!</v>
      </c>
      <c r="P43" s="1164" t="e">
        <f t="shared" ca="1" si="6"/>
        <v>#REF!</v>
      </c>
      <c r="Q43" s="1164">
        <f t="shared" ca="1" si="6"/>
        <v>0</v>
      </c>
      <c r="R43" s="1165"/>
      <c r="S43" s="27"/>
      <c r="U43" s="27"/>
      <c r="V43" s="27"/>
    </row>
    <row r="44" spans="2:31" s="529" customFormat="1">
      <c r="B44" s="1160"/>
      <c r="C44" s="1161" t="s">
        <v>751</v>
      </c>
      <c r="D44" s="1161" t="str">
        <f>INDEX(Vectors[Description], MATCH($C44, Vectors[Code], 0))</f>
        <v>Gas oversupply (imports)</v>
      </c>
      <c r="E44" s="854"/>
      <c r="F44" s="1162" t="e">
        <f ca="1">-INDEX(INDIRECT("'"&amp;F$4&amp;"'!Year.NetBalance"), MATCH('Intermediate output'!$C44, INDIRECT("'"&amp;F$4&amp;"'!Year.Vectors"), 0))</f>
        <v>#REF!</v>
      </c>
      <c r="G44" s="854"/>
      <c r="H44" s="1162" t="e">
        <f ca="1">-INDEX(INDIRECT("'"&amp;H$4&amp;"'!Year.NetBalance"), MATCH('Intermediate output'!$C44, INDIRECT("'"&amp;H$4&amp;"'!Year.Vectors"), 0))</f>
        <v>#REF!</v>
      </c>
      <c r="I44" s="1162" t="e">
        <f ca="1">-INDEX(INDIRECT("'"&amp;I$4&amp;"'!Year.NetBalance"), MATCH('Intermediate output'!$C44, INDIRECT("'"&amp;I$4&amp;"'!Year.Vectors"), 0))</f>
        <v>#REF!</v>
      </c>
      <c r="J44" s="1162" t="e">
        <f ca="1">-INDEX(INDIRECT("'"&amp;J$4&amp;"'!Year.NetBalance"), MATCH('Intermediate output'!$C44, INDIRECT("'"&amp;J$4&amp;"'!Year.Vectors"), 0))</f>
        <v>#REF!</v>
      </c>
      <c r="K44" s="1162" t="e">
        <f ca="1">-INDEX(INDIRECT("'"&amp;K$4&amp;"'!Year.NetBalance"), MATCH('Intermediate output'!$C44, INDIRECT("'"&amp;K$4&amp;"'!Year.Vectors"), 0))</f>
        <v>#REF!</v>
      </c>
      <c r="L44" s="1162" t="e">
        <f ca="1">-INDEX(INDIRECT("'"&amp;L$4&amp;"'!Year.NetBalance"), MATCH('Intermediate output'!$C44, INDIRECT("'"&amp;L$4&amp;"'!Year.Vectors"), 0))</f>
        <v>#REF!</v>
      </c>
      <c r="M44" s="1162" t="e">
        <f ca="1">-INDEX(INDIRECT("'"&amp;M$4&amp;"'!Year.NetBalance"), MATCH('Intermediate output'!$C44, INDIRECT("'"&amp;M$4&amp;"'!Year.Vectors"), 0))</f>
        <v>#REF!</v>
      </c>
      <c r="N44" s="1162" t="e">
        <f ca="1">-INDEX(INDIRECT("'"&amp;N$4&amp;"'!Year.NetBalance"), MATCH('Intermediate output'!$C44, INDIRECT("'"&amp;N$4&amp;"'!Year.Vectors"), 0))</f>
        <v>#REF!</v>
      </c>
      <c r="O44" s="1162" t="e">
        <f ca="1">-INDEX(INDIRECT("'"&amp;O$4&amp;"'!Year.NetBalance"), MATCH('Intermediate output'!$C44, INDIRECT("'"&amp;O$4&amp;"'!Year.Vectors"), 0))</f>
        <v>#REF!</v>
      </c>
      <c r="P44" s="1162" t="e">
        <f ca="1">-INDEX(INDIRECT("'"&amp;P$4&amp;"'!Year.NetBalance"), MATCH('Intermediate output'!$C44, INDIRECT("'"&amp;P$4&amp;"'!Year.Vectors"), 0))</f>
        <v>#REF!</v>
      </c>
      <c r="Q44" s="1162">
        <f ca="1">-INDEX(INDIRECT("'"&amp;Q$4&amp;"'!Year.NetBalance"), MATCH('Intermediate output'!$C44, INDIRECT("'"&amp;Q$4&amp;"'!Year.Vectors"), 0))</f>
        <v>-82.232541885272198</v>
      </c>
      <c r="R44" s="1163"/>
      <c r="S44" s="795"/>
      <c r="U44" s="795"/>
    </row>
    <row r="45" spans="2:31" s="529" customFormat="1">
      <c r="B45" s="1160"/>
      <c r="C45" s="1161" t="s">
        <v>759</v>
      </c>
      <c r="D45" s="1161" t="str">
        <f>INDEX(Vectors[Description], MATCH($C45, Vectors[Code], 0))</f>
        <v>Gas reserves</v>
      </c>
      <c r="E45" s="854"/>
      <c r="F45" s="1162" t="e">
        <f ca="1">-INDEX(INDIRECT("'"&amp;F$4&amp;"'!Year.NetBalance"), MATCH('Intermediate output'!$C45, INDIRECT("'"&amp;F$4&amp;"'!Year.Vectors"), 0))</f>
        <v>#REF!</v>
      </c>
      <c r="G45" s="854"/>
      <c r="H45" s="1162" t="e">
        <f ca="1">-INDEX(INDIRECT("'"&amp;H$4&amp;"'!Year.NetBalance"), MATCH('Intermediate output'!$C45, INDIRECT("'"&amp;H$4&amp;"'!Year.Vectors"), 0))</f>
        <v>#REF!</v>
      </c>
      <c r="I45" s="1162" t="e">
        <f ca="1">-INDEX(INDIRECT("'"&amp;I$4&amp;"'!Year.NetBalance"), MATCH('Intermediate output'!$C45, INDIRECT("'"&amp;I$4&amp;"'!Year.Vectors"), 0))</f>
        <v>#REF!</v>
      </c>
      <c r="J45" s="1162" t="e">
        <f ca="1">-INDEX(INDIRECT("'"&amp;J$4&amp;"'!Year.NetBalance"), MATCH('Intermediate output'!$C45, INDIRECT("'"&amp;J$4&amp;"'!Year.Vectors"), 0))</f>
        <v>#REF!</v>
      </c>
      <c r="K45" s="1162" t="e">
        <f ca="1">-INDEX(INDIRECT("'"&amp;K$4&amp;"'!Year.NetBalance"), MATCH('Intermediate output'!$C45, INDIRECT("'"&amp;K$4&amp;"'!Year.Vectors"), 0))</f>
        <v>#REF!</v>
      </c>
      <c r="L45" s="1162" t="e">
        <f ca="1">-INDEX(INDIRECT("'"&amp;L$4&amp;"'!Year.NetBalance"), MATCH('Intermediate output'!$C45, INDIRECT("'"&amp;L$4&amp;"'!Year.Vectors"), 0))</f>
        <v>#REF!</v>
      </c>
      <c r="M45" s="1162" t="e">
        <f ca="1">-INDEX(INDIRECT("'"&amp;M$4&amp;"'!Year.NetBalance"), MATCH('Intermediate output'!$C45, INDIRECT("'"&amp;M$4&amp;"'!Year.Vectors"), 0))</f>
        <v>#REF!</v>
      </c>
      <c r="N45" s="1162" t="e">
        <f ca="1">-INDEX(INDIRECT("'"&amp;N$4&amp;"'!Year.NetBalance"), MATCH('Intermediate output'!$C45, INDIRECT("'"&amp;N$4&amp;"'!Year.Vectors"), 0))</f>
        <v>#REF!</v>
      </c>
      <c r="O45" s="1162" t="e">
        <f ca="1">-INDEX(INDIRECT("'"&amp;O$4&amp;"'!Year.NetBalance"), MATCH('Intermediate output'!$C45, INDIRECT("'"&amp;O$4&amp;"'!Year.Vectors"), 0))</f>
        <v>#REF!</v>
      </c>
      <c r="P45" s="1162" t="e">
        <f ca="1">-INDEX(INDIRECT("'"&amp;P$4&amp;"'!Year.NetBalance"), MATCH('Intermediate output'!$C45, INDIRECT("'"&amp;P$4&amp;"'!Year.Vectors"), 0))</f>
        <v>#REF!</v>
      </c>
      <c r="Q45" s="1162">
        <f ca="1">-INDEX(INDIRECT("'"&amp;Q$4&amp;"'!Year.NetBalance"), MATCH('Intermediate output'!$C45, INDIRECT("'"&amp;Q$4&amp;"'!Year.Vectors"), 0))</f>
        <v>82.232541885272198</v>
      </c>
      <c r="R45" s="1163"/>
      <c r="S45" s="795"/>
      <c r="U45" s="795"/>
    </row>
    <row r="46" spans="2:31" s="121" customFormat="1">
      <c r="B46" s="852"/>
      <c r="C46" s="854"/>
      <c r="D46" s="854" t="s">
        <v>259</v>
      </c>
      <c r="E46" s="854"/>
      <c r="F46" s="1164" t="e">
        <f ca="1">SUM(F44:F45)</f>
        <v>#REF!</v>
      </c>
      <c r="G46" s="854"/>
      <c r="H46" s="1164" t="e">
        <f ca="1">SUM(H44:H45)</f>
        <v>#REF!</v>
      </c>
      <c r="I46" s="1164" t="e">
        <f t="shared" ref="I46:Q46" ca="1" si="7">SUM(I44:I45)</f>
        <v>#REF!</v>
      </c>
      <c r="J46" s="1164" t="e">
        <f t="shared" ca="1" si="7"/>
        <v>#REF!</v>
      </c>
      <c r="K46" s="1164" t="e">
        <f t="shared" ca="1" si="7"/>
        <v>#REF!</v>
      </c>
      <c r="L46" s="1164" t="e">
        <f t="shared" ca="1" si="7"/>
        <v>#REF!</v>
      </c>
      <c r="M46" s="1164" t="e">
        <f t="shared" ca="1" si="7"/>
        <v>#REF!</v>
      </c>
      <c r="N46" s="1164" t="e">
        <f t="shared" ca="1" si="7"/>
        <v>#REF!</v>
      </c>
      <c r="O46" s="1164" t="e">
        <f t="shared" ca="1" si="7"/>
        <v>#REF!</v>
      </c>
      <c r="P46" s="1164" t="e">
        <f t="shared" ca="1" si="7"/>
        <v>#REF!</v>
      </c>
      <c r="Q46" s="1164">
        <f t="shared" ca="1" si="7"/>
        <v>0</v>
      </c>
      <c r="R46" s="1165"/>
      <c r="S46" s="27"/>
      <c r="U46" s="27"/>
      <c r="V46" s="27"/>
    </row>
    <row r="47" spans="2:31" s="586" customFormat="1" ht="17">
      <c r="B47" s="1166"/>
      <c r="C47" s="1156"/>
      <c r="D47" s="1154" t="s">
        <v>779</v>
      </c>
      <c r="E47" s="854"/>
      <c r="F47" s="1155" t="e">
        <f ca="1">F31+F32+F36+F39+F43+F46</f>
        <v>#REF!</v>
      </c>
      <c r="G47" s="854"/>
      <c r="H47" s="1155" t="e">
        <f t="shared" ref="H47:Q47" ca="1" si="8">H31+H32+H36+H39+H43+H46</f>
        <v>#REF!</v>
      </c>
      <c r="I47" s="1155" t="e">
        <f t="shared" ca="1" si="8"/>
        <v>#REF!</v>
      </c>
      <c r="J47" s="1155" t="e">
        <f t="shared" ca="1" si="8"/>
        <v>#REF!</v>
      </c>
      <c r="K47" s="1155" t="e">
        <f t="shared" ca="1" si="8"/>
        <v>#REF!</v>
      </c>
      <c r="L47" s="1155" t="e">
        <f t="shared" ca="1" si="8"/>
        <v>#REF!</v>
      </c>
      <c r="M47" s="1155" t="e">
        <f t="shared" ca="1" si="8"/>
        <v>#REF!</v>
      </c>
      <c r="N47" s="1155" t="e">
        <f t="shared" ca="1" si="8"/>
        <v>#REF!</v>
      </c>
      <c r="O47" s="1155" t="e">
        <f t="shared" ca="1" si="8"/>
        <v>#REF!</v>
      </c>
      <c r="P47" s="1155" t="e">
        <f t="shared" ca="1" si="8"/>
        <v>#REF!</v>
      </c>
      <c r="Q47" s="1155">
        <f t="shared" ca="1" si="8"/>
        <v>138.158140919076</v>
      </c>
      <c r="R47" s="1167"/>
      <c r="S47" s="591"/>
      <c r="T47" s="587"/>
      <c r="U47" s="591"/>
    </row>
    <row r="48" spans="2:31" s="246" customFormat="1">
      <c r="B48" s="1171"/>
      <c r="C48" s="1172"/>
      <c r="D48" s="1172"/>
      <c r="E48" s="854"/>
      <c r="F48" s="1172"/>
      <c r="G48" s="854"/>
      <c r="H48" s="1173"/>
      <c r="I48" s="1173"/>
      <c r="J48" s="1173"/>
      <c r="K48" s="1173"/>
      <c r="L48" s="1173"/>
      <c r="M48" s="1173"/>
      <c r="N48" s="1173"/>
      <c r="O48" s="1173"/>
      <c r="P48" s="1173"/>
      <c r="Q48" s="1173"/>
      <c r="R48" s="1174"/>
      <c r="S48" s="577"/>
      <c r="T48" s="530"/>
      <c r="U48" s="577"/>
      <c r="V48" s="810"/>
      <c r="W48" s="810"/>
      <c r="X48" s="810"/>
      <c r="Y48" s="810"/>
      <c r="Z48" s="810"/>
      <c r="AA48" s="810"/>
      <c r="AB48" s="810"/>
      <c r="AC48" s="810"/>
      <c r="AD48" s="810"/>
      <c r="AE48" s="810"/>
    </row>
    <row r="49" spans="2:31" s="246" customFormat="1">
      <c r="B49" s="1171"/>
      <c r="C49" s="1172"/>
      <c r="D49" s="1172" t="s">
        <v>950</v>
      </c>
      <c r="E49" s="854"/>
      <c r="F49" s="1172"/>
      <c r="G49" s="854"/>
      <c r="H49" s="1173" t="e">
        <f t="shared" ref="H49:Q49" ca="1" si="9">MAX(0,-(H$47-H$18))</f>
        <v>#REF!</v>
      </c>
      <c r="I49" s="1173" t="e">
        <f t="shared" ca="1" si="9"/>
        <v>#REF!</v>
      </c>
      <c r="J49" s="1173" t="e">
        <f t="shared" ca="1" si="9"/>
        <v>#REF!</v>
      </c>
      <c r="K49" s="1173" t="e">
        <f t="shared" ca="1" si="9"/>
        <v>#REF!</v>
      </c>
      <c r="L49" s="1173" t="e">
        <f t="shared" ca="1" si="9"/>
        <v>#REF!</v>
      </c>
      <c r="M49" s="1173" t="e">
        <f t="shared" ca="1" si="9"/>
        <v>#REF!</v>
      </c>
      <c r="N49" s="1173" t="e">
        <f t="shared" ca="1" si="9"/>
        <v>#REF!</v>
      </c>
      <c r="O49" s="1173" t="e">
        <f t="shared" ca="1" si="9"/>
        <v>#REF!</v>
      </c>
      <c r="P49" s="1173" t="e">
        <f t="shared" ca="1" si="9"/>
        <v>#REF!</v>
      </c>
      <c r="Q49" s="1173">
        <f t="shared" ca="1" si="9"/>
        <v>0</v>
      </c>
      <c r="R49" s="1174"/>
      <c r="S49" s="794"/>
      <c r="T49" s="810"/>
      <c r="U49" s="810"/>
      <c r="V49" s="810"/>
      <c r="W49" s="810"/>
      <c r="X49" s="810"/>
      <c r="Y49" s="810"/>
      <c r="Z49" s="810"/>
      <c r="AA49" s="810"/>
      <c r="AB49" s="810"/>
      <c r="AC49" s="810"/>
      <c r="AD49" s="810"/>
      <c r="AE49" s="810"/>
    </row>
    <row r="50" spans="2:31" s="121" customFormat="1">
      <c r="B50" s="852"/>
      <c r="C50" s="854"/>
      <c r="D50" s="854"/>
      <c r="E50" s="854"/>
      <c r="F50" s="854"/>
      <c r="G50" s="854"/>
      <c r="H50" s="1164"/>
      <c r="I50" s="1164"/>
      <c r="J50" s="1164"/>
      <c r="K50" s="1164"/>
      <c r="L50" s="1164"/>
      <c r="M50" s="1164"/>
      <c r="N50" s="1164"/>
      <c r="O50" s="1164"/>
      <c r="P50" s="1164"/>
      <c r="Q50" s="1164"/>
      <c r="R50" s="1165"/>
      <c r="S50" s="27"/>
    </row>
    <row r="51" spans="2:31" s="121" customFormat="1">
      <c r="B51" s="852"/>
      <c r="C51" s="1168" t="s">
        <v>780</v>
      </c>
      <c r="D51" s="854"/>
      <c r="E51" s="854"/>
      <c r="F51" s="854"/>
      <c r="G51" s="854"/>
      <c r="H51" s="1164"/>
      <c r="I51" s="1164"/>
      <c r="J51" s="1164"/>
      <c r="K51" s="1164"/>
      <c r="L51" s="1164"/>
      <c r="M51" s="1164"/>
      <c r="N51" s="1164"/>
      <c r="O51" s="1164"/>
      <c r="P51" s="1164"/>
      <c r="Q51" s="1164"/>
      <c r="R51" s="1165"/>
      <c r="S51" s="27"/>
    </row>
    <row r="52" spans="2:31">
      <c r="B52" s="852"/>
      <c r="C52" s="1182" t="s">
        <v>31</v>
      </c>
      <c r="D52" s="854" t="str">
        <f>INDEX(Vectors[Description], MATCH($C52, Vectors[Code], 0))</f>
        <v>Conversion losses</v>
      </c>
      <c r="E52" s="854"/>
      <c r="F52" s="1162" t="e">
        <f ca="1">INDEX(INDIRECT("'"&amp;F$4&amp;"'!Year.NetBalance"), MATCH('Intermediate output'!$C52, INDIRECT("'"&amp;F$4&amp;"'!Year.Vectors"), 0))</f>
        <v>#REF!</v>
      </c>
      <c r="G52" s="854"/>
      <c r="H52" s="1164" t="e">
        <f ca="1">INDEX(INDIRECT("'"&amp;H$4&amp;"'!Year.NetBalance"), MATCH('Intermediate output'!$C52, INDIRECT("'"&amp;H$4&amp;"'!Year.Vectors"), 0))</f>
        <v>#REF!</v>
      </c>
      <c r="I52" s="1164" t="e">
        <f ca="1">INDEX(INDIRECT("'"&amp;I$4&amp;"'!Year.NetBalance"), MATCH('Intermediate output'!$C52, INDIRECT("'"&amp;I$4&amp;"'!Year.Vectors"), 0))</f>
        <v>#REF!</v>
      </c>
      <c r="J52" s="1164" t="e">
        <f ca="1">INDEX(INDIRECT("'"&amp;J$4&amp;"'!Year.NetBalance"), MATCH('Intermediate output'!$C52, INDIRECT("'"&amp;J$4&amp;"'!Year.Vectors"), 0))</f>
        <v>#REF!</v>
      </c>
      <c r="K52" s="1164" t="e">
        <f ca="1">INDEX(INDIRECT("'"&amp;K$4&amp;"'!Year.NetBalance"), MATCH('Intermediate output'!$C52, INDIRECT("'"&amp;K$4&amp;"'!Year.Vectors"), 0))</f>
        <v>#REF!</v>
      </c>
      <c r="L52" s="1164" t="e">
        <f ca="1">INDEX(INDIRECT("'"&amp;L$4&amp;"'!Year.NetBalance"), MATCH('Intermediate output'!$C52, INDIRECT("'"&amp;L$4&amp;"'!Year.Vectors"), 0))</f>
        <v>#REF!</v>
      </c>
      <c r="M52" s="1164" t="e">
        <f ca="1">INDEX(INDIRECT("'"&amp;M$4&amp;"'!Year.NetBalance"), MATCH('Intermediate output'!$C52, INDIRECT("'"&amp;M$4&amp;"'!Year.Vectors"), 0))</f>
        <v>#REF!</v>
      </c>
      <c r="N52" s="1164" t="e">
        <f ca="1">INDEX(INDIRECT("'"&amp;N$4&amp;"'!Year.NetBalance"), MATCH('Intermediate output'!$C52, INDIRECT("'"&amp;N$4&amp;"'!Year.Vectors"), 0))</f>
        <v>#REF!</v>
      </c>
      <c r="O52" s="1164" t="e">
        <f ca="1">INDEX(INDIRECT("'"&amp;O$4&amp;"'!Year.NetBalance"), MATCH('Intermediate output'!$C52, INDIRECT("'"&amp;O$4&amp;"'!Year.Vectors"), 0))</f>
        <v>#REF!</v>
      </c>
      <c r="P52" s="1164" t="e">
        <f ca="1">INDEX(INDIRECT("'"&amp;P$4&amp;"'!Year.NetBalance"), MATCH('Intermediate output'!$C52, INDIRECT("'"&amp;P$4&amp;"'!Year.Vectors"), 0))</f>
        <v>#REF!</v>
      </c>
      <c r="Q52" s="1164">
        <f ca="1">INDEX(INDIRECT("'"&amp;Q$4&amp;"'!Year.NetBalance"), MATCH('Intermediate output'!$C52, INDIRECT("'"&amp;Q$4&amp;"'!Year.Vectors"), 0))</f>
        <v>253.22188731618462</v>
      </c>
      <c r="R52" s="1165"/>
      <c r="S52" s="27"/>
    </row>
    <row r="53" spans="2:31">
      <c r="B53" s="852"/>
      <c r="C53" s="1182" t="s">
        <v>32</v>
      </c>
      <c r="D53" s="854" t="str">
        <f>INDEX(Vectors[Description], MATCH($C53, Vectors[Code], 0))</f>
        <v>Distribution losses and own use</v>
      </c>
      <c r="E53" s="854"/>
      <c r="F53" s="1162" t="e">
        <f ca="1">INDEX(INDIRECT("'"&amp;F$4&amp;"'!Year.NetBalance"), MATCH('Intermediate output'!$C53, INDIRECT("'"&amp;F$4&amp;"'!Year.Vectors"), 0))</f>
        <v>#REF!</v>
      </c>
      <c r="G53" s="854"/>
      <c r="H53" s="1164" t="e">
        <f ca="1">INDEX(INDIRECT("'"&amp;H$4&amp;"'!Year.NetBalance"), MATCH('Intermediate output'!$C53, INDIRECT("'"&amp;H$4&amp;"'!Year.Vectors"), 0))</f>
        <v>#REF!</v>
      </c>
      <c r="I53" s="1164" t="e">
        <f ca="1">INDEX(INDIRECT("'"&amp;I$4&amp;"'!Year.NetBalance"), MATCH('Intermediate output'!$C53, INDIRECT("'"&amp;I$4&amp;"'!Year.Vectors"), 0))</f>
        <v>#REF!</v>
      </c>
      <c r="J53" s="1164" t="e">
        <f ca="1">INDEX(INDIRECT("'"&amp;J$4&amp;"'!Year.NetBalance"), MATCH('Intermediate output'!$C53, INDIRECT("'"&amp;J$4&amp;"'!Year.Vectors"), 0))</f>
        <v>#REF!</v>
      </c>
      <c r="K53" s="1164" t="e">
        <f ca="1">INDEX(INDIRECT("'"&amp;K$4&amp;"'!Year.NetBalance"), MATCH('Intermediate output'!$C53, INDIRECT("'"&amp;K$4&amp;"'!Year.Vectors"), 0))</f>
        <v>#REF!</v>
      </c>
      <c r="L53" s="1164" t="e">
        <f ca="1">INDEX(INDIRECT("'"&amp;L$4&amp;"'!Year.NetBalance"), MATCH('Intermediate output'!$C53, INDIRECT("'"&amp;L$4&amp;"'!Year.Vectors"), 0))</f>
        <v>#REF!</v>
      </c>
      <c r="M53" s="1164" t="e">
        <f ca="1">INDEX(INDIRECT("'"&amp;M$4&amp;"'!Year.NetBalance"), MATCH('Intermediate output'!$C53, INDIRECT("'"&amp;M$4&amp;"'!Year.Vectors"), 0))</f>
        <v>#REF!</v>
      </c>
      <c r="N53" s="1164" t="e">
        <f ca="1">INDEX(INDIRECT("'"&amp;N$4&amp;"'!Year.NetBalance"), MATCH('Intermediate output'!$C53, INDIRECT("'"&amp;N$4&amp;"'!Year.Vectors"), 0))</f>
        <v>#REF!</v>
      </c>
      <c r="O53" s="1164" t="e">
        <f ca="1">INDEX(INDIRECT("'"&amp;O$4&amp;"'!Year.NetBalance"), MATCH('Intermediate output'!$C53, INDIRECT("'"&amp;O$4&amp;"'!Year.Vectors"), 0))</f>
        <v>#REF!</v>
      </c>
      <c r="P53" s="1164" t="e">
        <f ca="1">INDEX(INDIRECT("'"&amp;P$4&amp;"'!Year.NetBalance"), MATCH('Intermediate output'!$C53, INDIRECT("'"&amp;P$4&amp;"'!Year.Vectors"), 0))</f>
        <v>#REF!</v>
      </c>
      <c r="Q53" s="1164">
        <f ca="1">INDEX(INDIRECT("'"&amp;Q$4&amp;"'!Year.NetBalance"), MATCH('Intermediate output'!$C53, INDIRECT("'"&amp;Q$4&amp;"'!Year.Vectors"), 0))</f>
        <v>36.826995882276002</v>
      </c>
      <c r="R53" s="1165"/>
      <c r="S53" s="27"/>
    </row>
    <row r="54" spans="2:31" s="532" customFormat="1" ht="17">
      <c r="B54" s="1175"/>
      <c r="C54" s="546"/>
      <c r="D54" s="1154" t="s">
        <v>781</v>
      </c>
      <c r="E54" s="854"/>
      <c r="F54" s="1155" t="e">
        <f ca="1">F47-SUM(F52:F53)</f>
        <v>#REF!</v>
      </c>
      <c r="G54" s="854"/>
      <c r="H54" s="1155" t="e">
        <f t="shared" ref="H54:Q54" ca="1" si="10">H47-SUM(H52:H53)</f>
        <v>#REF!</v>
      </c>
      <c r="I54" s="1155" t="e">
        <f t="shared" ca="1" si="10"/>
        <v>#REF!</v>
      </c>
      <c r="J54" s="1155" t="e">
        <f t="shared" ca="1" si="10"/>
        <v>#REF!</v>
      </c>
      <c r="K54" s="1155" t="e">
        <f t="shared" ca="1" si="10"/>
        <v>#REF!</v>
      </c>
      <c r="L54" s="1155" t="e">
        <f t="shared" ca="1" si="10"/>
        <v>#REF!</v>
      </c>
      <c r="M54" s="1155" t="e">
        <f t="shared" ca="1" si="10"/>
        <v>#REF!</v>
      </c>
      <c r="N54" s="1155" t="e">
        <f t="shared" ca="1" si="10"/>
        <v>#REF!</v>
      </c>
      <c r="O54" s="1155" t="e">
        <f t="shared" ca="1" si="10"/>
        <v>#REF!</v>
      </c>
      <c r="P54" s="1155" t="e">
        <f t="shared" ca="1" si="10"/>
        <v>#REF!</v>
      </c>
      <c r="Q54" s="1155">
        <f t="shared" ca="1" si="10"/>
        <v>-151.8907422793846</v>
      </c>
      <c r="R54" s="1176"/>
      <c r="S54" s="592"/>
    </row>
    <row r="55" spans="2:31" s="121" customFormat="1">
      <c r="B55" s="852"/>
      <c r="C55" s="854"/>
      <c r="D55" s="854"/>
      <c r="E55" s="854"/>
      <c r="F55" s="854"/>
      <c r="G55" s="854"/>
      <c r="H55" s="1164"/>
      <c r="I55" s="1164"/>
      <c r="J55" s="1164"/>
      <c r="K55" s="1164"/>
      <c r="L55" s="1164"/>
      <c r="M55" s="1164"/>
      <c r="N55" s="1164"/>
      <c r="O55" s="1164"/>
      <c r="P55" s="1164"/>
      <c r="Q55" s="1164"/>
      <c r="R55" s="1165"/>
      <c r="S55" s="27"/>
    </row>
    <row r="56" spans="2:31" s="121" customFormat="1">
      <c r="B56" s="852"/>
      <c r="C56" s="1168" t="s">
        <v>954</v>
      </c>
      <c r="D56" s="854"/>
      <c r="E56" s="854"/>
      <c r="F56" s="854"/>
      <c r="G56" s="854"/>
      <c r="H56" s="1164"/>
      <c r="I56" s="1164"/>
      <c r="J56" s="1164"/>
      <c r="K56" s="1164"/>
      <c r="L56" s="1164"/>
      <c r="M56" s="1164"/>
      <c r="N56" s="1164"/>
      <c r="O56" s="1164"/>
      <c r="P56" s="1164"/>
      <c r="Q56" s="1164"/>
      <c r="R56" s="1165"/>
      <c r="S56" s="27"/>
    </row>
    <row r="57" spans="2:31" s="121" customFormat="1">
      <c r="B57" s="852"/>
      <c r="C57" s="854"/>
      <c r="D57" s="854"/>
      <c r="E57" s="854"/>
      <c r="F57" s="854"/>
      <c r="G57" s="854"/>
      <c r="H57" s="1164"/>
      <c r="I57" s="1164"/>
      <c r="J57" s="1164"/>
      <c r="K57" s="1164"/>
      <c r="L57" s="1164"/>
      <c r="M57" s="1164"/>
      <c r="N57" s="1164"/>
      <c r="O57" s="1164"/>
      <c r="P57" s="1164"/>
      <c r="Q57" s="1164"/>
      <c r="R57" s="1165"/>
      <c r="S57" s="27"/>
    </row>
    <row r="58" spans="2:31" s="121" customFormat="1">
      <c r="B58" s="852"/>
      <c r="C58" s="1182" t="s">
        <v>58</v>
      </c>
      <c r="D58" s="854" t="str">
        <f>INDEX(Vectors[Description], MATCH($C58, Vectors[Code], 0))</f>
        <v>Coal and fossil waste</v>
      </c>
      <c r="E58" s="854"/>
      <c r="F58" s="1162" t="e">
        <f ca="1">INDEX(INDIRECT("'"&amp;F$4&amp;"'!Year.NetBalance"), MATCH('Intermediate output'!$C58, INDIRECT("'"&amp;F$4&amp;"'!Year.Vectors"), 0))</f>
        <v>#REF!</v>
      </c>
      <c r="G58" s="854"/>
      <c r="H58" s="1164" t="e">
        <f ca="1">INDEX(INDIRECT("'"&amp;H$4&amp;"'!Year.NetBalance"), MATCH('Intermediate output'!$C58, INDIRECT("'"&amp;H$4&amp;"'!Year.Vectors"), 0))</f>
        <v>#REF!</v>
      </c>
      <c r="I58" s="1164" t="e">
        <f ca="1">INDEX(INDIRECT("'"&amp;I$4&amp;"'!Year.NetBalance"), MATCH('Intermediate output'!$C58, INDIRECT("'"&amp;I$4&amp;"'!Year.Vectors"), 0))</f>
        <v>#REF!</v>
      </c>
      <c r="J58" s="1164" t="e">
        <f ca="1">INDEX(INDIRECT("'"&amp;J$4&amp;"'!Year.NetBalance"), MATCH('Intermediate output'!$C58, INDIRECT("'"&amp;J$4&amp;"'!Year.Vectors"), 0))</f>
        <v>#REF!</v>
      </c>
      <c r="K58" s="1164" t="e">
        <f ca="1">INDEX(INDIRECT("'"&amp;K$4&amp;"'!Year.NetBalance"), MATCH('Intermediate output'!$C58, INDIRECT("'"&amp;K$4&amp;"'!Year.Vectors"), 0))</f>
        <v>#REF!</v>
      </c>
      <c r="L58" s="1164" t="e">
        <f ca="1">INDEX(INDIRECT("'"&amp;L$4&amp;"'!Year.NetBalance"), MATCH('Intermediate output'!$C58, INDIRECT("'"&amp;L$4&amp;"'!Year.Vectors"), 0))</f>
        <v>#REF!</v>
      </c>
      <c r="M58" s="1164" t="e">
        <f ca="1">INDEX(INDIRECT("'"&amp;M$4&amp;"'!Year.NetBalance"), MATCH('Intermediate output'!$C58, INDIRECT("'"&amp;M$4&amp;"'!Year.Vectors"), 0))</f>
        <v>#REF!</v>
      </c>
      <c r="N58" s="1164" t="e">
        <f ca="1">INDEX(INDIRECT("'"&amp;N$4&amp;"'!Year.NetBalance"), MATCH('Intermediate output'!$C58, INDIRECT("'"&amp;N$4&amp;"'!Year.Vectors"), 0))</f>
        <v>#REF!</v>
      </c>
      <c r="O58" s="1164" t="e">
        <f ca="1">INDEX(INDIRECT("'"&amp;O$4&amp;"'!Year.NetBalance"), MATCH('Intermediate output'!$C58, INDIRECT("'"&amp;O$4&amp;"'!Year.Vectors"), 0))</f>
        <v>#REF!</v>
      </c>
      <c r="P58" s="1164" t="e">
        <f ca="1">INDEX(INDIRECT("'"&amp;P$4&amp;"'!Year.NetBalance"), MATCH('Intermediate output'!$C58, INDIRECT("'"&amp;P$4&amp;"'!Year.Vectors"), 0))</f>
        <v>#REF!</v>
      </c>
      <c r="Q58" s="1164">
        <f ca="1">INDEX(INDIRECT("'"&amp;Q$4&amp;"'!Year.NetBalance"), MATCH('Intermediate output'!$C58, INDIRECT("'"&amp;Q$4&amp;"'!Year.Vectors"), 0))</f>
        <v>0</v>
      </c>
      <c r="R58" s="1165"/>
      <c r="S58" s="27"/>
    </row>
    <row r="59" spans="2:31" s="121" customFormat="1">
      <c r="B59" s="852"/>
      <c r="C59" s="1182" t="s">
        <v>59</v>
      </c>
      <c r="D59" s="854" t="str">
        <f>INDEX(Vectors[Description], MATCH($C59, Vectors[Code], 0))</f>
        <v>Oil and petroleum products</v>
      </c>
      <c r="E59" s="854"/>
      <c r="F59" s="1162" t="e">
        <f ca="1">INDEX(INDIRECT("'"&amp;F$4&amp;"'!Year.NetBalance"), MATCH('Intermediate output'!$C59, INDIRECT("'"&amp;F$4&amp;"'!Year.Vectors"), 0))</f>
        <v>#REF!</v>
      </c>
      <c r="G59" s="854"/>
      <c r="H59" s="1164" t="e">
        <f ca="1">INDEX(INDIRECT("'"&amp;H$4&amp;"'!Year.NetBalance"), MATCH('Intermediate output'!$C59, INDIRECT("'"&amp;H$4&amp;"'!Year.Vectors"), 0))</f>
        <v>#REF!</v>
      </c>
      <c r="I59" s="1164" t="e">
        <f ca="1">INDEX(INDIRECT("'"&amp;I$4&amp;"'!Year.NetBalance"), MATCH('Intermediate output'!$C59, INDIRECT("'"&amp;I$4&amp;"'!Year.Vectors"), 0))</f>
        <v>#REF!</v>
      </c>
      <c r="J59" s="1164" t="e">
        <f ca="1">INDEX(INDIRECT("'"&amp;J$4&amp;"'!Year.NetBalance"), MATCH('Intermediate output'!$C59, INDIRECT("'"&amp;J$4&amp;"'!Year.Vectors"), 0))</f>
        <v>#REF!</v>
      </c>
      <c r="K59" s="1164" t="e">
        <f ca="1">INDEX(INDIRECT("'"&amp;K$4&amp;"'!Year.NetBalance"), MATCH('Intermediate output'!$C59, INDIRECT("'"&amp;K$4&amp;"'!Year.Vectors"), 0))</f>
        <v>#REF!</v>
      </c>
      <c r="L59" s="1164" t="e">
        <f ca="1">INDEX(INDIRECT("'"&amp;L$4&amp;"'!Year.NetBalance"), MATCH('Intermediate output'!$C59, INDIRECT("'"&amp;L$4&amp;"'!Year.Vectors"), 0))</f>
        <v>#REF!</v>
      </c>
      <c r="M59" s="1164" t="e">
        <f ca="1">INDEX(INDIRECT("'"&amp;M$4&amp;"'!Year.NetBalance"), MATCH('Intermediate output'!$C59, INDIRECT("'"&amp;M$4&amp;"'!Year.Vectors"), 0))</f>
        <v>#REF!</v>
      </c>
      <c r="N59" s="1164" t="e">
        <f ca="1">INDEX(INDIRECT("'"&amp;N$4&amp;"'!Year.NetBalance"), MATCH('Intermediate output'!$C59, INDIRECT("'"&amp;N$4&amp;"'!Year.Vectors"), 0))</f>
        <v>#REF!</v>
      </c>
      <c r="O59" s="1164" t="e">
        <f ca="1">INDEX(INDIRECT("'"&amp;O$4&amp;"'!Year.NetBalance"), MATCH('Intermediate output'!$C59, INDIRECT("'"&amp;O$4&amp;"'!Year.Vectors"), 0))</f>
        <v>#REF!</v>
      </c>
      <c r="P59" s="1164" t="e">
        <f ca="1">INDEX(INDIRECT("'"&amp;P$4&amp;"'!Year.NetBalance"), MATCH('Intermediate output'!$C59, INDIRECT("'"&amp;P$4&amp;"'!Year.Vectors"), 0))</f>
        <v>#REF!</v>
      </c>
      <c r="Q59" s="1164">
        <f ca="1">INDEX(INDIRECT("'"&amp;Q$4&amp;"'!Year.NetBalance"), MATCH('Intermediate output'!$C59, INDIRECT("'"&amp;Q$4&amp;"'!Year.Vectors"), 0))</f>
        <v>0</v>
      </c>
      <c r="R59" s="1165"/>
      <c r="S59" s="27"/>
    </row>
    <row r="60" spans="2:31" s="121" customFormat="1">
      <c r="B60" s="852"/>
      <c r="C60" s="1182" t="s">
        <v>60</v>
      </c>
      <c r="D60" s="854" t="str">
        <f>INDEX(Vectors[Description], MATCH($C60, Vectors[Code], 0))</f>
        <v>Natural gas</v>
      </c>
      <c r="E60" s="854"/>
      <c r="F60" s="1162" t="e">
        <f ca="1">INDEX(INDIRECT("'"&amp;F$4&amp;"'!Year.NetBalance"), MATCH('Intermediate output'!$C60, INDIRECT("'"&amp;F$4&amp;"'!Year.Vectors"), 0))</f>
        <v>#REF!</v>
      </c>
      <c r="G60" s="854"/>
      <c r="H60" s="1164" t="e">
        <f ca="1">INDEX(INDIRECT("'"&amp;H$4&amp;"'!Year.NetBalance"), MATCH('Intermediate output'!$C60, INDIRECT("'"&amp;H$4&amp;"'!Year.Vectors"), 0))</f>
        <v>#REF!</v>
      </c>
      <c r="I60" s="1164" t="e">
        <f ca="1">INDEX(INDIRECT("'"&amp;I$4&amp;"'!Year.NetBalance"), MATCH('Intermediate output'!$C60, INDIRECT("'"&amp;I$4&amp;"'!Year.Vectors"), 0))</f>
        <v>#REF!</v>
      </c>
      <c r="J60" s="1164" t="e">
        <f ca="1">INDEX(INDIRECT("'"&amp;J$4&amp;"'!Year.NetBalance"), MATCH('Intermediate output'!$C60, INDIRECT("'"&amp;J$4&amp;"'!Year.Vectors"), 0))</f>
        <v>#REF!</v>
      </c>
      <c r="K60" s="1164" t="e">
        <f ca="1">INDEX(INDIRECT("'"&amp;K$4&amp;"'!Year.NetBalance"), MATCH('Intermediate output'!$C60, INDIRECT("'"&amp;K$4&amp;"'!Year.Vectors"), 0))</f>
        <v>#REF!</v>
      </c>
      <c r="L60" s="1164" t="e">
        <f ca="1">INDEX(INDIRECT("'"&amp;L$4&amp;"'!Year.NetBalance"), MATCH('Intermediate output'!$C60, INDIRECT("'"&amp;L$4&amp;"'!Year.Vectors"), 0))</f>
        <v>#REF!</v>
      </c>
      <c r="M60" s="1164" t="e">
        <f ca="1">INDEX(INDIRECT("'"&amp;M$4&amp;"'!Year.NetBalance"), MATCH('Intermediate output'!$C60, INDIRECT("'"&amp;M$4&amp;"'!Year.Vectors"), 0))</f>
        <v>#REF!</v>
      </c>
      <c r="N60" s="1164" t="e">
        <f ca="1">INDEX(INDIRECT("'"&amp;N$4&amp;"'!Year.NetBalance"), MATCH('Intermediate output'!$C60, INDIRECT("'"&amp;N$4&amp;"'!Year.Vectors"), 0))</f>
        <v>#REF!</v>
      </c>
      <c r="O60" s="1164" t="e">
        <f ca="1">INDEX(INDIRECT("'"&amp;O$4&amp;"'!Year.NetBalance"), MATCH('Intermediate output'!$C60, INDIRECT("'"&amp;O$4&amp;"'!Year.Vectors"), 0))</f>
        <v>#REF!</v>
      </c>
      <c r="P60" s="1164" t="e">
        <f ca="1">INDEX(INDIRECT("'"&amp;P$4&amp;"'!Year.NetBalance"), MATCH('Intermediate output'!$C60, INDIRECT("'"&amp;P$4&amp;"'!Year.Vectors"), 0))</f>
        <v>#REF!</v>
      </c>
      <c r="Q60" s="1164">
        <f ca="1">INDEX(INDIRECT("'"&amp;Q$4&amp;"'!Year.NetBalance"), MATCH('Intermediate output'!$C60, INDIRECT("'"&amp;Q$4&amp;"'!Year.Vectors"), 0))</f>
        <v>0</v>
      </c>
      <c r="R60" s="1165"/>
      <c r="S60" s="27"/>
    </row>
    <row r="61" spans="2:31" s="121" customFormat="1">
      <c r="B61" s="852"/>
      <c r="C61" s="1182" t="s">
        <v>42</v>
      </c>
      <c r="D61" s="854" t="str">
        <f>INDEX(Vectors[Description], MATCH($C61, Vectors[Code], 0))</f>
        <v>Solid hydrocarbons</v>
      </c>
      <c r="E61" s="854"/>
      <c r="F61" s="1162" t="e">
        <f ca="1">INDEX(INDIRECT("'"&amp;F$4&amp;"'!Year.NetBalance"), MATCH('Intermediate output'!$C61, INDIRECT("'"&amp;F$4&amp;"'!Year.Vectors"), 0))</f>
        <v>#REF!</v>
      </c>
      <c r="G61" s="854"/>
      <c r="H61" s="1164" t="e">
        <f ca="1">INDEX(INDIRECT("'"&amp;H$4&amp;"'!Year.NetBalance"), MATCH('Intermediate output'!$C61, INDIRECT("'"&amp;H$4&amp;"'!Year.Vectors"), 0))</f>
        <v>#REF!</v>
      </c>
      <c r="I61" s="1164" t="e">
        <f ca="1">INDEX(INDIRECT("'"&amp;I$4&amp;"'!Year.NetBalance"), MATCH('Intermediate output'!$C61, INDIRECT("'"&amp;I$4&amp;"'!Year.Vectors"), 0))</f>
        <v>#REF!</v>
      </c>
      <c r="J61" s="1164" t="e">
        <f ca="1">INDEX(INDIRECT("'"&amp;J$4&amp;"'!Year.NetBalance"), MATCH('Intermediate output'!$C61, INDIRECT("'"&amp;J$4&amp;"'!Year.Vectors"), 0))</f>
        <v>#REF!</v>
      </c>
      <c r="K61" s="1164" t="e">
        <f ca="1">INDEX(INDIRECT("'"&amp;K$4&amp;"'!Year.NetBalance"), MATCH('Intermediate output'!$C61, INDIRECT("'"&amp;K$4&amp;"'!Year.Vectors"), 0))</f>
        <v>#REF!</v>
      </c>
      <c r="L61" s="1164" t="e">
        <f ca="1">INDEX(INDIRECT("'"&amp;L$4&amp;"'!Year.NetBalance"), MATCH('Intermediate output'!$C61, INDIRECT("'"&amp;L$4&amp;"'!Year.Vectors"), 0))</f>
        <v>#REF!</v>
      </c>
      <c r="M61" s="1164" t="e">
        <f ca="1">INDEX(INDIRECT("'"&amp;M$4&amp;"'!Year.NetBalance"), MATCH('Intermediate output'!$C61, INDIRECT("'"&amp;M$4&amp;"'!Year.Vectors"), 0))</f>
        <v>#REF!</v>
      </c>
      <c r="N61" s="1164" t="e">
        <f ca="1">INDEX(INDIRECT("'"&amp;N$4&amp;"'!Year.NetBalance"), MATCH('Intermediate output'!$C61, INDIRECT("'"&amp;N$4&amp;"'!Year.Vectors"), 0))</f>
        <v>#REF!</v>
      </c>
      <c r="O61" s="1164" t="e">
        <f ca="1">INDEX(INDIRECT("'"&amp;O$4&amp;"'!Year.NetBalance"), MATCH('Intermediate output'!$C61, INDIRECT("'"&amp;O$4&amp;"'!Year.Vectors"), 0))</f>
        <v>#REF!</v>
      </c>
      <c r="P61" s="1164" t="e">
        <f ca="1">INDEX(INDIRECT("'"&amp;P$4&amp;"'!Year.NetBalance"), MATCH('Intermediate output'!$C61, INDIRECT("'"&amp;P$4&amp;"'!Year.Vectors"), 0))</f>
        <v>#REF!</v>
      </c>
      <c r="Q61" s="1164">
        <f ca="1">INDEX(INDIRECT("'"&amp;Q$4&amp;"'!Year.NetBalance"), MATCH('Intermediate output'!$C61, INDIRECT("'"&amp;Q$4&amp;"'!Year.Vectors"), 0))</f>
        <v>0</v>
      </c>
      <c r="R61" s="1165"/>
      <c r="S61" s="27"/>
    </row>
    <row r="62" spans="2:31" s="121" customFormat="1">
      <c r="B62" s="852"/>
      <c r="C62" s="1182" t="s">
        <v>44</v>
      </c>
      <c r="D62" s="854" t="str">
        <f>INDEX(Vectors[Description], MATCH($C62, Vectors[Code], 0))</f>
        <v>Liquid hydrocarbons</v>
      </c>
      <c r="E62" s="854"/>
      <c r="F62" s="1162" t="e">
        <f ca="1">INDEX(INDIRECT("'"&amp;F$4&amp;"'!Year.NetBalance"), MATCH('Intermediate output'!$C62, INDIRECT("'"&amp;F$4&amp;"'!Year.Vectors"), 0))</f>
        <v>#REF!</v>
      </c>
      <c r="G62" s="854"/>
      <c r="H62" s="1164" t="e">
        <f ca="1">INDEX(INDIRECT("'"&amp;H$4&amp;"'!Year.NetBalance"), MATCH('Intermediate output'!$C62, INDIRECT("'"&amp;H$4&amp;"'!Year.Vectors"), 0))</f>
        <v>#REF!</v>
      </c>
      <c r="I62" s="1164" t="e">
        <f ca="1">INDEX(INDIRECT("'"&amp;I$4&amp;"'!Year.NetBalance"), MATCH('Intermediate output'!$C62, INDIRECT("'"&amp;I$4&amp;"'!Year.Vectors"), 0))</f>
        <v>#REF!</v>
      </c>
      <c r="J62" s="1164" t="e">
        <f ca="1">INDEX(INDIRECT("'"&amp;J$4&amp;"'!Year.NetBalance"), MATCH('Intermediate output'!$C62, INDIRECT("'"&amp;J$4&amp;"'!Year.Vectors"), 0))</f>
        <v>#REF!</v>
      </c>
      <c r="K62" s="1164" t="e">
        <f ca="1">INDEX(INDIRECT("'"&amp;K$4&amp;"'!Year.NetBalance"), MATCH('Intermediate output'!$C62, INDIRECT("'"&amp;K$4&amp;"'!Year.Vectors"), 0))</f>
        <v>#REF!</v>
      </c>
      <c r="L62" s="1164" t="e">
        <f ca="1">INDEX(INDIRECT("'"&amp;L$4&amp;"'!Year.NetBalance"), MATCH('Intermediate output'!$C62, INDIRECT("'"&amp;L$4&amp;"'!Year.Vectors"), 0))</f>
        <v>#REF!</v>
      </c>
      <c r="M62" s="1164" t="e">
        <f ca="1">INDEX(INDIRECT("'"&amp;M$4&amp;"'!Year.NetBalance"), MATCH('Intermediate output'!$C62, INDIRECT("'"&amp;M$4&amp;"'!Year.Vectors"), 0))</f>
        <v>#REF!</v>
      </c>
      <c r="N62" s="1164" t="e">
        <f ca="1">INDEX(INDIRECT("'"&amp;N$4&amp;"'!Year.NetBalance"), MATCH('Intermediate output'!$C62, INDIRECT("'"&amp;N$4&amp;"'!Year.Vectors"), 0))</f>
        <v>#REF!</v>
      </c>
      <c r="O62" s="1164" t="e">
        <f ca="1">INDEX(INDIRECT("'"&amp;O$4&amp;"'!Year.NetBalance"), MATCH('Intermediate output'!$C62, INDIRECT("'"&amp;O$4&amp;"'!Year.Vectors"), 0))</f>
        <v>#REF!</v>
      </c>
      <c r="P62" s="1164" t="e">
        <f ca="1">INDEX(INDIRECT("'"&amp;P$4&amp;"'!Year.NetBalance"), MATCH('Intermediate output'!$C62, INDIRECT("'"&amp;P$4&amp;"'!Year.Vectors"), 0))</f>
        <v>#REF!</v>
      </c>
      <c r="Q62" s="1164">
        <f ca="1">INDEX(INDIRECT("'"&amp;Q$4&amp;"'!Year.NetBalance"), MATCH('Intermediate output'!$C62, INDIRECT("'"&amp;Q$4&amp;"'!Year.Vectors"), 0))</f>
        <v>0</v>
      </c>
      <c r="R62" s="1165"/>
      <c r="S62" s="27"/>
    </row>
    <row r="63" spans="2:31" s="121" customFormat="1">
      <c r="B63" s="852"/>
      <c r="C63" s="1182" t="s">
        <v>45</v>
      </c>
      <c r="D63" s="854" t="str">
        <f>INDEX(Vectors[Description], MATCH($C63, Vectors[Code], 0))</f>
        <v>Gaseous hydrocarbons</v>
      </c>
      <c r="E63" s="854"/>
      <c r="F63" s="1162" t="e">
        <f ca="1">INDEX(INDIRECT("'"&amp;F$4&amp;"'!Year.NetBalance"), MATCH('Intermediate output'!$C63, INDIRECT("'"&amp;F$4&amp;"'!Year.Vectors"), 0))</f>
        <v>#REF!</v>
      </c>
      <c r="G63" s="854"/>
      <c r="H63" s="1164" t="e">
        <f ca="1">INDEX(INDIRECT("'"&amp;H$4&amp;"'!Year.NetBalance"), MATCH('Intermediate output'!$C63, INDIRECT("'"&amp;H$4&amp;"'!Year.Vectors"), 0))</f>
        <v>#REF!</v>
      </c>
      <c r="I63" s="1164" t="e">
        <f ca="1">INDEX(INDIRECT("'"&amp;I$4&amp;"'!Year.NetBalance"), MATCH('Intermediate output'!$C63, INDIRECT("'"&amp;I$4&amp;"'!Year.Vectors"), 0))</f>
        <v>#REF!</v>
      </c>
      <c r="J63" s="1164" t="e">
        <f ca="1">INDEX(INDIRECT("'"&amp;J$4&amp;"'!Year.NetBalance"), MATCH('Intermediate output'!$C63, INDIRECT("'"&amp;J$4&amp;"'!Year.Vectors"), 0))</f>
        <v>#REF!</v>
      </c>
      <c r="K63" s="1164" t="e">
        <f ca="1">INDEX(INDIRECT("'"&amp;K$4&amp;"'!Year.NetBalance"), MATCH('Intermediate output'!$C63, INDIRECT("'"&amp;K$4&amp;"'!Year.Vectors"), 0))</f>
        <v>#REF!</v>
      </c>
      <c r="L63" s="1164" t="e">
        <f ca="1">INDEX(INDIRECT("'"&amp;L$4&amp;"'!Year.NetBalance"), MATCH('Intermediate output'!$C63, INDIRECT("'"&amp;L$4&amp;"'!Year.Vectors"), 0))</f>
        <v>#REF!</v>
      </c>
      <c r="M63" s="1164" t="e">
        <f ca="1">INDEX(INDIRECT("'"&amp;M$4&amp;"'!Year.NetBalance"), MATCH('Intermediate output'!$C63, INDIRECT("'"&amp;M$4&amp;"'!Year.Vectors"), 0))</f>
        <v>#REF!</v>
      </c>
      <c r="N63" s="1164" t="e">
        <f ca="1">INDEX(INDIRECT("'"&amp;N$4&amp;"'!Year.NetBalance"), MATCH('Intermediate output'!$C63, INDIRECT("'"&amp;N$4&amp;"'!Year.Vectors"), 0))</f>
        <v>#REF!</v>
      </c>
      <c r="O63" s="1164" t="e">
        <f ca="1">INDEX(INDIRECT("'"&amp;O$4&amp;"'!Year.NetBalance"), MATCH('Intermediate output'!$C63, INDIRECT("'"&amp;O$4&amp;"'!Year.Vectors"), 0))</f>
        <v>#REF!</v>
      </c>
      <c r="P63" s="1164" t="e">
        <f ca="1">INDEX(INDIRECT("'"&amp;P$4&amp;"'!Year.NetBalance"), MATCH('Intermediate output'!$C63, INDIRECT("'"&amp;P$4&amp;"'!Year.Vectors"), 0))</f>
        <v>#REF!</v>
      </c>
      <c r="Q63" s="1164">
        <f ca="1">INDEX(INDIRECT("'"&amp;Q$4&amp;"'!Year.NetBalance"), MATCH('Intermediate output'!$C63, INDIRECT("'"&amp;Q$4&amp;"'!Year.Vectors"), 0))</f>
        <v>0</v>
      </c>
      <c r="R63" s="1165"/>
      <c r="S63" s="27"/>
    </row>
    <row r="64" spans="2:31" s="121" customFormat="1">
      <c r="B64" s="852"/>
      <c r="C64" s="1182" t="s">
        <v>101</v>
      </c>
      <c r="D64" s="854" t="str">
        <f>INDEX(Vectors[Description], MATCH($C64, Vectors[Code], 0))</f>
        <v>Blast furnace gas</v>
      </c>
      <c r="E64" s="854"/>
      <c r="F64" s="1162" t="e">
        <f ca="1">INDEX(INDIRECT("'"&amp;F$4&amp;"'!Year.NetBalance"), MATCH('Intermediate output'!$C64, INDIRECT("'"&amp;F$4&amp;"'!Year.Vectors"), 0))</f>
        <v>#REF!</v>
      </c>
      <c r="G64" s="854"/>
      <c r="H64" s="1164" t="e">
        <f ca="1">INDEX(INDIRECT("'"&amp;H$4&amp;"'!Year.NetBalance"), MATCH('Intermediate output'!$C64, INDIRECT("'"&amp;H$4&amp;"'!Year.Vectors"), 0))</f>
        <v>#REF!</v>
      </c>
      <c r="I64" s="1164" t="e">
        <f ca="1">INDEX(INDIRECT("'"&amp;I$4&amp;"'!Year.NetBalance"), MATCH('Intermediate output'!$C64, INDIRECT("'"&amp;I$4&amp;"'!Year.Vectors"), 0))</f>
        <v>#REF!</v>
      </c>
      <c r="J64" s="1164" t="e">
        <f ca="1">INDEX(INDIRECT("'"&amp;J$4&amp;"'!Year.NetBalance"), MATCH('Intermediate output'!$C64, INDIRECT("'"&amp;J$4&amp;"'!Year.Vectors"), 0))</f>
        <v>#REF!</v>
      </c>
      <c r="K64" s="1164" t="e">
        <f ca="1">INDEX(INDIRECT("'"&amp;K$4&amp;"'!Year.NetBalance"), MATCH('Intermediate output'!$C64, INDIRECT("'"&amp;K$4&amp;"'!Year.Vectors"), 0))</f>
        <v>#REF!</v>
      </c>
      <c r="L64" s="1164" t="e">
        <f ca="1">INDEX(INDIRECT("'"&amp;L$4&amp;"'!Year.NetBalance"), MATCH('Intermediate output'!$C64, INDIRECT("'"&amp;L$4&amp;"'!Year.Vectors"), 0))</f>
        <v>#REF!</v>
      </c>
      <c r="M64" s="1164" t="e">
        <f ca="1">INDEX(INDIRECT("'"&amp;M$4&amp;"'!Year.NetBalance"), MATCH('Intermediate output'!$C64, INDIRECT("'"&amp;M$4&amp;"'!Year.Vectors"), 0))</f>
        <v>#REF!</v>
      </c>
      <c r="N64" s="1164" t="e">
        <f ca="1">INDEX(INDIRECT("'"&amp;N$4&amp;"'!Year.NetBalance"), MATCH('Intermediate output'!$C64, INDIRECT("'"&amp;N$4&amp;"'!Year.Vectors"), 0))</f>
        <v>#REF!</v>
      </c>
      <c r="O64" s="1164" t="e">
        <f ca="1">INDEX(INDIRECT("'"&amp;O$4&amp;"'!Year.NetBalance"), MATCH('Intermediate output'!$C64, INDIRECT("'"&amp;O$4&amp;"'!Year.Vectors"), 0))</f>
        <v>#REF!</v>
      </c>
      <c r="P64" s="1164" t="e">
        <f ca="1">INDEX(INDIRECT("'"&amp;P$4&amp;"'!Year.NetBalance"), MATCH('Intermediate output'!$C64, INDIRECT("'"&amp;P$4&amp;"'!Year.Vectors"), 0))</f>
        <v>#REF!</v>
      </c>
      <c r="Q64" s="1164">
        <f ca="1">INDEX(INDIRECT("'"&amp;Q$4&amp;"'!Year.NetBalance"), MATCH('Intermediate output'!$C64, INDIRECT("'"&amp;Q$4&amp;"'!Year.Vectors"), 0))</f>
        <v>0</v>
      </c>
      <c r="R64" s="1165"/>
      <c r="S64" s="27"/>
    </row>
    <row r="65" spans="1:19">
      <c r="B65" s="852"/>
      <c r="C65" s="1182" t="s">
        <v>633</v>
      </c>
      <c r="D65" s="854" t="str">
        <f>INDEX(Vectors[Description], MATCH($C65, Vectors[Code], 0))</f>
        <v>Edible biomass</v>
      </c>
      <c r="E65" s="854"/>
      <c r="F65" s="1162" t="e">
        <f ca="1">INDEX(INDIRECT("'"&amp;F$4&amp;"'!Year.NetBalance"), MATCH('Intermediate output'!$C65, INDIRECT("'"&amp;F$4&amp;"'!Year.Vectors"), 0))</f>
        <v>#REF!</v>
      </c>
      <c r="G65" s="854"/>
      <c r="H65" s="1164" t="e">
        <f ca="1">INDEX(INDIRECT("'"&amp;H$4&amp;"'!Year.NetBalance"), MATCH('Intermediate output'!$C65, INDIRECT("'"&amp;H$4&amp;"'!Year.Vectors"), 0))</f>
        <v>#REF!</v>
      </c>
      <c r="I65" s="1164" t="e">
        <f ca="1">INDEX(INDIRECT("'"&amp;I$4&amp;"'!Year.NetBalance"), MATCH('Intermediate output'!$C65, INDIRECT("'"&amp;I$4&amp;"'!Year.Vectors"), 0))</f>
        <v>#REF!</v>
      </c>
      <c r="J65" s="1164" t="e">
        <f ca="1">INDEX(INDIRECT("'"&amp;J$4&amp;"'!Year.NetBalance"), MATCH('Intermediate output'!$C65, INDIRECT("'"&amp;J$4&amp;"'!Year.Vectors"), 0))</f>
        <v>#REF!</v>
      </c>
      <c r="K65" s="1164" t="e">
        <f ca="1">INDEX(INDIRECT("'"&amp;K$4&amp;"'!Year.NetBalance"), MATCH('Intermediate output'!$C65, INDIRECT("'"&amp;K$4&amp;"'!Year.Vectors"), 0))</f>
        <v>#REF!</v>
      </c>
      <c r="L65" s="1164" t="e">
        <f ca="1">INDEX(INDIRECT("'"&amp;L$4&amp;"'!Year.NetBalance"), MATCH('Intermediate output'!$C65, INDIRECT("'"&amp;L$4&amp;"'!Year.Vectors"), 0))</f>
        <v>#REF!</v>
      </c>
      <c r="M65" s="1164" t="e">
        <f ca="1">INDEX(INDIRECT("'"&amp;M$4&amp;"'!Year.NetBalance"), MATCH('Intermediate output'!$C65, INDIRECT("'"&amp;M$4&amp;"'!Year.Vectors"), 0))</f>
        <v>#REF!</v>
      </c>
      <c r="N65" s="1164" t="e">
        <f ca="1">INDEX(INDIRECT("'"&amp;N$4&amp;"'!Year.NetBalance"), MATCH('Intermediate output'!$C65, INDIRECT("'"&amp;N$4&amp;"'!Year.Vectors"), 0))</f>
        <v>#REF!</v>
      </c>
      <c r="O65" s="1164" t="e">
        <f ca="1">INDEX(INDIRECT("'"&amp;O$4&amp;"'!Year.NetBalance"), MATCH('Intermediate output'!$C65, INDIRECT("'"&amp;O$4&amp;"'!Year.Vectors"), 0))</f>
        <v>#REF!</v>
      </c>
      <c r="P65" s="1164" t="e">
        <f ca="1">INDEX(INDIRECT("'"&amp;P$4&amp;"'!Year.NetBalance"), MATCH('Intermediate output'!$C65, INDIRECT("'"&amp;P$4&amp;"'!Year.Vectors"), 0))</f>
        <v>#REF!</v>
      </c>
      <c r="Q65" s="1164">
        <f ca="1">INDEX(INDIRECT("'"&amp;Q$4&amp;"'!Year.NetBalance"), MATCH('Intermediate output'!$C65, INDIRECT("'"&amp;Q$4&amp;"'!Year.Vectors"), 0))</f>
        <v>0</v>
      </c>
      <c r="R65" s="1165"/>
      <c r="S65" s="27"/>
    </row>
    <row r="66" spans="1:19">
      <c r="B66" s="852"/>
      <c r="C66" s="1182" t="s">
        <v>632</v>
      </c>
      <c r="D66" s="854" t="str">
        <f>INDEX(Vectors[Description], MATCH($C66, Vectors[Code], 0))</f>
        <v>Heat transport</v>
      </c>
      <c r="E66" s="854"/>
      <c r="F66" s="1162" t="e">
        <f ca="1">INDEX(INDIRECT("'"&amp;F$4&amp;"'!Year.NetBalance"), MATCH('Intermediate output'!$C66, INDIRECT("'"&amp;F$4&amp;"'!Year.Vectors"), 0))</f>
        <v>#REF!</v>
      </c>
      <c r="G66" s="854"/>
      <c r="H66" s="1164" t="e">
        <f ca="1">INDEX(INDIRECT("'"&amp;H$4&amp;"'!Year.NetBalance"), MATCH('Intermediate output'!$C66, INDIRECT("'"&amp;H$4&amp;"'!Year.Vectors"), 0))</f>
        <v>#REF!</v>
      </c>
      <c r="I66" s="1164" t="e">
        <f ca="1">INDEX(INDIRECT("'"&amp;I$4&amp;"'!Year.NetBalance"), MATCH('Intermediate output'!$C66, INDIRECT("'"&amp;I$4&amp;"'!Year.Vectors"), 0))</f>
        <v>#REF!</v>
      </c>
      <c r="J66" s="1164" t="e">
        <f ca="1">INDEX(INDIRECT("'"&amp;J$4&amp;"'!Year.NetBalance"), MATCH('Intermediate output'!$C66, INDIRECT("'"&amp;J$4&amp;"'!Year.Vectors"), 0))</f>
        <v>#REF!</v>
      </c>
      <c r="K66" s="1164" t="e">
        <f ca="1">INDEX(INDIRECT("'"&amp;K$4&amp;"'!Year.NetBalance"), MATCH('Intermediate output'!$C66, INDIRECT("'"&amp;K$4&amp;"'!Year.Vectors"), 0))</f>
        <v>#REF!</v>
      </c>
      <c r="L66" s="1164" t="e">
        <f ca="1">INDEX(INDIRECT("'"&amp;L$4&amp;"'!Year.NetBalance"), MATCH('Intermediate output'!$C66, INDIRECT("'"&amp;L$4&amp;"'!Year.Vectors"), 0))</f>
        <v>#REF!</v>
      </c>
      <c r="M66" s="1164" t="e">
        <f ca="1">INDEX(INDIRECT("'"&amp;M$4&amp;"'!Year.NetBalance"), MATCH('Intermediate output'!$C66, INDIRECT("'"&amp;M$4&amp;"'!Year.Vectors"), 0))</f>
        <v>#REF!</v>
      </c>
      <c r="N66" s="1164" t="e">
        <f ca="1">INDEX(INDIRECT("'"&amp;N$4&amp;"'!Year.NetBalance"), MATCH('Intermediate output'!$C66, INDIRECT("'"&amp;N$4&amp;"'!Year.Vectors"), 0))</f>
        <v>#REF!</v>
      </c>
      <c r="O66" s="1164" t="e">
        <f ca="1">INDEX(INDIRECT("'"&amp;O$4&amp;"'!Year.NetBalance"), MATCH('Intermediate output'!$C66, INDIRECT("'"&amp;O$4&amp;"'!Year.Vectors"), 0))</f>
        <v>#REF!</v>
      </c>
      <c r="P66" s="1164" t="e">
        <f ca="1">INDEX(INDIRECT("'"&amp;P$4&amp;"'!Year.NetBalance"), MATCH('Intermediate output'!$C66, INDIRECT("'"&amp;P$4&amp;"'!Year.Vectors"), 0))</f>
        <v>#REF!</v>
      </c>
      <c r="Q66" s="1164">
        <f ca="1">INDEX(INDIRECT("'"&amp;Q$4&amp;"'!Year.NetBalance"), MATCH('Intermediate output'!$C66, INDIRECT("'"&amp;Q$4&amp;"'!Year.Vectors"), 0))</f>
        <v>0</v>
      </c>
      <c r="R66" s="1165"/>
      <c r="S66" s="27"/>
    </row>
    <row r="67" spans="1:19">
      <c r="B67" s="852"/>
      <c r="C67" s="1182" t="s">
        <v>634</v>
      </c>
      <c r="D67" s="854" t="str">
        <f>INDEX(Vectors[Description], MATCH($C67, Vectors[Code], 0))</f>
        <v>Dry biomass and waste</v>
      </c>
      <c r="E67" s="854"/>
      <c r="F67" s="1162" t="e">
        <f ca="1">INDEX(INDIRECT("'"&amp;F$4&amp;"'!Year.NetBalance"), MATCH('Intermediate output'!$C67, INDIRECT("'"&amp;F$4&amp;"'!Year.Vectors"), 0))</f>
        <v>#REF!</v>
      </c>
      <c r="G67" s="854"/>
      <c r="H67" s="1164" t="e">
        <f ca="1">INDEX(INDIRECT("'"&amp;H$4&amp;"'!Year.NetBalance"), MATCH('Intermediate output'!$C67, INDIRECT("'"&amp;H$4&amp;"'!Year.Vectors"), 0))</f>
        <v>#REF!</v>
      </c>
      <c r="I67" s="1164" t="e">
        <f ca="1">INDEX(INDIRECT("'"&amp;I$4&amp;"'!Year.NetBalance"), MATCH('Intermediate output'!$C67, INDIRECT("'"&amp;I$4&amp;"'!Year.Vectors"), 0))</f>
        <v>#REF!</v>
      </c>
      <c r="J67" s="1164" t="e">
        <f ca="1">INDEX(INDIRECT("'"&amp;J$4&amp;"'!Year.NetBalance"), MATCH('Intermediate output'!$C67, INDIRECT("'"&amp;J$4&amp;"'!Year.Vectors"), 0))</f>
        <v>#REF!</v>
      </c>
      <c r="K67" s="1164" t="e">
        <f ca="1">INDEX(INDIRECT("'"&amp;K$4&amp;"'!Year.NetBalance"), MATCH('Intermediate output'!$C67, INDIRECT("'"&amp;K$4&amp;"'!Year.Vectors"), 0))</f>
        <v>#REF!</v>
      </c>
      <c r="L67" s="1164" t="e">
        <f ca="1">INDEX(INDIRECT("'"&amp;L$4&amp;"'!Year.NetBalance"), MATCH('Intermediate output'!$C67, INDIRECT("'"&amp;L$4&amp;"'!Year.Vectors"), 0))</f>
        <v>#REF!</v>
      </c>
      <c r="M67" s="1164" t="e">
        <f ca="1">INDEX(INDIRECT("'"&amp;M$4&amp;"'!Year.NetBalance"), MATCH('Intermediate output'!$C67, INDIRECT("'"&amp;M$4&amp;"'!Year.Vectors"), 0))</f>
        <v>#REF!</v>
      </c>
      <c r="N67" s="1164" t="e">
        <f ca="1">INDEX(INDIRECT("'"&amp;N$4&amp;"'!Year.NetBalance"), MATCH('Intermediate output'!$C67, INDIRECT("'"&amp;N$4&amp;"'!Year.Vectors"), 0))</f>
        <v>#REF!</v>
      </c>
      <c r="O67" s="1164" t="e">
        <f ca="1">INDEX(INDIRECT("'"&amp;O$4&amp;"'!Year.NetBalance"), MATCH('Intermediate output'!$C67, INDIRECT("'"&amp;O$4&amp;"'!Year.Vectors"), 0))</f>
        <v>#REF!</v>
      </c>
      <c r="P67" s="1164" t="e">
        <f ca="1">INDEX(INDIRECT("'"&amp;P$4&amp;"'!Year.NetBalance"), MATCH('Intermediate output'!$C67, INDIRECT("'"&amp;P$4&amp;"'!Year.Vectors"), 0))</f>
        <v>#REF!</v>
      </c>
      <c r="Q67" s="1164">
        <f ca="1">INDEX(INDIRECT("'"&amp;Q$4&amp;"'!Year.NetBalance"), MATCH('Intermediate output'!$C67, INDIRECT("'"&amp;Q$4&amp;"'!Year.Vectors"), 0))</f>
        <v>0</v>
      </c>
      <c r="R67" s="1165"/>
      <c r="S67" s="27"/>
    </row>
    <row r="68" spans="1:19">
      <c r="B68" s="852"/>
      <c r="C68" s="1182" t="s">
        <v>711</v>
      </c>
      <c r="D68" s="854" t="str">
        <f>INDEX(Vectors[Description], MATCH($C68, Vectors[Code], 0))</f>
        <v>Wet biomass and waste</v>
      </c>
      <c r="E68" s="854"/>
      <c r="F68" s="1162" t="e">
        <f ca="1">INDEX(INDIRECT("'"&amp;F$4&amp;"'!Year.NetBalance"), MATCH('Intermediate output'!$C68, INDIRECT("'"&amp;F$4&amp;"'!Year.Vectors"), 0))</f>
        <v>#REF!</v>
      </c>
      <c r="G68" s="854"/>
      <c r="H68" s="1164" t="e">
        <f ca="1">INDEX(INDIRECT("'"&amp;H$4&amp;"'!Year.NetBalance"), MATCH('Intermediate output'!$C68, INDIRECT("'"&amp;H$4&amp;"'!Year.Vectors"), 0))</f>
        <v>#REF!</v>
      </c>
      <c r="I68" s="1164" t="e">
        <f ca="1">INDEX(INDIRECT("'"&amp;I$4&amp;"'!Year.NetBalance"), MATCH('Intermediate output'!$C68, INDIRECT("'"&amp;I$4&amp;"'!Year.Vectors"), 0))</f>
        <v>#REF!</v>
      </c>
      <c r="J68" s="1164" t="e">
        <f ca="1">INDEX(INDIRECT("'"&amp;J$4&amp;"'!Year.NetBalance"), MATCH('Intermediate output'!$C68, INDIRECT("'"&amp;J$4&amp;"'!Year.Vectors"), 0))</f>
        <v>#REF!</v>
      </c>
      <c r="K68" s="1164" t="e">
        <f ca="1">INDEX(INDIRECT("'"&amp;K$4&amp;"'!Year.NetBalance"), MATCH('Intermediate output'!$C68, INDIRECT("'"&amp;K$4&amp;"'!Year.Vectors"), 0))</f>
        <v>#REF!</v>
      </c>
      <c r="L68" s="1164" t="e">
        <f ca="1">INDEX(INDIRECT("'"&amp;L$4&amp;"'!Year.NetBalance"), MATCH('Intermediate output'!$C68, INDIRECT("'"&amp;L$4&amp;"'!Year.Vectors"), 0))</f>
        <v>#REF!</v>
      </c>
      <c r="M68" s="1164" t="e">
        <f ca="1">INDEX(INDIRECT("'"&amp;M$4&amp;"'!Year.NetBalance"), MATCH('Intermediate output'!$C68, INDIRECT("'"&amp;M$4&amp;"'!Year.Vectors"), 0))</f>
        <v>#REF!</v>
      </c>
      <c r="N68" s="1164" t="e">
        <f ca="1">INDEX(INDIRECT("'"&amp;N$4&amp;"'!Year.NetBalance"), MATCH('Intermediate output'!$C68, INDIRECT("'"&amp;N$4&amp;"'!Year.Vectors"), 0))</f>
        <v>#REF!</v>
      </c>
      <c r="O68" s="1164" t="e">
        <f ca="1">INDEX(INDIRECT("'"&amp;O$4&amp;"'!Year.NetBalance"), MATCH('Intermediate output'!$C68, INDIRECT("'"&amp;O$4&amp;"'!Year.Vectors"), 0))</f>
        <v>#REF!</v>
      </c>
      <c r="P68" s="1164" t="e">
        <f ca="1">INDEX(INDIRECT("'"&amp;P$4&amp;"'!Year.NetBalance"), MATCH('Intermediate output'!$C68, INDIRECT("'"&amp;P$4&amp;"'!Year.Vectors"), 0))</f>
        <v>#REF!</v>
      </c>
      <c r="Q68" s="1164">
        <f ca="1">INDEX(INDIRECT("'"&amp;Q$4&amp;"'!Year.NetBalance"), MATCH('Intermediate output'!$C68, INDIRECT("'"&amp;Q$4&amp;"'!Year.Vectors"), 0))</f>
        <v>0</v>
      </c>
      <c r="R68" s="1165"/>
      <c r="S68" s="27"/>
    </row>
    <row r="69" spans="1:19" s="121" customFormat="1">
      <c r="B69" s="852"/>
      <c r="C69" s="1182" t="s">
        <v>975</v>
      </c>
      <c r="D69" s="854" t="str">
        <f>INDEX(Vectors[Description], MATCH($C69, Vectors[Code], 0))</f>
        <v>Domestic solar thermal</v>
      </c>
      <c r="E69" s="854"/>
      <c r="F69" s="1162" t="e">
        <f ca="1">INDEX(INDIRECT("'"&amp;F$4&amp;"'!Year.NetBalance"), MATCH('Intermediate output'!$C69, INDIRECT("'"&amp;F$4&amp;"'!Year.Vectors"), 0))</f>
        <v>#REF!</v>
      </c>
      <c r="G69" s="854"/>
      <c r="H69" s="1164" t="e">
        <f ca="1">INDEX(INDIRECT("'"&amp;H$4&amp;"'!Year.NetBalance"), MATCH('Intermediate output'!$C69, INDIRECT("'"&amp;H$4&amp;"'!Year.Vectors"), 0))</f>
        <v>#REF!</v>
      </c>
      <c r="I69" s="1164" t="e">
        <f ca="1">INDEX(INDIRECT("'"&amp;I$4&amp;"'!Year.NetBalance"), MATCH('Intermediate output'!$C69, INDIRECT("'"&amp;I$4&amp;"'!Year.Vectors"), 0))</f>
        <v>#REF!</v>
      </c>
      <c r="J69" s="1164" t="e">
        <f ca="1">INDEX(INDIRECT("'"&amp;J$4&amp;"'!Year.NetBalance"), MATCH('Intermediate output'!$C69, INDIRECT("'"&amp;J$4&amp;"'!Year.Vectors"), 0))</f>
        <v>#REF!</v>
      </c>
      <c r="K69" s="1164" t="e">
        <f ca="1">INDEX(INDIRECT("'"&amp;K$4&amp;"'!Year.NetBalance"), MATCH('Intermediate output'!$C69, INDIRECT("'"&amp;K$4&amp;"'!Year.Vectors"), 0))</f>
        <v>#REF!</v>
      </c>
      <c r="L69" s="1164" t="e">
        <f ca="1">INDEX(INDIRECT("'"&amp;L$4&amp;"'!Year.NetBalance"), MATCH('Intermediate output'!$C69, INDIRECT("'"&amp;L$4&amp;"'!Year.Vectors"), 0))</f>
        <v>#REF!</v>
      </c>
      <c r="M69" s="1164" t="e">
        <f ca="1">INDEX(INDIRECT("'"&amp;M$4&amp;"'!Year.NetBalance"), MATCH('Intermediate output'!$C69, INDIRECT("'"&amp;M$4&amp;"'!Year.Vectors"), 0))</f>
        <v>#REF!</v>
      </c>
      <c r="N69" s="1164" t="e">
        <f ca="1">INDEX(INDIRECT("'"&amp;N$4&amp;"'!Year.NetBalance"), MATCH('Intermediate output'!$C69, INDIRECT("'"&amp;N$4&amp;"'!Year.Vectors"), 0))</f>
        <v>#REF!</v>
      </c>
      <c r="O69" s="1164" t="e">
        <f ca="1">INDEX(INDIRECT("'"&amp;O$4&amp;"'!Year.NetBalance"), MATCH('Intermediate output'!$C69, INDIRECT("'"&amp;O$4&amp;"'!Year.Vectors"), 0))</f>
        <v>#REF!</v>
      </c>
      <c r="P69" s="1164" t="e">
        <f ca="1">INDEX(INDIRECT("'"&amp;P$4&amp;"'!Year.NetBalance"), MATCH('Intermediate output'!$C69, INDIRECT("'"&amp;P$4&amp;"'!Year.Vectors"), 0))</f>
        <v>#REF!</v>
      </c>
      <c r="Q69" s="1164">
        <f ca="1">INDEX(INDIRECT("'"&amp;Q$4&amp;"'!Year.NetBalance"), MATCH('Intermediate output'!$C69, INDIRECT("'"&amp;Q$4&amp;"'!Year.Vectors"), 0))</f>
        <v>0</v>
      </c>
      <c r="R69" s="1165"/>
      <c r="S69" s="27"/>
    </row>
    <row r="70" spans="1:19" s="121" customFormat="1">
      <c r="B70" s="852"/>
      <c r="C70" s="1182" t="s">
        <v>1016</v>
      </c>
      <c r="D70" s="854" t="str">
        <f>INDEX(Vectors[Description], MATCH($C70, Vectors[Code], 0))</f>
        <v>H2</v>
      </c>
      <c r="E70" s="854"/>
      <c r="F70" s="1162" t="e">
        <f ca="1">INDEX(INDIRECT("'"&amp;F$4&amp;"'!Year.NetBalance"), MATCH('Intermediate output'!$C70, INDIRECT("'"&amp;F$4&amp;"'!Year.Vectors"), 0))</f>
        <v>#REF!</v>
      </c>
      <c r="G70" s="854"/>
      <c r="H70" s="1164" t="e">
        <f ca="1">INDEX(INDIRECT("'"&amp;H$4&amp;"'!Year.NetBalance"), MATCH('Intermediate output'!$C70, INDIRECT("'"&amp;H$4&amp;"'!Year.Vectors"), 0))</f>
        <v>#REF!</v>
      </c>
      <c r="I70" s="1164" t="e">
        <f ca="1">INDEX(INDIRECT("'"&amp;I$4&amp;"'!Year.NetBalance"), MATCH('Intermediate output'!$C70, INDIRECT("'"&amp;I$4&amp;"'!Year.Vectors"), 0))</f>
        <v>#REF!</v>
      </c>
      <c r="J70" s="1164" t="e">
        <f ca="1">INDEX(INDIRECT("'"&amp;J$4&amp;"'!Year.NetBalance"), MATCH('Intermediate output'!$C70, INDIRECT("'"&amp;J$4&amp;"'!Year.Vectors"), 0))</f>
        <v>#REF!</v>
      </c>
      <c r="K70" s="1164" t="e">
        <f ca="1">INDEX(INDIRECT("'"&amp;K$4&amp;"'!Year.NetBalance"), MATCH('Intermediate output'!$C70, INDIRECT("'"&amp;K$4&amp;"'!Year.Vectors"), 0))</f>
        <v>#REF!</v>
      </c>
      <c r="L70" s="1164" t="e">
        <f ca="1">INDEX(INDIRECT("'"&amp;L$4&amp;"'!Year.NetBalance"), MATCH('Intermediate output'!$C70, INDIRECT("'"&amp;L$4&amp;"'!Year.Vectors"), 0))</f>
        <v>#REF!</v>
      </c>
      <c r="M70" s="1164" t="e">
        <f ca="1">INDEX(INDIRECT("'"&amp;M$4&amp;"'!Year.NetBalance"), MATCH('Intermediate output'!$C70, INDIRECT("'"&amp;M$4&amp;"'!Year.Vectors"), 0))</f>
        <v>#REF!</v>
      </c>
      <c r="N70" s="1164" t="e">
        <f ca="1">INDEX(INDIRECT("'"&amp;N$4&amp;"'!Year.NetBalance"), MATCH('Intermediate output'!$C70, INDIRECT("'"&amp;N$4&amp;"'!Year.Vectors"), 0))</f>
        <v>#REF!</v>
      </c>
      <c r="O70" s="1164" t="e">
        <f ca="1">INDEX(INDIRECT("'"&amp;O$4&amp;"'!Year.NetBalance"), MATCH('Intermediate output'!$C70, INDIRECT("'"&amp;O$4&amp;"'!Year.Vectors"), 0))</f>
        <v>#REF!</v>
      </c>
      <c r="P70" s="1164" t="e">
        <f ca="1">INDEX(INDIRECT("'"&amp;P$4&amp;"'!Year.NetBalance"), MATCH('Intermediate output'!$C70, INDIRECT("'"&amp;P$4&amp;"'!Year.Vectors"), 0))</f>
        <v>#REF!</v>
      </c>
      <c r="Q70" s="1164">
        <f ca="1">INDEX(INDIRECT("'"&amp;Q$4&amp;"'!Year.NetBalance"), MATCH('Intermediate output'!$C70, INDIRECT("'"&amp;Q$4&amp;"'!Year.Vectors"), 0))</f>
        <v>0</v>
      </c>
      <c r="R70" s="1165"/>
      <c r="S70" s="27"/>
    </row>
    <row r="71" spans="1:19" s="121" customFormat="1">
      <c r="B71" s="852"/>
      <c r="C71" s="1182" t="s">
        <v>1136</v>
      </c>
      <c r="D71" s="854" t="str">
        <f>INDEX(Vectors[Description], MATCH($C71, Vectors[Code], 0))</f>
        <v>Energy crops (second generation)</v>
      </c>
      <c r="E71" s="854"/>
      <c r="F71" s="1162" t="e">
        <f ca="1">INDEX(INDIRECT("'"&amp;F$4&amp;"'!Year.NetBalance"), MATCH('Intermediate output'!$C71, INDIRECT("'"&amp;F$4&amp;"'!Year.Vectors"), 0))</f>
        <v>#REF!</v>
      </c>
      <c r="G71" s="854"/>
      <c r="H71" s="1164" t="e">
        <f ca="1">INDEX(INDIRECT("'"&amp;H$4&amp;"'!Year.NetBalance"), MATCH('Intermediate output'!$C71, INDIRECT("'"&amp;H$4&amp;"'!Year.Vectors"), 0))</f>
        <v>#REF!</v>
      </c>
      <c r="I71" s="1164" t="e">
        <f ca="1">INDEX(INDIRECT("'"&amp;I$4&amp;"'!Year.NetBalance"), MATCH('Intermediate output'!$C71, INDIRECT("'"&amp;I$4&amp;"'!Year.Vectors"), 0))</f>
        <v>#REF!</v>
      </c>
      <c r="J71" s="1164" t="e">
        <f ca="1">INDEX(INDIRECT("'"&amp;J$4&amp;"'!Year.NetBalance"), MATCH('Intermediate output'!$C71, INDIRECT("'"&amp;J$4&amp;"'!Year.Vectors"), 0))</f>
        <v>#REF!</v>
      </c>
      <c r="K71" s="1164" t="e">
        <f ca="1">INDEX(INDIRECT("'"&amp;K$4&amp;"'!Year.NetBalance"), MATCH('Intermediate output'!$C71, INDIRECT("'"&amp;K$4&amp;"'!Year.Vectors"), 0))</f>
        <v>#REF!</v>
      </c>
      <c r="L71" s="1164" t="e">
        <f ca="1">INDEX(INDIRECT("'"&amp;L$4&amp;"'!Year.NetBalance"), MATCH('Intermediate output'!$C71, INDIRECT("'"&amp;L$4&amp;"'!Year.Vectors"), 0))</f>
        <v>#REF!</v>
      </c>
      <c r="M71" s="1164" t="e">
        <f ca="1">INDEX(INDIRECT("'"&amp;M$4&amp;"'!Year.NetBalance"), MATCH('Intermediate output'!$C71, INDIRECT("'"&amp;M$4&amp;"'!Year.Vectors"), 0))</f>
        <v>#REF!</v>
      </c>
      <c r="N71" s="1164" t="e">
        <f ca="1">INDEX(INDIRECT("'"&amp;N$4&amp;"'!Year.NetBalance"), MATCH('Intermediate output'!$C71, INDIRECT("'"&amp;N$4&amp;"'!Year.Vectors"), 0))</f>
        <v>#REF!</v>
      </c>
      <c r="O71" s="1164" t="e">
        <f ca="1">INDEX(INDIRECT("'"&amp;O$4&amp;"'!Year.NetBalance"), MATCH('Intermediate output'!$C71, INDIRECT("'"&amp;O$4&amp;"'!Year.Vectors"), 0))</f>
        <v>#REF!</v>
      </c>
      <c r="P71" s="1164" t="e">
        <f ca="1">INDEX(INDIRECT("'"&amp;P$4&amp;"'!Year.NetBalance"), MATCH('Intermediate output'!$C71, INDIRECT("'"&amp;P$4&amp;"'!Year.Vectors"), 0))</f>
        <v>#REF!</v>
      </c>
      <c r="Q71" s="1164">
        <f ca="1">INDEX(INDIRECT("'"&amp;Q$4&amp;"'!Year.NetBalance"), MATCH('Intermediate output'!$C71, INDIRECT("'"&amp;Q$4&amp;"'!Year.Vectors"), 0))</f>
        <v>0</v>
      </c>
      <c r="R71" s="1165"/>
      <c r="S71" s="27"/>
    </row>
    <row r="72" spans="1:19" s="532" customFormat="1" ht="17">
      <c r="B72" s="1175"/>
      <c r="C72" s="546"/>
      <c r="D72" s="1154" t="s">
        <v>955</v>
      </c>
      <c r="E72" s="854"/>
      <c r="F72" s="1155" t="e">
        <f ca="1">SUM(F58:F71)</f>
        <v>#REF!</v>
      </c>
      <c r="G72" s="854"/>
      <c r="H72" s="1155" t="e">
        <f t="shared" ref="H72:Q72" ca="1" si="11">SUM(H58:H71)</f>
        <v>#REF!</v>
      </c>
      <c r="I72" s="1155" t="e">
        <f t="shared" ca="1" si="11"/>
        <v>#REF!</v>
      </c>
      <c r="J72" s="1155" t="e">
        <f t="shared" ca="1" si="11"/>
        <v>#REF!</v>
      </c>
      <c r="K72" s="1155" t="e">
        <f t="shared" ca="1" si="11"/>
        <v>#REF!</v>
      </c>
      <c r="L72" s="1155" t="e">
        <f t="shared" ca="1" si="11"/>
        <v>#REF!</v>
      </c>
      <c r="M72" s="1155" t="e">
        <f t="shared" ca="1" si="11"/>
        <v>#REF!</v>
      </c>
      <c r="N72" s="1155" t="e">
        <f t="shared" ca="1" si="11"/>
        <v>#REF!</v>
      </c>
      <c r="O72" s="1155" t="e">
        <f t="shared" ca="1" si="11"/>
        <v>#REF!</v>
      </c>
      <c r="P72" s="1155" t="e">
        <f t="shared" ca="1" si="11"/>
        <v>#REF!</v>
      </c>
      <c r="Q72" s="1155">
        <f t="shared" ca="1" si="11"/>
        <v>0</v>
      </c>
      <c r="R72" s="1176"/>
      <c r="S72" s="592"/>
    </row>
    <row r="73" spans="1:19" s="121" customFormat="1">
      <c r="B73" s="852"/>
      <c r="C73" s="854"/>
      <c r="D73" s="854"/>
      <c r="E73" s="854"/>
      <c r="F73" s="854"/>
      <c r="G73" s="854"/>
      <c r="H73" s="1164"/>
      <c r="I73" s="1164"/>
      <c r="J73" s="1164"/>
      <c r="K73" s="1164"/>
      <c r="L73" s="1164"/>
      <c r="M73" s="1164"/>
      <c r="N73" s="1164"/>
      <c r="O73" s="1164"/>
      <c r="P73" s="1164"/>
      <c r="Q73" s="1164"/>
      <c r="R73" s="1165"/>
      <c r="S73" s="27"/>
    </row>
    <row r="74" spans="1:19" s="586" customFormat="1" ht="17">
      <c r="B74" s="1166"/>
      <c r="C74" s="1156"/>
      <c r="D74" s="1154" t="s">
        <v>783</v>
      </c>
      <c r="E74" s="854"/>
      <c r="F74" s="1155" t="e">
        <f ca="1">F18-F54+F72</f>
        <v>#REF!</v>
      </c>
      <c r="G74" s="854"/>
      <c r="H74" s="1155" t="e">
        <f t="shared" ref="H74:Q74" ca="1" si="12">H18-H54+H72</f>
        <v>#REF!</v>
      </c>
      <c r="I74" s="1155" t="e">
        <f t="shared" ca="1" si="12"/>
        <v>#REF!</v>
      </c>
      <c r="J74" s="1155" t="e">
        <f t="shared" ca="1" si="12"/>
        <v>#REF!</v>
      </c>
      <c r="K74" s="1155" t="e">
        <f t="shared" ca="1" si="12"/>
        <v>#REF!</v>
      </c>
      <c r="L74" s="1155" t="e">
        <f t="shared" ca="1" si="12"/>
        <v>#REF!</v>
      </c>
      <c r="M74" s="1155" t="e">
        <f t="shared" ca="1" si="12"/>
        <v>#REF!</v>
      </c>
      <c r="N74" s="1155" t="e">
        <f t="shared" ca="1" si="12"/>
        <v>#REF!</v>
      </c>
      <c r="O74" s="1155" t="e">
        <f t="shared" ca="1" si="12"/>
        <v>#REF!</v>
      </c>
      <c r="P74" s="1155" t="e">
        <f t="shared" ca="1" si="12"/>
        <v>#REF!</v>
      </c>
      <c r="Q74" s="1155">
        <f t="shared" ca="1" si="12"/>
        <v>151.8907422793846</v>
      </c>
      <c r="R74" s="1167"/>
      <c r="S74" s="591"/>
    </row>
    <row r="75" spans="1:19" s="586" customFormat="1" ht="17">
      <c r="B75" s="1166"/>
      <c r="C75" s="1156"/>
      <c r="D75" s="1156"/>
      <c r="E75" s="854"/>
      <c r="F75" s="1157"/>
      <c r="G75" s="854"/>
      <c r="H75" s="1157"/>
      <c r="I75" s="1157"/>
      <c r="J75" s="1157"/>
      <c r="K75" s="1157"/>
      <c r="L75" s="1157"/>
      <c r="M75" s="1157"/>
      <c r="N75" s="1157"/>
      <c r="O75" s="1157"/>
      <c r="P75" s="1157"/>
      <c r="Q75" s="1157"/>
      <c r="R75" s="1167"/>
      <c r="S75" s="591"/>
    </row>
    <row r="76" spans="1:19" s="586" customFormat="1" ht="17">
      <c r="B76" s="1177"/>
      <c r="C76" s="1178"/>
      <c r="D76" s="1178"/>
      <c r="E76" s="860"/>
      <c r="F76" s="1179"/>
      <c r="G76" s="860"/>
      <c r="H76" s="1179"/>
      <c r="I76" s="1179"/>
      <c r="J76" s="1179"/>
      <c r="K76" s="1179"/>
      <c r="L76" s="1179"/>
      <c r="M76" s="1179"/>
      <c r="N76" s="1179"/>
      <c r="O76" s="1179"/>
      <c r="P76" s="1179"/>
      <c r="Q76" s="1179"/>
      <c r="R76" s="1180"/>
      <c r="S76" s="591"/>
    </row>
    <row r="77" spans="1:19" s="586" customFormat="1" ht="17">
      <c r="B77" s="1096"/>
      <c r="D77" s="1150"/>
      <c r="E77" s="121"/>
      <c r="F77" s="524"/>
      <c r="G77" s="121"/>
      <c r="H77" s="524"/>
      <c r="I77" s="524"/>
      <c r="J77" s="524"/>
      <c r="K77" s="524"/>
      <c r="L77" s="524"/>
      <c r="M77" s="524"/>
      <c r="N77" s="524"/>
      <c r="O77" s="524"/>
      <c r="P77" s="524"/>
      <c r="Q77" s="524"/>
      <c r="R77" s="591"/>
      <c r="S77" s="591"/>
    </row>
    <row r="78" spans="1:19" s="121" customFormat="1" ht="21" customHeight="1">
      <c r="A78" s="851"/>
      <c r="B78" s="1187" t="s">
        <v>1042</v>
      </c>
      <c r="C78" s="1188"/>
      <c r="D78" s="1188"/>
      <c r="E78" s="1188"/>
      <c r="F78" s="1188"/>
      <c r="G78" s="1188"/>
      <c r="H78" s="1189"/>
      <c r="I78" s="1189"/>
      <c r="J78" s="1189"/>
      <c r="K78" s="1189"/>
      <c r="L78" s="1189"/>
      <c r="M78" s="1189"/>
      <c r="N78" s="1189"/>
      <c r="O78" s="1189"/>
      <c r="P78" s="1189"/>
      <c r="Q78" s="1189"/>
      <c r="R78" s="1190"/>
      <c r="S78" s="27"/>
    </row>
    <row r="79" spans="1:19" s="121" customFormat="1">
      <c r="B79" s="1191"/>
      <c r="C79" s="1192"/>
      <c r="D79" s="1192"/>
      <c r="E79" s="1192"/>
      <c r="F79" s="1192"/>
      <c r="G79" s="1192"/>
      <c r="H79" s="1193"/>
      <c r="I79" s="1193"/>
      <c r="J79" s="1193"/>
      <c r="K79" s="1193"/>
      <c r="L79" s="1193"/>
      <c r="M79" s="1193"/>
      <c r="N79" s="1193"/>
      <c r="O79" s="1193"/>
      <c r="P79" s="1193"/>
      <c r="Q79" s="1193"/>
      <c r="R79" s="1194"/>
      <c r="S79" s="27"/>
    </row>
    <row r="80" spans="1:19">
      <c r="B80" s="1195"/>
      <c r="C80" s="1196" t="s">
        <v>40</v>
      </c>
      <c r="D80" s="1196" t="str">
        <f>INDEX(Vectors[Description], MATCH($C80, Vectors[Code], 0))</f>
        <v>Electricity (delivered to end user)</v>
      </c>
      <c r="E80" s="1196"/>
      <c r="F80" s="1197" t="e">
        <f ca="1">INDEX(INDIRECT("'"&amp;F$4&amp;"'!Year.NetBalance"), MATCH('Intermediate output'!$C80, INDIRECT("'"&amp;F$4&amp;"'!Year.Vectors"), 0))</f>
        <v>#REF!</v>
      </c>
      <c r="G80" s="1196"/>
      <c r="H80" s="1198" t="e">
        <f ca="1">INDEX(INDIRECT("'"&amp;H$4&amp;"'!Year.NetBalance"), MATCH('Intermediate output'!$C80, INDIRECT("'"&amp;H$4&amp;"'!Year.Vectors"), 0))</f>
        <v>#REF!</v>
      </c>
      <c r="I80" s="1198" t="e">
        <f ca="1">INDEX(INDIRECT("'"&amp;I$4&amp;"'!Year.NetBalance"), MATCH('Intermediate output'!$C80, INDIRECT("'"&amp;I$4&amp;"'!Year.Vectors"), 0))</f>
        <v>#REF!</v>
      </c>
      <c r="J80" s="1198" t="e">
        <f ca="1">INDEX(INDIRECT("'"&amp;J$4&amp;"'!Year.NetBalance"), MATCH('Intermediate output'!$C80, INDIRECT("'"&amp;J$4&amp;"'!Year.Vectors"), 0))</f>
        <v>#REF!</v>
      </c>
      <c r="K80" s="1198" t="e">
        <f ca="1">INDEX(INDIRECT("'"&amp;K$4&amp;"'!Year.NetBalance"), MATCH('Intermediate output'!$C80, INDIRECT("'"&amp;K$4&amp;"'!Year.Vectors"), 0))</f>
        <v>#REF!</v>
      </c>
      <c r="L80" s="1198" t="e">
        <f ca="1">INDEX(INDIRECT("'"&amp;L$4&amp;"'!Year.NetBalance"), MATCH('Intermediate output'!$C80, INDIRECT("'"&amp;L$4&amp;"'!Year.Vectors"), 0))</f>
        <v>#REF!</v>
      </c>
      <c r="M80" s="1198" t="e">
        <f ca="1">INDEX(INDIRECT("'"&amp;M$4&amp;"'!Year.NetBalance"), MATCH('Intermediate output'!$C80, INDIRECT("'"&amp;M$4&amp;"'!Year.Vectors"), 0))</f>
        <v>#REF!</v>
      </c>
      <c r="N80" s="1198" t="e">
        <f ca="1">INDEX(INDIRECT("'"&amp;N$4&amp;"'!Year.NetBalance"), MATCH('Intermediate output'!$C80, INDIRECT("'"&amp;N$4&amp;"'!Year.Vectors"), 0))</f>
        <v>#REF!</v>
      </c>
      <c r="O80" s="1198" t="e">
        <f ca="1">INDEX(INDIRECT("'"&amp;O$4&amp;"'!Year.NetBalance"), MATCH('Intermediate output'!$C80, INDIRECT("'"&amp;O$4&amp;"'!Year.Vectors"), 0))</f>
        <v>#REF!</v>
      </c>
      <c r="P80" s="1198" t="e">
        <f ca="1">INDEX(INDIRECT("'"&amp;P$4&amp;"'!Year.NetBalance"), MATCH('Intermediate output'!$C80, INDIRECT("'"&amp;P$4&amp;"'!Year.Vectors"), 0))</f>
        <v>#REF!</v>
      </c>
      <c r="Q80" s="1198">
        <f ca="1">INDEX(INDIRECT("'"&amp;Q$4&amp;"'!Year.NetBalance"), MATCH('Intermediate output'!$C80, INDIRECT("'"&amp;Q$4&amp;"'!Year.Vectors"), 0))</f>
        <v>0</v>
      </c>
      <c r="R80" s="1199"/>
      <c r="S80" s="27"/>
    </row>
    <row r="81" spans="1:21">
      <c r="B81" s="1195"/>
      <c r="C81" s="1196" t="s">
        <v>41</v>
      </c>
      <c r="D81" s="1196" t="str">
        <f>INDEX(Vectors[Description], MATCH($C81, Vectors[Code], 0))</f>
        <v>Electricity (supplied to grid)</v>
      </c>
      <c r="E81" s="1196"/>
      <c r="F81" s="1197" t="e">
        <f ca="1">INDEX(INDIRECT("'"&amp;F$4&amp;"'!Year.NetBalance"), MATCH('Intermediate output'!$C81, INDIRECT("'"&amp;F$4&amp;"'!Year.Vectors"), 0))</f>
        <v>#REF!</v>
      </c>
      <c r="G81" s="1196"/>
      <c r="H81" s="1198" t="e">
        <f ca="1">INDEX(INDIRECT("'"&amp;H$4&amp;"'!Year.NetBalance"), MATCH('Intermediate output'!$C81, INDIRECT("'"&amp;H$4&amp;"'!Year.Vectors"), 0))</f>
        <v>#REF!</v>
      </c>
      <c r="I81" s="1198" t="e">
        <f ca="1">INDEX(INDIRECT("'"&amp;I$4&amp;"'!Year.NetBalance"), MATCH('Intermediate output'!$C81, INDIRECT("'"&amp;I$4&amp;"'!Year.Vectors"), 0))</f>
        <v>#REF!</v>
      </c>
      <c r="J81" s="1198" t="e">
        <f ca="1">INDEX(INDIRECT("'"&amp;J$4&amp;"'!Year.NetBalance"), MATCH('Intermediate output'!$C81, INDIRECT("'"&amp;J$4&amp;"'!Year.Vectors"), 0))</f>
        <v>#REF!</v>
      </c>
      <c r="K81" s="1198" t="e">
        <f ca="1">INDEX(INDIRECT("'"&amp;K$4&amp;"'!Year.NetBalance"), MATCH('Intermediate output'!$C81, INDIRECT("'"&amp;K$4&amp;"'!Year.Vectors"), 0))</f>
        <v>#REF!</v>
      </c>
      <c r="L81" s="1198" t="e">
        <f ca="1">INDEX(INDIRECT("'"&amp;L$4&amp;"'!Year.NetBalance"), MATCH('Intermediate output'!$C81, INDIRECT("'"&amp;L$4&amp;"'!Year.Vectors"), 0))</f>
        <v>#REF!</v>
      </c>
      <c r="M81" s="1198" t="e">
        <f ca="1">INDEX(INDIRECT("'"&amp;M$4&amp;"'!Year.NetBalance"), MATCH('Intermediate output'!$C81, INDIRECT("'"&amp;M$4&amp;"'!Year.Vectors"), 0))</f>
        <v>#REF!</v>
      </c>
      <c r="N81" s="1198" t="e">
        <f ca="1">INDEX(INDIRECT("'"&amp;N$4&amp;"'!Year.NetBalance"), MATCH('Intermediate output'!$C81, INDIRECT("'"&amp;N$4&amp;"'!Year.Vectors"), 0))</f>
        <v>#REF!</v>
      </c>
      <c r="O81" s="1198" t="e">
        <f ca="1">INDEX(INDIRECT("'"&amp;O$4&amp;"'!Year.NetBalance"), MATCH('Intermediate output'!$C81, INDIRECT("'"&amp;O$4&amp;"'!Year.Vectors"), 0))</f>
        <v>#REF!</v>
      </c>
      <c r="P81" s="1198" t="e">
        <f ca="1">INDEX(INDIRECT("'"&amp;P$4&amp;"'!Year.NetBalance"), MATCH('Intermediate output'!$C81, INDIRECT("'"&amp;P$4&amp;"'!Year.Vectors"), 0))</f>
        <v>#REF!</v>
      </c>
      <c r="Q81" s="1198">
        <f ca="1">INDEX(INDIRECT("'"&amp;Q$4&amp;"'!Year.NetBalance"), MATCH('Intermediate output'!$C81, INDIRECT("'"&amp;Q$4&amp;"'!Year.Vectors"), 0))</f>
        <v>0</v>
      </c>
      <c r="R81" s="1199"/>
      <c r="S81" s="27"/>
    </row>
    <row r="82" spans="1:21" s="532" customFormat="1" ht="17">
      <c r="B82" s="1200"/>
      <c r="C82" s="1148"/>
      <c r="D82" s="1201" t="s">
        <v>956</v>
      </c>
      <c r="E82" s="1196"/>
      <c r="F82" s="1202" t="e">
        <f ca="1">SUM(F80:F81)</f>
        <v>#REF!</v>
      </c>
      <c r="G82" s="1196"/>
      <c r="H82" s="1202" t="e">
        <f t="shared" ref="H82:Q82" ca="1" si="13">SUM(H80:H81)</f>
        <v>#REF!</v>
      </c>
      <c r="I82" s="1202" t="e">
        <f t="shared" ca="1" si="13"/>
        <v>#REF!</v>
      </c>
      <c r="J82" s="1202" t="e">
        <f t="shared" ca="1" si="13"/>
        <v>#REF!</v>
      </c>
      <c r="K82" s="1202" t="e">
        <f t="shared" ca="1" si="13"/>
        <v>#REF!</v>
      </c>
      <c r="L82" s="1202" t="e">
        <f t="shared" ca="1" si="13"/>
        <v>#REF!</v>
      </c>
      <c r="M82" s="1202" t="e">
        <f t="shared" ca="1" si="13"/>
        <v>#REF!</v>
      </c>
      <c r="N82" s="1202" t="e">
        <f t="shared" ca="1" si="13"/>
        <v>#REF!</v>
      </c>
      <c r="O82" s="1202" t="e">
        <f t="shared" ca="1" si="13"/>
        <v>#REF!</v>
      </c>
      <c r="P82" s="1202" t="e">
        <f t="shared" ca="1" si="13"/>
        <v>#REF!</v>
      </c>
      <c r="Q82" s="1202">
        <f t="shared" ca="1" si="13"/>
        <v>0</v>
      </c>
      <c r="R82" s="1203"/>
      <c r="S82" s="592"/>
    </row>
    <row r="83" spans="1:21" s="121" customFormat="1" ht="4.5" customHeight="1">
      <c r="B83" s="1195"/>
      <c r="C83" s="1196"/>
      <c r="D83" s="1196"/>
      <c r="E83" s="1196"/>
      <c r="F83" s="1196"/>
      <c r="G83" s="1196"/>
      <c r="H83" s="1198"/>
      <c r="I83" s="1198"/>
      <c r="J83" s="1198"/>
      <c r="K83" s="1198"/>
      <c r="L83" s="1198"/>
      <c r="M83" s="1198"/>
      <c r="N83" s="1198"/>
      <c r="O83" s="1198"/>
      <c r="P83" s="1198"/>
      <c r="Q83" s="1198"/>
      <c r="R83" s="1199"/>
      <c r="S83" s="27"/>
    </row>
    <row r="84" spans="1:21" s="246" customFormat="1">
      <c r="B84" s="1340"/>
      <c r="C84" s="1327" t="s">
        <v>41</v>
      </c>
      <c r="D84" s="1327" t="s">
        <v>52</v>
      </c>
      <c r="E84" s="1327"/>
      <c r="F84" s="1327"/>
      <c r="G84" s="1327"/>
      <c r="H84" s="1341" t="e">
        <f ca="1">INDEX(INDIRECT("'"&amp;H$4&amp;"'!Year.Matrix"), MATCH("VII.b", INDIRECT("'"&amp;H$4&amp;"'!Year.Modules"), 0), MATCH('Intermediate output'!$C84, INDIRECT("'"&amp;H$4&amp;"'!Year.Vectors"), 0))</f>
        <v>#REF!</v>
      </c>
      <c r="I84" s="1341" t="e">
        <f ca="1">INDEX(INDIRECT("'"&amp;I$4&amp;"'!Year.Matrix"), MATCH("VII.b", INDIRECT("'"&amp;I$4&amp;"'!Year.Modules"), 0), MATCH('Intermediate output'!$C84, INDIRECT("'"&amp;I$4&amp;"'!Year.Vectors"), 0))</f>
        <v>#REF!</v>
      </c>
      <c r="J84" s="1341" t="e">
        <f ca="1">INDEX(INDIRECT("'"&amp;J$4&amp;"'!Year.Matrix"), MATCH("VII.b", INDIRECT("'"&amp;J$4&amp;"'!Year.Modules"), 0), MATCH('Intermediate output'!$C84, INDIRECT("'"&amp;J$4&amp;"'!Year.Vectors"), 0))</f>
        <v>#REF!</v>
      </c>
      <c r="K84" s="1341" t="e">
        <f ca="1">INDEX(INDIRECT("'"&amp;K$4&amp;"'!Year.Matrix"), MATCH("VII.b", INDIRECT("'"&amp;K$4&amp;"'!Year.Modules"), 0), MATCH('Intermediate output'!$C84, INDIRECT("'"&amp;K$4&amp;"'!Year.Vectors"), 0))</f>
        <v>#REF!</v>
      </c>
      <c r="L84" s="1341" t="e">
        <f ca="1">INDEX(INDIRECT("'"&amp;L$4&amp;"'!Year.Matrix"), MATCH("VII.b", INDIRECT("'"&amp;L$4&amp;"'!Year.Modules"), 0), MATCH('Intermediate output'!$C84, INDIRECT("'"&amp;L$4&amp;"'!Year.Vectors"), 0))</f>
        <v>#REF!</v>
      </c>
      <c r="M84" s="1341" t="e">
        <f ca="1">INDEX(INDIRECT("'"&amp;M$4&amp;"'!Year.Matrix"), MATCH("VII.b", INDIRECT("'"&amp;M$4&amp;"'!Year.Modules"), 0), MATCH('Intermediate output'!$C84, INDIRECT("'"&amp;M$4&amp;"'!Year.Vectors"), 0))</f>
        <v>#REF!</v>
      </c>
      <c r="N84" s="1341" t="e">
        <f ca="1">INDEX(INDIRECT("'"&amp;N$4&amp;"'!Year.Matrix"), MATCH("VII.b", INDIRECT("'"&amp;N$4&amp;"'!Year.Modules"), 0), MATCH('Intermediate output'!$C84, INDIRECT("'"&amp;N$4&amp;"'!Year.Vectors"), 0))</f>
        <v>#REF!</v>
      </c>
      <c r="O84" s="1341" t="e">
        <f ca="1">INDEX(INDIRECT("'"&amp;O$4&amp;"'!Year.Matrix"), MATCH("VII.b", INDIRECT("'"&amp;O$4&amp;"'!Year.Modules"), 0), MATCH('Intermediate output'!$C84, INDIRECT("'"&amp;O$4&amp;"'!Year.Vectors"), 0))</f>
        <v>#REF!</v>
      </c>
      <c r="P84" s="1341" t="e">
        <f ca="1">INDEX(INDIRECT("'"&amp;P$4&amp;"'!Year.Matrix"), MATCH("VII.b", INDIRECT("'"&amp;P$4&amp;"'!Year.Modules"), 0), MATCH('Intermediate output'!$C84, INDIRECT("'"&amp;P$4&amp;"'!Year.Vectors"), 0))</f>
        <v>#REF!</v>
      </c>
      <c r="Q84" s="1341">
        <f ca="1">INDEX(INDIRECT("'"&amp;Q$4&amp;"'!Year.Matrix"), MATCH("VII.b", INDIRECT("'"&amp;Q$4&amp;"'!Year.Modules"), 0), MATCH('Intermediate output'!$C84, INDIRECT("'"&amp;Q$4&amp;"'!Year.Vectors"), 0))</f>
        <v>0</v>
      </c>
      <c r="R84" s="1342"/>
      <c r="S84" s="794"/>
    </row>
    <row r="85" spans="1:21" s="628" customFormat="1">
      <c r="B85" s="1337"/>
      <c r="C85" s="1326"/>
      <c r="D85" s="1326" t="s">
        <v>1130</v>
      </c>
      <c r="E85" s="1327"/>
      <c r="F85" s="1328"/>
      <c r="G85" s="1327"/>
      <c r="H85" s="1328" t="e">
        <f ca="1">-H80-H84</f>
        <v>#REF!</v>
      </c>
      <c r="I85" s="1328" t="e">
        <f t="shared" ref="I85:Q85" ca="1" si="14">-I80-I84</f>
        <v>#REF!</v>
      </c>
      <c r="J85" s="1328" t="e">
        <f t="shared" ca="1" si="14"/>
        <v>#REF!</v>
      </c>
      <c r="K85" s="1328" t="e">
        <f t="shared" ca="1" si="14"/>
        <v>#REF!</v>
      </c>
      <c r="L85" s="1328" t="e">
        <f t="shared" ca="1" si="14"/>
        <v>#REF!</v>
      </c>
      <c r="M85" s="1328" t="e">
        <f t="shared" ca="1" si="14"/>
        <v>#REF!</v>
      </c>
      <c r="N85" s="1328" t="e">
        <f t="shared" ca="1" si="14"/>
        <v>#REF!</v>
      </c>
      <c r="O85" s="1328" t="e">
        <f t="shared" ca="1" si="14"/>
        <v>#REF!</v>
      </c>
      <c r="P85" s="1328" t="e">
        <f t="shared" ca="1" si="14"/>
        <v>#REF!</v>
      </c>
      <c r="Q85" s="1328">
        <f t="shared" ca="1" si="14"/>
        <v>0</v>
      </c>
      <c r="R85" s="1329"/>
    </row>
    <row r="86" spans="1:21" s="628" customFormat="1">
      <c r="B86" s="1337"/>
      <c r="C86" s="1326"/>
      <c r="D86" s="1326" t="s">
        <v>1131</v>
      </c>
      <c r="E86" s="1327"/>
      <c r="F86" s="1328"/>
      <c r="G86" s="1327"/>
      <c r="H86" s="1328" t="e">
        <f ca="1">H111</f>
        <v>#REF!</v>
      </c>
      <c r="I86" s="1328" t="e">
        <f t="shared" ref="I86:Q86" ca="1" si="15">I111</f>
        <v>#REF!</v>
      </c>
      <c r="J86" s="1328" t="e">
        <f t="shared" ca="1" si="15"/>
        <v>#REF!</v>
      </c>
      <c r="K86" s="1328" t="e">
        <f t="shared" ca="1" si="15"/>
        <v>#REF!</v>
      </c>
      <c r="L86" s="1328" t="e">
        <f t="shared" ca="1" si="15"/>
        <v>#REF!</v>
      </c>
      <c r="M86" s="1328" t="e">
        <f t="shared" ca="1" si="15"/>
        <v>#REF!</v>
      </c>
      <c r="N86" s="1328" t="e">
        <f t="shared" ca="1" si="15"/>
        <v>#REF!</v>
      </c>
      <c r="O86" s="1328" t="e">
        <f t="shared" ca="1" si="15"/>
        <v>#REF!</v>
      </c>
      <c r="P86" s="1328" t="e">
        <f t="shared" ca="1" si="15"/>
        <v>#REF!</v>
      </c>
      <c r="Q86" s="1328">
        <f t="shared" ca="1" si="15"/>
        <v>261.96211411772401</v>
      </c>
      <c r="R86" s="1329"/>
    </row>
    <row r="87" spans="1:21">
      <c r="B87" s="1338"/>
      <c r="C87" s="1196"/>
      <c r="D87" s="1196"/>
      <c r="E87" s="1196"/>
      <c r="F87" s="1196"/>
      <c r="G87" s="1196"/>
      <c r="H87" s="1196"/>
      <c r="I87" s="1196"/>
      <c r="J87" s="1196"/>
      <c r="K87" s="1196"/>
      <c r="L87" s="1196"/>
      <c r="M87" s="1196"/>
      <c r="N87" s="1196"/>
      <c r="O87" s="1196"/>
      <c r="P87" s="1196"/>
      <c r="Q87" s="1196"/>
      <c r="R87" s="1204"/>
    </row>
    <row r="88" spans="1:21" s="121" customFormat="1">
      <c r="B88" s="1212"/>
      <c r="C88" s="41"/>
      <c r="D88" s="41"/>
      <c r="E88" s="41"/>
      <c r="F88" s="41"/>
      <c r="G88" s="41"/>
      <c r="H88" s="41"/>
      <c r="I88" s="41"/>
      <c r="J88" s="41"/>
      <c r="K88" s="41"/>
      <c r="L88" s="41"/>
      <c r="M88" s="41"/>
      <c r="N88" s="41"/>
      <c r="O88" s="41"/>
      <c r="P88" s="41"/>
      <c r="Q88" s="41"/>
      <c r="R88" s="1213"/>
    </row>
    <row r="89" spans="1:21">
      <c r="B89" s="1212"/>
      <c r="C89" s="41" t="s">
        <v>55</v>
      </c>
      <c r="D89" s="41" t="str">
        <f>INDEX(Vectors[Description], MATCH($C89, Vectors[Code], 0))</f>
        <v>Unallocated</v>
      </c>
      <c r="E89" s="41"/>
      <c r="F89" s="1330" t="e">
        <f ca="1">INDEX(INDIRECT("'"&amp;F$4&amp;"'!Year.NetBalance"), MATCH('Intermediate output'!$C89, INDIRECT("'"&amp;F$4&amp;"'!Year.Vectors"), 0))</f>
        <v>#REF!</v>
      </c>
      <c r="G89" s="41"/>
      <c r="H89" s="1330" t="e">
        <f ca="1">INDEX(INDIRECT("'"&amp;H$4&amp;"'!Year.NetBalance"), MATCH('Intermediate output'!$C89, INDIRECT("'"&amp;H$4&amp;"'!Year.Vectors"), 0))</f>
        <v>#REF!</v>
      </c>
      <c r="I89" s="1330" t="e">
        <f ca="1">INDEX(INDIRECT("'"&amp;I$4&amp;"'!Year.NetBalance"), MATCH('Intermediate output'!$C89, INDIRECT("'"&amp;I$4&amp;"'!Year.Vectors"), 0))</f>
        <v>#REF!</v>
      </c>
      <c r="J89" s="1330" t="e">
        <f ca="1">INDEX(INDIRECT("'"&amp;J$4&amp;"'!Year.NetBalance"), MATCH('Intermediate output'!$C89, INDIRECT("'"&amp;J$4&amp;"'!Year.Vectors"), 0))</f>
        <v>#REF!</v>
      </c>
      <c r="K89" s="1330" t="e">
        <f ca="1">INDEX(INDIRECT("'"&amp;K$4&amp;"'!Year.NetBalance"), MATCH('Intermediate output'!$C89, INDIRECT("'"&amp;K$4&amp;"'!Year.Vectors"), 0))</f>
        <v>#REF!</v>
      </c>
      <c r="L89" s="1330" t="e">
        <f ca="1">INDEX(INDIRECT("'"&amp;L$4&amp;"'!Year.NetBalance"), MATCH('Intermediate output'!$C89, INDIRECT("'"&amp;L$4&amp;"'!Year.Vectors"), 0))</f>
        <v>#REF!</v>
      </c>
      <c r="M89" s="1330" t="e">
        <f ca="1">INDEX(INDIRECT("'"&amp;M$4&amp;"'!Year.NetBalance"), MATCH('Intermediate output'!$C89, INDIRECT("'"&amp;M$4&amp;"'!Year.Vectors"), 0))</f>
        <v>#REF!</v>
      </c>
      <c r="N89" s="1330" t="e">
        <f ca="1">INDEX(INDIRECT("'"&amp;N$4&amp;"'!Year.NetBalance"), MATCH('Intermediate output'!$C89, INDIRECT("'"&amp;N$4&amp;"'!Year.Vectors"), 0))</f>
        <v>#REF!</v>
      </c>
      <c r="O89" s="1330" t="e">
        <f ca="1">INDEX(INDIRECT("'"&amp;O$4&amp;"'!Year.NetBalance"), MATCH('Intermediate output'!$C89, INDIRECT("'"&amp;O$4&amp;"'!Year.Vectors"), 0))</f>
        <v>#REF!</v>
      </c>
      <c r="P89" s="1330" t="e">
        <f ca="1">INDEX(INDIRECT("'"&amp;P$4&amp;"'!Year.NetBalance"), MATCH('Intermediate output'!$C89, INDIRECT("'"&amp;P$4&amp;"'!Year.Vectors"), 0))</f>
        <v>#REF!</v>
      </c>
      <c r="Q89" s="1330">
        <f ca="1">INDEX(INDIRECT("'"&amp;Q$4&amp;"'!Year.NetBalance"), MATCH('Intermediate output'!$C89, INDIRECT("'"&amp;Q$4&amp;"'!Year.Vectors"), 0))</f>
        <v>151.8907422793846</v>
      </c>
      <c r="R89" s="1331"/>
      <c r="S89" s="27"/>
    </row>
    <row r="90" spans="1:21" ht="4.5" customHeight="1">
      <c r="B90" s="1212"/>
      <c r="C90" s="41"/>
      <c r="D90" s="41"/>
      <c r="E90" s="41"/>
      <c r="F90" s="1332"/>
      <c r="G90" s="41"/>
      <c r="H90" s="1330"/>
      <c r="I90" s="1330"/>
      <c r="J90" s="1330"/>
      <c r="K90" s="1330"/>
      <c r="L90" s="1330"/>
      <c r="M90" s="1330"/>
      <c r="N90" s="1330"/>
      <c r="O90" s="1330"/>
      <c r="P90" s="1330"/>
      <c r="Q90" s="1330"/>
      <c r="R90" s="1213"/>
    </row>
    <row r="91" spans="1:21" s="532" customFormat="1" ht="17">
      <c r="B91" s="1333"/>
      <c r="C91" s="38"/>
      <c r="D91" s="1334" t="s">
        <v>787</v>
      </c>
      <c r="E91" s="41"/>
      <c r="F91" s="1335" t="e">
        <f ca="1">F74+F82+F89</f>
        <v>#REF!</v>
      </c>
      <c r="G91" s="41"/>
      <c r="H91" s="1335" t="e">
        <f t="shared" ref="H91:Q91" ca="1" si="16">H74+H82+H89</f>
        <v>#REF!</v>
      </c>
      <c r="I91" s="1335" t="e">
        <f t="shared" ca="1" si="16"/>
        <v>#REF!</v>
      </c>
      <c r="J91" s="1335" t="e">
        <f t="shared" ca="1" si="16"/>
        <v>#REF!</v>
      </c>
      <c r="K91" s="1335" t="e">
        <f t="shared" ca="1" si="16"/>
        <v>#REF!</v>
      </c>
      <c r="L91" s="1335" t="e">
        <f t="shared" ca="1" si="16"/>
        <v>#REF!</v>
      </c>
      <c r="M91" s="1335" t="e">
        <f t="shared" ca="1" si="16"/>
        <v>#REF!</v>
      </c>
      <c r="N91" s="1335" t="e">
        <f t="shared" ca="1" si="16"/>
        <v>#REF!</v>
      </c>
      <c r="O91" s="1335" t="e">
        <f t="shared" ca="1" si="16"/>
        <v>#REF!</v>
      </c>
      <c r="P91" s="1335" t="e">
        <f t="shared" ca="1" si="16"/>
        <v>#REF!</v>
      </c>
      <c r="Q91" s="1335">
        <f t="shared" ca="1" si="16"/>
        <v>303.78148455876919</v>
      </c>
      <c r="R91" s="1336"/>
    </row>
    <row r="92" spans="1:21" s="1116" customFormat="1">
      <c r="B92" s="1212"/>
      <c r="C92" s="41"/>
      <c r="D92" s="41"/>
      <c r="E92" s="41"/>
      <c r="F92" s="41"/>
      <c r="G92" s="41"/>
      <c r="H92" s="41"/>
      <c r="I92" s="41"/>
      <c r="J92" s="41"/>
      <c r="K92" s="41"/>
      <c r="L92" s="41"/>
      <c r="M92" s="41"/>
      <c r="N92" s="41"/>
      <c r="O92" s="41"/>
      <c r="P92" s="41"/>
      <c r="Q92" s="41"/>
      <c r="R92" s="1213"/>
    </row>
    <row r="93" spans="1:21" ht="22">
      <c r="A93" s="851"/>
      <c r="B93" s="1187" t="s">
        <v>957</v>
      </c>
      <c r="C93" s="1188"/>
      <c r="D93" s="1188"/>
      <c r="E93" s="1188"/>
      <c r="F93" s="1188"/>
      <c r="G93" s="1188"/>
      <c r="H93" s="1189"/>
      <c r="I93" s="1189"/>
      <c r="J93" s="1189"/>
      <c r="K93" s="1189"/>
      <c r="L93" s="1189"/>
      <c r="M93" s="1189"/>
      <c r="N93" s="1189"/>
      <c r="O93" s="1189"/>
      <c r="P93" s="1189"/>
      <c r="Q93" s="1189"/>
      <c r="R93" s="1190"/>
    </row>
    <row r="94" spans="1:21" s="1116" customFormat="1" ht="15">
      <c r="A94" s="1215"/>
      <c r="B94" s="1214"/>
      <c r="C94" s="1196"/>
      <c r="D94" s="1192"/>
      <c r="E94" s="1192"/>
      <c r="F94" s="1192"/>
      <c r="G94" s="1192"/>
      <c r="H94" s="1193"/>
      <c r="I94" s="1198"/>
      <c r="J94" s="1198"/>
      <c r="K94" s="1198"/>
      <c r="L94" s="1198"/>
      <c r="M94" s="1198"/>
      <c r="N94" s="1198"/>
      <c r="O94" s="1198"/>
      <c r="P94" s="1198"/>
      <c r="Q94" s="1198"/>
      <c r="R94" s="1199"/>
    </row>
    <row r="95" spans="1:21" ht="14">
      <c r="B95" s="1195"/>
      <c r="C95" s="1196" t="s">
        <v>41</v>
      </c>
      <c r="D95" s="1316" t="s">
        <v>81</v>
      </c>
      <c r="E95" s="1196"/>
      <c r="F95" s="1316"/>
      <c r="G95" s="1196"/>
      <c r="H95" s="1317">
        <v>2007</v>
      </c>
      <c r="I95" s="1317">
        <v>2010</v>
      </c>
      <c r="J95" s="1317">
        <v>2015</v>
      </c>
      <c r="K95" s="1317">
        <v>2020</v>
      </c>
      <c r="L95" s="1317">
        <v>2025</v>
      </c>
      <c r="M95" s="1317">
        <v>2030</v>
      </c>
      <c r="N95" s="1317">
        <v>2035</v>
      </c>
      <c r="O95" s="1317">
        <v>2040</v>
      </c>
      <c r="P95" s="1317">
        <v>2045</v>
      </c>
      <c r="Q95" s="1317">
        <v>2050</v>
      </c>
      <c r="R95" s="1204"/>
    </row>
    <row r="96" spans="1:21">
      <c r="B96" s="1195"/>
      <c r="C96" s="1449" t="s">
        <v>623</v>
      </c>
      <c r="D96" s="1449" t="str">
        <f>INDEX(Modules[Module], MATCH($C96, Modules[Code], 0))</f>
        <v>Biomass/Coal power stations</v>
      </c>
      <c r="E96" s="1449"/>
      <c r="F96" s="1198" t="e">
        <f t="shared" ref="F96:F110" ca="1" si="17">INDEX(INDIRECT("'"&amp;F$4&amp;"'!Year.Matrix"), MATCH($C96, INDIRECT("'"&amp;F$4&amp;"'!Year.Modules"), 0), MATCH($C$95, INDIRECT("'"&amp;F$4&amp;"'!Year.Vectors"), 0))</f>
        <v>#REF!</v>
      </c>
      <c r="G96" s="1449"/>
      <c r="H96" s="1198" t="e">
        <f t="shared" ref="H96:Q110" ca="1" si="18">INDEX(INDIRECT("'"&amp;H$4&amp;"'!Year.Matrix"), MATCH($C96, INDIRECT("'"&amp;H$4&amp;"'!Year.Modules"), 0), MATCH($C$95, INDIRECT("'"&amp;H$4&amp;"'!Year.Vectors"), 0))</f>
        <v>#REF!</v>
      </c>
      <c r="I96" s="1198" t="e">
        <f t="shared" ca="1" si="18"/>
        <v>#REF!</v>
      </c>
      <c r="J96" s="1198" t="e">
        <f t="shared" ca="1" si="18"/>
        <v>#REF!</v>
      </c>
      <c r="K96" s="1198" t="e">
        <f t="shared" ca="1" si="18"/>
        <v>#REF!</v>
      </c>
      <c r="L96" s="1198" t="e">
        <f t="shared" ca="1" si="18"/>
        <v>#REF!</v>
      </c>
      <c r="M96" s="1198" t="e">
        <f t="shared" ca="1" si="18"/>
        <v>#REF!</v>
      </c>
      <c r="N96" s="1198" t="e">
        <f t="shared" ca="1" si="18"/>
        <v>#REF!</v>
      </c>
      <c r="O96" s="1198" t="e">
        <f t="shared" ca="1" si="18"/>
        <v>#REF!</v>
      </c>
      <c r="P96" s="1198" t="e">
        <f t="shared" ca="1" si="18"/>
        <v>#REF!</v>
      </c>
      <c r="Q96" s="1198">
        <f t="shared" ca="1" si="18"/>
        <v>0</v>
      </c>
      <c r="R96" s="1204"/>
      <c r="T96" s="19"/>
      <c r="U96" s="121"/>
    </row>
    <row r="97" spans="2:21" s="529" customFormat="1">
      <c r="B97" s="1205"/>
      <c r="C97" s="1730" t="s">
        <v>668</v>
      </c>
      <c r="D97" s="1730" t="str">
        <f>INDEX(Modules[Module], MATCH($C97, Modules[Code], 0))</f>
        <v>Domestic space heating and hot water</v>
      </c>
      <c r="E97" s="1449"/>
      <c r="F97" s="1731" t="e">
        <f ca="1">INDEX(INDIRECT("'"&amp;F$4&amp;"'!Year.Matrix"), MATCH($C97, INDIRECT("'"&amp;F$4&amp;"'!Year.Modules"), 0), MATCH($C$95, INDIRECT("'"&amp;F$4&amp;"'!Year.Vectors"), 0))</f>
        <v>#REF!</v>
      </c>
      <c r="G97" s="1449"/>
      <c r="H97" s="1731" t="e">
        <f t="shared" ref="H97:Q98" ca="1" si="19">INDEX(INDIRECT("'"&amp;H$4&amp;"'!Year.Matrix"), MATCH($C97, INDIRECT("'"&amp;H$4&amp;"'!Year.Modules"), 0), MATCH($C$95, INDIRECT("'"&amp;H$4&amp;"'!Year.Vectors"), 0))</f>
        <v>#REF!</v>
      </c>
      <c r="I97" s="1731" t="e">
        <f t="shared" ca="1" si="19"/>
        <v>#REF!</v>
      </c>
      <c r="J97" s="1731" t="e">
        <f t="shared" ca="1" si="19"/>
        <v>#REF!</v>
      </c>
      <c r="K97" s="1731" t="e">
        <f t="shared" ca="1" si="19"/>
        <v>#REF!</v>
      </c>
      <c r="L97" s="1731" t="e">
        <f t="shared" ca="1" si="19"/>
        <v>#REF!</v>
      </c>
      <c r="M97" s="1731" t="e">
        <f t="shared" ca="1" si="19"/>
        <v>#REF!</v>
      </c>
      <c r="N97" s="1731" t="e">
        <f t="shared" ca="1" si="19"/>
        <v>#REF!</v>
      </c>
      <c r="O97" s="1731" t="e">
        <f t="shared" ca="1" si="19"/>
        <v>#REF!</v>
      </c>
      <c r="P97" s="1731" t="e">
        <f t="shared" ca="1" si="19"/>
        <v>#REF!</v>
      </c>
      <c r="Q97" s="1731">
        <f t="shared" ca="1" si="19"/>
        <v>0</v>
      </c>
      <c r="R97" s="1206"/>
      <c r="T97" s="1434"/>
    </row>
    <row r="98" spans="2:21" s="529" customFormat="1">
      <c r="B98" s="1205"/>
      <c r="C98" s="1730" t="s">
        <v>716</v>
      </c>
      <c r="D98" s="1730" t="str">
        <f>INDEX(Modules[Module], MATCH($C98, Modules[Code], 0))</f>
        <v>Commercial heating and cooling</v>
      </c>
      <c r="E98" s="1449"/>
      <c r="F98" s="1731" t="e">
        <f ca="1">INDEX(INDIRECT("'"&amp;F$4&amp;"'!Year.Matrix"), MATCH($C98, INDIRECT("'"&amp;F$4&amp;"'!Year.Modules"), 0), MATCH($C$95, INDIRECT("'"&amp;F$4&amp;"'!Year.Vectors"), 0))</f>
        <v>#REF!</v>
      </c>
      <c r="G98" s="1449"/>
      <c r="H98" s="1731" t="e">
        <f t="shared" ca="1" si="19"/>
        <v>#REF!</v>
      </c>
      <c r="I98" s="1731" t="e">
        <f t="shared" ca="1" si="19"/>
        <v>#REF!</v>
      </c>
      <c r="J98" s="1731" t="e">
        <f t="shared" ca="1" si="19"/>
        <v>#REF!</v>
      </c>
      <c r="K98" s="1731" t="e">
        <f t="shared" ca="1" si="19"/>
        <v>#REF!</v>
      </c>
      <c r="L98" s="1731" t="e">
        <f t="shared" ca="1" si="19"/>
        <v>#REF!</v>
      </c>
      <c r="M98" s="1731" t="e">
        <f t="shared" ca="1" si="19"/>
        <v>#REF!</v>
      </c>
      <c r="N98" s="1731" t="e">
        <f t="shared" ca="1" si="19"/>
        <v>#REF!</v>
      </c>
      <c r="O98" s="1731" t="e">
        <f t="shared" ca="1" si="19"/>
        <v>#REF!</v>
      </c>
      <c r="P98" s="1731" t="e">
        <f t="shared" ca="1" si="19"/>
        <v>#REF!</v>
      </c>
      <c r="Q98" s="1731">
        <f t="shared" ca="1" si="19"/>
        <v>0</v>
      </c>
      <c r="R98" s="1206"/>
      <c r="T98" s="1434"/>
    </row>
    <row r="99" spans="2:21" s="529" customFormat="1">
      <c r="B99" s="1205"/>
      <c r="C99" s="1730"/>
      <c r="D99" s="1730" t="s">
        <v>1320</v>
      </c>
      <c r="E99" s="1449"/>
      <c r="F99" s="1731" t="e">
        <f ca="1">F96+F97+F98</f>
        <v>#REF!</v>
      </c>
      <c r="G99" s="1731">
        <f t="shared" ref="G99:Q99" si="20">G96+G97+G98</f>
        <v>0</v>
      </c>
      <c r="H99" s="1731" t="e">
        <f t="shared" ca="1" si="20"/>
        <v>#REF!</v>
      </c>
      <c r="I99" s="1731" t="e">
        <f t="shared" ca="1" si="20"/>
        <v>#REF!</v>
      </c>
      <c r="J99" s="1731" t="e">
        <f t="shared" ca="1" si="20"/>
        <v>#REF!</v>
      </c>
      <c r="K99" s="1731" t="e">
        <f t="shared" ca="1" si="20"/>
        <v>#REF!</v>
      </c>
      <c r="L99" s="1731" t="e">
        <f t="shared" ca="1" si="20"/>
        <v>#REF!</v>
      </c>
      <c r="M99" s="1731" t="e">
        <f t="shared" ca="1" si="20"/>
        <v>#REF!</v>
      </c>
      <c r="N99" s="1731" t="e">
        <f t="shared" ca="1" si="20"/>
        <v>#REF!</v>
      </c>
      <c r="O99" s="1731" t="e">
        <f t="shared" ca="1" si="20"/>
        <v>#REF!</v>
      </c>
      <c r="P99" s="1731" t="e">
        <f t="shared" ca="1" si="20"/>
        <v>#REF!</v>
      </c>
      <c r="Q99" s="1731">
        <f t="shared" ca="1" si="20"/>
        <v>0</v>
      </c>
      <c r="R99" s="1206"/>
      <c r="T99" s="1434"/>
    </row>
    <row r="100" spans="2:21">
      <c r="B100" s="1195"/>
      <c r="C100" s="1449" t="s">
        <v>679</v>
      </c>
      <c r="D100" s="1449" t="str">
        <f>INDEX(Modules[Module], MATCH($C100, Modules[Code], 0))</f>
        <v>Carbon Capture Storage (CCS)</v>
      </c>
      <c r="E100" s="1449"/>
      <c r="F100" s="1198" t="e">
        <f t="shared" ca="1" si="17"/>
        <v>#REF!</v>
      </c>
      <c r="G100" s="1449"/>
      <c r="H100" s="1198" t="e">
        <f t="shared" ca="1" si="18"/>
        <v>#REF!</v>
      </c>
      <c r="I100" s="1198" t="e">
        <f t="shared" ca="1" si="18"/>
        <v>#REF!</v>
      </c>
      <c r="J100" s="1198" t="e">
        <f t="shared" ca="1" si="18"/>
        <v>#REF!</v>
      </c>
      <c r="K100" s="1198" t="e">
        <f t="shared" ca="1" si="18"/>
        <v>#REF!</v>
      </c>
      <c r="L100" s="1198" t="e">
        <f t="shared" ca="1" si="18"/>
        <v>#REF!</v>
      </c>
      <c r="M100" s="1198" t="e">
        <f t="shared" ca="1" si="18"/>
        <v>#REF!</v>
      </c>
      <c r="N100" s="1198" t="e">
        <f t="shared" ca="1" si="18"/>
        <v>#REF!</v>
      </c>
      <c r="O100" s="1198" t="e">
        <f t="shared" ca="1" si="18"/>
        <v>#REF!</v>
      </c>
      <c r="P100" s="1198" t="e">
        <f t="shared" ca="1" si="18"/>
        <v>#REF!</v>
      </c>
      <c r="Q100" s="1198">
        <f t="shared" ca="1" si="18"/>
        <v>261.96211411772401</v>
      </c>
      <c r="R100" s="1204"/>
      <c r="T100" s="19"/>
      <c r="U100" s="121"/>
    </row>
    <row r="101" spans="2:21">
      <c r="B101" s="1195"/>
      <c r="C101" s="1449" t="s">
        <v>635</v>
      </c>
      <c r="D101" s="1449" t="str">
        <f>INDEX(Modules[Module], MATCH($C101, Modules[Code], 0))</f>
        <v>Nuclear power</v>
      </c>
      <c r="E101" s="1449"/>
      <c r="F101" s="1198" t="e">
        <f t="shared" ca="1" si="17"/>
        <v>#REF!</v>
      </c>
      <c r="G101" s="1449"/>
      <c r="H101" s="1198" t="e">
        <f t="shared" ca="1" si="18"/>
        <v>#REF!</v>
      </c>
      <c r="I101" s="1198" t="e">
        <f t="shared" ca="1" si="18"/>
        <v>#REF!</v>
      </c>
      <c r="J101" s="1198" t="e">
        <f t="shared" ca="1" si="18"/>
        <v>#REF!</v>
      </c>
      <c r="K101" s="1198" t="e">
        <f t="shared" ca="1" si="18"/>
        <v>#REF!</v>
      </c>
      <c r="L101" s="1198" t="e">
        <f t="shared" ca="1" si="18"/>
        <v>#REF!</v>
      </c>
      <c r="M101" s="1198" t="e">
        <f t="shared" ca="1" si="18"/>
        <v>#REF!</v>
      </c>
      <c r="N101" s="1198" t="e">
        <f t="shared" ca="1" si="18"/>
        <v>#REF!</v>
      </c>
      <c r="O101" s="1198" t="e">
        <f t="shared" ca="1" si="18"/>
        <v>#REF!</v>
      </c>
      <c r="P101" s="1198" t="e">
        <f t="shared" ca="1" si="18"/>
        <v>#REF!</v>
      </c>
      <c r="Q101" s="1198">
        <f t="shared" ca="1" si="18"/>
        <v>0</v>
      </c>
      <c r="R101" s="1204"/>
      <c r="T101" s="19"/>
      <c r="U101" s="121"/>
    </row>
    <row r="102" spans="2:21" s="529" customFormat="1">
      <c r="B102" s="1205"/>
      <c r="C102" s="1730" t="s">
        <v>1070</v>
      </c>
      <c r="D102" s="1730" t="str">
        <f>INDEX(Modules[Module], MATCH($C102, Modules[Code], 0))</f>
        <v>Onshore wind</v>
      </c>
      <c r="E102" s="1449"/>
      <c r="F102" s="1731" t="e">
        <f t="shared" ca="1" si="17"/>
        <v>#REF!</v>
      </c>
      <c r="G102" s="1449"/>
      <c r="H102" s="1731" t="e">
        <f t="shared" ca="1" si="18"/>
        <v>#REF!</v>
      </c>
      <c r="I102" s="1731" t="e">
        <f t="shared" ca="1" si="18"/>
        <v>#REF!</v>
      </c>
      <c r="J102" s="1731" t="e">
        <f t="shared" ca="1" si="18"/>
        <v>#REF!</v>
      </c>
      <c r="K102" s="1731" t="e">
        <f t="shared" ca="1" si="18"/>
        <v>#REF!</v>
      </c>
      <c r="L102" s="1731" t="e">
        <f t="shared" ca="1" si="18"/>
        <v>#REF!</v>
      </c>
      <c r="M102" s="1731" t="e">
        <f t="shared" ca="1" si="18"/>
        <v>#REF!</v>
      </c>
      <c r="N102" s="1731" t="e">
        <f t="shared" ca="1" si="18"/>
        <v>#REF!</v>
      </c>
      <c r="O102" s="1731" t="e">
        <f t="shared" ca="1" si="18"/>
        <v>#REF!</v>
      </c>
      <c r="P102" s="1731" t="e">
        <f t="shared" ca="1" si="18"/>
        <v>#REF!</v>
      </c>
      <c r="Q102" s="1731">
        <f t="shared" ca="1" si="18"/>
        <v>0</v>
      </c>
      <c r="R102" s="1206"/>
      <c r="T102" s="1434"/>
    </row>
    <row r="103" spans="2:21" s="529" customFormat="1">
      <c r="B103" s="1205"/>
      <c r="C103" s="1730" t="s">
        <v>1071</v>
      </c>
      <c r="D103" s="1730" t="str">
        <f>INDEX(Modules[Module], MATCH($C103, Modules[Code], 0))</f>
        <v>Offshore wind</v>
      </c>
      <c r="E103" s="1449"/>
      <c r="F103" s="1731" t="e">
        <f t="shared" ca="1" si="17"/>
        <v>#REF!</v>
      </c>
      <c r="G103" s="1449"/>
      <c r="H103" s="1731" t="e">
        <f t="shared" ca="1" si="18"/>
        <v>#REF!</v>
      </c>
      <c r="I103" s="1731" t="e">
        <f t="shared" ca="1" si="18"/>
        <v>#REF!</v>
      </c>
      <c r="J103" s="1731" t="e">
        <f t="shared" ca="1" si="18"/>
        <v>#REF!</v>
      </c>
      <c r="K103" s="1731" t="e">
        <f t="shared" ca="1" si="18"/>
        <v>#REF!</v>
      </c>
      <c r="L103" s="1731" t="e">
        <f t="shared" ca="1" si="18"/>
        <v>#REF!</v>
      </c>
      <c r="M103" s="1731" t="e">
        <f t="shared" ca="1" si="18"/>
        <v>#REF!</v>
      </c>
      <c r="N103" s="1731" t="e">
        <f t="shared" ca="1" si="18"/>
        <v>#REF!</v>
      </c>
      <c r="O103" s="1731" t="e">
        <f t="shared" ca="1" si="18"/>
        <v>#REF!</v>
      </c>
      <c r="P103" s="1731" t="e">
        <f t="shared" ca="1" si="18"/>
        <v>#REF!</v>
      </c>
      <c r="Q103" s="1731">
        <f t="shared" ca="1" si="18"/>
        <v>0</v>
      </c>
      <c r="R103" s="1206"/>
      <c r="T103" s="1434"/>
    </row>
    <row r="104" spans="2:21" s="529" customFormat="1">
      <c r="B104" s="1205"/>
      <c r="C104" s="1730" t="s">
        <v>650</v>
      </c>
      <c r="D104" s="1730" t="str">
        <f>INDEX(Modules[Module], MATCH($C104, Modules[Code], 0))</f>
        <v>Hydroelectric power stations</v>
      </c>
      <c r="E104" s="1449"/>
      <c r="F104" s="1731" t="e">
        <f t="shared" ca="1" si="17"/>
        <v>#REF!</v>
      </c>
      <c r="G104" s="1449"/>
      <c r="H104" s="1731" t="e">
        <f t="shared" ca="1" si="18"/>
        <v>#REF!</v>
      </c>
      <c r="I104" s="1731" t="e">
        <f t="shared" ca="1" si="18"/>
        <v>#REF!</v>
      </c>
      <c r="J104" s="1731" t="e">
        <f t="shared" ca="1" si="18"/>
        <v>#REF!</v>
      </c>
      <c r="K104" s="1731" t="e">
        <f t="shared" ca="1" si="18"/>
        <v>#REF!</v>
      </c>
      <c r="L104" s="1731" t="e">
        <f t="shared" ca="1" si="18"/>
        <v>#REF!</v>
      </c>
      <c r="M104" s="1731" t="e">
        <f t="shared" ca="1" si="18"/>
        <v>#REF!</v>
      </c>
      <c r="N104" s="1731" t="e">
        <f t="shared" ca="1" si="18"/>
        <v>#REF!</v>
      </c>
      <c r="O104" s="1731" t="e">
        <f t="shared" ca="1" si="18"/>
        <v>#REF!</v>
      </c>
      <c r="P104" s="1731" t="e">
        <f t="shared" ca="1" si="18"/>
        <v>#REF!</v>
      </c>
      <c r="Q104" s="1731">
        <f t="shared" ca="1" si="18"/>
        <v>0</v>
      </c>
      <c r="R104" s="1206"/>
      <c r="T104" s="1434"/>
    </row>
    <row r="105" spans="2:21" s="529" customFormat="1">
      <c r="B105" s="1205"/>
      <c r="C105" s="1730" t="s">
        <v>652</v>
      </c>
      <c r="D105" s="1730" t="str">
        <f>INDEX(Modules[Module], MATCH($C105, Modules[Code], 0))</f>
        <v>Tidal and Wave</v>
      </c>
      <c r="E105" s="1449"/>
      <c r="F105" s="1731" t="e">
        <f t="shared" ca="1" si="17"/>
        <v>#REF!</v>
      </c>
      <c r="G105" s="1449"/>
      <c r="H105" s="1731" t="e">
        <f t="shared" ca="1" si="18"/>
        <v>#REF!</v>
      </c>
      <c r="I105" s="1731" t="e">
        <f t="shared" ca="1" si="18"/>
        <v>#REF!</v>
      </c>
      <c r="J105" s="1731" t="e">
        <f t="shared" ca="1" si="18"/>
        <v>#REF!</v>
      </c>
      <c r="K105" s="1731" t="e">
        <f t="shared" ca="1" si="18"/>
        <v>#REF!</v>
      </c>
      <c r="L105" s="1731" t="e">
        <f t="shared" ca="1" si="18"/>
        <v>#REF!</v>
      </c>
      <c r="M105" s="1731" t="e">
        <f t="shared" ca="1" si="18"/>
        <v>#REF!</v>
      </c>
      <c r="N105" s="1731" t="e">
        <f t="shared" ca="1" si="18"/>
        <v>#REF!</v>
      </c>
      <c r="O105" s="1731" t="e">
        <f t="shared" ca="1" si="18"/>
        <v>#REF!</v>
      </c>
      <c r="P105" s="1731" t="e">
        <f t="shared" ca="1" si="18"/>
        <v>#REF!</v>
      </c>
      <c r="Q105" s="1731">
        <f t="shared" ca="1" si="18"/>
        <v>0</v>
      </c>
      <c r="R105" s="1206"/>
      <c r="T105" s="1434"/>
    </row>
    <row r="106" spans="2:21" s="529" customFormat="1">
      <c r="B106" s="1205"/>
      <c r="C106" s="1730" t="s">
        <v>653</v>
      </c>
      <c r="D106" s="1730" t="str">
        <f>INDEX(Modules[Module], MATCH($C106, Modules[Code], 0))</f>
        <v>Geothermal electricity</v>
      </c>
      <c r="E106" s="1449"/>
      <c r="F106" s="1731" t="e">
        <f t="shared" ca="1" si="17"/>
        <v>#REF!</v>
      </c>
      <c r="G106" s="1449"/>
      <c r="H106" s="1731" t="e">
        <f t="shared" ca="1" si="18"/>
        <v>#REF!</v>
      </c>
      <c r="I106" s="1731" t="e">
        <f t="shared" ca="1" si="18"/>
        <v>#REF!</v>
      </c>
      <c r="J106" s="1731" t="e">
        <f t="shared" ca="1" si="18"/>
        <v>#REF!</v>
      </c>
      <c r="K106" s="1731" t="e">
        <f t="shared" ca="1" si="18"/>
        <v>#REF!</v>
      </c>
      <c r="L106" s="1731" t="e">
        <f t="shared" ca="1" si="18"/>
        <v>#REF!</v>
      </c>
      <c r="M106" s="1731" t="e">
        <f t="shared" ca="1" si="18"/>
        <v>#REF!</v>
      </c>
      <c r="N106" s="1731" t="e">
        <f t="shared" ca="1" si="18"/>
        <v>#REF!</v>
      </c>
      <c r="O106" s="1731" t="e">
        <f t="shared" ca="1" si="18"/>
        <v>#REF!</v>
      </c>
      <c r="P106" s="1731" t="e">
        <f t="shared" ca="1" si="18"/>
        <v>#REF!</v>
      </c>
      <c r="Q106" s="1731">
        <f t="shared" ca="1" si="18"/>
        <v>0</v>
      </c>
      <c r="R106" s="1206"/>
      <c r="T106" s="1434"/>
    </row>
    <row r="107" spans="2:21" s="529" customFormat="1">
      <c r="B107" s="1205"/>
      <c r="C107" s="1730" t="s">
        <v>654</v>
      </c>
      <c r="D107" s="1730" t="str">
        <f>INDEX(Modules[Module], MATCH($C107, Modules[Code], 0))</f>
        <v>Tidal [UNUSED - See III.c]</v>
      </c>
      <c r="E107" s="1449"/>
      <c r="F107" s="1731" t="e">
        <f t="shared" ca="1" si="17"/>
        <v>#REF!</v>
      </c>
      <c r="G107" s="1449"/>
      <c r="H107" s="1731" t="e">
        <f t="shared" ca="1" si="18"/>
        <v>#REF!</v>
      </c>
      <c r="I107" s="1731" t="e">
        <f t="shared" ca="1" si="18"/>
        <v>#REF!</v>
      </c>
      <c r="J107" s="1731" t="e">
        <f t="shared" ca="1" si="18"/>
        <v>#REF!</v>
      </c>
      <c r="K107" s="1731" t="e">
        <f t="shared" ca="1" si="18"/>
        <v>#REF!</v>
      </c>
      <c r="L107" s="1731" t="e">
        <f t="shared" ca="1" si="18"/>
        <v>#REF!</v>
      </c>
      <c r="M107" s="1731" t="e">
        <f t="shared" ca="1" si="18"/>
        <v>#REF!</v>
      </c>
      <c r="N107" s="1731" t="e">
        <f t="shared" ca="1" si="18"/>
        <v>#REF!</v>
      </c>
      <c r="O107" s="1731" t="e">
        <f t="shared" ca="1" si="18"/>
        <v>#REF!</v>
      </c>
      <c r="P107" s="1731" t="e">
        <f t="shared" ca="1" si="18"/>
        <v>#REF!</v>
      </c>
      <c r="Q107" s="1731">
        <f t="shared" ca="1" si="18"/>
        <v>0</v>
      </c>
      <c r="R107" s="1206"/>
      <c r="T107" s="1434"/>
    </row>
    <row r="108" spans="2:21" s="529" customFormat="1">
      <c r="B108" s="1205"/>
      <c r="C108" s="1730" t="s">
        <v>743</v>
      </c>
      <c r="D108" s="1730" t="str">
        <f>INDEX(Modules[Module], MATCH($C108, Modules[Code], 0))</f>
        <v>Solar PV</v>
      </c>
      <c r="E108" s="1449"/>
      <c r="F108" s="1731" t="e">
        <f t="shared" ca="1" si="17"/>
        <v>#REF!</v>
      </c>
      <c r="G108" s="1449"/>
      <c r="H108" s="1731" t="e">
        <f t="shared" ca="1" si="18"/>
        <v>#REF!</v>
      </c>
      <c r="I108" s="1731" t="e">
        <f t="shared" ca="1" si="18"/>
        <v>#REF!</v>
      </c>
      <c r="J108" s="1731" t="e">
        <f t="shared" ca="1" si="18"/>
        <v>#REF!</v>
      </c>
      <c r="K108" s="1731" t="e">
        <f t="shared" ca="1" si="18"/>
        <v>#REF!</v>
      </c>
      <c r="L108" s="1731" t="e">
        <f t="shared" ca="1" si="18"/>
        <v>#REF!</v>
      </c>
      <c r="M108" s="1731" t="e">
        <f t="shared" ca="1" si="18"/>
        <v>#REF!</v>
      </c>
      <c r="N108" s="1731" t="e">
        <f t="shared" ca="1" si="18"/>
        <v>#REF!</v>
      </c>
      <c r="O108" s="1731" t="e">
        <f t="shared" ca="1" si="18"/>
        <v>#REF!</v>
      </c>
      <c r="P108" s="1731" t="e">
        <f t="shared" ca="1" si="18"/>
        <v>#REF!</v>
      </c>
      <c r="Q108" s="1731">
        <f t="shared" ca="1" si="18"/>
        <v>0</v>
      </c>
      <c r="R108" s="1206"/>
      <c r="T108" s="1434"/>
    </row>
    <row r="109" spans="2:21" s="121" customFormat="1">
      <c r="B109" s="1195"/>
      <c r="C109" s="1449"/>
      <c r="D109" s="1449" t="s">
        <v>1032</v>
      </c>
      <c r="E109" s="1449"/>
      <c r="F109" s="1198" t="e">
        <f ca="1">SUM(F102:F108)</f>
        <v>#REF!</v>
      </c>
      <c r="G109" s="1449"/>
      <c r="H109" s="1198" t="e">
        <f t="shared" ref="H109:Q109" ca="1" si="21">SUM(H102:H108)</f>
        <v>#REF!</v>
      </c>
      <c r="I109" s="1198" t="e">
        <f t="shared" ca="1" si="21"/>
        <v>#REF!</v>
      </c>
      <c r="J109" s="1198" t="e">
        <f t="shared" ca="1" si="21"/>
        <v>#REF!</v>
      </c>
      <c r="K109" s="1198" t="e">
        <f t="shared" ca="1" si="21"/>
        <v>#REF!</v>
      </c>
      <c r="L109" s="1198" t="e">
        <f t="shared" ca="1" si="21"/>
        <v>#REF!</v>
      </c>
      <c r="M109" s="1198" t="e">
        <f t="shared" ca="1" si="21"/>
        <v>#REF!</v>
      </c>
      <c r="N109" s="1198" t="e">
        <f t="shared" ca="1" si="21"/>
        <v>#REF!</v>
      </c>
      <c r="O109" s="1198" t="e">
        <f t="shared" ca="1" si="21"/>
        <v>#REF!</v>
      </c>
      <c r="P109" s="1198" t="e">
        <f t="shared" ca="1" si="21"/>
        <v>#REF!</v>
      </c>
      <c r="Q109" s="1198">
        <f t="shared" ca="1" si="21"/>
        <v>0</v>
      </c>
      <c r="R109" s="1204"/>
      <c r="T109" s="19"/>
    </row>
    <row r="110" spans="2:21" s="121" customFormat="1">
      <c r="B110" s="1195"/>
      <c r="C110" s="1449" t="s">
        <v>639</v>
      </c>
      <c r="D110" s="1449" t="str">
        <f>INDEX(Modules[Module], MATCH($C110, Modules[Code], 0))</f>
        <v>Electricity imports</v>
      </c>
      <c r="E110" s="1449"/>
      <c r="F110" s="1198" t="e">
        <f t="shared" ca="1" si="17"/>
        <v>#REF!</v>
      </c>
      <c r="G110" s="1449"/>
      <c r="H110" s="1198" t="e">
        <f t="shared" ca="1" si="18"/>
        <v>#REF!</v>
      </c>
      <c r="I110" s="1198" t="e">
        <f t="shared" ca="1" si="18"/>
        <v>#REF!</v>
      </c>
      <c r="J110" s="1198" t="e">
        <f t="shared" ca="1" si="18"/>
        <v>#REF!</v>
      </c>
      <c r="K110" s="1198" t="e">
        <f t="shared" ca="1" si="18"/>
        <v>#REF!</v>
      </c>
      <c r="L110" s="1198" t="e">
        <f t="shared" ca="1" si="18"/>
        <v>#REF!</v>
      </c>
      <c r="M110" s="1198" t="e">
        <f t="shared" ca="1" si="18"/>
        <v>#REF!</v>
      </c>
      <c r="N110" s="1198" t="e">
        <f t="shared" ca="1" si="18"/>
        <v>#REF!</v>
      </c>
      <c r="O110" s="1198" t="e">
        <f t="shared" ca="1" si="18"/>
        <v>#REF!</v>
      </c>
      <c r="P110" s="1198" t="e">
        <f t="shared" ca="1" si="18"/>
        <v>#REF!</v>
      </c>
      <c r="Q110" s="1198">
        <f t="shared" ca="1" si="18"/>
        <v>0</v>
      </c>
      <c r="R110" s="1204"/>
      <c r="T110" s="19"/>
    </row>
    <row r="111" spans="2:21">
      <c r="B111" s="1195"/>
      <c r="C111" s="1449"/>
      <c r="D111" s="1207" t="s">
        <v>686</v>
      </c>
      <c r="E111" s="1449"/>
      <c r="F111" s="1208" t="e">
        <f ca="1">F99+F100+F101+F109+F110</f>
        <v>#REF!</v>
      </c>
      <c r="G111" s="1449"/>
      <c r="H111" s="1208" t="e">
        <f t="shared" ref="H111:Q111" ca="1" si="22">H99+H100+H101+H109+H110</f>
        <v>#REF!</v>
      </c>
      <c r="I111" s="1208" t="e">
        <f t="shared" ca="1" si="22"/>
        <v>#REF!</v>
      </c>
      <c r="J111" s="1208" t="e">
        <f t="shared" ca="1" si="22"/>
        <v>#REF!</v>
      </c>
      <c r="K111" s="1208" t="e">
        <f t="shared" ca="1" si="22"/>
        <v>#REF!</v>
      </c>
      <c r="L111" s="1208" t="e">
        <f t="shared" ca="1" si="22"/>
        <v>#REF!</v>
      </c>
      <c r="M111" s="1208" t="e">
        <f t="shared" ca="1" si="22"/>
        <v>#REF!</v>
      </c>
      <c r="N111" s="1208" t="e">
        <f t="shared" ca="1" si="22"/>
        <v>#REF!</v>
      </c>
      <c r="O111" s="1208" t="e">
        <f t="shared" ca="1" si="22"/>
        <v>#REF!</v>
      </c>
      <c r="P111" s="1208" t="e">
        <f t="shared" ca="1" si="22"/>
        <v>#REF!</v>
      </c>
      <c r="Q111" s="1208">
        <f t="shared" ca="1" si="22"/>
        <v>261.96211411772401</v>
      </c>
      <c r="R111" s="1204"/>
    </row>
    <row r="112" spans="2:21" s="1684" customFormat="1">
      <c r="B112" s="1195"/>
      <c r="C112" s="1196"/>
      <c r="D112" s="1686"/>
      <c r="E112" s="1196"/>
      <c r="F112" s="1687"/>
      <c r="G112" s="1196"/>
      <c r="H112" s="1687"/>
      <c r="I112" s="1687"/>
      <c r="J112" s="1687"/>
      <c r="K112" s="1687"/>
      <c r="L112" s="1687"/>
      <c r="M112" s="1687"/>
      <c r="N112" s="1687"/>
      <c r="O112" s="1687"/>
      <c r="P112" s="1687"/>
      <c r="Q112" s="1687"/>
      <c r="R112" s="1204"/>
    </row>
    <row r="113" spans="2:18" s="1684" customFormat="1">
      <c r="B113" s="1195"/>
      <c r="C113" s="1196"/>
      <c r="D113" s="1686"/>
      <c r="E113" s="1196"/>
      <c r="F113" s="1687"/>
      <c r="G113" s="1196"/>
      <c r="H113" s="1687"/>
      <c r="I113" s="1687"/>
      <c r="J113" s="1687"/>
      <c r="K113" s="1687"/>
      <c r="L113" s="1687"/>
      <c r="M113" s="1687"/>
      <c r="N113" s="1687"/>
      <c r="O113" s="1687"/>
      <c r="P113" s="1687"/>
      <c r="Q113" s="1687"/>
      <c r="R113" s="1204"/>
    </row>
    <row r="114" spans="2:18" s="1684" customFormat="1">
      <c r="B114" s="1195"/>
      <c r="C114" s="1686"/>
      <c r="D114" s="1196"/>
      <c r="E114" s="1687"/>
      <c r="F114" s="1196"/>
      <c r="G114" s="1687"/>
      <c r="H114" s="1687"/>
      <c r="I114" s="1687"/>
      <c r="J114" s="1687"/>
      <c r="K114" s="1687"/>
      <c r="L114" s="1687"/>
      <c r="M114" s="1687"/>
      <c r="N114" s="1687"/>
      <c r="O114" s="1687"/>
      <c r="P114" s="1687"/>
      <c r="Q114" s="1687"/>
      <c r="R114" s="1204"/>
    </row>
    <row r="115" spans="2:18" s="1684" customFormat="1" ht="14">
      <c r="B115" s="1195"/>
      <c r="C115" s="1316"/>
      <c r="D115" s="1316" t="str">
        <f>Preferences.PowerUnits&amp;" installed capacity"</f>
        <v>GW installed capacity</v>
      </c>
      <c r="E115" s="1316"/>
      <c r="F115" s="1316"/>
      <c r="G115" s="1316"/>
      <c r="H115" s="1317">
        <v>2007</v>
      </c>
      <c r="I115" s="1317">
        <v>2010</v>
      </c>
      <c r="J115" s="1317">
        <v>2015</v>
      </c>
      <c r="K115" s="1317">
        <v>2020</v>
      </c>
      <c r="L115" s="1317">
        <v>2025</v>
      </c>
      <c r="M115" s="1317">
        <v>2030</v>
      </c>
      <c r="N115" s="1317">
        <v>2035</v>
      </c>
      <c r="O115" s="1317">
        <v>2040</v>
      </c>
      <c r="P115" s="1317">
        <v>2045</v>
      </c>
      <c r="Q115" s="1317">
        <v>2050</v>
      </c>
      <c r="R115" s="1204"/>
    </row>
    <row r="116" spans="2:18" s="1684" customFormat="1">
      <c r="B116" s="1195"/>
      <c r="C116" s="1449" t="s">
        <v>623</v>
      </c>
      <c r="D116" s="1196" t="s">
        <v>2120</v>
      </c>
      <c r="E116" s="1449"/>
      <c r="F116" s="1687"/>
      <c r="G116" s="1449"/>
      <c r="H116" s="1729">
        <f ca="1">IFERROR(INDEX(INDIRECT($C116&amp;".info["&amp;H$115&amp;"]"), MATCH("B.02", INDIRECT($C116&amp;".info[Vector]"), 0)), 0)</f>
        <v>0</v>
      </c>
      <c r="I116" s="1729">
        <f t="shared" ref="I116:Q119" ca="1" si="23">IFERROR(INDEX(INDIRECT($C116&amp;".info["&amp;I$115&amp;"]"), MATCH("B.02", INDIRECT($C116&amp;".info[Vector]"), 0)), 0)</f>
        <v>0</v>
      </c>
      <c r="J116" s="1729">
        <f t="shared" ca="1" si="23"/>
        <v>0</v>
      </c>
      <c r="K116" s="1729">
        <f t="shared" ca="1" si="23"/>
        <v>0</v>
      </c>
      <c r="L116" s="1729">
        <f t="shared" ca="1" si="23"/>
        <v>0</v>
      </c>
      <c r="M116" s="1729">
        <f t="shared" ca="1" si="23"/>
        <v>0</v>
      </c>
      <c r="N116" s="1729">
        <f t="shared" ca="1" si="23"/>
        <v>0</v>
      </c>
      <c r="O116" s="1729">
        <f t="shared" ca="1" si="23"/>
        <v>0</v>
      </c>
      <c r="P116" s="1729">
        <f t="shared" ca="1" si="23"/>
        <v>0</v>
      </c>
      <c r="Q116" s="1729">
        <f t="shared" ca="1" si="23"/>
        <v>0</v>
      </c>
      <c r="R116" s="1204"/>
    </row>
    <row r="117" spans="2:18" s="1684" customFormat="1">
      <c r="B117" s="1195"/>
      <c r="C117" s="1196" t="s">
        <v>2108</v>
      </c>
      <c r="D117" s="1449" t="s">
        <v>186</v>
      </c>
      <c r="E117" s="1449"/>
      <c r="F117" s="1687"/>
      <c r="G117" s="1449"/>
      <c r="H117" s="1729">
        <f t="shared" ref="H117:H119" ca="1" si="24">IFERROR(INDEX(INDIRECT($C117&amp;".info["&amp;H$115&amp;"]"), MATCH("B.02", INDIRECT($C117&amp;".info[Vector]"), 0)), 0)</f>
        <v>4.0999999999999996</v>
      </c>
      <c r="I117" s="1729">
        <f t="shared" ca="1" si="23"/>
        <v>4.0568</v>
      </c>
      <c r="J117" s="1729">
        <f t="shared" ca="1" si="23"/>
        <v>0</v>
      </c>
      <c r="K117" s="1729">
        <f t="shared" ca="1" si="23"/>
        <v>0</v>
      </c>
      <c r="L117" s="1729">
        <f t="shared" ca="1" si="23"/>
        <v>0</v>
      </c>
      <c r="M117" s="1729">
        <f t="shared" ca="1" si="23"/>
        <v>0</v>
      </c>
      <c r="N117" s="1729">
        <f t="shared" ca="1" si="23"/>
        <v>0</v>
      </c>
      <c r="O117" s="1729">
        <f t="shared" ca="1" si="23"/>
        <v>0</v>
      </c>
      <c r="P117" s="1729">
        <f t="shared" ca="1" si="23"/>
        <v>0</v>
      </c>
      <c r="Q117" s="1729">
        <f t="shared" ca="1" si="23"/>
        <v>0</v>
      </c>
      <c r="R117" s="1204"/>
    </row>
    <row r="118" spans="2:18" s="1684" customFormat="1">
      <c r="B118" s="1195"/>
      <c r="C118" s="1196" t="s">
        <v>2109</v>
      </c>
      <c r="D118" s="1449" t="s">
        <v>1558</v>
      </c>
      <c r="E118" s="1449"/>
      <c r="F118" s="1687"/>
      <c r="G118" s="1449"/>
      <c r="H118" s="1729">
        <f t="shared" ca="1" si="24"/>
        <v>0</v>
      </c>
      <c r="I118" s="1729">
        <f t="shared" ca="1" si="23"/>
        <v>0</v>
      </c>
      <c r="J118" s="1729">
        <f t="shared" ca="1" si="23"/>
        <v>0</v>
      </c>
      <c r="K118" s="1729">
        <f t="shared" ca="1" si="23"/>
        <v>0</v>
      </c>
      <c r="L118" s="1729">
        <f t="shared" ca="1" si="23"/>
        <v>0</v>
      </c>
      <c r="M118" s="1729">
        <f t="shared" ca="1" si="23"/>
        <v>0</v>
      </c>
      <c r="N118" s="1729">
        <f t="shared" ca="1" si="23"/>
        <v>0</v>
      </c>
      <c r="O118" s="1729">
        <f t="shared" ca="1" si="23"/>
        <v>0</v>
      </c>
      <c r="P118" s="1729">
        <f t="shared" ca="1" si="23"/>
        <v>0</v>
      </c>
      <c r="Q118" s="1729">
        <f t="shared" ca="1" si="23"/>
        <v>0</v>
      </c>
      <c r="R118" s="1204"/>
    </row>
    <row r="119" spans="2:18" s="1684" customFormat="1">
      <c r="B119" s="1195"/>
      <c r="C119" s="1196" t="s">
        <v>2107</v>
      </c>
      <c r="D119" s="1449" t="s">
        <v>14</v>
      </c>
      <c r="E119" s="1449"/>
      <c r="F119" s="1687"/>
      <c r="G119" s="1449"/>
      <c r="H119" s="1729">
        <f t="shared" ca="1" si="24"/>
        <v>0</v>
      </c>
      <c r="I119" s="1729">
        <f t="shared" ca="1" si="23"/>
        <v>0</v>
      </c>
      <c r="J119" s="1729">
        <f t="shared" ca="1" si="23"/>
        <v>0</v>
      </c>
      <c r="K119" s="1729">
        <f t="shared" ca="1" si="23"/>
        <v>0</v>
      </c>
      <c r="L119" s="1729">
        <f t="shared" ca="1" si="23"/>
        <v>0</v>
      </c>
      <c r="M119" s="1729">
        <f t="shared" ca="1" si="23"/>
        <v>0</v>
      </c>
      <c r="N119" s="1729">
        <f t="shared" ca="1" si="23"/>
        <v>0</v>
      </c>
      <c r="O119" s="1729">
        <f t="shared" ca="1" si="23"/>
        <v>0</v>
      </c>
      <c r="P119" s="1729">
        <f t="shared" ca="1" si="23"/>
        <v>0</v>
      </c>
      <c r="Q119" s="1729">
        <f t="shared" ca="1" si="23"/>
        <v>0</v>
      </c>
      <c r="R119" s="1204"/>
    </row>
    <row r="120" spans="2:18" s="1684" customFormat="1">
      <c r="B120" s="1195"/>
      <c r="C120" s="1449" t="s">
        <v>679</v>
      </c>
      <c r="D120" s="1449" t="str">
        <f>INDEX(Modules[Module], MATCH($C120, Modules[Code], 0))</f>
        <v>Carbon Capture Storage (CCS)</v>
      </c>
      <c r="E120" s="1449"/>
      <c r="F120" s="1687"/>
      <c r="G120" s="1449"/>
      <c r="H120" s="1729">
        <f ca="1">IFERROR(INDEX(INDIRECT($C120&amp;".info["&amp;H$115&amp;"]"), MATCH("B.02", INDIRECT($C120&amp;".info[Vector]"), 0)), 0)</f>
        <v>0</v>
      </c>
      <c r="I120" s="1729">
        <f t="shared" ref="I120:Q127" ca="1" si="25">IFERROR(INDEX(INDIRECT($C120&amp;".info["&amp;I$115&amp;"]"), MATCH("B.02", INDIRECT($C120&amp;".info[Vector]"), 0)), 0)</f>
        <v>0</v>
      </c>
      <c r="J120" s="1729">
        <f t="shared" ca="1" si="25"/>
        <v>0.85000000000000009</v>
      </c>
      <c r="K120" s="1729">
        <f t="shared" ca="1" si="25"/>
        <v>1.7000000000000002</v>
      </c>
      <c r="L120" s="1729">
        <f t="shared" ca="1" si="25"/>
        <v>4.4000000000000004</v>
      </c>
      <c r="M120" s="1729">
        <f t="shared" ca="1" si="25"/>
        <v>10.099999999999998</v>
      </c>
      <c r="N120" s="1729">
        <f t="shared" ca="1" si="25"/>
        <v>17.599999999999998</v>
      </c>
      <c r="O120" s="1729">
        <f t="shared" ca="1" si="25"/>
        <v>25.099999999999998</v>
      </c>
      <c r="P120" s="1729">
        <f t="shared" ca="1" si="25"/>
        <v>32.6</v>
      </c>
      <c r="Q120" s="1729">
        <f t="shared" ca="1" si="25"/>
        <v>40.1</v>
      </c>
      <c r="R120" s="1204"/>
    </row>
    <row r="121" spans="2:18" s="1684" customFormat="1">
      <c r="B121" s="1195"/>
      <c r="C121" s="1449" t="s">
        <v>635</v>
      </c>
      <c r="D121" s="1449" t="str">
        <f>INDEX(Modules[Module], MATCH($C121, Modules[Code], 0))</f>
        <v>Nuclear power</v>
      </c>
      <c r="E121" s="1449"/>
      <c r="F121" s="1687"/>
      <c r="G121" s="1449"/>
      <c r="H121" s="1729">
        <f t="shared" ref="H121:H127" ca="1" si="26">IFERROR(INDEX(INDIRECT($C121&amp;".info["&amp;H$115&amp;"]"), MATCH("B.02", INDIRECT($C121&amp;".info[Vector]"), 0)), 0)</f>
        <v>0</v>
      </c>
      <c r="I121" s="1729">
        <f t="shared" ca="1" si="25"/>
        <v>0</v>
      </c>
      <c r="J121" s="1729">
        <f t="shared" ca="1" si="25"/>
        <v>0</v>
      </c>
      <c r="K121" s="1729">
        <f t="shared" ca="1" si="25"/>
        <v>0</v>
      </c>
      <c r="L121" s="1729">
        <f t="shared" ca="1" si="25"/>
        <v>0</v>
      </c>
      <c r="M121" s="1729">
        <f t="shared" ca="1" si="25"/>
        <v>0</v>
      </c>
      <c r="N121" s="1729">
        <f t="shared" ca="1" si="25"/>
        <v>0</v>
      </c>
      <c r="O121" s="1729">
        <f t="shared" ca="1" si="25"/>
        <v>0</v>
      </c>
      <c r="P121" s="1729">
        <f t="shared" ca="1" si="25"/>
        <v>0</v>
      </c>
      <c r="Q121" s="1729">
        <f t="shared" ca="1" si="25"/>
        <v>0</v>
      </c>
      <c r="R121" s="1204"/>
    </row>
    <row r="122" spans="2:18" s="1684" customFormat="1">
      <c r="B122" s="1195"/>
      <c r="C122" s="1730" t="s">
        <v>1070</v>
      </c>
      <c r="D122" s="1730" t="str">
        <f>INDEX(Modules[Module], MATCH($C122, Modules[Code], 0))</f>
        <v>Onshore wind</v>
      </c>
      <c r="E122" s="1449"/>
      <c r="F122" s="1687"/>
      <c r="G122" s="1449"/>
      <c r="H122" s="1729">
        <f t="shared" ca="1" si="26"/>
        <v>0</v>
      </c>
      <c r="I122" s="1729">
        <f t="shared" ca="1" si="25"/>
        <v>0</v>
      </c>
      <c r="J122" s="1729">
        <f t="shared" ca="1" si="25"/>
        <v>0</v>
      </c>
      <c r="K122" s="1729">
        <f t="shared" ca="1" si="25"/>
        <v>0</v>
      </c>
      <c r="L122" s="1729">
        <f t="shared" ca="1" si="25"/>
        <v>0</v>
      </c>
      <c r="M122" s="1729">
        <f t="shared" ca="1" si="25"/>
        <v>0</v>
      </c>
      <c r="N122" s="1729">
        <f t="shared" ca="1" si="25"/>
        <v>0</v>
      </c>
      <c r="O122" s="1729">
        <f t="shared" ca="1" si="25"/>
        <v>0</v>
      </c>
      <c r="P122" s="1729">
        <f t="shared" ca="1" si="25"/>
        <v>0</v>
      </c>
      <c r="Q122" s="1729">
        <f t="shared" ca="1" si="25"/>
        <v>0</v>
      </c>
      <c r="R122" s="1204"/>
    </row>
    <row r="123" spans="2:18" s="1684" customFormat="1">
      <c r="B123" s="1195"/>
      <c r="C123" s="1730" t="s">
        <v>1071</v>
      </c>
      <c r="D123" s="1730" t="str">
        <f>INDEX(Modules[Module], MATCH($C123, Modules[Code], 0))</f>
        <v>Offshore wind</v>
      </c>
      <c r="E123" s="1449"/>
      <c r="F123" s="1687"/>
      <c r="G123" s="1449"/>
      <c r="H123" s="1729">
        <f t="shared" ca="1" si="26"/>
        <v>0</v>
      </c>
      <c r="I123" s="1729">
        <f t="shared" ca="1" si="25"/>
        <v>0</v>
      </c>
      <c r="J123" s="1729">
        <f t="shared" ca="1" si="25"/>
        <v>0</v>
      </c>
      <c r="K123" s="1729">
        <f t="shared" ca="1" si="25"/>
        <v>0</v>
      </c>
      <c r="L123" s="1729">
        <f t="shared" ca="1" si="25"/>
        <v>0</v>
      </c>
      <c r="M123" s="1729">
        <f t="shared" ca="1" si="25"/>
        <v>0</v>
      </c>
      <c r="N123" s="1729">
        <f t="shared" ca="1" si="25"/>
        <v>0</v>
      </c>
      <c r="O123" s="1729">
        <f t="shared" ca="1" si="25"/>
        <v>0</v>
      </c>
      <c r="P123" s="1729">
        <f t="shared" ca="1" si="25"/>
        <v>0</v>
      </c>
      <c r="Q123" s="1729">
        <f t="shared" ca="1" si="25"/>
        <v>0</v>
      </c>
      <c r="R123" s="1204"/>
    </row>
    <row r="124" spans="2:18" s="1684" customFormat="1">
      <c r="B124" s="1195"/>
      <c r="C124" s="1730" t="s">
        <v>650</v>
      </c>
      <c r="D124" s="1730" t="str">
        <f>INDEX(Modules[Module], MATCH($C124, Modules[Code], 0))</f>
        <v>Hydroelectric power stations</v>
      </c>
      <c r="E124" s="1449"/>
      <c r="F124" s="1687"/>
      <c r="G124" s="1449"/>
      <c r="H124" s="1729">
        <f t="shared" ca="1" si="26"/>
        <v>0</v>
      </c>
      <c r="I124" s="1729">
        <f t="shared" ca="1" si="25"/>
        <v>0</v>
      </c>
      <c r="J124" s="1729">
        <f t="shared" ca="1" si="25"/>
        <v>0</v>
      </c>
      <c r="K124" s="1729">
        <f t="shared" ca="1" si="25"/>
        <v>0</v>
      </c>
      <c r="L124" s="1729">
        <f t="shared" ca="1" si="25"/>
        <v>0</v>
      </c>
      <c r="M124" s="1729">
        <f t="shared" ca="1" si="25"/>
        <v>0</v>
      </c>
      <c r="N124" s="1729">
        <f t="shared" ca="1" si="25"/>
        <v>0</v>
      </c>
      <c r="O124" s="1729">
        <f t="shared" ca="1" si="25"/>
        <v>0</v>
      </c>
      <c r="P124" s="1729">
        <f t="shared" ca="1" si="25"/>
        <v>0</v>
      </c>
      <c r="Q124" s="1729">
        <f t="shared" ca="1" si="25"/>
        <v>0</v>
      </c>
      <c r="R124" s="1204"/>
    </row>
    <row r="125" spans="2:18" s="1684" customFormat="1">
      <c r="B125" s="1195"/>
      <c r="C125" s="1730" t="s">
        <v>652</v>
      </c>
      <c r="D125" s="1730" t="str">
        <f>INDEX(Modules[Module], MATCH($C125, Modules[Code], 0))</f>
        <v>Tidal and Wave</v>
      </c>
      <c r="E125" s="1449"/>
      <c r="F125" s="1687"/>
      <c r="G125" s="1449"/>
      <c r="H125" s="1729">
        <f t="shared" ca="1" si="26"/>
        <v>0</v>
      </c>
      <c r="I125" s="1729">
        <f t="shared" ca="1" si="25"/>
        <v>0</v>
      </c>
      <c r="J125" s="1729">
        <f t="shared" ca="1" si="25"/>
        <v>0</v>
      </c>
      <c r="K125" s="1729">
        <f t="shared" ca="1" si="25"/>
        <v>0</v>
      </c>
      <c r="L125" s="1729">
        <f t="shared" ca="1" si="25"/>
        <v>0</v>
      </c>
      <c r="M125" s="1729">
        <f t="shared" ca="1" si="25"/>
        <v>0</v>
      </c>
      <c r="N125" s="1729">
        <f t="shared" ca="1" si="25"/>
        <v>0</v>
      </c>
      <c r="O125" s="1729">
        <f t="shared" ca="1" si="25"/>
        <v>0</v>
      </c>
      <c r="P125" s="1729">
        <f t="shared" ca="1" si="25"/>
        <v>0</v>
      </c>
      <c r="Q125" s="1729">
        <f t="shared" ca="1" si="25"/>
        <v>0</v>
      </c>
      <c r="R125" s="1204"/>
    </row>
    <row r="126" spans="2:18" s="1684" customFormat="1">
      <c r="B126" s="1195"/>
      <c r="C126" s="1730" t="s">
        <v>653</v>
      </c>
      <c r="D126" s="1730" t="str">
        <f>INDEX(Modules[Module], MATCH($C126, Modules[Code], 0))</f>
        <v>Geothermal electricity</v>
      </c>
      <c r="E126" s="1449"/>
      <c r="F126" s="1687"/>
      <c r="G126" s="1449"/>
      <c r="H126" s="1729">
        <f t="shared" ca="1" si="26"/>
        <v>0</v>
      </c>
      <c r="I126" s="1729">
        <f t="shared" ca="1" si="25"/>
        <v>0</v>
      </c>
      <c r="J126" s="1729">
        <f t="shared" ca="1" si="25"/>
        <v>0</v>
      </c>
      <c r="K126" s="1729">
        <f t="shared" ca="1" si="25"/>
        <v>0</v>
      </c>
      <c r="L126" s="1729">
        <f t="shared" ca="1" si="25"/>
        <v>0</v>
      </c>
      <c r="M126" s="1729">
        <f t="shared" ca="1" si="25"/>
        <v>0</v>
      </c>
      <c r="N126" s="1729">
        <f t="shared" ca="1" si="25"/>
        <v>0</v>
      </c>
      <c r="O126" s="1729">
        <f t="shared" ca="1" si="25"/>
        <v>0</v>
      </c>
      <c r="P126" s="1729">
        <f t="shared" ca="1" si="25"/>
        <v>0</v>
      </c>
      <c r="Q126" s="1729">
        <f t="shared" ca="1" si="25"/>
        <v>0</v>
      </c>
      <c r="R126" s="1204"/>
    </row>
    <row r="127" spans="2:18" s="1684" customFormat="1">
      <c r="B127" s="1195"/>
      <c r="C127" s="1730" t="s">
        <v>743</v>
      </c>
      <c r="D127" s="1730" t="str">
        <f>INDEX(Modules[Module], MATCH($C127, Modules[Code], 0))</f>
        <v>Solar PV</v>
      </c>
      <c r="E127" s="1449"/>
      <c r="F127" s="1730"/>
      <c r="G127" s="1449"/>
      <c r="H127" s="1729">
        <f t="shared" ca="1" si="26"/>
        <v>0</v>
      </c>
      <c r="I127" s="1729">
        <f t="shared" ca="1" si="25"/>
        <v>0</v>
      </c>
      <c r="J127" s="1729">
        <f t="shared" ca="1" si="25"/>
        <v>0</v>
      </c>
      <c r="K127" s="1729">
        <f t="shared" ca="1" si="25"/>
        <v>0</v>
      </c>
      <c r="L127" s="1729">
        <f t="shared" ca="1" si="25"/>
        <v>0</v>
      </c>
      <c r="M127" s="1729">
        <f t="shared" ca="1" si="25"/>
        <v>0</v>
      </c>
      <c r="N127" s="1729">
        <f t="shared" ca="1" si="25"/>
        <v>0</v>
      </c>
      <c r="O127" s="1729">
        <f t="shared" ca="1" si="25"/>
        <v>0</v>
      </c>
      <c r="P127" s="1729">
        <f t="shared" ca="1" si="25"/>
        <v>0</v>
      </c>
      <c r="Q127" s="1729">
        <f ca="1">IFERROR(INDEX(INDIRECT($C127&amp;".info["&amp;Q$115&amp;"]"), MATCH("B.02", INDIRECT($C127&amp;".info[Vector]"), 0)), 0)</f>
        <v>0</v>
      </c>
      <c r="R127" s="1204"/>
    </row>
    <row r="128" spans="2:18" s="1684" customFormat="1">
      <c r="B128" s="1195"/>
      <c r="C128" s="1449"/>
      <c r="D128" s="1207" t="s">
        <v>686</v>
      </c>
      <c r="E128" s="1207"/>
      <c r="F128" s="1207"/>
      <c r="G128" s="1207"/>
      <c r="H128" s="1208">
        <f ca="1">SUM(H117:H126)</f>
        <v>4.0999999999999996</v>
      </c>
      <c r="I128" s="1208">
        <f t="shared" ref="I128:P128" ca="1" si="27">SUM(I117:I126)</f>
        <v>4.0568</v>
      </c>
      <c r="J128" s="1208">
        <f t="shared" ca="1" si="27"/>
        <v>0.85000000000000009</v>
      </c>
      <c r="K128" s="1208">
        <f t="shared" ca="1" si="27"/>
        <v>1.7000000000000002</v>
      </c>
      <c r="L128" s="1208">
        <f t="shared" ca="1" si="27"/>
        <v>4.4000000000000004</v>
      </c>
      <c r="M128" s="1208">
        <f t="shared" ca="1" si="27"/>
        <v>10.099999999999998</v>
      </c>
      <c r="N128" s="1208">
        <f t="shared" ca="1" si="27"/>
        <v>17.599999999999998</v>
      </c>
      <c r="O128" s="1208">
        <f t="shared" ca="1" si="27"/>
        <v>25.099999999999998</v>
      </c>
      <c r="P128" s="1208">
        <f t="shared" ca="1" si="27"/>
        <v>32.6</v>
      </c>
      <c r="Q128" s="1208">
        <f ca="1">SUM(Q117:Q126)</f>
        <v>40.1</v>
      </c>
      <c r="R128" s="1204"/>
    </row>
    <row r="129" spans="1:18" s="1684" customFormat="1">
      <c r="B129" s="1195"/>
      <c r="C129" s="1196"/>
      <c r="D129" s="1686"/>
      <c r="E129" s="1196"/>
      <c r="F129" s="1687"/>
      <c r="G129" s="1196"/>
      <c r="H129" s="1687"/>
      <c r="I129" s="1687"/>
      <c r="J129" s="1687"/>
      <c r="K129" s="1687"/>
      <c r="L129" s="1687"/>
      <c r="M129" s="1687"/>
      <c r="N129" s="1687"/>
      <c r="O129" s="1687"/>
      <c r="P129" s="1687"/>
      <c r="Q129" s="1687"/>
      <c r="R129" s="1204"/>
    </row>
    <row r="130" spans="1:18">
      <c r="B130" s="1209"/>
      <c r="C130" s="1210"/>
      <c r="D130" s="1210"/>
      <c r="E130" s="1210"/>
      <c r="F130" s="1210"/>
      <c r="G130" s="1210"/>
      <c r="H130" s="1210"/>
      <c r="I130" s="1210"/>
      <c r="J130" s="1210"/>
      <c r="K130" s="1210"/>
      <c r="L130" s="1210"/>
      <c r="M130" s="1210"/>
      <c r="N130" s="1210"/>
      <c r="O130" s="1210"/>
      <c r="P130" s="1210"/>
      <c r="Q130" s="1210"/>
      <c r="R130" s="1211"/>
    </row>
    <row r="132" spans="1:18" s="121" customFormat="1"/>
    <row r="133" spans="1:18" ht="22">
      <c r="A133" s="851"/>
      <c r="B133" s="1216" t="s">
        <v>690</v>
      </c>
      <c r="C133" s="1242"/>
      <c r="D133" s="1242"/>
      <c r="E133" s="1242"/>
      <c r="F133" s="1242"/>
      <c r="G133" s="1242"/>
      <c r="H133" s="1242"/>
      <c r="I133" s="1242"/>
      <c r="J133" s="1242"/>
      <c r="K133" s="1242"/>
      <c r="L133" s="1242"/>
      <c r="M133" s="1242"/>
      <c r="N133" s="1242"/>
      <c r="O133" s="1242"/>
      <c r="P133" s="1242"/>
      <c r="Q133" s="1243"/>
      <c r="R133" s="1244"/>
    </row>
    <row r="134" spans="1:18" s="121" customFormat="1" ht="15">
      <c r="B134" s="1217"/>
      <c r="C134" s="1218"/>
      <c r="D134" s="1218"/>
      <c r="E134" s="1218"/>
      <c r="F134" s="1218"/>
      <c r="G134" s="1218"/>
      <c r="H134" s="1218"/>
      <c r="I134" s="1218"/>
      <c r="J134" s="1218"/>
      <c r="K134" s="1218"/>
      <c r="L134" s="1218"/>
      <c r="M134" s="1218"/>
      <c r="N134" s="1218"/>
      <c r="O134" s="1218"/>
      <c r="P134" s="1218"/>
      <c r="Q134" s="1219"/>
      <c r="R134" s="1220"/>
    </row>
    <row r="135" spans="1:18" s="121" customFormat="1" ht="15">
      <c r="B135" s="1217"/>
      <c r="C135" s="1246" t="s">
        <v>1055</v>
      </c>
      <c r="D135" s="1218"/>
      <c r="E135" s="1218"/>
      <c r="F135" s="1218"/>
      <c r="G135" s="1218"/>
      <c r="H135" s="1218"/>
      <c r="I135" s="1218"/>
      <c r="J135" s="1218"/>
      <c r="K135" s="1218"/>
      <c r="L135" s="1218"/>
      <c r="M135" s="1218"/>
      <c r="N135" s="1218"/>
      <c r="O135" s="1218"/>
      <c r="P135" s="1218"/>
      <c r="Q135" s="1219"/>
      <c r="R135" s="1220"/>
    </row>
    <row r="136" spans="1:18">
      <c r="B136" s="1221"/>
      <c r="C136" s="1218"/>
      <c r="D136" s="1222" t="s">
        <v>798</v>
      </c>
      <c r="E136" s="1218"/>
      <c r="F136" s="1218" t="s">
        <v>1058</v>
      </c>
      <c r="G136" s="1218"/>
      <c r="H136" s="1218">
        <v>2007</v>
      </c>
      <c r="I136" s="1218">
        <v>2010</v>
      </c>
      <c r="J136" s="1218">
        <v>2015</v>
      </c>
      <c r="K136" s="1218">
        <v>2020</v>
      </c>
      <c r="L136" s="1218">
        <v>2025</v>
      </c>
      <c r="M136" s="1218">
        <v>2030</v>
      </c>
      <c r="N136" s="1218">
        <v>2035</v>
      </c>
      <c r="O136" s="1218">
        <v>2040</v>
      </c>
      <c r="P136" s="1218">
        <v>2045</v>
      </c>
      <c r="Q136" s="1219">
        <v>2050</v>
      </c>
      <c r="R136" s="1220"/>
    </row>
    <row r="137" spans="1:18" s="529" customFormat="1">
      <c r="B137" s="1223"/>
      <c r="C137" s="1224" t="s">
        <v>821</v>
      </c>
      <c r="D137" s="1225" t="str">
        <f>INDEX(IPCC[Sector_description], MATCH($C137, IPCC[Sector_code], 0))</f>
        <v>Fuel Combustion</v>
      </c>
      <c r="E137" s="1218"/>
      <c r="F137" s="1226"/>
      <c r="G137" s="1227"/>
      <c r="H137" s="1226"/>
      <c r="I137" s="1226"/>
      <c r="J137" s="1226"/>
      <c r="K137" s="1226"/>
      <c r="L137" s="1226"/>
      <c r="M137" s="1226"/>
      <c r="N137" s="1226"/>
      <c r="O137" s="1226"/>
      <c r="P137" s="1226"/>
      <c r="Q137" s="1226"/>
      <c r="R137" s="1228"/>
    </row>
    <row r="138" spans="1:18" s="529" customFormat="1">
      <c r="B138" s="1223"/>
      <c r="C138" s="1224" t="s">
        <v>820</v>
      </c>
      <c r="D138" s="1225" t="str">
        <f>INDEX(IPCC[Sector_description], MATCH($C138, IPCC[Sector_code], 0))</f>
        <v>Fugitive Emissions from Fuels</v>
      </c>
      <c r="E138" s="1218"/>
      <c r="F138" s="1226"/>
      <c r="G138" s="1227"/>
      <c r="H138" s="1226"/>
      <c r="I138" s="1226"/>
      <c r="J138" s="1226"/>
      <c r="K138" s="1226"/>
      <c r="L138" s="1226"/>
      <c r="M138" s="1226"/>
      <c r="N138" s="1226"/>
      <c r="O138" s="1226"/>
      <c r="P138" s="1226"/>
      <c r="Q138" s="1226"/>
      <c r="R138" s="1228"/>
    </row>
    <row r="139" spans="1:18" s="121" customFormat="1">
      <c r="B139" s="1221"/>
      <c r="C139" s="1219">
        <v>1</v>
      </c>
      <c r="D139" s="1218" t="s">
        <v>799</v>
      </c>
      <c r="E139" s="1218"/>
      <c r="F139" s="1255">
        <f t="shared" ref="F139:F146" si="28">F180/$F$203</f>
        <v>0.6828579138027161</v>
      </c>
      <c r="G139" s="1256"/>
      <c r="H139" s="1255" t="e">
        <f t="shared" ref="H139:Q139" ca="1" si="29">H180*$H$153/$F$203</f>
        <v>#REF!</v>
      </c>
      <c r="I139" s="1255" t="e">
        <f t="shared" ca="1" si="29"/>
        <v>#REF!</v>
      </c>
      <c r="J139" s="1255" t="e">
        <f t="shared" ca="1" si="29"/>
        <v>#REF!</v>
      </c>
      <c r="K139" s="1255" t="e">
        <f t="shared" ca="1" si="29"/>
        <v>#REF!</v>
      </c>
      <c r="L139" s="1255" t="e">
        <f t="shared" ca="1" si="29"/>
        <v>#REF!</v>
      </c>
      <c r="M139" s="1255" t="e">
        <f t="shared" ca="1" si="29"/>
        <v>#REF!</v>
      </c>
      <c r="N139" s="1255" t="e">
        <f t="shared" ca="1" si="29"/>
        <v>#REF!</v>
      </c>
      <c r="O139" s="1255" t="e">
        <f t="shared" ca="1" si="29"/>
        <v>#REF!</v>
      </c>
      <c r="P139" s="1255" t="e">
        <f t="shared" ca="1" si="29"/>
        <v>#REF!</v>
      </c>
      <c r="Q139" s="1255" t="e">
        <f t="shared" ca="1" si="29"/>
        <v>#REF!</v>
      </c>
      <c r="R139" s="1220"/>
    </row>
    <row r="140" spans="1:18">
      <c r="B140" s="1221"/>
      <c r="C140" s="1219">
        <v>2</v>
      </c>
      <c r="D140" s="1218" t="str">
        <f>INDEX(IPCC[Sector_description], MATCH($C140, IPCC[Sector_code], 0))</f>
        <v>Industrial Processes</v>
      </c>
      <c r="E140" s="1218"/>
      <c r="F140" s="1255">
        <f t="shared" si="28"/>
        <v>3.4882184192791134E-2</v>
      </c>
      <c r="G140" s="1256"/>
      <c r="H140" s="1255" t="e">
        <f t="shared" ref="H140:Q140" ca="1" si="30">H181*$H$153/$F$203</f>
        <v>#REF!</v>
      </c>
      <c r="I140" s="1255" t="e">
        <f t="shared" ca="1" si="30"/>
        <v>#REF!</v>
      </c>
      <c r="J140" s="1255" t="e">
        <f t="shared" ca="1" si="30"/>
        <v>#REF!</v>
      </c>
      <c r="K140" s="1255" t="e">
        <f t="shared" ca="1" si="30"/>
        <v>#REF!</v>
      </c>
      <c r="L140" s="1255" t="e">
        <f t="shared" ca="1" si="30"/>
        <v>#REF!</v>
      </c>
      <c r="M140" s="1255" t="e">
        <f t="shared" ca="1" si="30"/>
        <v>#REF!</v>
      </c>
      <c r="N140" s="1255" t="e">
        <f t="shared" ca="1" si="30"/>
        <v>#REF!</v>
      </c>
      <c r="O140" s="1255" t="e">
        <f t="shared" ca="1" si="30"/>
        <v>#REF!</v>
      </c>
      <c r="P140" s="1255" t="e">
        <f t="shared" ca="1" si="30"/>
        <v>#REF!</v>
      </c>
      <c r="Q140" s="1255" t="e">
        <f t="shared" ca="1" si="30"/>
        <v>#REF!</v>
      </c>
      <c r="R140" s="1220"/>
    </row>
    <row r="141" spans="1:18">
      <c r="B141" s="1221"/>
      <c r="C141" s="1219">
        <v>3</v>
      </c>
      <c r="D141" s="1218" t="str">
        <f>INDEX(IPCC[Sector_description], MATCH($C141, IPCC[Sector_code], 0))</f>
        <v>Solvent and Other Product Use</v>
      </c>
      <c r="E141" s="1218"/>
      <c r="F141" s="1255">
        <f t="shared" si="28"/>
        <v>0</v>
      </c>
      <c r="G141" s="1256"/>
      <c r="H141" s="1255" t="e">
        <f t="shared" ref="H141:Q141" ca="1" si="31">H182*$H$153/$F$203</f>
        <v>#REF!</v>
      </c>
      <c r="I141" s="1255" t="e">
        <f t="shared" ca="1" si="31"/>
        <v>#REF!</v>
      </c>
      <c r="J141" s="1255" t="e">
        <f t="shared" ca="1" si="31"/>
        <v>#REF!</v>
      </c>
      <c r="K141" s="1255" t="e">
        <f t="shared" ca="1" si="31"/>
        <v>#REF!</v>
      </c>
      <c r="L141" s="1255" t="e">
        <f t="shared" ca="1" si="31"/>
        <v>#REF!</v>
      </c>
      <c r="M141" s="1255" t="e">
        <f t="shared" ca="1" si="31"/>
        <v>#REF!</v>
      </c>
      <c r="N141" s="1255" t="e">
        <f t="shared" ca="1" si="31"/>
        <v>#REF!</v>
      </c>
      <c r="O141" s="1255" t="e">
        <f t="shared" ca="1" si="31"/>
        <v>#REF!</v>
      </c>
      <c r="P141" s="1255" t="e">
        <f t="shared" ca="1" si="31"/>
        <v>#REF!</v>
      </c>
      <c r="Q141" s="1255" t="e">
        <f t="shared" ca="1" si="31"/>
        <v>#REF!</v>
      </c>
      <c r="R141" s="1220"/>
    </row>
    <row r="142" spans="1:18">
      <c r="B142" s="1221"/>
      <c r="C142" s="1219">
        <v>4</v>
      </c>
      <c r="D142" s="1218" t="str">
        <f>INDEX(IPCC[Sector_description], MATCH($C142, IPCC[Sector_code], 0))</f>
        <v>Agriculture</v>
      </c>
      <c r="E142" s="1218"/>
      <c r="F142" s="1255">
        <f t="shared" si="28"/>
        <v>5.4352073272077611E-2</v>
      </c>
      <c r="G142" s="1256"/>
      <c r="H142" s="1255" t="e">
        <f t="shared" ref="H142:Q142" ca="1" si="32">H183*$H$153/$F$203</f>
        <v>#REF!</v>
      </c>
      <c r="I142" s="1255" t="e">
        <f t="shared" ca="1" si="32"/>
        <v>#REF!</v>
      </c>
      <c r="J142" s="1255" t="e">
        <f t="shared" ca="1" si="32"/>
        <v>#REF!</v>
      </c>
      <c r="K142" s="1255" t="e">
        <f t="shared" ca="1" si="32"/>
        <v>#REF!</v>
      </c>
      <c r="L142" s="1255" t="e">
        <f t="shared" ca="1" si="32"/>
        <v>#REF!</v>
      </c>
      <c r="M142" s="1255" t="e">
        <f t="shared" ca="1" si="32"/>
        <v>#REF!</v>
      </c>
      <c r="N142" s="1255" t="e">
        <f t="shared" ca="1" si="32"/>
        <v>#REF!</v>
      </c>
      <c r="O142" s="1255" t="e">
        <f t="shared" ca="1" si="32"/>
        <v>#REF!</v>
      </c>
      <c r="P142" s="1255" t="e">
        <f t="shared" ca="1" si="32"/>
        <v>#REF!</v>
      </c>
      <c r="Q142" s="1255" t="e">
        <f t="shared" ca="1" si="32"/>
        <v>#REF!</v>
      </c>
      <c r="R142" s="1220"/>
    </row>
    <row r="143" spans="1:18">
      <c r="B143" s="1221"/>
      <c r="C143" s="1219">
        <v>5</v>
      </c>
      <c r="D143" s="1218" t="str">
        <f>INDEX(IPCC[Sector_description], MATCH($C143, IPCC[Sector_code], 0))</f>
        <v>Land Use, Land-Use Change and Forestry</v>
      </c>
      <c r="E143" s="1218"/>
      <c r="F143" s="1255">
        <f t="shared" si="28"/>
        <v>-2.2259510626399782E-3</v>
      </c>
      <c r="G143" s="1256"/>
      <c r="H143" s="1255" t="e">
        <f t="shared" ref="H143:Q143" ca="1" si="33">H184*$H$153/$F$203</f>
        <v>#REF!</v>
      </c>
      <c r="I143" s="1255" t="e">
        <f t="shared" ca="1" si="33"/>
        <v>#REF!</v>
      </c>
      <c r="J143" s="1255" t="e">
        <f t="shared" ca="1" si="33"/>
        <v>#REF!</v>
      </c>
      <c r="K143" s="1255" t="e">
        <f t="shared" ca="1" si="33"/>
        <v>#REF!</v>
      </c>
      <c r="L143" s="1255" t="e">
        <f t="shared" ca="1" si="33"/>
        <v>#REF!</v>
      </c>
      <c r="M143" s="1255" t="e">
        <f t="shared" ca="1" si="33"/>
        <v>#REF!</v>
      </c>
      <c r="N143" s="1255" t="e">
        <f t="shared" ca="1" si="33"/>
        <v>#REF!</v>
      </c>
      <c r="O143" s="1255" t="e">
        <f t="shared" ca="1" si="33"/>
        <v>#REF!</v>
      </c>
      <c r="P143" s="1255" t="e">
        <f t="shared" ca="1" si="33"/>
        <v>#REF!</v>
      </c>
      <c r="Q143" s="1255" t="e">
        <f t="shared" ca="1" si="33"/>
        <v>#REF!</v>
      </c>
      <c r="R143" s="1220"/>
    </row>
    <row r="144" spans="1:18">
      <c r="B144" s="1221"/>
      <c r="C144" s="1219">
        <v>6</v>
      </c>
      <c r="D144" s="1218" t="str">
        <f>INDEX(IPCC[Sector_description], MATCH($C144, IPCC[Sector_code], 0))</f>
        <v>Waste</v>
      </c>
      <c r="E144" s="1218"/>
      <c r="F144" s="1255">
        <f t="shared" si="28"/>
        <v>2.8590076266100505E-2</v>
      </c>
      <c r="G144" s="1256"/>
      <c r="H144" s="1255" t="e">
        <f t="shared" ref="H144:Q144" ca="1" si="34">H185*$H$153/$F$203</f>
        <v>#REF!</v>
      </c>
      <c r="I144" s="1255" t="e">
        <f t="shared" ca="1" si="34"/>
        <v>#REF!</v>
      </c>
      <c r="J144" s="1255" t="e">
        <f t="shared" ca="1" si="34"/>
        <v>#REF!</v>
      </c>
      <c r="K144" s="1255" t="e">
        <f t="shared" ca="1" si="34"/>
        <v>#REF!</v>
      </c>
      <c r="L144" s="1255" t="e">
        <f t="shared" ca="1" si="34"/>
        <v>#REF!</v>
      </c>
      <c r="M144" s="1255" t="e">
        <f t="shared" ca="1" si="34"/>
        <v>#REF!</v>
      </c>
      <c r="N144" s="1255" t="e">
        <f t="shared" ca="1" si="34"/>
        <v>#REF!</v>
      </c>
      <c r="O144" s="1255" t="e">
        <f t="shared" ca="1" si="34"/>
        <v>#REF!</v>
      </c>
      <c r="P144" s="1255" t="e">
        <f t="shared" ca="1" si="34"/>
        <v>#REF!</v>
      </c>
      <c r="Q144" s="1255" t="e">
        <f t="shared" ca="1" si="34"/>
        <v>#REF!</v>
      </c>
      <c r="R144" s="1220"/>
    </row>
    <row r="145" spans="2:19">
      <c r="B145" s="1221"/>
      <c r="C145" s="1219">
        <v>7</v>
      </c>
      <c r="D145" s="1218" t="str">
        <f>INDEX(IPCC[Sector_description], MATCH($C145, IPCC[Sector_code], 0))</f>
        <v>Other</v>
      </c>
      <c r="E145" s="1218"/>
      <c r="F145" s="1255">
        <f t="shared" si="28"/>
        <v>0</v>
      </c>
      <c r="G145" s="1256"/>
      <c r="H145" s="1255" t="e">
        <f t="shared" ref="H145:Q145" ca="1" si="35">H186*$H$153/$F$203</f>
        <v>#REF!</v>
      </c>
      <c r="I145" s="1255" t="e">
        <f t="shared" ca="1" si="35"/>
        <v>#REF!</v>
      </c>
      <c r="J145" s="1255" t="e">
        <f t="shared" ca="1" si="35"/>
        <v>#REF!</v>
      </c>
      <c r="K145" s="1255" t="e">
        <f t="shared" ca="1" si="35"/>
        <v>#REF!</v>
      </c>
      <c r="L145" s="1255" t="e">
        <f t="shared" ca="1" si="35"/>
        <v>#REF!</v>
      </c>
      <c r="M145" s="1255" t="e">
        <f t="shared" ca="1" si="35"/>
        <v>#REF!</v>
      </c>
      <c r="N145" s="1255" t="e">
        <f t="shared" ca="1" si="35"/>
        <v>#REF!</v>
      </c>
      <c r="O145" s="1255" t="e">
        <f t="shared" ca="1" si="35"/>
        <v>#REF!</v>
      </c>
      <c r="P145" s="1255" t="e">
        <f t="shared" ca="1" si="35"/>
        <v>#REF!</v>
      </c>
      <c r="Q145" s="1255" t="e">
        <f t="shared" ca="1" si="35"/>
        <v>#REF!</v>
      </c>
      <c r="R145" s="1220"/>
    </row>
    <row r="146" spans="2:19">
      <c r="B146" s="1221"/>
      <c r="C146" s="1219" t="s">
        <v>806</v>
      </c>
      <c r="D146" s="1218" t="str">
        <f>INDEX(IPCC[Sector_description], MATCH($C146, IPCC[Sector_code], 0))</f>
        <v>International Aviation and Shipping</v>
      </c>
      <c r="E146" s="1218"/>
      <c r="F146" s="1255">
        <f t="shared" si="28"/>
        <v>5.3182960880876672E-2</v>
      </c>
      <c r="G146" s="1256"/>
      <c r="H146" s="1255" t="e">
        <f t="shared" ref="H146:Q146" ca="1" si="36">H187*$H$153/$F$203</f>
        <v>#REF!</v>
      </c>
      <c r="I146" s="1255" t="e">
        <f t="shared" ca="1" si="36"/>
        <v>#REF!</v>
      </c>
      <c r="J146" s="1255" t="e">
        <f t="shared" ca="1" si="36"/>
        <v>#REF!</v>
      </c>
      <c r="K146" s="1255" t="e">
        <f t="shared" ca="1" si="36"/>
        <v>#REF!</v>
      </c>
      <c r="L146" s="1255" t="e">
        <f t="shared" ca="1" si="36"/>
        <v>#REF!</v>
      </c>
      <c r="M146" s="1255" t="e">
        <f t="shared" ca="1" si="36"/>
        <v>#REF!</v>
      </c>
      <c r="N146" s="1255" t="e">
        <f t="shared" ca="1" si="36"/>
        <v>#REF!</v>
      </c>
      <c r="O146" s="1255" t="e">
        <f t="shared" ca="1" si="36"/>
        <v>#REF!</v>
      </c>
      <c r="P146" s="1255" t="e">
        <f t="shared" ca="1" si="36"/>
        <v>#REF!</v>
      </c>
      <c r="Q146" s="1255" t="e">
        <f t="shared" ca="1" si="36"/>
        <v>#REF!</v>
      </c>
      <c r="R146" s="1220"/>
    </row>
    <row r="147" spans="2:19" s="529" customFormat="1">
      <c r="B147" s="1223"/>
      <c r="C147" s="1219" t="s">
        <v>807</v>
      </c>
      <c r="D147" s="1225" t="str">
        <f>INDEX(IPCC[Sector_description], MATCH($C147, IPCC[Sector_code], 0))</f>
        <v>Bioenergy credit</v>
      </c>
      <c r="E147" s="1218"/>
      <c r="F147" s="1226"/>
      <c r="G147" s="1227"/>
      <c r="H147" s="1255" t="e">
        <f t="shared" ref="H147:Q147" ca="1" si="37">H188*$H$153/$F$203</f>
        <v>#REF!</v>
      </c>
      <c r="I147" s="1255" t="e">
        <f t="shared" ca="1" si="37"/>
        <v>#REF!</v>
      </c>
      <c r="J147" s="1255" t="e">
        <f t="shared" ca="1" si="37"/>
        <v>#REF!</v>
      </c>
      <c r="K147" s="1255" t="e">
        <f t="shared" ca="1" si="37"/>
        <v>#REF!</v>
      </c>
      <c r="L147" s="1255" t="e">
        <f t="shared" ca="1" si="37"/>
        <v>#REF!</v>
      </c>
      <c r="M147" s="1255" t="e">
        <f t="shared" ca="1" si="37"/>
        <v>#REF!</v>
      </c>
      <c r="N147" s="1255" t="e">
        <f t="shared" ca="1" si="37"/>
        <v>#REF!</v>
      </c>
      <c r="O147" s="1255" t="e">
        <f t="shared" ca="1" si="37"/>
        <v>#REF!</v>
      </c>
      <c r="P147" s="1255" t="e">
        <f t="shared" ca="1" si="37"/>
        <v>#REF!</v>
      </c>
      <c r="Q147" s="1255" t="e">
        <f t="shared" ca="1" si="37"/>
        <v>#REF!</v>
      </c>
      <c r="R147" s="1228"/>
    </row>
    <row r="148" spans="2:19">
      <c r="B148" s="1221"/>
      <c r="C148" s="1219" t="s">
        <v>833</v>
      </c>
      <c r="D148" s="1225" t="str">
        <f>INDEX(IPCC[Sector_description], MATCH($C148, IPCC[Sector_code], 0))</f>
        <v>Carbon capture</v>
      </c>
      <c r="E148" s="1218"/>
      <c r="F148" s="1226"/>
      <c r="G148" s="1227"/>
      <c r="H148" s="1255" t="e">
        <f t="shared" ref="H148:Q148" ca="1" si="38">H189*$H$153/$F$203</f>
        <v>#REF!</v>
      </c>
      <c r="I148" s="1255" t="e">
        <f t="shared" ca="1" si="38"/>
        <v>#REF!</v>
      </c>
      <c r="J148" s="1255" t="e">
        <f t="shared" ca="1" si="38"/>
        <v>#REF!</v>
      </c>
      <c r="K148" s="1255" t="e">
        <f t="shared" ca="1" si="38"/>
        <v>#REF!</v>
      </c>
      <c r="L148" s="1255" t="e">
        <f t="shared" ca="1" si="38"/>
        <v>#REF!</v>
      </c>
      <c r="M148" s="1255" t="e">
        <f t="shared" ca="1" si="38"/>
        <v>#REF!</v>
      </c>
      <c r="N148" s="1255" t="e">
        <f t="shared" ca="1" si="38"/>
        <v>#REF!</v>
      </c>
      <c r="O148" s="1255" t="e">
        <f t="shared" ca="1" si="38"/>
        <v>#REF!</v>
      </c>
      <c r="P148" s="1255" t="e">
        <f t="shared" ca="1" si="38"/>
        <v>#REF!</v>
      </c>
      <c r="Q148" s="1255" t="e">
        <f t="shared" ca="1" si="38"/>
        <v>#REF!</v>
      </c>
      <c r="R148" s="1220"/>
    </row>
    <row r="149" spans="2:19">
      <c r="B149" s="1221"/>
      <c r="C149" s="1218"/>
      <c r="D149" s="1222" t="s">
        <v>132</v>
      </c>
      <c r="E149" s="1218"/>
      <c r="F149" s="1257">
        <f>SUM(F139:F146)</f>
        <v>0.85163925735192203</v>
      </c>
      <c r="G149" s="1255"/>
      <c r="H149" s="1257" t="e">
        <f ca="1">SUM(H139:H148)</f>
        <v>#REF!</v>
      </c>
      <c r="I149" s="1257" t="e">
        <f t="shared" ref="I149:Q149" ca="1" si="39">SUM(I139:I148)</f>
        <v>#REF!</v>
      </c>
      <c r="J149" s="1257" t="e">
        <f t="shared" ca="1" si="39"/>
        <v>#REF!</v>
      </c>
      <c r="K149" s="1257" t="e">
        <f t="shared" ca="1" si="39"/>
        <v>#REF!</v>
      </c>
      <c r="L149" s="1257" t="e">
        <f t="shared" ca="1" si="39"/>
        <v>#REF!</v>
      </c>
      <c r="M149" s="1257" t="e">
        <f t="shared" ca="1" si="39"/>
        <v>#REF!</v>
      </c>
      <c r="N149" s="1257" t="e">
        <f t="shared" ca="1" si="39"/>
        <v>#REF!</v>
      </c>
      <c r="O149" s="1257" t="e">
        <f t="shared" ca="1" si="39"/>
        <v>#REF!</v>
      </c>
      <c r="P149" s="1257" t="e">
        <f t="shared" ca="1" si="39"/>
        <v>#REF!</v>
      </c>
      <c r="Q149" s="1257" t="e">
        <f t="shared" ca="1" si="39"/>
        <v>#REF!</v>
      </c>
      <c r="R149" s="1220"/>
      <c r="S149" s="1149"/>
    </row>
    <row r="150" spans="2:19" ht="5.25" customHeight="1">
      <c r="B150" s="1221"/>
      <c r="C150" s="1218"/>
      <c r="D150" s="1218"/>
      <c r="E150" s="1218"/>
      <c r="F150" s="1256"/>
      <c r="G150" s="1256"/>
      <c r="H150" s="1256"/>
      <c r="I150" s="1256"/>
      <c r="J150" s="1256"/>
      <c r="K150" s="1256"/>
      <c r="L150" s="1256"/>
      <c r="M150" s="1256"/>
      <c r="N150" s="1256"/>
      <c r="O150" s="1256"/>
      <c r="P150" s="1256"/>
      <c r="Q150" s="1256"/>
      <c r="R150" s="1220"/>
    </row>
    <row r="151" spans="2:19" s="246" customFormat="1">
      <c r="B151" s="1235"/>
      <c r="C151" s="1236" t="s">
        <v>1003</v>
      </c>
      <c r="D151" s="1236"/>
      <c r="E151" s="1236"/>
      <c r="F151" s="1258">
        <f>F192/F201</f>
        <v>0.82154175185293077</v>
      </c>
      <c r="G151" s="1258"/>
      <c r="H151" s="1258" t="e">
        <f t="shared" ref="H151:Q151" ca="1" si="40">(H$192/$F$201)*$H$153</f>
        <v>#REF!</v>
      </c>
      <c r="I151" s="1258" t="e">
        <f t="shared" ca="1" si="40"/>
        <v>#REF!</v>
      </c>
      <c r="J151" s="1258" t="e">
        <f t="shared" ca="1" si="40"/>
        <v>#REF!</v>
      </c>
      <c r="K151" s="1258" t="e">
        <f t="shared" ca="1" si="40"/>
        <v>#REF!</v>
      </c>
      <c r="L151" s="1258" t="e">
        <f t="shared" ca="1" si="40"/>
        <v>#REF!</v>
      </c>
      <c r="M151" s="1258" t="e">
        <f t="shared" ca="1" si="40"/>
        <v>#REF!</v>
      </c>
      <c r="N151" s="1258" t="e">
        <f t="shared" ca="1" si="40"/>
        <v>#REF!</v>
      </c>
      <c r="O151" s="1258" t="e">
        <f t="shared" ca="1" si="40"/>
        <v>#REF!</v>
      </c>
      <c r="P151" s="1258" t="e">
        <f t="shared" ca="1" si="40"/>
        <v>#REF!</v>
      </c>
      <c r="Q151" s="1258" t="e">
        <f t="shared" ca="1" si="40"/>
        <v>#REF!</v>
      </c>
      <c r="R151" s="1238"/>
    </row>
    <row r="152" spans="2:19">
      <c r="B152" s="1221"/>
      <c r="C152" s="1218"/>
      <c r="D152" s="1218"/>
      <c r="E152" s="1218"/>
      <c r="F152" s="1218"/>
      <c r="G152" s="1218"/>
      <c r="H152" s="1218"/>
      <c r="I152" s="1218"/>
      <c r="J152" s="1218"/>
      <c r="K152" s="1218"/>
      <c r="L152" s="1218"/>
      <c r="M152" s="1218"/>
      <c r="N152" s="1218"/>
      <c r="O152" s="1218"/>
      <c r="P152" s="1218"/>
      <c r="Q152" s="1218"/>
      <c r="R152" s="1220"/>
    </row>
    <row r="153" spans="2:19" s="532" customFormat="1" ht="13.5" customHeight="1">
      <c r="B153" s="1252"/>
      <c r="C153" s="1253"/>
      <c r="D153" s="1381"/>
      <c r="E153" s="1381" t="s">
        <v>1057</v>
      </c>
      <c r="F153" s="1380"/>
      <c r="G153" s="1253"/>
      <c r="H153" s="1382" t="e">
        <f ca="1">$F$190/$H$190</f>
        <v>#REF!</v>
      </c>
      <c r="I153" s="1253"/>
      <c r="J153" s="1253"/>
      <c r="K153" s="1253"/>
      <c r="L153" s="1253"/>
      <c r="M153" s="1253"/>
      <c r="N153" s="1253"/>
      <c r="O153" s="1253"/>
      <c r="P153" s="1678" t="s">
        <v>1679</v>
      </c>
      <c r="Q153" s="1677" t="e">
        <f ca="1">1-Q149</f>
        <v>#REF!</v>
      </c>
      <c r="R153" s="1254"/>
    </row>
    <row r="154" spans="2:19" s="532" customFormat="1" ht="13.5" customHeight="1">
      <c r="B154" s="1252"/>
      <c r="C154" s="1253"/>
      <c r="D154" s="1381"/>
      <c r="E154" s="1381"/>
      <c r="F154" s="1380"/>
      <c r="G154" s="1253"/>
      <c r="H154" s="1382"/>
      <c r="I154" s="1253"/>
      <c r="J154" s="1253"/>
      <c r="K154" s="1253"/>
      <c r="L154" s="1253"/>
      <c r="M154" s="1253"/>
      <c r="N154" s="1253"/>
      <c r="O154" s="1253"/>
      <c r="P154" s="1678"/>
      <c r="Q154" s="1677"/>
      <c r="R154" s="1254"/>
    </row>
    <row r="155" spans="2:19" s="532" customFormat="1" ht="13.5" customHeight="1">
      <c r="B155" s="1252"/>
      <c r="C155" s="1253" t="s">
        <v>1718</v>
      </c>
      <c r="D155" s="1381"/>
      <c r="E155" s="1381"/>
      <c r="F155" s="1381" t="s">
        <v>184</v>
      </c>
      <c r="G155" s="1253"/>
      <c r="H155" s="1218">
        <v>2007</v>
      </c>
      <c r="I155" s="1218">
        <v>2010</v>
      </c>
      <c r="J155" s="1218">
        <v>2015</v>
      </c>
      <c r="K155" s="1218">
        <v>2020</v>
      </c>
      <c r="L155" s="1218">
        <v>2025</v>
      </c>
      <c r="M155" s="1218">
        <v>2030</v>
      </c>
      <c r="N155" s="1218">
        <v>2035</v>
      </c>
      <c r="O155" s="1218">
        <v>2040</v>
      </c>
      <c r="P155" s="1218">
        <v>2045</v>
      </c>
      <c r="Q155" s="1219">
        <v>2050</v>
      </c>
      <c r="R155" s="1254"/>
    </row>
    <row r="156" spans="2:19" s="532" customFormat="1" ht="13.5" customHeight="1">
      <c r="B156" s="1252"/>
      <c r="C156" s="1381" t="s">
        <v>68</v>
      </c>
      <c r="D156" s="1381"/>
      <c r="E156" s="1381"/>
      <c r="F156" s="1721" t="s">
        <v>426</v>
      </c>
      <c r="G156" s="1253"/>
      <c r="H156" s="1688" t="e">
        <f ca="1">SUMIFS(INDIRECT("'"&amp;H$155&amp;"'!Year.EmissionsBySector"), INDIRECT("'"&amp;H$155&amp;"'!Year.Modules"),$C156)</f>
        <v>#REF!</v>
      </c>
      <c r="I156" s="1688" t="e">
        <f t="shared" ref="H156:Q171" ca="1" si="41">SUMIFS(INDIRECT("'"&amp;I$155&amp;"'!Year.EmissionsBySector"), INDIRECT("'"&amp;I$155&amp;"'!Year.Modules"),$C156)</f>
        <v>#REF!</v>
      </c>
      <c r="J156" s="1688" t="e">
        <f t="shared" ca="1" si="41"/>
        <v>#REF!</v>
      </c>
      <c r="K156" s="1688" t="e">
        <f t="shared" ca="1" si="41"/>
        <v>#REF!</v>
      </c>
      <c r="L156" s="1688" t="e">
        <f t="shared" ca="1" si="41"/>
        <v>#REF!</v>
      </c>
      <c r="M156" s="1688" t="e">
        <f t="shared" ca="1" si="41"/>
        <v>#REF!</v>
      </c>
      <c r="N156" s="1688" t="e">
        <f t="shared" ca="1" si="41"/>
        <v>#REF!</v>
      </c>
      <c r="O156" s="1688" t="e">
        <f t="shared" ca="1" si="41"/>
        <v>#REF!</v>
      </c>
      <c r="P156" s="1688" t="e">
        <f t="shared" ca="1" si="41"/>
        <v>#REF!</v>
      </c>
      <c r="Q156" s="1688">
        <f t="shared" ca="1" si="41"/>
        <v>16.688490998952744</v>
      </c>
      <c r="R156" s="1254"/>
    </row>
    <row r="157" spans="2:19" s="532" customFormat="1" ht="13.5" customHeight="1">
      <c r="B157" s="1252"/>
      <c r="C157" s="1381" t="s">
        <v>69</v>
      </c>
      <c r="D157" s="1381"/>
      <c r="E157" s="1381"/>
      <c r="F157" s="1721" t="s">
        <v>427</v>
      </c>
      <c r="G157" s="1253"/>
      <c r="H157" s="1688" t="e">
        <f t="shared" ca="1" si="41"/>
        <v>#REF!</v>
      </c>
      <c r="I157" s="1688" t="e">
        <f t="shared" ca="1" si="41"/>
        <v>#REF!</v>
      </c>
      <c r="J157" s="1688" t="e">
        <f t="shared" ca="1" si="41"/>
        <v>#REF!</v>
      </c>
      <c r="K157" s="1688" t="e">
        <f t="shared" ca="1" si="41"/>
        <v>#REF!</v>
      </c>
      <c r="L157" s="1688" t="e">
        <f t="shared" ca="1" si="41"/>
        <v>#REF!</v>
      </c>
      <c r="M157" s="1688" t="e">
        <f t="shared" ca="1" si="41"/>
        <v>#REF!</v>
      </c>
      <c r="N157" s="1688" t="e">
        <f t="shared" ca="1" si="41"/>
        <v>#REF!</v>
      </c>
      <c r="O157" s="1688" t="e">
        <f t="shared" ca="1" si="41"/>
        <v>#REF!</v>
      </c>
      <c r="P157" s="1688" t="e">
        <f t="shared" ca="1" si="41"/>
        <v>#REF!</v>
      </c>
      <c r="Q157" s="1688">
        <f t="shared" ca="1" si="41"/>
        <v>0</v>
      </c>
      <c r="R157" s="1254"/>
    </row>
    <row r="158" spans="2:19" s="532" customFormat="1" ht="13.5" customHeight="1">
      <c r="B158" s="1252"/>
      <c r="C158" s="1381" t="s">
        <v>70</v>
      </c>
      <c r="D158" s="1381"/>
      <c r="E158" s="1381"/>
      <c r="F158" s="1721" t="s">
        <v>428</v>
      </c>
      <c r="G158" s="1253"/>
      <c r="H158" s="1688" t="e">
        <f t="shared" ca="1" si="41"/>
        <v>#REF!</v>
      </c>
      <c r="I158" s="1688" t="e">
        <f t="shared" ca="1" si="41"/>
        <v>#REF!</v>
      </c>
      <c r="J158" s="1688" t="e">
        <f t="shared" ca="1" si="41"/>
        <v>#REF!</v>
      </c>
      <c r="K158" s="1688" t="e">
        <f t="shared" ca="1" si="41"/>
        <v>#REF!</v>
      </c>
      <c r="L158" s="1688" t="e">
        <f t="shared" ca="1" si="41"/>
        <v>#REF!</v>
      </c>
      <c r="M158" s="1688" t="e">
        <f t="shared" ca="1" si="41"/>
        <v>#REF!</v>
      </c>
      <c r="N158" s="1688" t="e">
        <f t="shared" ca="1" si="41"/>
        <v>#REF!</v>
      </c>
      <c r="O158" s="1688" t="e">
        <f t="shared" ca="1" si="41"/>
        <v>#REF!</v>
      </c>
      <c r="P158" s="1688" t="e">
        <f t="shared" ca="1" si="41"/>
        <v>#REF!</v>
      </c>
      <c r="Q158" s="1688">
        <f t="shared" ca="1" si="41"/>
        <v>0</v>
      </c>
      <c r="R158" s="1254"/>
    </row>
    <row r="159" spans="2:19" s="532" customFormat="1" ht="13.5" customHeight="1">
      <c r="B159" s="1252"/>
      <c r="C159" s="1381" t="s">
        <v>71</v>
      </c>
      <c r="D159" s="1381"/>
      <c r="E159" s="1381"/>
      <c r="F159" s="1721" t="s">
        <v>1022</v>
      </c>
      <c r="G159" s="1253"/>
      <c r="H159" s="1688" t="e">
        <f t="shared" ca="1" si="41"/>
        <v>#REF!</v>
      </c>
      <c r="I159" s="1688" t="e">
        <f t="shared" ca="1" si="41"/>
        <v>#REF!</v>
      </c>
      <c r="J159" s="1688" t="e">
        <f t="shared" ca="1" si="41"/>
        <v>#REF!</v>
      </c>
      <c r="K159" s="1688" t="e">
        <f t="shared" ca="1" si="41"/>
        <v>#REF!</v>
      </c>
      <c r="L159" s="1688" t="e">
        <f t="shared" ca="1" si="41"/>
        <v>#REF!</v>
      </c>
      <c r="M159" s="1688" t="e">
        <f t="shared" ca="1" si="41"/>
        <v>#REF!</v>
      </c>
      <c r="N159" s="1688" t="e">
        <f t="shared" ca="1" si="41"/>
        <v>#REF!</v>
      </c>
      <c r="O159" s="1688" t="e">
        <f t="shared" ca="1" si="41"/>
        <v>#REF!</v>
      </c>
      <c r="P159" s="1688" t="e">
        <f t="shared" ca="1" si="41"/>
        <v>#REF!</v>
      </c>
      <c r="Q159" s="1688">
        <f t="shared" ca="1" si="41"/>
        <v>0</v>
      </c>
      <c r="R159" s="1254"/>
    </row>
    <row r="160" spans="2:19" s="532" customFormat="1" ht="13.5" customHeight="1">
      <c r="B160" s="1252"/>
      <c r="C160" s="1381" t="s">
        <v>560</v>
      </c>
      <c r="D160" s="1381"/>
      <c r="E160" s="1381"/>
      <c r="F160" s="1721" t="s">
        <v>1330</v>
      </c>
      <c r="G160" s="1253"/>
      <c r="H160" s="1688" t="e">
        <f t="shared" ca="1" si="41"/>
        <v>#REF!</v>
      </c>
      <c r="I160" s="1688" t="e">
        <f t="shared" ca="1" si="41"/>
        <v>#REF!</v>
      </c>
      <c r="J160" s="1688" t="e">
        <f t="shared" ca="1" si="41"/>
        <v>#REF!</v>
      </c>
      <c r="K160" s="1688" t="e">
        <f t="shared" ca="1" si="41"/>
        <v>#REF!</v>
      </c>
      <c r="L160" s="1688" t="e">
        <f t="shared" ca="1" si="41"/>
        <v>#REF!</v>
      </c>
      <c r="M160" s="1688" t="e">
        <f t="shared" ca="1" si="41"/>
        <v>#REF!</v>
      </c>
      <c r="N160" s="1688" t="e">
        <f t="shared" ca="1" si="41"/>
        <v>#REF!</v>
      </c>
      <c r="O160" s="1688" t="e">
        <f t="shared" ca="1" si="41"/>
        <v>#REF!</v>
      </c>
      <c r="P160" s="1688" t="e">
        <f t="shared" ca="1" si="41"/>
        <v>#REF!</v>
      </c>
      <c r="Q160" s="1688">
        <f t="shared" ca="1" si="41"/>
        <v>0</v>
      </c>
      <c r="R160" s="1254"/>
    </row>
    <row r="161" spans="2:18" s="532" customFormat="1" ht="13.5" customHeight="1">
      <c r="B161" s="1252"/>
      <c r="C161" s="1381" t="s">
        <v>561</v>
      </c>
      <c r="D161" s="1381"/>
      <c r="E161" s="1381"/>
      <c r="F161" s="1721" t="s">
        <v>735</v>
      </c>
      <c r="G161" s="1253"/>
      <c r="H161" s="1688" t="e">
        <f t="shared" ca="1" si="41"/>
        <v>#REF!</v>
      </c>
      <c r="I161" s="1688" t="e">
        <f t="shared" ca="1" si="41"/>
        <v>#REF!</v>
      </c>
      <c r="J161" s="1688" t="e">
        <f t="shared" ca="1" si="41"/>
        <v>#REF!</v>
      </c>
      <c r="K161" s="1688" t="e">
        <f t="shared" ca="1" si="41"/>
        <v>#REF!</v>
      </c>
      <c r="L161" s="1688" t="e">
        <f t="shared" ca="1" si="41"/>
        <v>#REF!</v>
      </c>
      <c r="M161" s="1688" t="e">
        <f t="shared" ca="1" si="41"/>
        <v>#REF!</v>
      </c>
      <c r="N161" s="1688" t="e">
        <f t="shared" ca="1" si="41"/>
        <v>#REF!</v>
      </c>
      <c r="O161" s="1688" t="e">
        <f t="shared" ca="1" si="41"/>
        <v>#REF!</v>
      </c>
      <c r="P161" s="1688" t="e">
        <f t="shared" ca="1" si="41"/>
        <v>#REF!</v>
      </c>
      <c r="Q161" s="1688">
        <f t="shared" ca="1" si="41"/>
        <v>0</v>
      </c>
      <c r="R161" s="1254"/>
    </row>
    <row r="162" spans="2:18" s="532" customFormat="1" ht="13.5" customHeight="1">
      <c r="B162" s="1252"/>
      <c r="C162" s="1381" t="s">
        <v>562</v>
      </c>
      <c r="D162" s="1381"/>
      <c r="E162" s="1381"/>
      <c r="F162" s="1721" t="s">
        <v>745</v>
      </c>
      <c r="G162" s="1253"/>
      <c r="H162" s="1688" t="e">
        <f t="shared" ca="1" si="41"/>
        <v>#REF!</v>
      </c>
      <c r="I162" s="1688" t="e">
        <f t="shared" ca="1" si="41"/>
        <v>#REF!</v>
      </c>
      <c r="J162" s="1688" t="e">
        <f t="shared" ca="1" si="41"/>
        <v>#REF!</v>
      </c>
      <c r="K162" s="1688" t="e">
        <f t="shared" ca="1" si="41"/>
        <v>#REF!</v>
      </c>
      <c r="L162" s="1688" t="e">
        <f t="shared" ca="1" si="41"/>
        <v>#REF!</v>
      </c>
      <c r="M162" s="1688" t="e">
        <f t="shared" ca="1" si="41"/>
        <v>#REF!</v>
      </c>
      <c r="N162" s="1688" t="e">
        <f t="shared" ca="1" si="41"/>
        <v>#REF!</v>
      </c>
      <c r="O162" s="1688" t="e">
        <f t="shared" ca="1" si="41"/>
        <v>#REF!</v>
      </c>
      <c r="P162" s="1688" t="e">
        <f t="shared" ca="1" si="41"/>
        <v>#REF!</v>
      </c>
      <c r="Q162" s="1688">
        <f t="shared" ca="1" si="41"/>
        <v>0</v>
      </c>
      <c r="R162" s="1254"/>
    </row>
    <row r="163" spans="2:18" s="532" customFormat="1" ht="13.5" customHeight="1">
      <c r="B163" s="1252"/>
      <c r="C163" s="1381" t="s">
        <v>563</v>
      </c>
      <c r="D163" s="1381"/>
      <c r="E163" s="1381"/>
      <c r="F163" s="1721" t="s">
        <v>570</v>
      </c>
      <c r="G163" s="1253"/>
      <c r="H163" s="1688" t="e">
        <f t="shared" ca="1" si="41"/>
        <v>#REF!</v>
      </c>
      <c r="I163" s="1688" t="e">
        <f t="shared" ca="1" si="41"/>
        <v>#REF!</v>
      </c>
      <c r="J163" s="1688" t="e">
        <f t="shared" ca="1" si="41"/>
        <v>#REF!</v>
      </c>
      <c r="K163" s="1688" t="e">
        <f t="shared" ca="1" si="41"/>
        <v>#REF!</v>
      </c>
      <c r="L163" s="1688" t="e">
        <f t="shared" ca="1" si="41"/>
        <v>#REF!</v>
      </c>
      <c r="M163" s="1688" t="e">
        <f t="shared" ca="1" si="41"/>
        <v>#REF!</v>
      </c>
      <c r="N163" s="1688" t="e">
        <f t="shared" ca="1" si="41"/>
        <v>#REF!</v>
      </c>
      <c r="O163" s="1688" t="e">
        <f t="shared" ca="1" si="41"/>
        <v>#REF!</v>
      </c>
      <c r="P163" s="1688" t="e">
        <f t="shared" ca="1" si="41"/>
        <v>#REF!</v>
      </c>
      <c r="Q163" s="1688">
        <f t="shared" ca="1" si="41"/>
        <v>0</v>
      </c>
      <c r="R163" s="1254"/>
    </row>
    <row r="164" spans="2:18" s="532" customFormat="1" ht="13.5" customHeight="1">
      <c r="B164" s="1252"/>
      <c r="C164" s="1381" t="s">
        <v>565</v>
      </c>
      <c r="D164" s="1381"/>
      <c r="E164" s="1381"/>
      <c r="F164" s="1721" t="s">
        <v>26</v>
      </c>
      <c r="G164" s="1253"/>
      <c r="H164" s="1688" t="e">
        <f t="shared" ca="1" si="41"/>
        <v>#REF!</v>
      </c>
      <c r="I164" s="1688" t="e">
        <f t="shared" ca="1" si="41"/>
        <v>#REF!</v>
      </c>
      <c r="J164" s="1688" t="e">
        <f t="shared" ca="1" si="41"/>
        <v>#REF!</v>
      </c>
      <c r="K164" s="1688" t="e">
        <f t="shared" ca="1" si="41"/>
        <v>#REF!</v>
      </c>
      <c r="L164" s="1688" t="e">
        <f t="shared" ca="1" si="41"/>
        <v>#REF!</v>
      </c>
      <c r="M164" s="1688" t="e">
        <f t="shared" ca="1" si="41"/>
        <v>#REF!</v>
      </c>
      <c r="N164" s="1688" t="e">
        <f t="shared" ca="1" si="41"/>
        <v>#REF!</v>
      </c>
      <c r="O164" s="1688" t="e">
        <f t="shared" ca="1" si="41"/>
        <v>#REF!</v>
      </c>
      <c r="P164" s="1688" t="e">
        <f t="shared" ca="1" si="41"/>
        <v>#REF!</v>
      </c>
      <c r="Q164" s="1688">
        <f t="shared" ca="1" si="41"/>
        <v>0</v>
      </c>
      <c r="R164" s="1254"/>
    </row>
    <row r="165" spans="2:18" s="532" customFormat="1" ht="13.5" customHeight="1">
      <c r="B165" s="1252"/>
      <c r="C165" s="1381" t="s">
        <v>566</v>
      </c>
      <c r="D165" s="1381"/>
      <c r="E165" s="1381"/>
      <c r="F165" s="1721" t="s">
        <v>65</v>
      </c>
      <c r="G165" s="1253"/>
      <c r="H165" s="1688" t="e">
        <f t="shared" ca="1" si="41"/>
        <v>#REF!</v>
      </c>
      <c r="I165" s="1688" t="e">
        <f t="shared" ca="1" si="41"/>
        <v>#REF!</v>
      </c>
      <c r="J165" s="1688" t="e">
        <f t="shared" ca="1" si="41"/>
        <v>#REF!</v>
      </c>
      <c r="K165" s="1688" t="e">
        <f t="shared" ca="1" si="41"/>
        <v>#REF!</v>
      </c>
      <c r="L165" s="1688" t="e">
        <f t="shared" ca="1" si="41"/>
        <v>#REF!</v>
      </c>
      <c r="M165" s="1688" t="e">
        <f t="shared" ca="1" si="41"/>
        <v>#REF!</v>
      </c>
      <c r="N165" s="1688" t="e">
        <f t="shared" ca="1" si="41"/>
        <v>#REF!</v>
      </c>
      <c r="O165" s="1688" t="e">
        <f t="shared" ca="1" si="41"/>
        <v>#REF!</v>
      </c>
      <c r="P165" s="1688" t="e">
        <f t="shared" ca="1" si="41"/>
        <v>#REF!</v>
      </c>
      <c r="Q165" s="1688">
        <f t="shared" ca="1" si="41"/>
        <v>0</v>
      </c>
      <c r="R165" s="1254"/>
    </row>
    <row r="166" spans="2:18" s="532" customFormat="1" ht="13.5" customHeight="1">
      <c r="B166" s="1252"/>
      <c r="C166" s="1381" t="s">
        <v>567</v>
      </c>
      <c r="D166" s="1381"/>
      <c r="E166" s="1381"/>
      <c r="F166" s="1721" t="s">
        <v>39</v>
      </c>
      <c r="G166" s="1253"/>
      <c r="H166" s="1688" t="e">
        <f t="shared" ca="1" si="41"/>
        <v>#REF!</v>
      </c>
      <c r="I166" s="1688" t="e">
        <f t="shared" ca="1" si="41"/>
        <v>#REF!</v>
      </c>
      <c r="J166" s="1688" t="e">
        <f t="shared" ca="1" si="41"/>
        <v>#REF!</v>
      </c>
      <c r="K166" s="1688" t="e">
        <f t="shared" ca="1" si="41"/>
        <v>#REF!</v>
      </c>
      <c r="L166" s="1688" t="e">
        <f t="shared" ca="1" si="41"/>
        <v>#REF!</v>
      </c>
      <c r="M166" s="1688" t="e">
        <f t="shared" ca="1" si="41"/>
        <v>#REF!</v>
      </c>
      <c r="N166" s="1688" t="e">
        <f t="shared" ca="1" si="41"/>
        <v>#REF!</v>
      </c>
      <c r="O166" s="1688" t="e">
        <f t="shared" ca="1" si="41"/>
        <v>#REF!</v>
      </c>
      <c r="P166" s="1688" t="e">
        <f t="shared" ca="1" si="41"/>
        <v>#REF!</v>
      </c>
      <c r="Q166" s="1688">
        <f t="shared" ca="1" si="41"/>
        <v>0</v>
      </c>
      <c r="R166" s="1254"/>
    </row>
    <row r="167" spans="2:18" s="532" customFormat="1" ht="13.5" customHeight="1">
      <c r="B167" s="1252"/>
      <c r="C167" s="1381" t="s">
        <v>568</v>
      </c>
      <c r="D167" s="1381"/>
      <c r="E167" s="1381"/>
      <c r="F167" s="1721" t="s">
        <v>244</v>
      </c>
      <c r="G167" s="1253"/>
      <c r="H167" s="1688" t="e">
        <f t="shared" ca="1" si="41"/>
        <v>#REF!</v>
      </c>
      <c r="I167" s="1688" t="e">
        <f t="shared" ca="1" si="41"/>
        <v>#REF!</v>
      </c>
      <c r="J167" s="1688" t="e">
        <f t="shared" ca="1" si="41"/>
        <v>#REF!</v>
      </c>
      <c r="K167" s="1688" t="e">
        <f t="shared" ca="1" si="41"/>
        <v>#REF!</v>
      </c>
      <c r="L167" s="1688" t="e">
        <f t="shared" ca="1" si="41"/>
        <v>#REF!</v>
      </c>
      <c r="M167" s="1688" t="e">
        <f t="shared" ca="1" si="41"/>
        <v>#REF!</v>
      </c>
      <c r="N167" s="1688" t="e">
        <f t="shared" ca="1" si="41"/>
        <v>#REF!</v>
      </c>
      <c r="O167" s="1688" t="e">
        <f t="shared" ca="1" si="41"/>
        <v>#REF!</v>
      </c>
      <c r="P167" s="1688" t="e">
        <f t="shared" ca="1" si="41"/>
        <v>#REF!</v>
      </c>
      <c r="Q167" s="1688">
        <f t="shared" ca="1" si="41"/>
        <v>0</v>
      </c>
      <c r="R167" s="1254"/>
    </row>
    <row r="168" spans="2:18" s="532" customFormat="1" ht="13.5" customHeight="1">
      <c r="B168" s="1252"/>
      <c r="C168" s="1381" t="s">
        <v>569</v>
      </c>
      <c r="D168" s="1381"/>
      <c r="E168" s="1381"/>
      <c r="F168" s="1721" t="s">
        <v>1407</v>
      </c>
      <c r="G168" s="1253"/>
      <c r="H168" s="1688" t="e">
        <f t="shared" ca="1" si="41"/>
        <v>#REF!</v>
      </c>
      <c r="I168" s="1688" t="e">
        <f t="shared" ca="1" si="41"/>
        <v>#REF!</v>
      </c>
      <c r="J168" s="1688" t="e">
        <f t="shared" ca="1" si="41"/>
        <v>#REF!</v>
      </c>
      <c r="K168" s="1688" t="e">
        <f t="shared" ca="1" si="41"/>
        <v>#REF!</v>
      </c>
      <c r="L168" s="1688" t="e">
        <f t="shared" ca="1" si="41"/>
        <v>#REF!</v>
      </c>
      <c r="M168" s="1688" t="e">
        <f t="shared" ca="1" si="41"/>
        <v>#REF!</v>
      </c>
      <c r="N168" s="1688" t="e">
        <f t="shared" ca="1" si="41"/>
        <v>#REF!</v>
      </c>
      <c r="O168" s="1688" t="e">
        <f t="shared" ca="1" si="41"/>
        <v>#REF!</v>
      </c>
      <c r="P168" s="1688" t="e">
        <f t="shared" ca="1" si="41"/>
        <v>#REF!</v>
      </c>
      <c r="Q168" s="1688">
        <f t="shared" ca="1" si="41"/>
        <v>0</v>
      </c>
      <c r="R168" s="1254"/>
    </row>
    <row r="169" spans="2:18" s="532" customFormat="1" ht="13.5" customHeight="1">
      <c r="B169" s="1252"/>
      <c r="C169" s="1381" t="s">
        <v>564</v>
      </c>
      <c r="D169" s="1381"/>
      <c r="E169" s="1381"/>
      <c r="F169" s="1721" t="s">
        <v>423</v>
      </c>
      <c r="G169" s="1253"/>
      <c r="H169" s="1688" t="e">
        <f t="shared" ca="1" si="41"/>
        <v>#REF!</v>
      </c>
      <c r="I169" s="1688" t="e">
        <f t="shared" ca="1" si="41"/>
        <v>#REF!</v>
      </c>
      <c r="J169" s="1688" t="e">
        <f t="shared" ca="1" si="41"/>
        <v>#REF!</v>
      </c>
      <c r="K169" s="1688" t="e">
        <f t="shared" ca="1" si="41"/>
        <v>#REF!</v>
      </c>
      <c r="L169" s="1688" t="e">
        <f t="shared" ca="1" si="41"/>
        <v>#REF!</v>
      </c>
      <c r="M169" s="1688" t="e">
        <f t="shared" ca="1" si="41"/>
        <v>#REF!</v>
      </c>
      <c r="N169" s="1688" t="e">
        <f t="shared" ca="1" si="41"/>
        <v>#REF!</v>
      </c>
      <c r="O169" s="1688" t="e">
        <f t="shared" ca="1" si="41"/>
        <v>#REF!</v>
      </c>
      <c r="P169" s="1688" t="e">
        <f t="shared" ca="1" si="41"/>
        <v>#REF!</v>
      </c>
      <c r="Q169" s="1688">
        <f t="shared" ca="1" si="41"/>
        <v>0</v>
      </c>
      <c r="R169" s="1254"/>
    </row>
    <row r="170" spans="2:18" s="532" customFormat="1" ht="13.5" customHeight="1">
      <c r="B170" s="1252"/>
      <c r="C170" s="1381" t="s">
        <v>740</v>
      </c>
      <c r="D170" s="1381"/>
      <c r="E170" s="1381"/>
      <c r="F170" s="1721" t="s">
        <v>741</v>
      </c>
      <c r="G170" s="1253"/>
      <c r="H170" s="1688" t="e">
        <f t="shared" ca="1" si="41"/>
        <v>#REF!</v>
      </c>
      <c r="I170" s="1688" t="e">
        <f t="shared" ca="1" si="41"/>
        <v>#REF!</v>
      </c>
      <c r="J170" s="1688" t="e">
        <f t="shared" ca="1" si="41"/>
        <v>#REF!</v>
      </c>
      <c r="K170" s="1688" t="e">
        <f t="shared" ca="1" si="41"/>
        <v>#REF!</v>
      </c>
      <c r="L170" s="1688" t="e">
        <f t="shared" ca="1" si="41"/>
        <v>#REF!</v>
      </c>
      <c r="M170" s="1688" t="e">
        <f t="shared" ca="1" si="41"/>
        <v>#REF!</v>
      </c>
      <c r="N170" s="1688" t="e">
        <f t="shared" ca="1" si="41"/>
        <v>#REF!</v>
      </c>
      <c r="O170" s="1688" t="e">
        <f t="shared" ca="1" si="41"/>
        <v>#REF!</v>
      </c>
      <c r="P170" s="1688" t="e">
        <f t="shared" ca="1" si="41"/>
        <v>#REF!</v>
      </c>
      <c r="Q170" s="1688">
        <f t="shared" ca="1" si="41"/>
        <v>1.9196033527551846</v>
      </c>
      <c r="R170" s="1254"/>
    </row>
    <row r="171" spans="2:18" s="532" customFormat="1" ht="13.5" customHeight="1">
      <c r="B171" s="1252"/>
      <c r="C171" s="1381" t="s">
        <v>770</v>
      </c>
      <c r="D171" s="1381"/>
      <c r="E171" s="1381"/>
      <c r="F171" s="1721" t="s">
        <v>141</v>
      </c>
      <c r="G171" s="1253"/>
      <c r="H171" s="1688" t="e">
        <f t="shared" ca="1" si="41"/>
        <v>#REF!</v>
      </c>
      <c r="I171" s="1688" t="e">
        <f t="shared" ca="1" si="41"/>
        <v>#REF!</v>
      </c>
      <c r="J171" s="1688" t="e">
        <f t="shared" ca="1" si="41"/>
        <v>#REF!</v>
      </c>
      <c r="K171" s="1688" t="e">
        <f t="shared" ca="1" si="41"/>
        <v>#REF!</v>
      </c>
      <c r="L171" s="1688" t="e">
        <f t="shared" ca="1" si="41"/>
        <v>#REF!</v>
      </c>
      <c r="M171" s="1688" t="e">
        <f t="shared" ca="1" si="41"/>
        <v>#REF!</v>
      </c>
      <c r="N171" s="1688" t="e">
        <f t="shared" ca="1" si="41"/>
        <v>#REF!</v>
      </c>
      <c r="O171" s="1688" t="e">
        <f t="shared" ca="1" si="41"/>
        <v>#REF!</v>
      </c>
      <c r="P171" s="1688" t="e">
        <f t="shared" ca="1" si="41"/>
        <v>#REF!</v>
      </c>
      <c r="Q171" s="1688">
        <f t="shared" ca="1" si="41"/>
        <v>0</v>
      </c>
      <c r="R171" s="1254"/>
    </row>
    <row r="172" spans="2:18" s="532" customFormat="1" ht="13.5" customHeight="1">
      <c r="B172" s="1252"/>
      <c r="C172" s="1381" t="s">
        <v>979</v>
      </c>
      <c r="D172" s="1381"/>
      <c r="E172" s="1381"/>
      <c r="F172" s="1721" t="s">
        <v>675</v>
      </c>
      <c r="G172" s="1253"/>
      <c r="H172" s="1688" t="e">
        <f t="shared" ref="H172:Q172" ca="1" si="42">SUMIFS(INDIRECT("'"&amp;H$155&amp;"'!Year.EmissionsBySector"), INDIRECT("'"&amp;H$155&amp;"'!Year.Modules"),$C172)</f>
        <v>#REF!</v>
      </c>
      <c r="I172" s="1688" t="e">
        <f t="shared" ca="1" si="42"/>
        <v>#REF!</v>
      </c>
      <c r="J172" s="1688" t="e">
        <f t="shared" ca="1" si="42"/>
        <v>#REF!</v>
      </c>
      <c r="K172" s="1688" t="e">
        <f t="shared" ca="1" si="42"/>
        <v>#REF!</v>
      </c>
      <c r="L172" s="1688" t="e">
        <f t="shared" ca="1" si="42"/>
        <v>#REF!</v>
      </c>
      <c r="M172" s="1688" t="e">
        <f t="shared" ca="1" si="42"/>
        <v>#REF!</v>
      </c>
      <c r="N172" s="1688" t="e">
        <f t="shared" ca="1" si="42"/>
        <v>#REF!</v>
      </c>
      <c r="O172" s="1688" t="e">
        <f t="shared" ca="1" si="42"/>
        <v>#REF!</v>
      </c>
      <c r="P172" s="1688" t="e">
        <f t="shared" ca="1" si="42"/>
        <v>#REF!</v>
      </c>
      <c r="Q172" s="1688">
        <f t="shared" ca="1" si="42"/>
        <v>0</v>
      </c>
      <c r="R172" s="1254"/>
    </row>
    <row r="173" spans="2:18" s="532" customFormat="1" ht="13.5" customHeight="1">
      <c r="B173" s="1252"/>
      <c r="C173" s="1253"/>
      <c r="D173" s="1381"/>
      <c r="E173" s="1381"/>
      <c r="F173" s="1381" t="s">
        <v>132</v>
      </c>
      <c r="G173" s="1253"/>
      <c r="H173" s="1689" t="e">
        <f t="shared" ref="H173:Q173" ca="1" si="43">SUM(H156:H172)</f>
        <v>#REF!</v>
      </c>
      <c r="I173" s="1689" t="e">
        <f t="shared" ca="1" si="43"/>
        <v>#REF!</v>
      </c>
      <c r="J173" s="1689" t="e">
        <f t="shared" ca="1" si="43"/>
        <v>#REF!</v>
      </c>
      <c r="K173" s="1689" t="e">
        <f t="shared" ca="1" si="43"/>
        <v>#REF!</v>
      </c>
      <c r="L173" s="1689" t="e">
        <f t="shared" ca="1" si="43"/>
        <v>#REF!</v>
      </c>
      <c r="M173" s="1689" t="e">
        <f t="shared" ca="1" si="43"/>
        <v>#REF!</v>
      </c>
      <c r="N173" s="1689" t="e">
        <f t="shared" ca="1" si="43"/>
        <v>#REF!</v>
      </c>
      <c r="O173" s="1689" t="e">
        <f t="shared" ca="1" si="43"/>
        <v>#REF!</v>
      </c>
      <c r="P173" s="1689" t="e">
        <f t="shared" ca="1" si="43"/>
        <v>#REF!</v>
      </c>
      <c r="Q173" s="1689">
        <f t="shared" ca="1" si="43"/>
        <v>18.60809435170793</v>
      </c>
      <c r="R173" s="1254"/>
    </row>
    <row r="174" spans="2:18" s="121" customFormat="1">
      <c r="B174" s="1221"/>
      <c r="C174" s="1218"/>
      <c r="D174" s="1218"/>
      <c r="E174" s="1218"/>
      <c r="F174" s="1236" t="s">
        <v>1848</v>
      </c>
      <c r="G174" s="1218"/>
      <c r="H174" s="1218"/>
      <c r="I174" s="1734" t="e">
        <f ca="1">(H173*(I155-H155))+I173+((I173-H173)*3/(I155-H155))</f>
        <v>#REF!</v>
      </c>
      <c r="J174" s="1734" t="e">
        <f ca="1">(I173*(J155-I155-1))+J173+((J173-I173)*10/(J155-I155))</f>
        <v>#REF!</v>
      </c>
      <c r="K174" s="1734" t="e">
        <f t="shared" ref="K174:Q174" ca="1" si="44">(J173*(K155-J155-1))+K173+((K173-J173)*10/(K155-J155))</f>
        <v>#REF!</v>
      </c>
      <c r="L174" s="1734" t="e">
        <f t="shared" ca="1" si="44"/>
        <v>#REF!</v>
      </c>
      <c r="M174" s="1734" t="e">
        <f t="shared" ca="1" si="44"/>
        <v>#REF!</v>
      </c>
      <c r="N174" s="1734" t="e">
        <f t="shared" ca="1" si="44"/>
        <v>#REF!</v>
      </c>
      <c r="O174" s="1734" t="e">
        <f t="shared" ca="1" si="44"/>
        <v>#REF!</v>
      </c>
      <c r="P174" s="1734" t="e">
        <f t="shared" ca="1" si="44"/>
        <v>#REF!</v>
      </c>
      <c r="Q174" s="1734" t="e">
        <f t="shared" ca="1" si="44"/>
        <v>#REF!</v>
      </c>
      <c r="R174" s="1220"/>
    </row>
    <row r="175" spans="2:18" s="121" customFormat="1" ht="15">
      <c r="B175" s="1221"/>
      <c r="C175" s="1246" t="s">
        <v>1054</v>
      </c>
      <c r="D175" s="1218"/>
      <c r="E175" s="1218"/>
      <c r="F175" s="1236" t="s">
        <v>1891</v>
      </c>
      <c r="G175" s="1218"/>
      <c r="H175" s="1218"/>
      <c r="I175" s="1218"/>
      <c r="J175" s="1701" t="e">
        <f ca="1">J174+I174</f>
        <v>#REF!</v>
      </c>
      <c r="K175" s="1701" t="e">
        <f ca="1">K174+J175</f>
        <v>#REF!</v>
      </c>
      <c r="L175" s="1701" t="e">
        <f t="shared" ref="L175:P175" ca="1" si="45">L174+K175</f>
        <v>#REF!</v>
      </c>
      <c r="M175" s="1701" t="e">
        <f t="shared" ca="1" si="45"/>
        <v>#REF!</v>
      </c>
      <c r="N175" s="1701" t="e">
        <f t="shared" ca="1" si="45"/>
        <v>#REF!</v>
      </c>
      <c r="O175" s="1701" t="e">
        <f t="shared" ca="1" si="45"/>
        <v>#REF!</v>
      </c>
      <c r="P175" s="1701" t="e">
        <f t="shared" ca="1" si="45"/>
        <v>#REF!</v>
      </c>
      <c r="Q175" s="1701" t="e">
        <f ca="1">Q174+P175</f>
        <v>#REF!</v>
      </c>
      <c r="R175" s="1220"/>
    </row>
    <row r="176" spans="2:18" s="121" customFormat="1">
      <c r="B176" s="1221"/>
      <c r="C176" s="1218"/>
      <c r="D176" s="1218"/>
      <c r="E176" s="1218"/>
      <c r="F176" s="1218"/>
      <c r="G176" s="1218"/>
      <c r="H176" s="1218"/>
      <c r="I176" s="1218"/>
      <c r="J176" s="1218"/>
      <c r="K176" s="1218"/>
      <c r="L176" s="1218"/>
      <c r="M176" s="1218"/>
      <c r="N176" s="1218"/>
      <c r="O176" s="1218"/>
      <c r="P176" s="1218"/>
      <c r="Q176" s="1218"/>
      <c r="R176" s="1220"/>
    </row>
    <row r="177" spans="2:19" s="121" customFormat="1">
      <c r="B177" s="1221"/>
      <c r="C177" s="1218"/>
      <c r="D177" s="1222" t="s">
        <v>798</v>
      </c>
      <c r="E177" s="1218"/>
      <c r="F177" s="1218" t="s">
        <v>1018</v>
      </c>
      <c r="G177" s="1218"/>
      <c r="H177" s="1218"/>
      <c r="I177" s="1218"/>
      <c r="J177" s="1218"/>
      <c r="K177" s="1218"/>
      <c r="L177" s="1218"/>
      <c r="M177" s="1218"/>
      <c r="N177" s="1218"/>
      <c r="O177" s="1218"/>
      <c r="P177" s="1218"/>
      <c r="Q177" s="1219" t="s">
        <v>831</v>
      </c>
      <c r="R177" s="1220"/>
    </row>
    <row r="178" spans="2:19" s="529" customFormat="1">
      <c r="B178" s="1223"/>
      <c r="C178" s="1224" t="s">
        <v>821</v>
      </c>
      <c r="D178" s="1225" t="str">
        <f>INDEX(IPCC[Sector_description], MATCH($C178, IPCC[Sector_code], 0))</f>
        <v>Fuel Combustion</v>
      </c>
      <c r="E178" s="1218"/>
      <c r="F178" s="1226">
        <v>532.63873751129393</v>
      </c>
      <c r="G178" s="1227"/>
      <c r="H178" s="1226" t="e">
        <f t="shared" ref="H178:Q179" ca="1" si="46">SUMIFS(INDIRECT("'"&amp;H$4&amp;"'!Year.Emissions"), INDIRECT("'"&amp;H$4&amp;"'!Year.IPCC"), $C178)</f>
        <v>#REF!</v>
      </c>
      <c r="I178" s="1226" t="e">
        <f t="shared" ca="1" si="46"/>
        <v>#REF!</v>
      </c>
      <c r="J178" s="1226" t="e">
        <f t="shared" ca="1" si="46"/>
        <v>#REF!</v>
      </c>
      <c r="K178" s="1226" t="e">
        <f t="shared" ca="1" si="46"/>
        <v>#REF!</v>
      </c>
      <c r="L178" s="1226" t="e">
        <f t="shared" ca="1" si="46"/>
        <v>#REF!</v>
      </c>
      <c r="M178" s="1226" t="e">
        <f t="shared" ca="1" si="46"/>
        <v>#REF!</v>
      </c>
      <c r="N178" s="1226" t="e">
        <f t="shared" ca="1" si="46"/>
        <v>#REF!</v>
      </c>
      <c r="O178" s="1226" t="e">
        <f t="shared" ca="1" si="46"/>
        <v>#REF!</v>
      </c>
      <c r="P178" s="1226" t="e">
        <f t="shared" ca="1" si="46"/>
        <v>#REF!</v>
      </c>
      <c r="Q178" s="1226">
        <f t="shared" ca="1" si="46"/>
        <v>152.75493261661978</v>
      </c>
      <c r="R178" s="1228"/>
    </row>
    <row r="179" spans="2:19" s="529" customFormat="1">
      <c r="B179" s="1223"/>
      <c r="C179" s="1224" t="s">
        <v>820</v>
      </c>
      <c r="D179" s="1225" t="str">
        <f>INDEX(IPCC[Sector_description], MATCH($C179, IPCC[Sector_code], 0))</f>
        <v>Fugitive Emissions from Fuels</v>
      </c>
      <c r="E179" s="1218"/>
      <c r="F179" s="1226">
        <v>13.3650064404099</v>
      </c>
      <c r="G179" s="1227"/>
      <c r="H179" s="1226" t="e">
        <f t="shared" ca="1" si="46"/>
        <v>#REF!</v>
      </c>
      <c r="I179" s="1226" t="e">
        <f t="shared" ca="1" si="46"/>
        <v>#REF!</v>
      </c>
      <c r="J179" s="1226" t="e">
        <f t="shared" ca="1" si="46"/>
        <v>#REF!</v>
      </c>
      <c r="K179" s="1226" t="e">
        <f t="shared" ca="1" si="46"/>
        <v>#REF!</v>
      </c>
      <c r="L179" s="1226" t="e">
        <f t="shared" ca="1" si="46"/>
        <v>#REF!</v>
      </c>
      <c r="M179" s="1226" t="e">
        <f t="shared" ca="1" si="46"/>
        <v>#REF!</v>
      </c>
      <c r="N179" s="1226" t="e">
        <f t="shared" ca="1" si="46"/>
        <v>#REF!</v>
      </c>
      <c r="O179" s="1226" t="e">
        <f t="shared" ca="1" si="46"/>
        <v>#REF!</v>
      </c>
      <c r="P179" s="1226" t="e">
        <f t="shared" ca="1" si="46"/>
        <v>#REF!</v>
      </c>
      <c r="Q179" s="1226">
        <f t="shared" ca="1" si="46"/>
        <v>1.9196033527551846</v>
      </c>
      <c r="R179" s="1228"/>
    </row>
    <row r="180" spans="2:19" s="121" customFormat="1">
      <c r="B180" s="1221"/>
      <c r="C180" s="1219">
        <v>1</v>
      </c>
      <c r="D180" s="1218" t="s">
        <v>799</v>
      </c>
      <c r="E180" s="1218"/>
      <c r="F180" s="1229">
        <f>F178+F179</f>
        <v>546.00374395170388</v>
      </c>
      <c r="G180" s="1227"/>
      <c r="H180" s="1229" t="e">
        <f ca="1">H178+H179</f>
        <v>#REF!</v>
      </c>
      <c r="I180" s="1229" t="e">
        <f t="shared" ref="I180:Q180" ca="1" si="47">I178+I179</f>
        <v>#REF!</v>
      </c>
      <c r="J180" s="1229" t="e">
        <f t="shared" ca="1" si="47"/>
        <v>#REF!</v>
      </c>
      <c r="K180" s="1229" t="e">
        <f t="shared" ca="1" si="47"/>
        <v>#REF!</v>
      </c>
      <c r="L180" s="1229" t="e">
        <f t="shared" ca="1" si="47"/>
        <v>#REF!</v>
      </c>
      <c r="M180" s="1229" t="e">
        <f t="shared" ca="1" si="47"/>
        <v>#REF!</v>
      </c>
      <c r="N180" s="1229" t="e">
        <f t="shared" ca="1" si="47"/>
        <v>#REF!</v>
      </c>
      <c r="O180" s="1229" t="e">
        <f t="shared" ca="1" si="47"/>
        <v>#REF!</v>
      </c>
      <c r="P180" s="1229" t="e">
        <f t="shared" ca="1" si="47"/>
        <v>#REF!</v>
      </c>
      <c r="Q180" s="1229">
        <f t="shared" ca="1" si="47"/>
        <v>154.67453596937497</v>
      </c>
      <c r="R180" s="1220"/>
    </row>
    <row r="181" spans="2:19" s="121" customFormat="1">
      <c r="B181" s="1221"/>
      <c r="C181" s="1219">
        <v>2</v>
      </c>
      <c r="D181" s="1218" t="str">
        <f>INDEX(IPCC[Sector_description], MATCH($C181, IPCC[Sector_code], 0))</f>
        <v>Industrial Processes</v>
      </c>
      <c r="E181" s="1218"/>
      <c r="F181" s="1229">
        <v>27.891312059948401</v>
      </c>
      <c r="G181" s="1227"/>
      <c r="H181" s="1226" t="e">
        <f t="shared" ref="H181:Q187" ca="1" si="48">SUMIFS(INDIRECT("'"&amp;H$4&amp;"'!Year.Emissions"), INDIRECT("'"&amp;H$4&amp;"'!Year.IPCC"), $C181)</f>
        <v>#REF!</v>
      </c>
      <c r="I181" s="1226" t="e">
        <f t="shared" ca="1" si="48"/>
        <v>#REF!</v>
      </c>
      <c r="J181" s="1226" t="e">
        <f t="shared" ca="1" si="48"/>
        <v>#REF!</v>
      </c>
      <c r="K181" s="1226" t="e">
        <f t="shared" ca="1" si="48"/>
        <v>#REF!</v>
      </c>
      <c r="L181" s="1226" t="e">
        <f t="shared" ca="1" si="48"/>
        <v>#REF!</v>
      </c>
      <c r="M181" s="1226" t="e">
        <f t="shared" ca="1" si="48"/>
        <v>#REF!</v>
      </c>
      <c r="N181" s="1226" t="e">
        <f t="shared" ca="1" si="48"/>
        <v>#REF!</v>
      </c>
      <c r="O181" s="1226" t="e">
        <f t="shared" ca="1" si="48"/>
        <v>#REF!</v>
      </c>
      <c r="P181" s="1226" t="e">
        <f t="shared" ca="1" si="48"/>
        <v>#REF!</v>
      </c>
      <c r="Q181" s="1226">
        <f t="shared" ca="1" si="48"/>
        <v>0</v>
      </c>
      <c r="R181" s="1220"/>
    </row>
    <row r="182" spans="2:19" s="121" customFormat="1">
      <c r="B182" s="1221"/>
      <c r="C182" s="1219">
        <v>3</v>
      </c>
      <c r="D182" s="1218" t="str">
        <f>INDEX(IPCC[Sector_description], MATCH($C182, IPCC[Sector_code], 0))</f>
        <v>Solvent and Other Product Use</v>
      </c>
      <c r="E182" s="1218"/>
      <c r="F182" s="1229">
        <v>0</v>
      </c>
      <c r="G182" s="1227"/>
      <c r="H182" s="1226" t="e">
        <f t="shared" ca="1" si="48"/>
        <v>#REF!</v>
      </c>
      <c r="I182" s="1226" t="e">
        <f t="shared" ca="1" si="48"/>
        <v>#REF!</v>
      </c>
      <c r="J182" s="1226" t="e">
        <f t="shared" ca="1" si="48"/>
        <v>#REF!</v>
      </c>
      <c r="K182" s="1226" t="e">
        <f t="shared" ca="1" si="48"/>
        <v>#REF!</v>
      </c>
      <c r="L182" s="1226" t="e">
        <f t="shared" ca="1" si="48"/>
        <v>#REF!</v>
      </c>
      <c r="M182" s="1226" t="e">
        <f t="shared" ca="1" si="48"/>
        <v>#REF!</v>
      </c>
      <c r="N182" s="1226" t="e">
        <f t="shared" ca="1" si="48"/>
        <v>#REF!</v>
      </c>
      <c r="O182" s="1226" t="e">
        <f t="shared" ca="1" si="48"/>
        <v>#REF!</v>
      </c>
      <c r="P182" s="1226" t="e">
        <f t="shared" ca="1" si="48"/>
        <v>#REF!</v>
      </c>
      <c r="Q182" s="1226">
        <f t="shared" ca="1" si="48"/>
        <v>0</v>
      </c>
      <c r="R182" s="1220"/>
    </row>
    <row r="183" spans="2:19" s="121" customFormat="1">
      <c r="B183" s="1221"/>
      <c r="C183" s="1219">
        <v>4</v>
      </c>
      <c r="D183" s="1218" t="str">
        <f>INDEX(IPCC[Sector_description], MATCH($C183, IPCC[Sector_code], 0))</f>
        <v>Agriculture</v>
      </c>
      <c r="E183" s="1218"/>
      <c r="F183" s="1229">
        <v>43.459166099179903</v>
      </c>
      <c r="G183" s="1227"/>
      <c r="H183" s="1226" t="e">
        <f t="shared" ca="1" si="48"/>
        <v>#REF!</v>
      </c>
      <c r="I183" s="1226" t="e">
        <f t="shared" ca="1" si="48"/>
        <v>#REF!</v>
      </c>
      <c r="J183" s="1226" t="e">
        <f t="shared" ca="1" si="48"/>
        <v>#REF!</v>
      </c>
      <c r="K183" s="1226" t="e">
        <f t="shared" ca="1" si="48"/>
        <v>#REF!</v>
      </c>
      <c r="L183" s="1226" t="e">
        <f t="shared" ca="1" si="48"/>
        <v>#REF!</v>
      </c>
      <c r="M183" s="1226" t="e">
        <f t="shared" ca="1" si="48"/>
        <v>#REF!</v>
      </c>
      <c r="N183" s="1226" t="e">
        <f t="shared" ca="1" si="48"/>
        <v>#REF!</v>
      </c>
      <c r="O183" s="1226" t="e">
        <f t="shared" ca="1" si="48"/>
        <v>#REF!</v>
      </c>
      <c r="P183" s="1226" t="e">
        <f t="shared" ca="1" si="48"/>
        <v>#REF!</v>
      </c>
      <c r="Q183" s="1226">
        <f t="shared" ca="1" si="48"/>
        <v>0</v>
      </c>
      <c r="R183" s="1220"/>
    </row>
    <row r="184" spans="2:19" s="121" customFormat="1">
      <c r="B184" s="1221"/>
      <c r="C184" s="1219">
        <v>5</v>
      </c>
      <c r="D184" s="1218" t="str">
        <f>INDEX(IPCC[Sector_description], MATCH($C184, IPCC[Sector_code], 0))</f>
        <v>Land Use, Land-Use Change and Forestry</v>
      </c>
      <c r="E184" s="1218"/>
      <c r="F184" s="1229">
        <v>-1.7798396847837301</v>
      </c>
      <c r="G184" s="1227"/>
      <c r="H184" s="1226" t="e">
        <f t="shared" ca="1" si="48"/>
        <v>#REF!</v>
      </c>
      <c r="I184" s="1226" t="e">
        <f t="shared" ca="1" si="48"/>
        <v>#REF!</v>
      </c>
      <c r="J184" s="1226" t="e">
        <f t="shared" ca="1" si="48"/>
        <v>#REF!</v>
      </c>
      <c r="K184" s="1226" t="e">
        <f t="shared" ca="1" si="48"/>
        <v>#REF!</v>
      </c>
      <c r="L184" s="1226" t="e">
        <f t="shared" ca="1" si="48"/>
        <v>#REF!</v>
      </c>
      <c r="M184" s="1226" t="e">
        <f t="shared" ca="1" si="48"/>
        <v>#REF!</v>
      </c>
      <c r="N184" s="1226" t="e">
        <f t="shared" ca="1" si="48"/>
        <v>#REF!</v>
      </c>
      <c r="O184" s="1226" t="e">
        <f t="shared" ca="1" si="48"/>
        <v>#REF!</v>
      </c>
      <c r="P184" s="1226" t="e">
        <f t="shared" ca="1" si="48"/>
        <v>#REF!</v>
      </c>
      <c r="Q184" s="1226">
        <f t="shared" ca="1" si="48"/>
        <v>0</v>
      </c>
      <c r="R184" s="1220"/>
    </row>
    <row r="185" spans="2:19" s="121" customFormat="1">
      <c r="B185" s="1221"/>
      <c r="C185" s="1219">
        <v>6</v>
      </c>
      <c r="D185" s="1218" t="str">
        <f>INDEX(IPCC[Sector_description], MATCH($C185, IPCC[Sector_code], 0))</f>
        <v>Waste</v>
      </c>
      <c r="E185" s="1218"/>
      <c r="F185" s="1229">
        <v>22.860229581619201</v>
      </c>
      <c r="G185" s="1227"/>
      <c r="H185" s="1226" t="e">
        <f t="shared" ca="1" si="48"/>
        <v>#REF!</v>
      </c>
      <c r="I185" s="1226" t="e">
        <f t="shared" ca="1" si="48"/>
        <v>#REF!</v>
      </c>
      <c r="J185" s="1226" t="e">
        <f t="shared" ca="1" si="48"/>
        <v>#REF!</v>
      </c>
      <c r="K185" s="1226" t="e">
        <f t="shared" ca="1" si="48"/>
        <v>#REF!</v>
      </c>
      <c r="L185" s="1226" t="e">
        <f t="shared" ca="1" si="48"/>
        <v>#REF!</v>
      </c>
      <c r="M185" s="1226" t="e">
        <f t="shared" ca="1" si="48"/>
        <v>#REF!</v>
      </c>
      <c r="N185" s="1226" t="e">
        <f t="shared" ca="1" si="48"/>
        <v>#REF!</v>
      </c>
      <c r="O185" s="1226" t="e">
        <f t="shared" ca="1" si="48"/>
        <v>#REF!</v>
      </c>
      <c r="P185" s="1226" t="e">
        <f t="shared" ca="1" si="48"/>
        <v>#REF!</v>
      </c>
      <c r="Q185" s="1226">
        <f t="shared" ca="1" si="48"/>
        <v>0</v>
      </c>
      <c r="R185" s="1220"/>
    </row>
    <row r="186" spans="2:19" s="121" customFormat="1">
      <c r="B186" s="1221"/>
      <c r="C186" s="1219">
        <v>7</v>
      </c>
      <c r="D186" s="1218" t="str">
        <f>INDEX(IPCC[Sector_description], MATCH($C186, IPCC[Sector_code], 0))</f>
        <v>Other</v>
      </c>
      <c r="E186" s="1218"/>
      <c r="F186" s="1227"/>
      <c r="G186" s="1227"/>
      <c r="H186" s="1226" t="e">
        <f t="shared" ca="1" si="48"/>
        <v>#REF!</v>
      </c>
      <c r="I186" s="1226" t="e">
        <f t="shared" ca="1" si="48"/>
        <v>#REF!</v>
      </c>
      <c r="J186" s="1226" t="e">
        <f t="shared" ca="1" si="48"/>
        <v>#REF!</v>
      </c>
      <c r="K186" s="1226" t="e">
        <f t="shared" ca="1" si="48"/>
        <v>#REF!</v>
      </c>
      <c r="L186" s="1226" t="e">
        <f t="shared" ca="1" si="48"/>
        <v>#REF!</v>
      </c>
      <c r="M186" s="1226" t="e">
        <f t="shared" ca="1" si="48"/>
        <v>#REF!</v>
      </c>
      <c r="N186" s="1226" t="e">
        <f t="shared" ca="1" si="48"/>
        <v>#REF!</v>
      </c>
      <c r="O186" s="1226" t="e">
        <f t="shared" ca="1" si="48"/>
        <v>#REF!</v>
      </c>
      <c r="P186" s="1226" t="e">
        <f t="shared" ca="1" si="48"/>
        <v>#REF!</v>
      </c>
      <c r="Q186" s="1226">
        <f t="shared" ca="1" si="48"/>
        <v>0</v>
      </c>
      <c r="R186" s="1220"/>
    </row>
    <row r="187" spans="2:19" s="121" customFormat="1">
      <c r="B187" s="1221"/>
      <c r="C187" s="1219" t="s">
        <v>806</v>
      </c>
      <c r="D187" s="1218" t="str">
        <f>INDEX(IPCC[Sector_description], MATCH($C187, IPCC[Sector_code], 0))</f>
        <v>International Aviation and Shipping</v>
      </c>
      <c r="E187" s="1218"/>
      <c r="F187" s="1229">
        <v>42.524360000000001</v>
      </c>
      <c r="G187" s="1227"/>
      <c r="H187" s="1226" t="e">
        <f t="shared" ca="1" si="48"/>
        <v>#REF!</v>
      </c>
      <c r="I187" s="1226" t="e">
        <f t="shared" ca="1" si="48"/>
        <v>#REF!</v>
      </c>
      <c r="J187" s="1226" t="e">
        <f t="shared" ca="1" si="48"/>
        <v>#REF!</v>
      </c>
      <c r="K187" s="1226" t="e">
        <f t="shared" ca="1" si="48"/>
        <v>#REF!</v>
      </c>
      <c r="L187" s="1226" t="e">
        <f t="shared" ca="1" si="48"/>
        <v>#REF!</v>
      </c>
      <c r="M187" s="1226" t="e">
        <f t="shared" ca="1" si="48"/>
        <v>#REF!</v>
      </c>
      <c r="N187" s="1226" t="e">
        <f t="shared" ca="1" si="48"/>
        <v>#REF!</v>
      </c>
      <c r="O187" s="1226" t="e">
        <f t="shared" ca="1" si="48"/>
        <v>#REF!</v>
      </c>
      <c r="P187" s="1226" t="e">
        <f t="shared" ca="1" si="48"/>
        <v>#REF!</v>
      </c>
      <c r="Q187" s="1226">
        <f t="shared" ca="1" si="48"/>
        <v>0</v>
      </c>
      <c r="R187" s="1220"/>
    </row>
    <row r="188" spans="2:19" s="529" customFormat="1">
      <c r="B188" s="1223"/>
      <c r="C188" s="1219" t="s">
        <v>807</v>
      </c>
      <c r="D188" s="1218" t="str">
        <f>INDEX(IPCC[Sector_description], MATCH($C188, IPCC[Sector_code], 0))</f>
        <v>Bioenergy credit</v>
      </c>
      <c r="E188" s="1218"/>
      <c r="F188" s="1229"/>
      <c r="G188" s="1227"/>
      <c r="H188" s="1226" t="e">
        <f t="shared" ref="H188:Q189" ca="1" si="49">SUMIFS(INDIRECT("'"&amp;H$4&amp;"'!Year.Emissions"), INDIRECT("'"&amp;H$4&amp;"'!Year.IPCC"), $C188)</f>
        <v>#REF!</v>
      </c>
      <c r="I188" s="1226" t="e">
        <f t="shared" ca="1" si="49"/>
        <v>#REF!</v>
      </c>
      <c r="J188" s="1226" t="e">
        <f t="shared" ca="1" si="49"/>
        <v>#REF!</v>
      </c>
      <c r="K188" s="1226" t="e">
        <f t="shared" ca="1" si="49"/>
        <v>#REF!</v>
      </c>
      <c r="L188" s="1226" t="e">
        <f t="shared" ca="1" si="49"/>
        <v>#REF!</v>
      </c>
      <c r="M188" s="1226" t="e">
        <f t="shared" ca="1" si="49"/>
        <v>#REF!</v>
      </c>
      <c r="N188" s="1226" t="e">
        <f t="shared" ca="1" si="49"/>
        <v>#REF!</v>
      </c>
      <c r="O188" s="1226" t="e">
        <f t="shared" ca="1" si="49"/>
        <v>#REF!</v>
      </c>
      <c r="P188" s="1226" t="e">
        <f t="shared" ca="1" si="49"/>
        <v>#REF!</v>
      </c>
      <c r="Q188" s="1226">
        <f t="shared" ca="1" si="49"/>
        <v>0</v>
      </c>
      <c r="R188" s="1228"/>
    </row>
    <row r="189" spans="2:19" s="121" customFormat="1">
      <c r="B189" s="1221"/>
      <c r="C189" s="1219" t="s">
        <v>833</v>
      </c>
      <c r="D189" s="1218" t="str">
        <f>INDEX(IPCC[Sector_description], MATCH($C189, IPCC[Sector_code], 0))</f>
        <v>Carbon capture</v>
      </c>
      <c r="E189" s="1218"/>
      <c r="F189" s="1229"/>
      <c r="G189" s="1227"/>
      <c r="H189" s="1226" t="e">
        <f t="shared" ca="1" si="49"/>
        <v>#REF!</v>
      </c>
      <c r="I189" s="1226" t="e">
        <f t="shared" ca="1" si="49"/>
        <v>#REF!</v>
      </c>
      <c r="J189" s="1226" t="e">
        <f t="shared" ca="1" si="49"/>
        <v>#REF!</v>
      </c>
      <c r="K189" s="1226" t="e">
        <f t="shared" ca="1" si="49"/>
        <v>#REF!</v>
      </c>
      <c r="L189" s="1226" t="e">
        <f t="shared" ca="1" si="49"/>
        <v>#REF!</v>
      </c>
      <c r="M189" s="1226" t="e">
        <f t="shared" ca="1" si="49"/>
        <v>#REF!</v>
      </c>
      <c r="N189" s="1226" t="e">
        <f t="shared" ca="1" si="49"/>
        <v>#REF!</v>
      </c>
      <c r="O189" s="1226" t="e">
        <f t="shared" ca="1" si="49"/>
        <v>#REF!</v>
      </c>
      <c r="P189" s="1226" t="e">
        <f t="shared" ca="1" si="49"/>
        <v>#REF!</v>
      </c>
      <c r="Q189" s="1226">
        <f t="shared" ca="1" si="49"/>
        <v>-136.06644161766704</v>
      </c>
      <c r="R189" s="1220"/>
    </row>
    <row r="190" spans="2:19" s="121" customFormat="1">
      <c r="B190" s="1221"/>
      <c r="C190" s="1218"/>
      <c r="D190" s="1218"/>
      <c r="E190" s="1218"/>
      <c r="F190" s="1230">
        <f>SUM(F180:F187)</f>
        <v>680.95897200766774</v>
      </c>
      <c r="G190" s="1227"/>
      <c r="H190" s="1230" t="e">
        <f ca="1">SUM(H180:H189)</f>
        <v>#REF!</v>
      </c>
      <c r="I190" s="1230" t="e">
        <f t="shared" ref="I190:Q190" ca="1" si="50">SUM(I180:I189)</f>
        <v>#REF!</v>
      </c>
      <c r="J190" s="1230" t="e">
        <f t="shared" ca="1" si="50"/>
        <v>#REF!</v>
      </c>
      <c r="K190" s="1230" t="e">
        <f t="shared" ca="1" si="50"/>
        <v>#REF!</v>
      </c>
      <c r="L190" s="1230" t="e">
        <f t="shared" ca="1" si="50"/>
        <v>#REF!</v>
      </c>
      <c r="M190" s="1230" t="e">
        <f t="shared" ca="1" si="50"/>
        <v>#REF!</v>
      </c>
      <c r="N190" s="1230" t="e">
        <f t="shared" ca="1" si="50"/>
        <v>#REF!</v>
      </c>
      <c r="O190" s="1230" t="e">
        <f t="shared" ca="1" si="50"/>
        <v>#REF!</v>
      </c>
      <c r="P190" s="1230" t="e">
        <f t="shared" ca="1" si="50"/>
        <v>#REF!</v>
      </c>
      <c r="Q190" s="1230">
        <f t="shared" ca="1" si="50"/>
        <v>18.608094351707933</v>
      </c>
      <c r="R190" s="1220"/>
      <c r="S190" s="1149"/>
    </row>
    <row r="191" spans="2:19" s="121" customFormat="1" ht="5.25" customHeight="1">
      <c r="B191" s="1221"/>
      <c r="C191" s="1218"/>
      <c r="D191" s="1218"/>
      <c r="E191" s="1218"/>
      <c r="F191" s="1227"/>
      <c r="G191" s="1227"/>
      <c r="H191" s="1227"/>
      <c r="I191" s="1227"/>
      <c r="J191" s="1227"/>
      <c r="K191" s="1227"/>
      <c r="L191" s="1227"/>
      <c r="M191" s="1227"/>
      <c r="N191" s="1227"/>
      <c r="O191" s="1227"/>
      <c r="P191" s="1227"/>
      <c r="Q191" s="1227"/>
      <c r="R191" s="1220"/>
    </row>
    <row r="192" spans="2:19" s="246" customFormat="1">
      <c r="B192" s="1235"/>
      <c r="C192" s="1236" t="s">
        <v>1003</v>
      </c>
      <c r="D192" s="1236"/>
      <c r="E192" s="1236"/>
      <c r="F192" s="1245">
        <f>F190-F187</f>
        <v>638.43461200766774</v>
      </c>
      <c r="G192" s="1237"/>
      <c r="H192" s="1245" t="e">
        <f t="shared" ref="H192:Q192" ca="1" si="51">H190-H187</f>
        <v>#REF!</v>
      </c>
      <c r="I192" s="1245" t="e">
        <f t="shared" ca="1" si="51"/>
        <v>#REF!</v>
      </c>
      <c r="J192" s="1245" t="e">
        <f t="shared" ca="1" si="51"/>
        <v>#REF!</v>
      </c>
      <c r="K192" s="1245" t="e">
        <f t="shared" ca="1" si="51"/>
        <v>#REF!</v>
      </c>
      <c r="L192" s="1245" t="e">
        <f t="shared" ca="1" si="51"/>
        <v>#REF!</v>
      </c>
      <c r="M192" s="1245" t="e">
        <f t="shared" ca="1" si="51"/>
        <v>#REF!</v>
      </c>
      <c r="N192" s="1245" t="e">
        <f t="shared" ca="1" si="51"/>
        <v>#REF!</v>
      </c>
      <c r="O192" s="1245" t="e">
        <f t="shared" ca="1" si="51"/>
        <v>#REF!</v>
      </c>
      <c r="P192" s="1245" t="e">
        <f t="shared" ca="1" si="51"/>
        <v>#REF!</v>
      </c>
      <c r="Q192" s="1245">
        <f t="shared" ca="1" si="51"/>
        <v>18.608094351707933</v>
      </c>
      <c r="R192" s="1238"/>
    </row>
    <row r="193" spans="1:18" s="246" customFormat="1">
      <c r="B193" s="1235"/>
      <c r="C193" s="1236"/>
      <c r="D193" s="1236"/>
      <c r="E193" s="1236"/>
      <c r="F193" s="1245"/>
      <c r="G193" s="1237"/>
      <c r="H193" s="1245"/>
      <c r="I193" s="1245"/>
      <c r="J193" s="1245"/>
      <c r="K193" s="1245"/>
      <c r="L193" s="1245"/>
      <c r="M193" s="1245"/>
      <c r="N193" s="1245"/>
      <c r="O193" s="1245"/>
      <c r="P193" s="1245"/>
      <c r="Q193" s="1245"/>
      <c r="R193" s="1238"/>
    </row>
    <row r="194" spans="1:18" s="246" customFormat="1">
      <c r="B194" s="1235"/>
      <c r="C194" s="1705"/>
      <c r="D194" s="1236"/>
      <c r="E194" s="1236"/>
      <c r="F194" s="1245"/>
      <c r="G194" s="1237"/>
      <c r="H194" s="1245"/>
      <c r="I194" s="1245"/>
      <c r="J194" s="1245"/>
      <c r="K194" s="1245"/>
      <c r="L194" s="1245"/>
      <c r="M194" s="1245"/>
      <c r="N194" s="1245"/>
      <c r="O194" s="1245"/>
      <c r="P194" s="1245"/>
      <c r="Q194" s="1245"/>
      <c r="R194" s="1238"/>
    </row>
    <row r="195" spans="1:18" s="121" customFormat="1">
      <c r="B195" s="1221"/>
      <c r="C195" s="1218" t="s">
        <v>1880</v>
      </c>
      <c r="D195" s="1218"/>
      <c r="E195" s="1218"/>
      <c r="F195" s="1218"/>
      <c r="G195" s="1218"/>
      <c r="H195" s="1218"/>
      <c r="I195" s="1218"/>
      <c r="J195" s="1218"/>
      <c r="K195" s="1218"/>
      <c r="L195" s="1218"/>
      <c r="M195" s="1218"/>
      <c r="N195" s="1218"/>
      <c r="O195" s="1218"/>
      <c r="P195" s="1218"/>
      <c r="Q195" s="1218"/>
      <c r="R195" s="1218"/>
    </row>
    <row r="196" spans="1:18" s="1704" customFormat="1">
      <c r="B196" s="1221"/>
      <c r="C196" s="1218" t="s">
        <v>1881</v>
      </c>
      <c r="D196" s="1218"/>
      <c r="E196" s="1218"/>
      <c r="F196" s="1218"/>
      <c r="G196" s="1218"/>
      <c r="H196" s="1227"/>
      <c r="I196" s="1218"/>
      <c r="J196" s="1218"/>
      <c r="K196" s="1218"/>
      <c r="L196" s="1218"/>
      <c r="M196" s="1227"/>
      <c r="N196" s="1218"/>
      <c r="O196" s="1218"/>
      <c r="P196" s="1218"/>
      <c r="Q196" s="1218"/>
      <c r="R196" s="1706"/>
    </row>
    <row r="197" spans="1:18" s="1704" customFormat="1">
      <c r="B197" s="1221"/>
      <c r="C197" s="1218"/>
      <c r="D197" s="1218"/>
      <c r="E197" s="1218"/>
      <c r="F197" s="1218"/>
      <c r="G197" s="1218"/>
      <c r="H197" s="1218"/>
      <c r="I197" s="1218"/>
      <c r="J197" s="1218"/>
      <c r="K197" s="1218"/>
      <c r="L197" s="1218"/>
      <c r="M197" s="1218"/>
      <c r="N197" s="1218"/>
      <c r="O197" s="1218"/>
      <c r="P197" s="1218"/>
      <c r="Q197" s="1218"/>
      <c r="R197" s="1220"/>
    </row>
    <row r="198" spans="1:18" s="121" customFormat="1">
      <c r="B198" s="1221"/>
      <c r="C198" s="1218"/>
      <c r="D198" s="1218"/>
      <c r="E198" s="1218"/>
      <c r="F198" s="1218"/>
      <c r="G198" s="1218"/>
      <c r="H198" s="1218"/>
      <c r="I198" s="1218"/>
      <c r="J198" s="1218"/>
      <c r="K198" s="1218"/>
      <c r="L198" s="1218"/>
      <c r="M198" s="1218"/>
      <c r="N198" s="1218"/>
      <c r="O198" s="1218"/>
      <c r="P198" s="1218"/>
      <c r="Q198" s="1218"/>
      <c r="R198" s="1220"/>
    </row>
    <row r="199" spans="1:18" ht="15">
      <c r="B199" s="1221"/>
      <c r="C199" s="1246" t="s">
        <v>1045</v>
      </c>
      <c r="D199" s="1218"/>
      <c r="E199" s="1218"/>
      <c r="F199" s="1218"/>
      <c r="G199" s="1218"/>
      <c r="H199" s="1218" t="s">
        <v>1051</v>
      </c>
      <c r="I199" s="1218" t="s">
        <v>1052</v>
      </c>
      <c r="J199" s="1218"/>
      <c r="K199" s="1218" t="s">
        <v>1051</v>
      </c>
      <c r="L199" s="1218" t="s">
        <v>1053</v>
      </c>
      <c r="M199" s="1218"/>
      <c r="N199" s="1218" t="s">
        <v>1050</v>
      </c>
      <c r="O199" s="1218"/>
      <c r="P199" s="1218"/>
      <c r="Q199" s="1218"/>
      <c r="R199" s="1220"/>
    </row>
    <row r="200" spans="1:18" ht="15">
      <c r="B200" s="1217"/>
      <c r="C200" s="1246"/>
      <c r="D200" s="1218"/>
      <c r="E200" s="1218"/>
      <c r="F200" s="1248" t="s">
        <v>1046</v>
      </c>
      <c r="G200" s="1218"/>
      <c r="H200" s="1249" t="s">
        <v>1047</v>
      </c>
      <c r="I200" s="1250" t="s">
        <v>1048</v>
      </c>
      <c r="J200" s="1218"/>
      <c r="K200" s="1218" t="s">
        <v>1049</v>
      </c>
      <c r="L200" s="1218" t="s">
        <v>1049</v>
      </c>
      <c r="M200" s="1218"/>
      <c r="N200" s="1218"/>
      <c r="O200" s="1218">
        <v>2020</v>
      </c>
      <c r="P200" s="1218">
        <v>2030</v>
      </c>
      <c r="Q200" s="1218">
        <v>2050</v>
      </c>
      <c r="R200" s="1220"/>
    </row>
    <row r="201" spans="1:18" s="530" customFormat="1">
      <c r="B201" s="1231"/>
      <c r="C201" s="1222"/>
      <c r="D201" s="1222" t="s">
        <v>1017</v>
      </c>
      <c r="E201" s="1222"/>
      <c r="F201" s="1232">
        <v>777.11766999999998</v>
      </c>
      <c r="G201" s="1232"/>
      <c r="H201" s="1232">
        <f>0.2*$F201</f>
        <v>155.42353400000002</v>
      </c>
      <c r="I201" s="1232">
        <f>0.66*$F201</f>
        <v>512.89766220000001</v>
      </c>
      <c r="J201" s="1222"/>
      <c r="K201" s="1222"/>
      <c r="L201" s="1222"/>
      <c r="M201" s="1222"/>
      <c r="N201" s="1233"/>
      <c r="O201" s="1233"/>
      <c r="P201" s="1233"/>
      <c r="Q201" s="1233"/>
      <c r="R201" s="1234"/>
    </row>
    <row r="202" spans="1:18">
      <c r="B202" s="1221"/>
      <c r="C202" s="1218"/>
      <c r="D202" s="1218" t="s">
        <v>1002</v>
      </c>
      <c r="E202" s="1218"/>
      <c r="F202" s="1229">
        <f>(31.401/2+6.768)</f>
        <v>22.468499999999999</v>
      </c>
      <c r="G202" s="1229"/>
      <c r="H202" s="1229"/>
      <c r="I202" s="1229"/>
      <c r="J202" s="1218"/>
      <c r="K202" s="1229" t="e">
        <f ca="1">K203*H149</f>
        <v>#REF!</v>
      </c>
      <c r="L202" s="1229" t="e">
        <f ca="1">L203*H149</f>
        <v>#REF!</v>
      </c>
      <c r="M202" s="1218"/>
      <c r="N202" s="1218"/>
      <c r="O202" s="1218"/>
      <c r="P202" s="1218"/>
      <c r="Q202" s="1218"/>
      <c r="R202" s="1220"/>
    </row>
    <row r="203" spans="1:18">
      <c r="B203" s="1221"/>
      <c r="C203" s="1218"/>
      <c r="D203" s="1222" t="s">
        <v>132</v>
      </c>
      <c r="E203" s="1218"/>
      <c r="F203" s="1232">
        <f>F201+F202</f>
        <v>799.58616999999992</v>
      </c>
      <c r="G203" s="1229"/>
      <c r="H203" s="1232">
        <f>0.2*$F203</f>
        <v>159.91723400000001</v>
      </c>
      <c r="I203" s="1232">
        <f>0.66*$F203</f>
        <v>527.7268722</v>
      </c>
      <c r="J203" s="1218"/>
      <c r="K203" s="1232">
        <f>H203/$F$149</f>
        <v>187.77578959575553</v>
      </c>
      <c r="L203" s="1232">
        <f>I203/$F$149</f>
        <v>619.66010566599323</v>
      </c>
      <c r="M203" s="1218"/>
      <c r="N203" s="1233"/>
      <c r="O203" s="1233" t="e">
        <f ca="1">K149/$H149</f>
        <v>#REF!</v>
      </c>
      <c r="P203" s="1233" t="e">
        <f ca="1">M149/$H149</f>
        <v>#REF!</v>
      </c>
      <c r="Q203" s="1233" t="e">
        <f ca="1">Q149/$H149</f>
        <v>#REF!</v>
      </c>
      <c r="R203" s="1220"/>
    </row>
    <row r="204" spans="1:18" s="246" customFormat="1">
      <c r="B204" s="1235"/>
      <c r="C204" s="1236"/>
      <c r="D204" s="1236" t="s">
        <v>1039</v>
      </c>
      <c r="E204" s="1236"/>
      <c r="F204" s="1236"/>
      <c r="G204" s="1236"/>
      <c r="H204" s="1251">
        <v>0.2</v>
      </c>
      <c r="I204" s="1251">
        <v>0.2</v>
      </c>
      <c r="J204" s="1251">
        <v>0.2</v>
      </c>
      <c r="K204" s="1251">
        <v>0.2</v>
      </c>
      <c r="L204" s="1251">
        <v>0.2</v>
      </c>
      <c r="M204" s="1251">
        <v>0.2</v>
      </c>
      <c r="N204" s="1251">
        <v>0.2</v>
      </c>
      <c r="O204" s="1251">
        <v>0.2</v>
      </c>
      <c r="P204" s="1251">
        <v>0.2</v>
      </c>
      <c r="Q204" s="1251">
        <v>0.2</v>
      </c>
      <c r="R204" s="1238"/>
    </row>
    <row r="205" spans="1:18" s="246" customFormat="1">
      <c r="B205" s="1235"/>
      <c r="C205" s="1236"/>
      <c r="D205" s="1236" t="s">
        <v>1165</v>
      </c>
      <c r="E205" s="1236"/>
      <c r="F205" s="1236"/>
      <c r="G205" s="1236"/>
      <c r="H205" s="1251">
        <v>0</v>
      </c>
      <c r="I205" s="1251">
        <v>0</v>
      </c>
      <c r="J205" s="1251">
        <v>0</v>
      </c>
      <c r="K205" s="1251">
        <v>0</v>
      </c>
      <c r="L205" s="1251">
        <v>0</v>
      </c>
      <c r="M205" s="1251">
        <v>0</v>
      </c>
      <c r="N205" s="1251">
        <v>0</v>
      </c>
      <c r="O205" s="1251">
        <v>0</v>
      </c>
      <c r="P205" s="1251">
        <v>0</v>
      </c>
      <c r="Q205" s="1251">
        <v>0</v>
      </c>
      <c r="R205" s="1238"/>
    </row>
    <row r="206" spans="1:18">
      <c r="B206" s="1239"/>
      <c r="C206" s="1240"/>
      <c r="D206" s="1240"/>
      <c r="E206" s="1240"/>
      <c r="F206" s="1240"/>
      <c r="G206" s="1240"/>
      <c r="H206" s="1240"/>
      <c r="I206" s="1240"/>
      <c r="J206" s="1240"/>
      <c r="K206" s="1240"/>
      <c r="L206" s="1240"/>
      <c r="M206" s="1240"/>
      <c r="N206" s="1240"/>
      <c r="O206" s="1240"/>
      <c r="P206" s="1240"/>
      <c r="Q206" s="1240"/>
      <c r="R206" s="1241"/>
    </row>
    <row r="207" spans="1:18" s="1116" customFormat="1">
      <c r="B207" s="41"/>
      <c r="C207" s="41"/>
      <c r="D207" s="41"/>
      <c r="E207" s="41"/>
      <c r="F207" s="41"/>
      <c r="G207" s="41"/>
      <c r="H207" s="41"/>
      <c r="I207" s="41"/>
      <c r="J207" s="41"/>
      <c r="K207" s="41"/>
      <c r="L207" s="41"/>
      <c r="M207" s="41"/>
      <c r="N207" s="41"/>
      <c r="O207" s="41"/>
      <c r="P207" s="41"/>
      <c r="Q207" s="41"/>
      <c r="R207" s="41"/>
    </row>
    <row r="208" spans="1:18" s="1684" customFormat="1" ht="22">
      <c r="A208" s="851"/>
      <c r="B208" s="1216" t="s">
        <v>1884</v>
      </c>
      <c r="C208" s="1242"/>
      <c r="D208" s="1242"/>
      <c r="E208" s="1242"/>
      <c r="F208" s="1242"/>
      <c r="G208" s="1242"/>
      <c r="H208" s="1242"/>
      <c r="I208" s="1242"/>
      <c r="J208" s="1242"/>
      <c r="K208" s="1242"/>
      <c r="L208" s="1242"/>
      <c r="M208" s="1242"/>
      <c r="N208" s="1242"/>
      <c r="O208" s="1242"/>
      <c r="P208" s="1242"/>
      <c r="Q208" s="1243"/>
      <c r="R208" s="1244"/>
    </row>
    <row r="209" spans="2:18" s="1684" customFormat="1">
      <c r="B209" s="1218"/>
      <c r="C209" s="1218"/>
      <c r="D209" s="1218"/>
      <c r="E209" s="1218"/>
      <c r="F209" s="1218"/>
      <c r="G209" s="1218"/>
      <c r="H209" s="1218"/>
      <c r="I209" s="1218"/>
      <c r="J209" s="1218"/>
      <c r="K209" s="1218"/>
      <c r="L209" s="1218"/>
      <c r="M209" s="1218"/>
      <c r="N209" s="1218"/>
      <c r="O209" s="1218"/>
      <c r="P209" s="1218"/>
      <c r="Q209" s="1218"/>
      <c r="R209" s="1218"/>
    </row>
    <row r="210" spans="2:18" s="1684" customFormat="1">
      <c r="B210" s="1222" t="s">
        <v>229</v>
      </c>
      <c r="C210" s="1218"/>
      <c r="D210" s="1218"/>
      <c r="E210" s="1218"/>
      <c r="F210" s="1218"/>
      <c r="G210" s="1218"/>
      <c r="H210" s="1218"/>
      <c r="I210" s="1218"/>
      <c r="J210" s="1218"/>
      <c r="K210" s="1218"/>
      <c r="L210" s="1218"/>
      <c r="M210" s="1218"/>
      <c r="N210" s="1218"/>
      <c r="O210" s="1218"/>
      <c r="P210" s="1218"/>
      <c r="Q210" s="1218"/>
      <c r="R210" s="1218"/>
    </row>
    <row r="211" spans="2:18" s="1684" customFormat="1">
      <c r="B211" s="1218"/>
      <c r="C211" s="1218"/>
      <c r="D211" s="1218"/>
      <c r="E211" s="1218"/>
      <c r="F211" s="1218"/>
      <c r="G211" s="1218"/>
      <c r="H211" s="1218"/>
      <c r="I211" s="1218"/>
      <c r="J211" s="1218"/>
      <c r="K211" s="1218"/>
      <c r="L211" s="1218"/>
      <c r="M211" s="1218"/>
      <c r="N211" s="1218"/>
      <c r="O211" s="1218"/>
      <c r="P211" s="1218"/>
      <c r="Q211" s="1218"/>
      <c r="R211" s="1218"/>
    </row>
    <row r="212" spans="2:18" s="1684" customFormat="1">
      <c r="B212" s="1218"/>
      <c r="C212" s="1236" t="s">
        <v>38</v>
      </c>
      <c r="D212" s="1218"/>
      <c r="E212" s="1218"/>
      <c r="F212" s="1218"/>
      <c r="G212" s="1218"/>
      <c r="H212" s="1700" t="s">
        <v>576</v>
      </c>
      <c r="I212" s="1700" t="s">
        <v>577</v>
      </c>
      <c r="J212" s="1700" t="s">
        <v>604</v>
      </c>
      <c r="K212" s="1700" t="s">
        <v>605</v>
      </c>
      <c r="L212" s="1700" t="s">
        <v>606</v>
      </c>
      <c r="M212" s="1700" t="s">
        <v>607</v>
      </c>
      <c r="N212" s="1700" t="s">
        <v>608</v>
      </c>
      <c r="O212" s="1700" t="s">
        <v>609</v>
      </c>
      <c r="P212" s="1700" t="s">
        <v>610</v>
      </c>
      <c r="Q212" s="1700" t="s">
        <v>611</v>
      </c>
      <c r="R212" s="1218"/>
    </row>
    <row r="213" spans="2:18" s="1684" customFormat="1">
      <c r="B213" s="1218"/>
      <c r="C213" s="1691" t="s">
        <v>734</v>
      </c>
      <c r="D213" s="1691" t="s">
        <v>42</v>
      </c>
      <c r="E213" s="1218" t="s">
        <v>56</v>
      </c>
      <c r="F213" s="528"/>
      <c r="G213" s="1690"/>
      <c r="H213" s="1692" t="str">
        <f t="shared" ref="H213:Q215" ca="1" si="52">IFERROR(INDEX(INDIRECT($C213&amp;".Outputs["&amp;H$4&amp;"]"),MATCH($D213,INDIRECT($C213&amp;".Outputs[Vector]"),0)),"na")</f>
        <v>na</v>
      </c>
      <c r="I213" s="1692" t="str">
        <f t="shared" ca="1" si="52"/>
        <v>na</v>
      </c>
      <c r="J213" s="1692" t="str">
        <f t="shared" ca="1" si="52"/>
        <v>na</v>
      </c>
      <c r="K213" s="1692" t="str">
        <f t="shared" ca="1" si="52"/>
        <v>na</v>
      </c>
      <c r="L213" s="1692" t="str">
        <f t="shared" ca="1" si="52"/>
        <v>na</v>
      </c>
      <c r="M213" s="1692" t="str">
        <f t="shared" ca="1" si="52"/>
        <v>na</v>
      </c>
      <c r="N213" s="1692" t="str">
        <f t="shared" ca="1" si="52"/>
        <v>na</v>
      </c>
      <c r="O213" s="1692" t="str">
        <f t="shared" ca="1" si="52"/>
        <v>na</v>
      </c>
      <c r="P213" s="1692" t="str">
        <f t="shared" ca="1" si="52"/>
        <v>na</v>
      </c>
      <c r="Q213" s="1692" t="str">
        <f t="shared" ca="1" si="52"/>
        <v>na</v>
      </c>
      <c r="R213" s="1218"/>
    </row>
    <row r="214" spans="2:18" s="1684" customFormat="1">
      <c r="B214" s="1218"/>
      <c r="C214" s="1691" t="s">
        <v>734</v>
      </c>
      <c r="D214" s="1691" t="s">
        <v>44</v>
      </c>
      <c r="E214" s="1218" t="s">
        <v>57</v>
      </c>
      <c r="F214" s="528"/>
      <c r="G214" s="1690"/>
      <c r="H214" s="1692" t="str">
        <f t="shared" ca="1" si="52"/>
        <v>na</v>
      </c>
      <c r="I214" s="1692" t="str">
        <f t="shared" ca="1" si="52"/>
        <v>na</v>
      </c>
      <c r="J214" s="1692" t="str">
        <f t="shared" ca="1" si="52"/>
        <v>na</v>
      </c>
      <c r="K214" s="1692" t="str">
        <f t="shared" ca="1" si="52"/>
        <v>na</v>
      </c>
      <c r="L214" s="1692" t="str">
        <f t="shared" ca="1" si="52"/>
        <v>na</v>
      </c>
      <c r="M214" s="1692" t="str">
        <f t="shared" ca="1" si="52"/>
        <v>na</v>
      </c>
      <c r="N214" s="1692" t="str">
        <f t="shared" ca="1" si="52"/>
        <v>na</v>
      </c>
      <c r="O214" s="1692" t="str">
        <f t="shared" ca="1" si="52"/>
        <v>na</v>
      </c>
      <c r="P214" s="1692" t="str">
        <f t="shared" ca="1" si="52"/>
        <v>na</v>
      </c>
      <c r="Q214" s="1692" t="str">
        <f t="shared" ca="1" si="52"/>
        <v>na</v>
      </c>
      <c r="R214" s="1218"/>
    </row>
    <row r="215" spans="2:18" s="1684" customFormat="1">
      <c r="B215" s="1218"/>
      <c r="C215" s="1691" t="s">
        <v>734</v>
      </c>
      <c r="D215" s="1691" t="s">
        <v>45</v>
      </c>
      <c r="E215" s="1218" t="s">
        <v>532</v>
      </c>
      <c r="F215" s="528"/>
      <c r="G215" s="1690"/>
      <c r="H215" s="1692" t="str">
        <f t="shared" ca="1" si="52"/>
        <v>na</v>
      </c>
      <c r="I215" s="1692" t="str">
        <f t="shared" ca="1" si="52"/>
        <v>na</v>
      </c>
      <c r="J215" s="1692" t="str">
        <f t="shared" ca="1" si="52"/>
        <v>na</v>
      </c>
      <c r="K215" s="1692" t="str">
        <f t="shared" ca="1" si="52"/>
        <v>na</v>
      </c>
      <c r="L215" s="1692" t="str">
        <f t="shared" ca="1" si="52"/>
        <v>na</v>
      </c>
      <c r="M215" s="1692" t="str">
        <f t="shared" ca="1" si="52"/>
        <v>na</v>
      </c>
      <c r="N215" s="1692" t="str">
        <f t="shared" ca="1" si="52"/>
        <v>na</v>
      </c>
      <c r="O215" s="1692" t="str">
        <f t="shared" ca="1" si="52"/>
        <v>na</v>
      </c>
      <c r="P215" s="1692" t="str">
        <f t="shared" ca="1" si="52"/>
        <v>na</v>
      </c>
      <c r="Q215" s="1692" t="str">
        <f t="shared" ca="1" si="52"/>
        <v>na</v>
      </c>
      <c r="R215" s="1218"/>
    </row>
    <row r="216" spans="2:18" s="1684" customFormat="1">
      <c r="B216" s="1218"/>
      <c r="C216" s="1690"/>
      <c r="D216" s="1690"/>
      <c r="E216" s="1690"/>
      <c r="F216" s="1690"/>
      <c r="G216" s="1690"/>
      <c r="H216" s="1690"/>
      <c r="I216" s="1690"/>
      <c r="J216" s="1690"/>
      <c r="K216" s="1690"/>
      <c r="L216" s="1690"/>
      <c r="M216" s="1690"/>
      <c r="N216" s="1690"/>
      <c r="O216" s="1690"/>
      <c r="P216" s="1690"/>
      <c r="Q216" s="1690"/>
      <c r="R216" s="1218"/>
    </row>
    <row r="217" spans="2:18" s="1684" customFormat="1">
      <c r="B217" s="1218"/>
      <c r="C217" s="1749" t="s">
        <v>4</v>
      </c>
      <c r="D217" s="1690"/>
      <c r="E217" s="1690"/>
      <c r="F217" s="1690"/>
      <c r="G217" s="1690"/>
      <c r="H217" s="1690"/>
      <c r="I217" s="1690"/>
      <c r="J217" s="1690"/>
      <c r="K217" s="1690"/>
      <c r="L217" s="1690"/>
      <c r="M217" s="1690"/>
      <c r="N217" s="1690"/>
      <c r="O217" s="1690"/>
      <c r="P217" s="1690"/>
      <c r="Q217" s="1690"/>
      <c r="R217" s="1218"/>
    </row>
    <row r="218" spans="2:18" s="1684" customFormat="1">
      <c r="B218" s="1218"/>
      <c r="C218" s="1691" t="s">
        <v>1043</v>
      </c>
      <c r="D218" s="1691" t="s">
        <v>42</v>
      </c>
      <c r="E218" s="1218" t="s">
        <v>56</v>
      </c>
      <c r="F218" s="528"/>
      <c r="G218" s="1690"/>
      <c r="H218" s="1692" t="str">
        <f ca="1">IFERROR(INDEX(INDIRECT($C218&amp;".Outputs["&amp;H$4&amp;"]"),MATCH($D218,INDIRECT($C218&amp;".Outputs[Vector]"),0)),"na")</f>
        <v>na</v>
      </c>
      <c r="I218" s="1692" t="str">
        <f t="shared" ref="I218:Q220" ca="1" si="53">IFERROR(INDEX(INDIRECT($C218&amp;".Outputs["&amp;I$4&amp;"]"),MATCH($D218,INDIRECT($C218&amp;".Outputs[Vector]"),0)),"na")</f>
        <v>na</v>
      </c>
      <c r="J218" s="1692" t="str">
        <f t="shared" ca="1" si="53"/>
        <v>na</v>
      </c>
      <c r="K218" s="1692" t="str">
        <f t="shared" ca="1" si="53"/>
        <v>na</v>
      </c>
      <c r="L218" s="1692" t="str">
        <f t="shared" ca="1" si="53"/>
        <v>na</v>
      </c>
      <c r="M218" s="1692" t="str">
        <f t="shared" ca="1" si="53"/>
        <v>na</v>
      </c>
      <c r="N218" s="1692" t="str">
        <f t="shared" ca="1" si="53"/>
        <v>na</v>
      </c>
      <c r="O218" s="1692" t="str">
        <f t="shared" ca="1" si="53"/>
        <v>na</v>
      </c>
      <c r="P218" s="1692" t="str">
        <f t="shared" ca="1" si="53"/>
        <v>na</v>
      </c>
      <c r="Q218" s="1692" t="str">
        <f t="shared" ca="1" si="53"/>
        <v>na</v>
      </c>
      <c r="R218" s="1218"/>
    </row>
    <row r="219" spans="2:18" s="1684" customFormat="1">
      <c r="B219" s="1218"/>
      <c r="C219" s="1691" t="s">
        <v>1043</v>
      </c>
      <c r="D219" s="1691" t="s">
        <v>44</v>
      </c>
      <c r="E219" s="1218" t="s">
        <v>57</v>
      </c>
      <c r="F219" s="528"/>
      <c r="G219" s="1690"/>
      <c r="H219" s="1692" t="str">
        <f ca="1">IFERROR(INDEX(INDIRECT($C219&amp;".Outputs["&amp;H$4&amp;"]"),MATCH($D219,INDIRECT($C219&amp;".Outputs[Vector]"),0)),"na")</f>
        <v>na</v>
      </c>
      <c r="I219" s="1692" t="str">
        <f t="shared" ca="1" si="53"/>
        <v>na</v>
      </c>
      <c r="J219" s="1692" t="str">
        <f t="shared" ca="1" si="53"/>
        <v>na</v>
      </c>
      <c r="K219" s="1692" t="str">
        <f t="shared" ca="1" si="53"/>
        <v>na</v>
      </c>
      <c r="L219" s="1692" t="str">
        <f t="shared" ca="1" si="53"/>
        <v>na</v>
      </c>
      <c r="M219" s="1692" t="str">
        <f t="shared" ca="1" si="53"/>
        <v>na</v>
      </c>
      <c r="N219" s="1692" t="str">
        <f t="shared" ca="1" si="53"/>
        <v>na</v>
      </c>
      <c r="O219" s="1692" t="str">
        <f t="shared" ca="1" si="53"/>
        <v>na</v>
      </c>
      <c r="P219" s="1692" t="str">
        <f t="shared" ca="1" si="53"/>
        <v>na</v>
      </c>
      <c r="Q219" s="1692" t="str">
        <f t="shared" ca="1" si="53"/>
        <v>na</v>
      </c>
      <c r="R219" s="1218"/>
    </row>
    <row r="220" spans="2:18" s="1684" customFormat="1">
      <c r="B220" s="1218"/>
      <c r="C220" s="1691" t="s">
        <v>1043</v>
      </c>
      <c r="D220" s="1691" t="s">
        <v>45</v>
      </c>
      <c r="E220" s="1218" t="s">
        <v>532</v>
      </c>
      <c r="F220" s="528"/>
      <c r="G220" s="1690"/>
      <c r="H220" s="1692" t="str">
        <f ca="1">IFERROR(INDEX(INDIRECT($C220&amp;".Outputs["&amp;H$4&amp;"]"),MATCH($D220,INDIRECT($C220&amp;".Outputs[Vector]"),0)),"na")</f>
        <v>na</v>
      </c>
      <c r="I220" s="1692" t="str">
        <f t="shared" ca="1" si="53"/>
        <v>na</v>
      </c>
      <c r="J220" s="1692" t="str">
        <f t="shared" ca="1" si="53"/>
        <v>na</v>
      </c>
      <c r="K220" s="1692" t="str">
        <f t="shared" ca="1" si="53"/>
        <v>na</v>
      </c>
      <c r="L220" s="1692" t="str">
        <f t="shared" ca="1" si="53"/>
        <v>na</v>
      </c>
      <c r="M220" s="1692" t="str">
        <f t="shared" ca="1" si="53"/>
        <v>na</v>
      </c>
      <c r="N220" s="1692" t="str">
        <f t="shared" ca="1" si="53"/>
        <v>na</v>
      </c>
      <c r="O220" s="1692" t="str">
        <f t="shared" ca="1" si="53"/>
        <v>na</v>
      </c>
      <c r="P220" s="1692" t="str">
        <f t="shared" ca="1" si="53"/>
        <v>na</v>
      </c>
      <c r="Q220" s="1692" t="str">
        <f t="shared" ca="1" si="53"/>
        <v>na</v>
      </c>
      <c r="R220" s="1218"/>
    </row>
    <row r="221" spans="2:18" s="1684" customFormat="1">
      <c r="B221" s="1218"/>
      <c r="C221" s="1218"/>
      <c r="D221" s="1218"/>
      <c r="E221" s="1218"/>
      <c r="F221" s="1218"/>
      <c r="G221" s="1218"/>
      <c r="H221" s="1218"/>
      <c r="I221" s="1218"/>
      <c r="J221" s="1218"/>
      <c r="K221" s="1218"/>
      <c r="L221" s="1218"/>
      <c r="M221" s="1218"/>
      <c r="N221" s="1218"/>
      <c r="O221" s="1218"/>
      <c r="P221" s="1218"/>
      <c r="Q221" s="1218"/>
      <c r="R221" s="1218"/>
    </row>
    <row r="222" spans="2:18" s="1684" customFormat="1">
      <c r="B222" s="1218"/>
      <c r="C222" s="1236" t="s">
        <v>132</v>
      </c>
      <c r="D222" s="1218"/>
      <c r="E222" s="1218"/>
      <c r="F222" s="1218"/>
      <c r="G222" s="1218"/>
      <c r="H222" s="1218"/>
      <c r="I222" s="1218"/>
      <c r="J222" s="1218"/>
      <c r="K222" s="1218"/>
      <c r="L222" s="1218"/>
      <c r="M222" s="1218"/>
      <c r="N222" s="1218"/>
      <c r="O222" s="1218"/>
      <c r="P222" s="1218"/>
      <c r="Q222" s="1218"/>
      <c r="R222" s="1218"/>
    </row>
    <row r="223" spans="2:18" s="1684" customFormat="1">
      <c r="B223" s="1218"/>
      <c r="C223" s="1691" t="s">
        <v>1043</v>
      </c>
      <c r="D223" s="1691" t="s">
        <v>42</v>
      </c>
      <c r="E223" s="1218" t="s">
        <v>56</v>
      </c>
      <c r="F223" s="528"/>
      <c r="G223" s="1218"/>
      <c r="H223" s="1227" t="e">
        <f t="shared" ref="H223:Q223" ca="1" si="54">H213+H218</f>
        <v>#VALUE!</v>
      </c>
      <c r="I223" s="1227" t="e">
        <f t="shared" ca="1" si="54"/>
        <v>#VALUE!</v>
      </c>
      <c r="J223" s="1227" t="e">
        <f t="shared" ca="1" si="54"/>
        <v>#VALUE!</v>
      </c>
      <c r="K223" s="1227" t="e">
        <f t="shared" ca="1" si="54"/>
        <v>#VALUE!</v>
      </c>
      <c r="L223" s="1227" t="e">
        <f t="shared" ca="1" si="54"/>
        <v>#VALUE!</v>
      </c>
      <c r="M223" s="1227" t="e">
        <f t="shared" ca="1" si="54"/>
        <v>#VALUE!</v>
      </c>
      <c r="N223" s="1227" t="e">
        <f t="shared" ca="1" si="54"/>
        <v>#VALUE!</v>
      </c>
      <c r="O223" s="1227" t="e">
        <f t="shared" ca="1" si="54"/>
        <v>#VALUE!</v>
      </c>
      <c r="P223" s="1227" t="e">
        <f t="shared" ca="1" si="54"/>
        <v>#VALUE!</v>
      </c>
      <c r="Q223" s="1227" t="e">
        <f t="shared" ca="1" si="54"/>
        <v>#VALUE!</v>
      </c>
      <c r="R223" s="1218"/>
    </row>
    <row r="224" spans="2:18" s="1684" customFormat="1">
      <c r="B224" s="1218"/>
      <c r="C224" s="1691" t="s">
        <v>1043</v>
      </c>
      <c r="D224" s="1691" t="s">
        <v>44</v>
      </c>
      <c r="E224" s="1218" t="s">
        <v>57</v>
      </c>
      <c r="F224" s="528"/>
      <c r="G224" s="1218"/>
      <c r="H224" s="1227" t="e">
        <f t="shared" ref="H224:Q224" ca="1" si="55">H214+H219</f>
        <v>#VALUE!</v>
      </c>
      <c r="I224" s="1227" t="e">
        <f t="shared" ca="1" si="55"/>
        <v>#VALUE!</v>
      </c>
      <c r="J224" s="1227" t="e">
        <f t="shared" ca="1" si="55"/>
        <v>#VALUE!</v>
      </c>
      <c r="K224" s="1227" t="e">
        <f t="shared" ca="1" si="55"/>
        <v>#VALUE!</v>
      </c>
      <c r="L224" s="1227" t="e">
        <f t="shared" ca="1" si="55"/>
        <v>#VALUE!</v>
      </c>
      <c r="M224" s="1227" t="e">
        <f t="shared" ca="1" si="55"/>
        <v>#VALUE!</v>
      </c>
      <c r="N224" s="1227" t="e">
        <f t="shared" ca="1" si="55"/>
        <v>#VALUE!</v>
      </c>
      <c r="O224" s="1227" t="e">
        <f t="shared" ca="1" si="55"/>
        <v>#VALUE!</v>
      </c>
      <c r="P224" s="1227" t="e">
        <f t="shared" ca="1" si="55"/>
        <v>#VALUE!</v>
      </c>
      <c r="Q224" s="1227" t="e">
        <f t="shared" ca="1" si="55"/>
        <v>#VALUE!</v>
      </c>
      <c r="R224" s="1218"/>
    </row>
    <row r="225" spans="2:19" s="1684" customFormat="1">
      <c r="B225" s="1218"/>
      <c r="C225" s="1691" t="s">
        <v>1043</v>
      </c>
      <c r="D225" s="1691" t="s">
        <v>45</v>
      </c>
      <c r="E225" s="1218" t="s">
        <v>532</v>
      </c>
      <c r="F225" s="528"/>
      <c r="G225" s="1218"/>
      <c r="H225" s="1227" t="e">
        <f t="shared" ref="H225:Q225" ca="1" si="56">H215+H220</f>
        <v>#VALUE!</v>
      </c>
      <c r="I225" s="1227" t="e">
        <f t="shared" ca="1" si="56"/>
        <v>#VALUE!</v>
      </c>
      <c r="J225" s="1227" t="e">
        <f t="shared" ca="1" si="56"/>
        <v>#VALUE!</v>
      </c>
      <c r="K225" s="1227" t="e">
        <f t="shared" ca="1" si="56"/>
        <v>#VALUE!</v>
      </c>
      <c r="L225" s="1227" t="e">
        <f t="shared" ca="1" si="56"/>
        <v>#VALUE!</v>
      </c>
      <c r="M225" s="1227" t="e">
        <f t="shared" ca="1" si="56"/>
        <v>#VALUE!</v>
      </c>
      <c r="N225" s="1227" t="e">
        <f t="shared" ca="1" si="56"/>
        <v>#VALUE!</v>
      </c>
      <c r="O225" s="1227" t="e">
        <f t="shared" ca="1" si="56"/>
        <v>#VALUE!</v>
      </c>
      <c r="P225" s="1227" t="e">
        <f t="shared" ca="1" si="56"/>
        <v>#VALUE!</v>
      </c>
      <c r="Q225" s="1227" t="e">
        <f t="shared" ca="1" si="56"/>
        <v>#VALUE!</v>
      </c>
      <c r="R225" s="1218"/>
    </row>
    <row r="226" spans="2:19" s="1684" customFormat="1">
      <c r="B226" s="1218"/>
      <c r="C226" s="1218"/>
      <c r="D226" s="1218"/>
      <c r="E226" s="1218"/>
      <c r="F226" s="1218"/>
      <c r="G226" s="1218"/>
      <c r="H226" s="1218"/>
      <c r="I226" s="1218"/>
      <c r="J226" s="1218"/>
      <c r="K226" s="1218"/>
      <c r="L226" s="1218"/>
      <c r="M226" s="1218"/>
      <c r="N226" s="1218"/>
      <c r="O226" s="1218"/>
      <c r="P226" s="1218"/>
      <c r="Q226" s="1218"/>
      <c r="R226" s="1218"/>
    </row>
    <row r="227" spans="2:19" s="1684" customFormat="1">
      <c r="B227" s="1748" t="s">
        <v>1885</v>
      </c>
      <c r="C227" s="1690"/>
      <c r="D227" s="1690"/>
      <c r="E227" s="1690"/>
      <c r="F227" s="1690"/>
      <c r="G227" s="1690"/>
      <c r="H227" s="1690" t="s">
        <v>1886</v>
      </c>
      <c r="I227" s="1690"/>
      <c r="J227" s="1690"/>
      <c r="K227" s="1690"/>
      <c r="L227" s="1690"/>
      <c r="M227" s="1690"/>
      <c r="N227" s="1690"/>
      <c r="O227" s="1690"/>
      <c r="P227" s="1690"/>
      <c r="Q227" s="1690"/>
      <c r="R227" s="1218"/>
    </row>
    <row r="228" spans="2:19" s="1684" customFormat="1">
      <c r="B228" s="1218"/>
      <c r="C228" s="1218"/>
      <c r="D228" s="1218"/>
      <c r="E228" s="1218"/>
      <c r="F228" s="1218"/>
      <c r="G228" s="1218"/>
      <c r="H228" s="1218"/>
      <c r="I228" s="1218"/>
      <c r="J228" s="1218"/>
      <c r="K228" s="1218"/>
      <c r="L228" s="1218"/>
      <c r="M228" s="1218"/>
      <c r="N228" s="1218"/>
      <c r="O228" s="1218"/>
      <c r="P228" s="1218"/>
      <c r="Q228" s="1218"/>
      <c r="R228" s="1218"/>
      <c r="S228" s="1733"/>
    </row>
    <row r="229" spans="2:19" s="1684" customFormat="1">
      <c r="B229" s="1218"/>
      <c r="C229" s="1722" t="s">
        <v>1842</v>
      </c>
      <c r="D229" s="1690"/>
      <c r="E229" s="1690"/>
      <c r="F229" s="1690"/>
      <c r="G229" s="1690"/>
      <c r="H229" s="1723" t="e">
        <f t="shared" ref="H229:Q229" ca="1" si="57">-(INDEX(INDIRECT(H$212&amp;"!Year.Matrix"),MATCH("Subtotal.Supply",INDIRECT(H$212&amp;"!Year.Modules"),0),MATCH("V.03",INDIRECT(H$212&amp;"!Year.Vectors"),0))+INDEX(INDIRECT(H$212&amp;"!Year.Matrix"),MATCH("Subtotal.Consumption",INDIRECT(H$212&amp;"!Year.Modules"),0),MATCH("V.03",INDIRECT(H$212&amp;"!Year.Vectors"),0)))</f>
        <v>#REF!</v>
      </c>
      <c r="I229" s="1723" t="e">
        <f t="shared" ca="1" si="57"/>
        <v>#REF!</v>
      </c>
      <c r="J229" s="1723" t="e">
        <f t="shared" ca="1" si="57"/>
        <v>#REF!</v>
      </c>
      <c r="K229" s="1723" t="e">
        <f t="shared" ca="1" si="57"/>
        <v>#REF!</v>
      </c>
      <c r="L229" s="1723" t="e">
        <f t="shared" ca="1" si="57"/>
        <v>#REF!</v>
      </c>
      <c r="M229" s="1723" t="e">
        <f t="shared" ca="1" si="57"/>
        <v>#REF!</v>
      </c>
      <c r="N229" s="1723" t="e">
        <f t="shared" ca="1" si="57"/>
        <v>#REF!</v>
      </c>
      <c r="O229" s="1723" t="e">
        <f t="shared" ca="1" si="57"/>
        <v>#REF!</v>
      </c>
      <c r="P229" s="1723" t="e">
        <f t="shared" ca="1" si="57"/>
        <v>#REF!</v>
      </c>
      <c r="Q229" s="1723">
        <f t="shared" ca="1" si="57"/>
        <v>400.12025503680002</v>
      </c>
      <c r="R229" s="1218"/>
    </row>
    <row r="230" spans="2:19" s="1684" customFormat="1">
      <c r="B230" s="1218"/>
      <c r="C230" s="1727" t="s">
        <v>560</v>
      </c>
      <c r="D230" s="1722" t="s">
        <v>1721</v>
      </c>
      <c r="E230" s="1690"/>
      <c r="F230" s="1690"/>
      <c r="G230" s="1690"/>
      <c r="H230" s="1724" t="e">
        <f t="shared" ref="H230:Q230" ca="1" si="58">INDEX(INDIRECT(H$212&amp;"!Year.Matrix"),MATCH($C230,INDIRECT(H$212&amp;"!Year.Modules"),0),MATCH("V.03",INDIRECT(H$212&amp;"!Year.Vectors"),0))/H$229</f>
        <v>#REF!</v>
      </c>
      <c r="I230" s="1724" t="e">
        <f t="shared" ca="1" si="58"/>
        <v>#REF!</v>
      </c>
      <c r="J230" s="1724" t="e">
        <f t="shared" ca="1" si="58"/>
        <v>#REF!</v>
      </c>
      <c r="K230" s="1724" t="e">
        <f t="shared" ca="1" si="58"/>
        <v>#REF!</v>
      </c>
      <c r="L230" s="1724" t="e">
        <f t="shared" ca="1" si="58"/>
        <v>#REF!</v>
      </c>
      <c r="M230" s="1724" t="e">
        <f t="shared" ca="1" si="58"/>
        <v>#REF!</v>
      </c>
      <c r="N230" s="1724" t="e">
        <f t="shared" ca="1" si="58"/>
        <v>#REF!</v>
      </c>
      <c r="O230" s="1724" t="e">
        <f t="shared" ca="1" si="58"/>
        <v>#REF!</v>
      </c>
      <c r="P230" s="1724" t="e">
        <f t="shared" ca="1" si="58"/>
        <v>#REF!</v>
      </c>
      <c r="Q230" s="1724">
        <f t="shared" ca="1" si="58"/>
        <v>0</v>
      </c>
      <c r="R230" s="1218"/>
    </row>
    <row r="231" spans="2:19" s="1684" customFormat="1">
      <c r="B231" s="1218"/>
      <c r="C231" s="1725" t="s">
        <v>679</v>
      </c>
      <c r="D231" s="1696" t="str">
        <f>INDEX(Modules[Module], MATCH(C231, Modules[Code], 0))</f>
        <v>Carbon Capture Storage (CCS)</v>
      </c>
      <c r="E231" s="1690"/>
      <c r="F231" s="1690"/>
      <c r="G231" s="1690"/>
      <c r="H231" s="1726" t="e">
        <f t="shared" ref="H231:Q234" ca="1" si="59">-INDEX(INDIRECT(H$212&amp;"!Year.Matrix"),MATCH($C231,INDIRECT(H$212&amp;"!Year.Modules"),0),MATCH("V.03",INDIRECT(H$212&amp;"!Year.Vectors"),0))</f>
        <v>#REF!</v>
      </c>
      <c r="I231" s="1726" t="e">
        <f t="shared" ca="1" si="59"/>
        <v>#REF!</v>
      </c>
      <c r="J231" s="1726" t="e">
        <f t="shared" ca="1" si="59"/>
        <v>#REF!</v>
      </c>
      <c r="K231" s="1726" t="e">
        <f t="shared" ca="1" si="59"/>
        <v>#REF!</v>
      </c>
      <c r="L231" s="1726" t="e">
        <f t="shared" ca="1" si="59"/>
        <v>#REF!</v>
      </c>
      <c r="M231" s="1726" t="e">
        <f t="shared" ca="1" si="59"/>
        <v>#REF!</v>
      </c>
      <c r="N231" s="1726" t="e">
        <f t="shared" ca="1" si="59"/>
        <v>#REF!</v>
      </c>
      <c r="O231" s="1726" t="e">
        <f t="shared" ca="1" si="59"/>
        <v>#REF!</v>
      </c>
      <c r="P231" s="1726" t="e">
        <f t="shared" ca="1" si="59"/>
        <v>#REF!</v>
      </c>
      <c r="Q231" s="1726">
        <f t="shared" ca="1" si="59"/>
        <v>400.12025503680002</v>
      </c>
      <c r="R231" s="1218"/>
    </row>
    <row r="232" spans="2:19" s="1684" customFormat="1">
      <c r="B232" s="1218"/>
      <c r="C232" s="1725" t="s">
        <v>623</v>
      </c>
      <c r="D232" s="1696" t="str">
        <f>INDEX(Modules[Module], MATCH(C232, Modules[Code], 0))</f>
        <v>Biomass/Coal power stations</v>
      </c>
      <c r="E232" s="1690"/>
      <c r="F232" s="1690"/>
      <c r="G232" s="1690"/>
      <c r="H232" s="1726" t="e">
        <f t="shared" ca="1" si="59"/>
        <v>#REF!</v>
      </c>
      <c r="I232" s="1726" t="e">
        <f t="shared" ca="1" si="59"/>
        <v>#REF!</v>
      </c>
      <c r="J232" s="1726" t="e">
        <f t="shared" ca="1" si="59"/>
        <v>#REF!</v>
      </c>
      <c r="K232" s="1726" t="e">
        <f t="shared" ca="1" si="59"/>
        <v>#REF!</v>
      </c>
      <c r="L232" s="1726" t="e">
        <f t="shared" ca="1" si="59"/>
        <v>#REF!</v>
      </c>
      <c r="M232" s="1726" t="e">
        <f t="shared" ca="1" si="59"/>
        <v>#REF!</v>
      </c>
      <c r="N232" s="1726" t="e">
        <f t="shared" ca="1" si="59"/>
        <v>#REF!</v>
      </c>
      <c r="O232" s="1726" t="e">
        <f t="shared" ca="1" si="59"/>
        <v>#REF!</v>
      </c>
      <c r="P232" s="1726" t="e">
        <f t="shared" ca="1" si="59"/>
        <v>#REF!</v>
      </c>
      <c r="Q232" s="1726">
        <f t="shared" ca="1" si="59"/>
        <v>0</v>
      </c>
      <c r="R232" s="1218"/>
    </row>
    <row r="233" spans="2:19" s="1684" customFormat="1">
      <c r="B233" s="1218"/>
      <c r="C233" s="1725" t="s">
        <v>567</v>
      </c>
      <c r="D233" s="1696" t="s">
        <v>39</v>
      </c>
      <c r="E233" s="1690"/>
      <c r="F233" s="1690"/>
      <c r="G233" s="1690"/>
      <c r="H233" s="1726" t="e">
        <f t="shared" ca="1" si="59"/>
        <v>#REF!</v>
      </c>
      <c r="I233" s="1726" t="e">
        <f t="shared" ca="1" si="59"/>
        <v>#REF!</v>
      </c>
      <c r="J233" s="1726" t="e">
        <f t="shared" ca="1" si="59"/>
        <v>#REF!</v>
      </c>
      <c r="K233" s="1726" t="e">
        <f t="shared" ca="1" si="59"/>
        <v>#REF!</v>
      </c>
      <c r="L233" s="1726" t="e">
        <f t="shared" ca="1" si="59"/>
        <v>#REF!</v>
      </c>
      <c r="M233" s="1726" t="e">
        <f t="shared" ca="1" si="59"/>
        <v>#REF!</v>
      </c>
      <c r="N233" s="1726" t="e">
        <f t="shared" ca="1" si="59"/>
        <v>#REF!</v>
      </c>
      <c r="O233" s="1726" t="e">
        <f t="shared" ca="1" si="59"/>
        <v>#REF!</v>
      </c>
      <c r="P233" s="1726" t="e">
        <f t="shared" ca="1" si="59"/>
        <v>#REF!</v>
      </c>
      <c r="Q233" s="1726">
        <f t="shared" ca="1" si="59"/>
        <v>0</v>
      </c>
      <c r="R233" s="1218"/>
    </row>
    <row r="234" spans="2:19" s="1684" customFormat="1">
      <c r="B234" s="1218"/>
      <c r="C234" s="1725" t="s">
        <v>565</v>
      </c>
      <c r="D234" s="1696" t="s">
        <v>26</v>
      </c>
      <c r="E234" s="1690"/>
      <c r="F234" s="1690"/>
      <c r="G234" s="1690"/>
      <c r="H234" s="1726" t="e">
        <f t="shared" ca="1" si="59"/>
        <v>#REF!</v>
      </c>
      <c r="I234" s="1726" t="e">
        <f t="shared" ca="1" si="59"/>
        <v>#REF!</v>
      </c>
      <c r="J234" s="1726" t="e">
        <f t="shared" ca="1" si="59"/>
        <v>#REF!</v>
      </c>
      <c r="K234" s="1726" t="e">
        <f t="shared" ca="1" si="59"/>
        <v>#REF!</v>
      </c>
      <c r="L234" s="1726" t="e">
        <f t="shared" ca="1" si="59"/>
        <v>#REF!</v>
      </c>
      <c r="M234" s="1726" t="e">
        <f t="shared" ca="1" si="59"/>
        <v>#REF!</v>
      </c>
      <c r="N234" s="1726" t="e">
        <f t="shared" ca="1" si="59"/>
        <v>#REF!</v>
      </c>
      <c r="O234" s="1726" t="e">
        <f t="shared" ca="1" si="59"/>
        <v>#REF!</v>
      </c>
      <c r="P234" s="1726" t="e">
        <f t="shared" ca="1" si="59"/>
        <v>#REF!</v>
      </c>
      <c r="Q234" s="1726">
        <f t="shared" ca="1" si="59"/>
        <v>0</v>
      </c>
      <c r="R234" s="1218"/>
    </row>
    <row r="235" spans="2:19" s="1684" customFormat="1">
      <c r="B235" s="1218"/>
      <c r="C235" s="1695"/>
      <c r="D235" s="1690"/>
      <c r="E235" s="1690"/>
      <c r="F235" s="1690"/>
      <c r="G235" s="1690"/>
      <c r="H235" s="1690"/>
      <c r="I235" s="1690"/>
      <c r="J235" s="1690"/>
      <c r="K235" s="1690"/>
      <c r="L235" s="1690"/>
      <c r="M235" s="1690"/>
      <c r="N235" s="1690"/>
      <c r="O235" s="1690"/>
      <c r="P235" s="1690"/>
      <c r="Q235" s="1690"/>
      <c r="R235" s="1218"/>
    </row>
    <row r="236" spans="2:19" s="1684" customFormat="1">
      <c r="B236" s="1218"/>
      <c r="C236" s="1722" t="s">
        <v>1841</v>
      </c>
      <c r="D236" s="1690"/>
      <c r="E236" s="1690"/>
      <c r="F236" s="1690"/>
      <c r="G236" s="1690"/>
      <c r="H236" s="1723" t="e">
        <f t="shared" ref="H236:Q236" ca="1" si="60">-(INDEX(INDIRECT(H$212&amp;"!Year.Matrix"),MATCH("Subtotal.Supply",INDIRECT(H$212&amp;"!Year.Modules"),0),MATCH("V.04",INDIRECT(H$212&amp;"!Year.Vectors"),0))+INDEX(INDIRECT(H$212&amp;"!Year.Matrix"),MATCH("Subtotal.Consumption",INDIRECT(H$212&amp;"!Year.Modules"),0),MATCH("V.04",INDIRECT(H$212&amp;"!Year.Vectors"),0)))</f>
        <v>#REF!</v>
      </c>
      <c r="I236" s="1723" t="e">
        <f t="shared" ca="1" si="60"/>
        <v>#REF!</v>
      </c>
      <c r="J236" s="1723" t="e">
        <f t="shared" ca="1" si="60"/>
        <v>#REF!</v>
      </c>
      <c r="K236" s="1723" t="e">
        <f t="shared" ca="1" si="60"/>
        <v>#REF!</v>
      </c>
      <c r="L236" s="1723" t="e">
        <f t="shared" ca="1" si="60"/>
        <v>#REF!</v>
      </c>
      <c r="M236" s="1723" t="e">
        <f t="shared" ca="1" si="60"/>
        <v>#REF!</v>
      </c>
      <c r="N236" s="1723" t="e">
        <f t="shared" ca="1" si="60"/>
        <v>#REF!</v>
      </c>
      <c r="O236" s="1723" t="e">
        <f t="shared" ca="1" si="60"/>
        <v>#REF!</v>
      </c>
      <c r="P236" s="1723" t="e">
        <f t="shared" ca="1" si="60"/>
        <v>#REF!</v>
      </c>
      <c r="Q236" s="1723">
        <f t="shared" ca="1" si="60"/>
        <v>0</v>
      </c>
      <c r="R236" s="1218"/>
    </row>
    <row r="237" spans="2:19" s="1684" customFormat="1">
      <c r="B237" s="1218"/>
      <c r="C237" s="1727" t="s">
        <v>560</v>
      </c>
      <c r="D237" s="1722" t="s">
        <v>1720</v>
      </c>
      <c r="E237" s="1690"/>
      <c r="F237" s="1690"/>
      <c r="G237" s="1690"/>
      <c r="H237" s="1724" t="e">
        <f t="shared" ref="H237:Q237" ca="1" si="61">INDEX(INDIRECT(H$212&amp;"!Year.Matrix"),MATCH($C237,INDIRECT(H$212&amp;"!Year.Modules"),0),MATCH("V.04",INDIRECT(H$212&amp;"!Year.Vectors"),0))/H$236</f>
        <v>#REF!</v>
      </c>
      <c r="I237" s="1724" t="e">
        <f t="shared" ca="1" si="61"/>
        <v>#REF!</v>
      </c>
      <c r="J237" s="1724" t="e">
        <f t="shared" ca="1" si="61"/>
        <v>#REF!</v>
      </c>
      <c r="K237" s="1724" t="e">
        <f t="shared" ca="1" si="61"/>
        <v>#REF!</v>
      </c>
      <c r="L237" s="1724" t="e">
        <f t="shared" ca="1" si="61"/>
        <v>#REF!</v>
      </c>
      <c r="M237" s="1724" t="e">
        <f t="shared" ca="1" si="61"/>
        <v>#REF!</v>
      </c>
      <c r="N237" s="1724" t="e">
        <f t="shared" ca="1" si="61"/>
        <v>#REF!</v>
      </c>
      <c r="O237" s="1724" t="e">
        <f t="shared" ca="1" si="61"/>
        <v>#REF!</v>
      </c>
      <c r="P237" s="1724" t="e">
        <f t="shared" ca="1" si="61"/>
        <v>#REF!</v>
      </c>
      <c r="Q237" s="1724" t="e">
        <f t="shared" ca="1" si="61"/>
        <v>#DIV/0!</v>
      </c>
      <c r="R237" s="1218"/>
    </row>
    <row r="238" spans="2:19" s="1684" customFormat="1">
      <c r="B238" s="1218"/>
      <c r="C238" s="1725" t="s">
        <v>568</v>
      </c>
      <c r="D238" s="1696" t="s">
        <v>244</v>
      </c>
      <c r="E238" s="1690"/>
      <c r="F238" s="1690"/>
      <c r="G238" s="1690"/>
      <c r="H238" s="1726" t="e">
        <f t="shared" ref="H238:Q240" ca="1" si="62">-INDEX(INDIRECT(H$212&amp;"!Year.Matrix"),MATCH($C238,INDIRECT(H$212&amp;"!Year.Modules"),0),MATCH("V.04",INDIRECT(H$212&amp;"!Year.Vectors"),0))</f>
        <v>#REF!</v>
      </c>
      <c r="I238" s="1726" t="e">
        <f t="shared" ca="1" si="62"/>
        <v>#REF!</v>
      </c>
      <c r="J238" s="1726" t="e">
        <f t="shared" ca="1" si="62"/>
        <v>#REF!</v>
      </c>
      <c r="K238" s="1726" t="e">
        <f t="shared" ca="1" si="62"/>
        <v>#REF!</v>
      </c>
      <c r="L238" s="1726" t="e">
        <f t="shared" ca="1" si="62"/>
        <v>#REF!</v>
      </c>
      <c r="M238" s="1726" t="e">
        <f t="shared" ca="1" si="62"/>
        <v>#REF!</v>
      </c>
      <c r="N238" s="1726" t="e">
        <f t="shared" ca="1" si="62"/>
        <v>#REF!</v>
      </c>
      <c r="O238" s="1726" t="e">
        <f t="shared" ca="1" si="62"/>
        <v>#REF!</v>
      </c>
      <c r="P238" s="1726" t="e">
        <f t="shared" ca="1" si="62"/>
        <v>#REF!</v>
      </c>
      <c r="Q238" s="1726">
        <f t="shared" ca="1" si="62"/>
        <v>0</v>
      </c>
      <c r="R238" s="1218"/>
    </row>
    <row r="239" spans="2:19" s="1684" customFormat="1">
      <c r="B239" s="1218"/>
      <c r="C239" s="1725" t="s">
        <v>567</v>
      </c>
      <c r="D239" s="1696" t="s">
        <v>39</v>
      </c>
      <c r="E239" s="1690"/>
      <c r="F239" s="1690"/>
      <c r="G239" s="1690"/>
      <c r="H239" s="1726" t="e">
        <f t="shared" ca="1" si="62"/>
        <v>#REF!</v>
      </c>
      <c r="I239" s="1726" t="e">
        <f t="shared" ca="1" si="62"/>
        <v>#REF!</v>
      </c>
      <c r="J239" s="1726" t="e">
        <f t="shared" ca="1" si="62"/>
        <v>#REF!</v>
      </c>
      <c r="K239" s="1726" t="e">
        <f t="shared" ca="1" si="62"/>
        <v>#REF!</v>
      </c>
      <c r="L239" s="1726" t="e">
        <f t="shared" ca="1" si="62"/>
        <v>#REF!</v>
      </c>
      <c r="M239" s="1726" t="e">
        <f t="shared" ca="1" si="62"/>
        <v>#REF!</v>
      </c>
      <c r="N239" s="1726" t="e">
        <f t="shared" ca="1" si="62"/>
        <v>#REF!</v>
      </c>
      <c r="O239" s="1726" t="e">
        <f t="shared" ca="1" si="62"/>
        <v>#REF!</v>
      </c>
      <c r="P239" s="1726" t="e">
        <f t="shared" ca="1" si="62"/>
        <v>#REF!</v>
      </c>
      <c r="Q239" s="1726">
        <f t="shared" ca="1" si="62"/>
        <v>0</v>
      </c>
      <c r="R239" s="1218"/>
    </row>
    <row r="240" spans="2:19" s="1684" customFormat="1">
      <c r="B240" s="1218"/>
      <c r="C240" s="1725" t="s">
        <v>742</v>
      </c>
      <c r="D240" s="1696" t="str">
        <f>INDEX(Modules[Module], MATCH(C240, Modules[Code], 0))</f>
        <v>Petroleum refineries</v>
      </c>
      <c r="E240" s="1690"/>
      <c r="F240" s="1690"/>
      <c r="G240" s="1690"/>
      <c r="H240" s="1726" t="e">
        <f t="shared" ca="1" si="62"/>
        <v>#REF!</v>
      </c>
      <c r="I240" s="1726" t="e">
        <f t="shared" ca="1" si="62"/>
        <v>#REF!</v>
      </c>
      <c r="J240" s="1726" t="e">
        <f t="shared" ca="1" si="62"/>
        <v>#REF!</v>
      </c>
      <c r="K240" s="1726" t="e">
        <f t="shared" ca="1" si="62"/>
        <v>#REF!</v>
      </c>
      <c r="L240" s="1726" t="e">
        <f t="shared" ca="1" si="62"/>
        <v>#REF!</v>
      </c>
      <c r="M240" s="1726" t="e">
        <f t="shared" ca="1" si="62"/>
        <v>#REF!</v>
      </c>
      <c r="N240" s="1726" t="e">
        <f t="shared" ca="1" si="62"/>
        <v>#REF!</v>
      </c>
      <c r="O240" s="1726" t="e">
        <f t="shared" ca="1" si="62"/>
        <v>#REF!</v>
      </c>
      <c r="P240" s="1726" t="e">
        <f t="shared" ca="1" si="62"/>
        <v>#REF!</v>
      </c>
      <c r="Q240" s="1726">
        <f t="shared" ca="1" si="62"/>
        <v>0</v>
      </c>
      <c r="R240" s="1218"/>
    </row>
    <row r="241" spans="1:18" s="1684" customFormat="1">
      <c r="B241" s="1218"/>
      <c r="C241" s="1696"/>
      <c r="D241" s="1690"/>
      <c r="E241" s="1690"/>
      <c r="F241" s="1690"/>
      <c r="G241" s="1690"/>
      <c r="H241" s="1690"/>
      <c r="I241" s="1690"/>
      <c r="J241" s="1690"/>
      <c r="K241" s="1690"/>
      <c r="L241" s="1690"/>
      <c r="M241" s="1690"/>
      <c r="N241" s="1690"/>
      <c r="O241" s="1690"/>
      <c r="P241" s="1690"/>
      <c r="Q241" s="1690"/>
      <c r="R241" s="1218"/>
    </row>
    <row r="242" spans="1:18" s="1684" customFormat="1">
      <c r="B242" s="1218"/>
      <c r="C242" s="1722" t="s">
        <v>1840</v>
      </c>
      <c r="D242" s="1690"/>
      <c r="E242" s="1690"/>
      <c r="F242" s="1690"/>
      <c r="G242" s="1690"/>
      <c r="H242" s="1723" t="e">
        <f t="shared" ref="H242:Q242" ca="1" si="63">-(INDEX(INDIRECT(H$212&amp;"!Year.Matrix"),MATCH("Subtotal.Supply",INDIRECT(H$212&amp;"!Year.Modules"),0),MATCH("V.05",INDIRECT(H$212&amp;"!Year.Vectors"),0))+INDEX(INDIRECT(H$212&amp;"!Year.Matrix"),MATCH("Subtotal.Consumption",INDIRECT(H$212&amp;"!Year.Modules"),0),MATCH("V.05",INDIRECT(H$212&amp;"!Year.Vectors"),0)))</f>
        <v>#REF!</v>
      </c>
      <c r="I242" s="1723" t="e">
        <f t="shared" ca="1" si="63"/>
        <v>#REF!</v>
      </c>
      <c r="J242" s="1723" t="e">
        <f t="shared" ca="1" si="63"/>
        <v>#REF!</v>
      </c>
      <c r="K242" s="1723" t="e">
        <f t="shared" ca="1" si="63"/>
        <v>#REF!</v>
      </c>
      <c r="L242" s="1723" t="e">
        <f t="shared" ca="1" si="63"/>
        <v>#REF!</v>
      </c>
      <c r="M242" s="1723" t="e">
        <f t="shared" ca="1" si="63"/>
        <v>#REF!</v>
      </c>
      <c r="N242" s="1723" t="e">
        <f t="shared" ca="1" si="63"/>
        <v>#REF!</v>
      </c>
      <c r="O242" s="1723" t="e">
        <f t="shared" ca="1" si="63"/>
        <v>#REF!</v>
      </c>
      <c r="P242" s="1723" t="e">
        <f t="shared" ca="1" si="63"/>
        <v>#REF!</v>
      </c>
      <c r="Q242" s="1723">
        <f t="shared" ca="1" si="63"/>
        <v>151.89074227938463</v>
      </c>
      <c r="R242" s="1218"/>
    </row>
    <row r="243" spans="1:18" s="1684" customFormat="1">
      <c r="B243" s="1218"/>
      <c r="C243" s="1690" t="s">
        <v>560</v>
      </c>
      <c r="D243" s="1722" t="s">
        <v>1719</v>
      </c>
      <c r="E243" s="1690"/>
      <c r="F243" s="1690"/>
      <c r="G243" s="1690"/>
      <c r="H243" s="1724" t="e">
        <f t="shared" ref="H243:Q243" ca="1" si="64">INDEX(INDIRECT(H$212&amp;"!Year.Matrix"),MATCH($C243,INDIRECT(H$212&amp;"!Year.Modules"),0),MATCH("V.05",INDIRECT(H$212&amp;"!Year.Vectors"),0))/H$242</f>
        <v>#REF!</v>
      </c>
      <c r="I243" s="1724" t="e">
        <f t="shared" ca="1" si="64"/>
        <v>#REF!</v>
      </c>
      <c r="J243" s="1724" t="e">
        <f t="shared" ca="1" si="64"/>
        <v>#REF!</v>
      </c>
      <c r="K243" s="1724" t="e">
        <f t="shared" ca="1" si="64"/>
        <v>#REF!</v>
      </c>
      <c r="L243" s="1724" t="e">
        <f t="shared" ca="1" si="64"/>
        <v>#REF!</v>
      </c>
      <c r="M243" s="1724" t="e">
        <f t="shared" ca="1" si="64"/>
        <v>#REF!</v>
      </c>
      <c r="N243" s="1724" t="e">
        <f t="shared" ca="1" si="64"/>
        <v>#REF!</v>
      </c>
      <c r="O243" s="1724" t="e">
        <f t="shared" ca="1" si="64"/>
        <v>#REF!</v>
      </c>
      <c r="P243" s="1724" t="e">
        <f t="shared" ca="1" si="64"/>
        <v>#REF!</v>
      </c>
      <c r="Q243" s="1724">
        <f t="shared" ca="1" si="64"/>
        <v>0</v>
      </c>
      <c r="R243" s="1218"/>
    </row>
    <row r="244" spans="1:18" s="1684" customFormat="1">
      <c r="B244" s="1218"/>
      <c r="C244" s="1725" t="s">
        <v>668</v>
      </c>
      <c r="D244" s="1696" t="str">
        <f>INDEX(Modules[Module], MATCH(C244, Modules[Code], 0))</f>
        <v>Domestic space heating and hot water</v>
      </c>
      <c r="E244" s="1690"/>
      <c r="F244" s="1690"/>
      <c r="G244" s="1690"/>
      <c r="H244" s="1726" t="e">
        <f t="shared" ref="H244:Q248" ca="1" si="65">-INDEX(INDIRECT(H$212&amp;"!Year.Matrix"),MATCH($C244,INDIRECT(H$212&amp;"!Year.Modules"),0),MATCH("V.05",INDIRECT(H$212&amp;"!Year.Vectors"),0))</f>
        <v>#REF!</v>
      </c>
      <c r="I244" s="1726" t="e">
        <f t="shared" ca="1" si="65"/>
        <v>#REF!</v>
      </c>
      <c r="J244" s="1726" t="e">
        <f t="shared" ca="1" si="65"/>
        <v>#REF!</v>
      </c>
      <c r="K244" s="1726" t="e">
        <f t="shared" ca="1" si="65"/>
        <v>#REF!</v>
      </c>
      <c r="L244" s="1726" t="e">
        <f t="shared" ca="1" si="65"/>
        <v>#REF!</v>
      </c>
      <c r="M244" s="1726" t="e">
        <f t="shared" ca="1" si="65"/>
        <v>#REF!</v>
      </c>
      <c r="N244" s="1726" t="e">
        <f t="shared" ca="1" si="65"/>
        <v>#REF!</v>
      </c>
      <c r="O244" s="1726" t="e">
        <f t="shared" ca="1" si="65"/>
        <v>#REF!</v>
      </c>
      <c r="P244" s="1726" t="e">
        <f t="shared" ca="1" si="65"/>
        <v>#REF!</v>
      </c>
      <c r="Q244" s="1726">
        <f t="shared" ca="1" si="65"/>
        <v>0</v>
      </c>
      <c r="R244" s="1218"/>
    </row>
    <row r="245" spans="1:18" s="1684" customFormat="1">
      <c r="B245" s="1218"/>
      <c r="C245" s="1725" t="s">
        <v>716</v>
      </c>
      <c r="D245" s="1696" t="str">
        <f>INDEX(Modules[Module], MATCH(C245, Modules[Code], 0))</f>
        <v>Commercial heating and cooling</v>
      </c>
      <c r="E245" s="1690"/>
      <c r="F245" s="1690"/>
      <c r="G245" s="1690"/>
      <c r="H245" s="1726" t="e">
        <f t="shared" ca="1" si="65"/>
        <v>#REF!</v>
      </c>
      <c r="I245" s="1726" t="e">
        <f t="shared" ca="1" si="65"/>
        <v>#REF!</v>
      </c>
      <c r="J245" s="1726" t="e">
        <f t="shared" ca="1" si="65"/>
        <v>#REF!</v>
      </c>
      <c r="K245" s="1726" t="e">
        <f t="shared" ca="1" si="65"/>
        <v>#REF!</v>
      </c>
      <c r="L245" s="1726" t="e">
        <f t="shared" ca="1" si="65"/>
        <v>#REF!</v>
      </c>
      <c r="M245" s="1726" t="e">
        <f t="shared" ca="1" si="65"/>
        <v>#REF!</v>
      </c>
      <c r="N245" s="1726" t="e">
        <f t="shared" ca="1" si="65"/>
        <v>#REF!</v>
      </c>
      <c r="O245" s="1726" t="e">
        <f t="shared" ca="1" si="65"/>
        <v>#REF!</v>
      </c>
      <c r="P245" s="1726" t="e">
        <f t="shared" ca="1" si="65"/>
        <v>#REF!</v>
      </c>
      <c r="Q245" s="1726">
        <f t="shared" ca="1" si="65"/>
        <v>0</v>
      </c>
      <c r="R245" s="1218"/>
    </row>
    <row r="246" spans="1:18" s="1684" customFormat="1">
      <c r="B246" s="1218"/>
      <c r="C246" s="1725" t="s">
        <v>567</v>
      </c>
      <c r="D246" s="1696" t="s">
        <v>39</v>
      </c>
      <c r="E246" s="1690"/>
      <c r="F246" s="1690"/>
      <c r="G246" s="1690"/>
      <c r="H246" s="1726" t="e">
        <f t="shared" ca="1" si="65"/>
        <v>#REF!</v>
      </c>
      <c r="I246" s="1726" t="e">
        <f t="shared" ca="1" si="65"/>
        <v>#REF!</v>
      </c>
      <c r="J246" s="1726" t="e">
        <f t="shared" ca="1" si="65"/>
        <v>#REF!</v>
      </c>
      <c r="K246" s="1726" t="e">
        <f t="shared" ca="1" si="65"/>
        <v>#REF!</v>
      </c>
      <c r="L246" s="1726" t="e">
        <f t="shared" ca="1" si="65"/>
        <v>#REF!</v>
      </c>
      <c r="M246" s="1726" t="e">
        <f t="shared" ca="1" si="65"/>
        <v>#REF!</v>
      </c>
      <c r="N246" s="1726" t="e">
        <f t="shared" ca="1" si="65"/>
        <v>#REF!</v>
      </c>
      <c r="O246" s="1726" t="e">
        <f t="shared" ca="1" si="65"/>
        <v>#REF!</v>
      </c>
      <c r="P246" s="1726" t="e">
        <f t="shared" ca="1" si="65"/>
        <v>#REF!</v>
      </c>
      <c r="Q246" s="1726">
        <f t="shared" ca="1" si="65"/>
        <v>0</v>
      </c>
      <c r="R246" s="1218"/>
    </row>
    <row r="247" spans="1:18" s="1684" customFormat="1">
      <c r="B247" s="1218"/>
      <c r="C247" s="1725" t="s">
        <v>623</v>
      </c>
      <c r="D247" s="1696" t="str">
        <f>INDEX(Modules[Module], MATCH(C247, Modules[Code], 0))</f>
        <v>Biomass/Coal power stations</v>
      </c>
      <c r="E247" s="1690"/>
      <c r="F247" s="1690"/>
      <c r="G247" s="1690"/>
      <c r="H247" s="1726" t="e">
        <f t="shared" ca="1" si="65"/>
        <v>#REF!</v>
      </c>
      <c r="I247" s="1726" t="e">
        <f t="shared" ca="1" si="65"/>
        <v>#REF!</v>
      </c>
      <c r="J247" s="1726" t="e">
        <f t="shared" ca="1" si="65"/>
        <v>#REF!</v>
      </c>
      <c r="K247" s="1726" t="e">
        <f t="shared" ca="1" si="65"/>
        <v>#REF!</v>
      </c>
      <c r="L247" s="1726" t="e">
        <f t="shared" ca="1" si="65"/>
        <v>#REF!</v>
      </c>
      <c r="M247" s="1726" t="e">
        <f t="shared" ca="1" si="65"/>
        <v>#REF!</v>
      </c>
      <c r="N247" s="1726" t="e">
        <f t="shared" ca="1" si="65"/>
        <v>#REF!</v>
      </c>
      <c r="O247" s="1726" t="e">
        <f t="shared" ca="1" si="65"/>
        <v>#REF!</v>
      </c>
      <c r="P247" s="1726" t="e">
        <f t="shared" ca="1" si="65"/>
        <v>#REF!</v>
      </c>
      <c r="Q247" s="1726">
        <f t="shared" ca="1" si="65"/>
        <v>0</v>
      </c>
      <c r="R247" s="1218"/>
    </row>
    <row r="248" spans="1:18" s="1684" customFormat="1">
      <c r="B248" s="1218"/>
      <c r="C248" s="1725" t="s">
        <v>679</v>
      </c>
      <c r="D248" s="1696" t="str">
        <f>INDEX(Modules[Module], MATCH(C248, Modules[Code], 0))</f>
        <v>Carbon Capture Storage (CCS)</v>
      </c>
      <c r="E248" s="1690"/>
      <c r="F248" s="1690"/>
      <c r="G248" s="1690"/>
      <c r="H248" s="1726" t="e">
        <f t="shared" ca="1" si="65"/>
        <v>#REF!</v>
      </c>
      <c r="I248" s="1726" t="e">
        <f t="shared" ca="1" si="65"/>
        <v>#REF!</v>
      </c>
      <c r="J248" s="1726" t="e">
        <f t="shared" ca="1" si="65"/>
        <v>#REF!</v>
      </c>
      <c r="K248" s="1726" t="e">
        <f t="shared" ca="1" si="65"/>
        <v>#REF!</v>
      </c>
      <c r="L248" s="1726" t="e">
        <f t="shared" ca="1" si="65"/>
        <v>#REF!</v>
      </c>
      <c r="M248" s="1726" t="e">
        <f t="shared" ca="1" si="65"/>
        <v>#REF!</v>
      </c>
      <c r="N248" s="1726" t="e">
        <f t="shared" ca="1" si="65"/>
        <v>#REF!</v>
      </c>
      <c r="O248" s="1726" t="e">
        <f t="shared" ca="1" si="65"/>
        <v>#REF!</v>
      </c>
      <c r="P248" s="1726" t="e">
        <f t="shared" ca="1" si="65"/>
        <v>#REF!</v>
      </c>
      <c r="Q248" s="1726">
        <f t="shared" ca="1" si="65"/>
        <v>151.89074227938463</v>
      </c>
      <c r="R248" s="1218"/>
    </row>
    <row r="249" spans="1:18" s="1601" customFormat="1">
      <c r="B249" s="1669"/>
      <c r="C249" s="1669"/>
      <c r="D249" s="1669"/>
      <c r="E249" s="1669"/>
      <c r="F249" s="1669"/>
      <c r="G249" s="1669"/>
      <c r="H249" s="1669"/>
      <c r="I249" s="1669"/>
      <c r="J249" s="1669"/>
      <c r="K249" s="1669"/>
      <c r="L249" s="1669"/>
      <c r="M249" s="1669"/>
      <c r="N249" s="1669"/>
      <c r="O249" s="1669"/>
      <c r="P249" s="1669"/>
      <c r="Q249" s="1669"/>
      <c r="R249" s="1669"/>
    </row>
    <row r="250" spans="1:18" s="1685" customFormat="1" ht="22">
      <c r="A250" s="851"/>
      <c r="B250" s="1216" t="s">
        <v>1722</v>
      </c>
      <c r="C250" s="1242"/>
      <c r="D250" s="1242"/>
      <c r="E250" s="1242"/>
      <c r="F250" s="1242"/>
      <c r="G250" s="1242"/>
      <c r="H250" s="1242"/>
      <c r="I250" s="1242"/>
      <c r="J250" s="1242"/>
      <c r="K250" s="1242"/>
      <c r="L250" s="1242"/>
      <c r="M250" s="1242"/>
      <c r="N250" s="1242"/>
      <c r="O250" s="1242"/>
      <c r="P250" s="1242"/>
      <c r="Q250" s="1243"/>
      <c r="R250" s="1244"/>
    </row>
    <row r="251" spans="1:18" s="1685" customFormat="1">
      <c r="B251" s="1218"/>
      <c r="C251" s="1218"/>
      <c r="D251" s="1218"/>
      <c r="E251" s="1218"/>
      <c r="F251" s="1218"/>
      <c r="G251" s="1218"/>
      <c r="H251" s="1218"/>
      <c r="I251" s="1218"/>
      <c r="J251" s="1218"/>
      <c r="K251" s="1218"/>
      <c r="L251" s="1218"/>
      <c r="M251" s="1218"/>
      <c r="N251" s="1218"/>
      <c r="O251" s="1218"/>
      <c r="P251" s="1218"/>
      <c r="Q251" s="1218"/>
      <c r="R251" s="1218"/>
    </row>
    <row r="252" spans="1:18" s="1715" customFormat="1">
      <c r="B252" s="1218"/>
      <c r="C252" s="1218"/>
      <c r="D252" s="1218"/>
      <c r="E252" s="1218"/>
      <c r="F252" s="1218"/>
      <c r="G252" s="1218"/>
      <c r="H252" s="1218"/>
      <c r="I252" s="1218"/>
      <c r="J252" s="1218"/>
      <c r="K252" s="1218"/>
      <c r="L252" s="1218"/>
      <c r="M252" s="1218"/>
      <c r="N252" s="1218"/>
      <c r="O252" s="1218"/>
      <c r="P252" s="1218"/>
      <c r="Q252" s="1218"/>
      <c r="R252" s="1218"/>
    </row>
    <row r="253" spans="1:18" s="1685" customFormat="1">
      <c r="B253" s="1218"/>
      <c r="C253" s="1720" t="s">
        <v>1819</v>
      </c>
      <c r="D253" s="1218"/>
      <c r="E253" s="1218"/>
      <c r="F253" s="1218"/>
      <c r="G253" s="1218"/>
      <c r="H253" s="1719" t="s">
        <v>576</v>
      </c>
      <c r="I253" s="1719" t="s">
        <v>577</v>
      </c>
      <c r="J253" s="1719" t="s">
        <v>604</v>
      </c>
      <c r="K253" s="1719" t="s">
        <v>605</v>
      </c>
      <c r="L253" s="1719" t="s">
        <v>606</v>
      </c>
      <c r="M253" s="1719" t="s">
        <v>607</v>
      </c>
      <c r="N253" s="1719" t="s">
        <v>608</v>
      </c>
      <c r="O253" s="1719" t="s">
        <v>609</v>
      </c>
      <c r="P253" s="1719" t="s">
        <v>610</v>
      </c>
      <c r="Q253" s="1719" t="s">
        <v>611</v>
      </c>
      <c r="R253" s="1218"/>
    </row>
    <row r="254" spans="1:18" s="1685" customFormat="1">
      <c r="B254" s="1218"/>
      <c r="C254" s="1716" t="s">
        <v>1723</v>
      </c>
      <c r="D254" s="1222"/>
      <c r="E254" s="1218"/>
      <c r="F254" s="1218"/>
      <c r="G254" s="1218"/>
      <c r="H254" s="1701" t="e">
        <f ca="1">H156-H255</f>
        <v>#REF!</v>
      </c>
      <c r="I254" s="1701" t="e">
        <f t="shared" ref="I254:Q254" ca="1" si="66">I156-I255</f>
        <v>#REF!</v>
      </c>
      <c r="J254" s="1701" t="e">
        <f t="shared" ca="1" si="66"/>
        <v>#REF!</v>
      </c>
      <c r="K254" s="1701" t="e">
        <f t="shared" ca="1" si="66"/>
        <v>#REF!</v>
      </c>
      <c r="L254" s="1701" t="e">
        <f t="shared" ca="1" si="66"/>
        <v>#REF!</v>
      </c>
      <c r="M254" s="1701" t="e">
        <f t="shared" ca="1" si="66"/>
        <v>#REF!</v>
      </c>
      <c r="N254" s="1701" t="e">
        <f t="shared" ca="1" si="66"/>
        <v>#REF!</v>
      </c>
      <c r="O254" s="1701" t="e">
        <f t="shared" ca="1" si="66"/>
        <v>#REF!</v>
      </c>
      <c r="P254" s="1701" t="e">
        <f t="shared" ca="1" si="66"/>
        <v>#REF!</v>
      </c>
      <c r="Q254" s="1701">
        <f t="shared" ca="1" si="66"/>
        <v>15.536540556678865</v>
      </c>
      <c r="R254" s="1218"/>
    </row>
    <row r="255" spans="1:18" s="1685" customFormat="1">
      <c r="B255" s="1218"/>
      <c r="C255" s="1716" t="s">
        <v>1724</v>
      </c>
      <c r="D255" s="1222"/>
      <c r="E255" s="1218"/>
      <c r="F255" s="1218"/>
      <c r="G255" s="1218"/>
      <c r="H255" s="1701">
        <f>I.b!F267</f>
        <v>0</v>
      </c>
      <c r="I255" s="1701">
        <f>I.b!G267</f>
        <v>0</v>
      </c>
      <c r="J255" s="1701">
        <f>I.b!H267</f>
        <v>2.0774860385333167E-2</v>
      </c>
      <c r="K255" s="1701">
        <f>I.b!I267</f>
        <v>5.8725921113734557E-2</v>
      </c>
      <c r="L255" s="1701">
        <f>I.b!J267</f>
        <v>0.14144484097289811</v>
      </c>
      <c r="M255" s="1701">
        <f>I.b!K267</f>
        <v>0.31204106245117336</v>
      </c>
      <c r="N255" s="1701">
        <f>I.b!L267</f>
        <v>0.52929904527918048</v>
      </c>
      <c r="O255" s="1701">
        <f>I.b!M267</f>
        <v>0.75235948784711459</v>
      </c>
      <c r="P255" s="1701">
        <f>I.b!N267</f>
        <v>0.95618089432096676</v>
      </c>
      <c r="Q255" s="1701">
        <f>I.b!O267</f>
        <v>1.1519504422738793</v>
      </c>
      <c r="R255" s="1218"/>
    </row>
    <row r="256" spans="1:18" s="1685" customFormat="1">
      <c r="B256" s="1218"/>
      <c r="C256" s="1716" t="s">
        <v>1725</v>
      </c>
      <c r="D256" s="1222"/>
      <c r="E256" s="1218"/>
      <c r="F256" s="1218"/>
      <c r="G256" s="1218"/>
      <c r="H256" s="1701" t="e">
        <f ca="1">-H243*H247*INDEX(EF[CO2e], MATCH("V.05", EF[Vector], 0))</f>
        <v>#REF!</v>
      </c>
      <c r="I256" s="1701" t="e">
        <f ca="1">-I243*I247*INDEX(EF[CO2e], MATCH("V.05", EF[Vector], 0))</f>
        <v>#REF!</v>
      </c>
      <c r="J256" s="1701" t="e">
        <f ca="1">-J243*J247*INDEX(EF[CO2e], MATCH("V.05", EF[Vector], 0))</f>
        <v>#REF!</v>
      </c>
      <c r="K256" s="1701" t="e">
        <f ca="1">-K243*K247*INDEX(EF[CO2e], MATCH("V.05", EF[Vector], 0))</f>
        <v>#REF!</v>
      </c>
      <c r="L256" s="1701" t="e">
        <f ca="1">-L243*L247*INDEX(EF[CO2e], MATCH("V.05", EF[Vector], 0))</f>
        <v>#REF!</v>
      </c>
      <c r="M256" s="1701" t="e">
        <f ca="1">-M243*M247*INDEX(EF[CO2e], MATCH("V.05", EF[Vector], 0))</f>
        <v>#REF!</v>
      </c>
      <c r="N256" s="1701" t="e">
        <f ca="1">-N243*N247*INDEX(EF[CO2e], MATCH("V.05", EF[Vector], 0))</f>
        <v>#REF!</v>
      </c>
      <c r="O256" s="1701" t="e">
        <f ca="1">-O243*O247*INDEX(EF[CO2e], MATCH("V.05", EF[Vector], 0))</f>
        <v>#REF!</v>
      </c>
      <c r="P256" s="1701" t="e">
        <f ca="1">-P243*P247*INDEX(EF[CO2e], MATCH("V.05", EF[Vector], 0))</f>
        <v>#REF!</v>
      </c>
      <c r="Q256" s="1701">
        <f ca="1">-Q243*Q247*INDEX(EF[CO2e], MATCH("V.05", EF[Vector], 0))</f>
        <v>0</v>
      </c>
      <c r="R256" s="1218"/>
    </row>
    <row r="257" spans="2:18" s="1685" customFormat="1">
      <c r="B257" s="1218"/>
      <c r="C257" s="1716" t="s">
        <v>1726</v>
      </c>
      <c r="D257" s="1222"/>
      <c r="E257" s="1218"/>
      <c r="F257" s="1218"/>
      <c r="G257" s="1218"/>
      <c r="H257" s="1701" t="e">
        <f ca="1">-H230*H232*INDEX(EF[CO2e], MATCH("V.03", EF[Vector], 0))</f>
        <v>#REF!</v>
      </c>
      <c r="I257" s="1701" t="e">
        <f ca="1">-I230*I232*INDEX(EF[CO2e], MATCH("V.03", EF[Vector], 0))</f>
        <v>#REF!</v>
      </c>
      <c r="J257" s="1701" t="e">
        <f ca="1">-J230*J232*INDEX(EF[CO2e], MATCH("V.03", EF[Vector], 0))</f>
        <v>#REF!</v>
      </c>
      <c r="K257" s="1701" t="e">
        <f ca="1">-K230*K232*INDEX(EF[CO2e], MATCH("V.03", EF[Vector], 0))</f>
        <v>#REF!</v>
      </c>
      <c r="L257" s="1701" t="e">
        <f ca="1">-L230*L232*INDEX(EF[CO2e], MATCH("V.03", EF[Vector], 0))</f>
        <v>#REF!</v>
      </c>
      <c r="M257" s="1701" t="e">
        <f ca="1">-M230*M232*INDEX(EF[CO2e], MATCH("V.03", EF[Vector], 0))</f>
        <v>#REF!</v>
      </c>
      <c r="N257" s="1701" t="e">
        <f ca="1">-N230*N232*INDEX(EF[CO2e], MATCH("V.03", EF[Vector], 0))</f>
        <v>#REF!</v>
      </c>
      <c r="O257" s="1701" t="e">
        <f ca="1">-O230*O232*INDEX(EF[CO2e], MATCH("V.03", EF[Vector], 0))</f>
        <v>#REF!</v>
      </c>
      <c r="P257" s="1701" t="e">
        <f ca="1">-P230*P232*INDEX(EF[CO2e], MATCH("V.03", EF[Vector], 0))</f>
        <v>#REF!</v>
      </c>
      <c r="Q257" s="1701">
        <f ca="1">-Q230*Q232*INDEX(EF[CO2e], MATCH("V.03", EF[Vector], 0))</f>
        <v>0</v>
      </c>
      <c r="R257" s="1218"/>
    </row>
    <row r="258" spans="2:18" s="1685" customFormat="1">
      <c r="B258" s="1218"/>
      <c r="C258" s="1716" t="s">
        <v>1727</v>
      </c>
      <c r="D258" s="1222"/>
      <c r="E258" s="1218"/>
      <c r="F258" s="1218"/>
      <c r="G258" s="1218"/>
      <c r="H258" s="1701" t="e">
        <f ca="1">-H230*H231*INDEX(EF[CO2e], MATCH("V.03", EF[Vector], 0))</f>
        <v>#REF!</v>
      </c>
      <c r="I258" s="1701" t="e">
        <f ca="1">-I230*I231*INDEX(EF[CO2e], MATCH("V.03", EF[Vector], 0))</f>
        <v>#REF!</v>
      </c>
      <c r="J258" s="1701" t="e">
        <f ca="1">-J230*J231*INDEX(EF[CO2e], MATCH("V.03", EF[Vector], 0))</f>
        <v>#REF!</v>
      </c>
      <c r="K258" s="1701" t="e">
        <f ca="1">-K230*K231*INDEX(EF[CO2e], MATCH("V.03", EF[Vector], 0))</f>
        <v>#REF!</v>
      </c>
      <c r="L258" s="1701" t="e">
        <f ca="1">-L230*L231*INDEX(EF[CO2e], MATCH("V.03", EF[Vector], 0))</f>
        <v>#REF!</v>
      </c>
      <c r="M258" s="1701" t="e">
        <f ca="1">-M230*M231*INDEX(EF[CO2e], MATCH("V.03", EF[Vector], 0))</f>
        <v>#REF!</v>
      </c>
      <c r="N258" s="1701" t="e">
        <f ca="1">-N230*N231*INDEX(EF[CO2e], MATCH("V.03", EF[Vector], 0))</f>
        <v>#REF!</v>
      </c>
      <c r="O258" s="1701" t="e">
        <f ca="1">-O230*O231*INDEX(EF[CO2e], MATCH("V.03", EF[Vector], 0))</f>
        <v>#REF!</v>
      </c>
      <c r="P258" s="1701" t="e">
        <f ca="1">-P230*P231*INDEX(EF[CO2e], MATCH("V.03", EF[Vector], 0))</f>
        <v>#REF!</v>
      </c>
      <c r="Q258" s="1701">
        <f ca="1">-Q230*Q231*INDEX(EF[CO2e], MATCH("V.03", EF[Vector], 0))</f>
        <v>0</v>
      </c>
      <c r="R258" s="1218"/>
    </row>
    <row r="259" spans="2:18" s="1685" customFormat="1">
      <c r="B259" s="1218"/>
      <c r="C259" s="1717" t="s">
        <v>1728</v>
      </c>
      <c r="D259" s="1222"/>
      <c r="E259" s="1218"/>
      <c r="F259" s="1218"/>
      <c r="G259" s="1218"/>
      <c r="H259" s="1701" t="e">
        <f ca="1">-H243*H248*INDEX(EF[CO2e], MATCH("V.05", EF[Vector], 0))</f>
        <v>#REF!</v>
      </c>
      <c r="I259" s="1701" t="e">
        <f ca="1">-I243*I248*INDEX(EF[CO2e], MATCH("V.05", EF[Vector], 0))</f>
        <v>#REF!</v>
      </c>
      <c r="J259" s="1701" t="e">
        <f ca="1">-J243*J248*INDEX(EF[CO2e], MATCH("V.05", EF[Vector], 0))</f>
        <v>#REF!</v>
      </c>
      <c r="K259" s="1701" t="e">
        <f ca="1">-K243*K248*INDEX(EF[CO2e], MATCH("V.05", EF[Vector], 0))</f>
        <v>#REF!</v>
      </c>
      <c r="L259" s="1701" t="e">
        <f ca="1">-L243*L248*INDEX(EF[CO2e], MATCH("V.05", EF[Vector], 0))</f>
        <v>#REF!</v>
      </c>
      <c r="M259" s="1701" t="e">
        <f ca="1">-M243*M248*INDEX(EF[CO2e], MATCH("V.05", EF[Vector], 0))</f>
        <v>#REF!</v>
      </c>
      <c r="N259" s="1701" t="e">
        <f ca="1">-N243*N248*INDEX(EF[CO2e], MATCH("V.05", EF[Vector], 0))</f>
        <v>#REF!</v>
      </c>
      <c r="O259" s="1701" t="e">
        <f ca="1">-O243*O248*INDEX(EF[CO2e], MATCH("V.05", EF[Vector], 0))</f>
        <v>#REF!</v>
      </c>
      <c r="P259" s="1701" t="e">
        <f ca="1">-P243*P248*INDEX(EF[CO2e], MATCH("V.05", EF[Vector], 0))</f>
        <v>#REF!</v>
      </c>
      <c r="Q259" s="1701">
        <f ca="1">-Q243*Q248*INDEX(EF[CO2e], MATCH("V.05", EF[Vector], 0))</f>
        <v>0</v>
      </c>
      <c r="R259" s="1218"/>
    </row>
    <row r="260" spans="2:18" s="1685" customFormat="1">
      <c r="B260" s="1218"/>
      <c r="C260" s="1716" t="s">
        <v>1729</v>
      </c>
      <c r="D260" s="1222"/>
      <c r="E260" s="1218"/>
      <c r="F260" s="1218"/>
      <c r="G260" s="1218"/>
      <c r="H260" s="1701" t="e">
        <f ca="1">SUM(H254:H259)</f>
        <v>#REF!</v>
      </c>
      <c r="I260" s="1701" t="e">
        <f t="shared" ref="I260:Q260" ca="1" si="67">SUM(I254:I259)</f>
        <v>#REF!</v>
      </c>
      <c r="J260" s="1701" t="e">
        <f t="shared" ca="1" si="67"/>
        <v>#REF!</v>
      </c>
      <c r="K260" s="1701" t="e">
        <f ca="1">SUM(K254:K259)</f>
        <v>#REF!</v>
      </c>
      <c r="L260" s="1701" t="e">
        <f t="shared" ca="1" si="67"/>
        <v>#REF!</v>
      </c>
      <c r="M260" s="1701" t="e">
        <f t="shared" ca="1" si="67"/>
        <v>#REF!</v>
      </c>
      <c r="N260" s="1701" t="e">
        <f t="shared" ca="1" si="67"/>
        <v>#REF!</v>
      </c>
      <c r="O260" s="1701" t="e">
        <f t="shared" ca="1" si="67"/>
        <v>#REF!</v>
      </c>
      <c r="P260" s="1701" t="e">
        <f t="shared" ca="1" si="67"/>
        <v>#REF!</v>
      </c>
      <c r="Q260" s="1701">
        <f t="shared" ca="1" si="67"/>
        <v>16.688490998952744</v>
      </c>
      <c r="R260" s="1218"/>
    </row>
    <row r="261" spans="2:18" s="1715" customFormat="1">
      <c r="B261" s="1218"/>
      <c r="C261" s="1716"/>
      <c r="D261" s="1222"/>
      <c r="E261" s="1218"/>
      <c r="F261" s="1218"/>
      <c r="G261" s="1218"/>
      <c r="H261" s="1701"/>
      <c r="I261" s="1701"/>
      <c r="J261" s="1701"/>
      <c r="K261" s="1701"/>
      <c r="L261" s="1701"/>
      <c r="M261" s="1701"/>
      <c r="N261" s="1701"/>
      <c r="O261" s="1701"/>
      <c r="P261" s="1701"/>
      <c r="Q261" s="1701"/>
      <c r="R261" s="1218"/>
    </row>
    <row r="262" spans="2:18" s="1715" customFormat="1">
      <c r="B262" s="1218"/>
      <c r="C262" s="1698" t="s">
        <v>1820</v>
      </c>
      <c r="D262" s="1222"/>
      <c r="E262" s="1218"/>
      <c r="F262" s="1218"/>
      <c r="G262" s="1218"/>
      <c r="H262" s="1719" t="s">
        <v>576</v>
      </c>
      <c r="I262" s="1719" t="s">
        <v>577</v>
      </c>
      <c r="J262" s="1719" t="s">
        <v>604</v>
      </c>
      <c r="K262" s="1719" t="s">
        <v>605</v>
      </c>
      <c r="L262" s="1719" t="s">
        <v>606</v>
      </c>
      <c r="M262" s="1719" t="s">
        <v>607</v>
      </c>
      <c r="N262" s="1719" t="s">
        <v>608</v>
      </c>
      <c r="O262" s="1719" t="s">
        <v>609</v>
      </c>
      <c r="P262" s="1719" t="s">
        <v>610</v>
      </c>
      <c r="Q262" s="1719" t="s">
        <v>611</v>
      </c>
      <c r="R262" s="1218"/>
    </row>
    <row r="263" spans="2:18" s="1715" customFormat="1">
      <c r="B263" s="1218"/>
      <c r="C263" s="1219">
        <v>1</v>
      </c>
      <c r="D263" s="1218" t="s">
        <v>799</v>
      </c>
      <c r="E263" s="1218"/>
      <c r="F263" s="1218"/>
      <c r="G263" s="1218"/>
      <c r="H263" s="1701" t="e">
        <f ca="1">H254</f>
        <v>#REF!</v>
      </c>
      <c r="I263" s="1701" t="e">
        <f t="shared" ref="I263:Q263" ca="1" si="68">I254</f>
        <v>#REF!</v>
      </c>
      <c r="J263" s="1701" t="e">
        <f t="shared" ca="1" si="68"/>
        <v>#REF!</v>
      </c>
      <c r="K263" s="1701" t="e">
        <f t="shared" ca="1" si="68"/>
        <v>#REF!</v>
      </c>
      <c r="L263" s="1701" t="e">
        <f t="shared" ca="1" si="68"/>
        <v>#REF!</v>
      </c>
      <c r="M263" s="1701" t="e">
        <f t="shared" ca="1" si="68"/>
        <v>#REF!</v>
      </c>
      <c r="N263" s="1701" t="e">
        <f t="shared" ca="1" si="68"/>
        <v>#REF!</v>
      </c>
      <c r="O263" s="1701" t="e">
        <f t="shared" ca="1" si="68"/>
        <v>#REF!</v>
      </c>
      <c r="P263" s="1701" t="e">
        <f t="shared" ca="1" si="68"/>
        <v>#REF!</v>
      </c>
      <c r="Q263" s="1701">
        <f t="shared" ca="1" si="68"/>
        <v>15.536540556678865</v>
      </c>
      <c r="R263" s="1218"/>
    </row>
    <row r="264" spans="2:18" s="1715" customFormat="1">
      <c r="B264" s="1218"/>
      <c r="C264" s="1219" t="s">
        <v>807</v>
      </c>
      <c r="D264" s="1718" t="s">
        <v>1167</v>
      </c>
      <c r="E264" s="1218"/>
      <c r="F264" s="1218"/>
      <c r="G264" s="1218"/>
      <c r="H264" s="1701" t="e">
        <f ca="1">SUM(H256:H259)</f>
        <v>#REF!</v>
      </c>
      <c r="I264" s="1701" t="e">
        <f t="shared" ref="I264:Q264" ca="1" si="69">SUM(I256:I259)</f>
        <v>#REF!</v>
      </c>
      <c r="J264" s="1701" t="e">
        <f t="shared" ca="1" si="69"/>
        <v>#REF!</v>
      </c>
      <c r="K264" s="1701" t="e">
        <f t="shared" ca="1" si="69"/>
        <v>#REF!</v>
      </c>
      <c r="L264" s="1701" t="e">
        <f t="shared" ca="1" si="69"/>
        <v>#REF!</v>
      </c>
      <c r="M264" s="1701" t="e">
        <f t="shared" ca="1" si="69"/>
        <v>#REF!</v>
      </c>
      <c r="N264" s="1701" t="e">
        <f t="shared" ca="1" si="69"/>
        <v>#REF!</v>
      </c>
      <c r="O264" s="1701" t="e">
        <f t="shared" ca="1" si="69"/>
        <v>#REF!</v>
      </c>
      <c r="P264" s="1701" t="e">
        <f t="shared" ca="1" si="69"/>
        <v>#REF!</v>
      </c>
      <c r="Q264" s="1701">
        <f t="shared" ca="1" si="69"/>
        <v>0</v>
      </c>
      <c r="R264" s="1218"/>
    </row>
    <row r="265" spans="2:18" s="1715" customFormat="1">
      <c r="B265" s="1218"/>
      <c r="C265" s="1219" t="s">
        <v>833</v>
      </c>
      <c r="D265" s="1718" t="s">
        <v>1166</v>
      </c>
      <c r="E265" s="1218"/>
      <c r="F265" s="1218"/>
      <c r="G265" s="1218"/>
      <c r="H265" s="1701">
        <f>H255</f>
        <v>0</v>
      </c>
      <c r="I265" s="1701">
        <f t="shared" ref="I265:Q265" si="70">I255</f>
        <v>0</v>
      </c>
      <c r="J265" s="1701">
        <f t="shared" si="70"/>
        <v>2.0774860385333167E-2</v>
      </c>
      <c r="K265" s="1701">
        <f t="shared" si="70"/>
        <v>5.8725921113734557E-2</v>
      </c>
      <c r="L265" s="1701">
        <f t="shared" si="70"/>
        <v>0.14144484097289811</v>
      </c>
      <c r="M265" s="1701">
        <f t="shared" si="70"/>
        <v>0.31204106245117336</v>
      </c>
      <c r="N265" s="1701">
        <f t="shared" si="70"/>
        <v>0.52929904527918048</v>
      </c>
      <c r="O265" s="1701">
        <f t="shared" si="70"/>
        <v>0.75235948784711459</v>
      </c>
      <c r="P265" s="1701">
        <f t="shared" si="70"/>
        <v>0.95618089432096676</v>
      </c>
      <c r="Q265" s="1701">
        <f t="shared" si="70"/>
        <v>1.1519504422738793</v>
      </c>
      <c r="R265" s="1218"/>
    </row>
    <row r="266" spans="2:18" s="1715" customFormat="1">
      <c r="B266" s="1218"/>
      <c r="C266" s="1219"/>
      <c r="D266" s="1718" t="s">
        <v>132</v>
      </c>
      <c r="E266" s="1218"/>
      <c r="F266" s="1218"/>
      <c r="G266" s="1218"/>
      <c r="H266" s="1701" t="e">
        <f ca="1">H260</f>
        <v>#REF!</v>
      </c>
      <c r="I266" s="1701" t="e">
        <f t="shared" ref="I266:Q266" ca="1" si="71">I260</f>
        <v>#REF!</v>
      </c>
      <c r="J266" s="1701" t="e">
        <f t="shared" ca="1" si="71"/>
        <v>#REF!</v>
      </c>
      <c r="K266" s="1701" t="e">
        <f t="shared" ca="1" si="71"/>
        <v>#REF!</v>
      </c>
      <c r="L266" s="1701" t="e">
        <f t="shared" ca="1" si="71"/>
        <v>#REF!</v>
      </c>
      <c r="M266" s="1701" t="e">
        <f t="shared" ca="1" si="71"/>
        <v>#REF!</v>
      </c>
      <c r="N266" s="1701" t="e">
        <f t="shared" ca="1" si="71"/>
        <v>#REF!</v>
      </c>
      <c r="O266" s="1701" t="e">
        <f t="shared" ca="1" si="71"/>
        <v>#REF!</v>
      </c>
      <c r="P266" s="1701" t="e">
        <f t="shared" ca="1" si="71"/>
        <v>#REF!</v>
      </c>
      <c r="Q266" s="1701">
        <f t="shared" ca="1" si="71"/>
        <v>16.688490998952744</v>
      </c>
      <c r="R266" s="1218"/>
    </row>
    <row r="267" spans="2:18" s="1685" customFormat="1">
      <c r="B267" s="1218"/>
      <c r="C267" s="1699"/>
      <c r="D267" s="1218"/>
      <c r="E267" s="1218"/>
      <c r="F267" s="1218"/>
      <c r="G267" s="1218"/>
      <c r="H267" s="1218"/>
      <c r="I267" s="1218"/>
      <c r="J267" s="1218"/>
      <c r="K267" s="1218"/>
      <c r="L267" s="1218"/>
      <c r="M267" s="1218"/>
      <c r="N267" s="1218"/>
      <c r="O267" s="1218"/>
      <c r="P267" s="1218"/>
      <c r="Q267" s="1218"/>
      <c r="R267" s="1218"/>
    </row>
    <row r="268" spans="2:18" s="1685" customFormat="1">
      <c r="B268" s="1218"/>
      <c r="C268" s="1697" t="s">
        <v>1821</v>
      </c>
      <c r="D268" s="1380"/>
      <c r="E268" s="1694" t="s">
        <v>1882</v>
      </c>
      <c r="F268" s="1253"/>
      <c r="G268" s="1382"/>
      <c r="H268" s="1382" t="e">
        <f ca="1">H260/H111</f>
        <v>#REF!</v>
      </c>
      <c r="I268" s="1382" t="e">
        <f t="shared" ref="I268:Q268" ca="1" si="72">I260/I111</f>
        <v>#REF!</v>
      </c>
      <c r="J268" s="1382" t="e">
        <f t="shared" ca="1" si="72"/>
        <v>#REF!</v>
      </c>
      <c r="K268" s="1382" t="e">
        <f t="shared" ca="1" si="72"/>
        <v>#REF!</v>
      </c>
      <c r="L268" s="1382" t="e">
        <f t="shared" ca="1" si="72"/>
        <v>#REF!</v>
      </c>
      <c r="M268" s="1382" t="e">
        <f t="shared" ca="1" si="72"/>
        <v>#REF!</v>
      </c>
      <c r="N268" s="1382" t="e">
        <f t="shared" ca="1" si="72"/>
        <v>#REF!</v>
      </c>
      <c r="O268" s="1382" t="e">
        <f t="shared" ca="1" si="72"/>
        <v>#REF!</v>
      </c>
      <c r="P268" s="1382" t="e">
        <f t="shared" ca="1" si="72"/>
        <v>#REF!</v>
      </c>
      <c r="Q268" s="1382">
        <f t="shared" ca="1" si="72"/>
        <v>6.3705742546622784E-2</v>
      </c>
      <c r="R268" s="1218"/>
    </row>
    <row r="269" spans="2:18" s="1685" customFormat="1">
      <c r="B269" s="1218"/>
      <c r="C269" s="1697"/>
      <c r="D269" s="1380"/>
      <c r="E269" s="1694" t="s">
        <v>1887</v>
      </c>
      <c r="F269" s="1253"/>
      <c r="G269" s="1382"/>
      <c r="H269" s="1382" t="e">
        <f ca="1">H268*1000</f>
        <v>#REF!</v>
      </c>
      <c r="I269" s="1382" t="e">
        <f t="shared" ref="I269:Q269" ca="1" si="73">I268*1000</f>
        <v>#REF!</v>
      </c>
      <c r="J269" s="1382" t="e">
        <f t="shared" ca="1" si="73"/>
        <v>#REF!</v>
      </c>
      <c r="K269" s="1382" t="e">
        <f t="shared" ca="1" si="73"/>
        <v>#REF!</v>
      </c>
      <c r="L269" s="1382" t="e">
        <f t="shared" ca="1" si="73"/>
        <v>#REF!</v>
      </c>
      <c r="M269" s="1382" t="e">
        <f t="shared" ca="1" si="73"/>
        <v>#REF!</v>
      </c>
      <c r="N269" s="1382" t="e">
        <f t="shared" ca="1" si="73"/>
        <v>#REF!</v>
      </c>
      <c r="O269" s="1382" t="e">
        <f t="shared" ca="1" si="73"/>
        <v>#REF!</v>
      </c>
      <c r="P269" s="1382" t="e">
        <f t="shared" ca="1" si="73"/>
        <v>#REF!</v>
      </c>
      <c r="Q269" s="1382">
        <f t="shared" ca="1" si="73"/>
        <v>63.705742546622787</v>
      </c>
      <c r="R269" s="1218"/>
    </row>
    <row r="270" spans="2:18" s="1703" customFormat="1">
      <c r="B270" s="1218"/>
      <c r="C270" s="1697"/>
      <c r="D270" s="1380"/>
      <c r="E270" s="1694"/>
      <c r="F270" s="1253"/>
      <c r="G270" s="1382"/>
      <c r="H270" s="1382"/>
      <c r="I270" s="1382"/>
      <c r="J270" s="1382"/>
      <c r="K270" s="1382"/>
      <c r="L270" s="1382"/>
      <c r="M270" s="1382"/>
      <c r="N270" s="1382"/>
      <c r="O270" s="1382"/>
      <c r="P270" s="1382"/>
      <c r="Q270" s="1382"/>
      <c r="R270" s="1218"/>
    </row>
    <row r="271" spans="2:18" s="1703" customFormat="1">
      <c r="B271" s="1218"/>
      <c r="C271" s="1694" t="s">
        <v>1822</v>
      </c>
      <c r="D271" s="1380"/>
      <c r="E271" s="1694"/>
      <c r="F271" s="1253"/>
      <c r="G271" s="1382"/>
      <c r="H271" s="1382"/>
      <c r="I271" s="1382"/>
      <c r="J271" s="1382"/>
      <c r="K271" s="1382"/>
      <c r="L271" s="1382"/>
      <c r="M271" s="1382"/>
      <c r="N271" s="1382"/>
      <c r="O271" s="1382"/>
      <c r="P271" s="1382"/>
      <c r="Q271" s="1382"/>
      <c r="R271" s="1218"/>
    </row>
    <row r="272" spans="2:18" s="1685" customFormat="1">
      <c r="B272" s="1218"/>
      <c r="C272" s="1218"/>
      <c r="D272" s="1218"/>
      <c r="E272" s="1218"/>
      <c r="F272" s="1218"/>
      <c r="G272" s="1218"/>
      <c r="H272" s="1218"/>
      <c r="I272" s="1218"/>
      <c r="J272" s="1218"/>
      <c r="K272" s="1218"/>
      <c r="L272" s="1218"/>
      <c r="M272" s="1218"/>
      <c r="N272" s="1218"/>
      <c r="O272" s="1218"/>
      <c r="P272" s="1218"/>
      <c r="Q272" s="1218"/>
      <c r="R272" s="1218"/>
    </row>
    <row r="273" spans="1:18" s="121" customFormat="1"/>
    <row r="274" spans="1:18" s="121" customFormat="1" ht="22">
      <c r="A274" s="851"/>
      <c r="B274" s="1513" t="s">
        <v>1014</v>
      </c>
      <c r="C274" s="1514"/>
      <c r="D274" s="1514"/>
      <c r="E274" s="1514"/>
      <c r="F274" s="1514"/>
      <c r="G274" s="1514"/>
      <c r="H274" s="1515"/>
      <c r="I274" s="1515"/>
      <c r="J274" s="1515"/>
      <c r="K274" s="1515"/>
      <c r="L274" s="1515"/>
      <c r="M274" s="1515"/>
      <c r="N274" s="1515"/>
      <c r="O274" s="1515"/>
      <c r="P274" s="1515"/>
      <c r="Q274" s="1515"/>
      <c r="R274" s="1516"/>
    </row>
    <row r="275" spans="1:18" s="121" customFormat="1" ht="15">
      <c r="B275" s="1522"/>
      <c r="C275" s="1518"/>
      <c r="D275" s="1518"/>
      <c r="E275" s="1518"/>
      <c r="F275" s="1518"/>
      <c r="G275" s="1518"/>
      <c r="H275" s="1519"/>
      <c r="I275" s="1519"/>
      <c r="J275" s="1519"/>
      <c r="K275" s="1519"/>
      <c r="L275" s="1519"/>
      <c r="M275" s="1519"/>
      <c r="N275" s="1519"/>
      <c r="O275" s="1519"/>
      <c r="P275" s="1519"/>
      <c r="Q275" s="1519"/>
      <c r="R275" s="1523"/>
    </row>
    <row r="276" spans="1:18" s="121" customFormat="1">
      <c r="B276" s="1520"/>
      <c r="C276" s="1517" t="str">
        <f t="shared" ref="C276:Q283" si="74">C23</f>
        <v>N.01</v>
      </c>
      <c r="D276" s="1517" t="str">
        <f t="shared" si="74"/>
        <v>Nuclear fission</v>
      </c>
      <c r="E276" s="1517">
        <f t="shared" si="74"/>
        <v>0</v>
      </c>
      <c r="F276" s="1524" t="e">
        <f t="shared" ca="1" si="74"/>
        <v>#REF!</v>
      </c>
      <c r="G276" s="1524">
        <f t="shared" si="74"/>
        <v>0</v>
      </c>
      <c r="H276" s="1524" t="e">
        <f t="shared" ca="1" si="74"/>
        <v>#REF!</v>
      </c>
      <c r="I276" s="1524" t="e">
        <f t="shared" ca="1" si="74"/>
        <v>#REF!</v>
      </c>
      <c r="J276" s="1524" t="e">
        <f t="shared" ca="1" si="74"/>
        <v>#REF!</v>
      </c>
      <c r="K276" s="1524" t="e">
        <f t="shared" ca="1" si="74"/>
        <v>#REF!</v>
      </c>
      <c r="L276" s="1524" t="e">
        <f t="shared" ca="1" si="74"/>
        <v>#REF!</v>
      </c>
      <c r="M276" s="1524" t="e">
        <f t="shared" ca="1" si="74"/>
        <v>#REF!</v>
      </c>
      <c r="N276" s="1524" t="e">
        <f t="shared" ca="1" si="74"/>
        <v>#REF!</v>
      </c>
      <c r="O276" s="1524" t="e">
        <f t="shared" ca="1" si="74"/>
        <v>#REF!</v>
      </c>
      <c r="P276" s="1524" t="e">
        <f t="shared" ca="1" si="74"/>
        <v>#REF!</v>
      </c>
      <c r="Q276" s="1524">
        <f t="shared" ca="1" si="74"/>
        <v>0</v>
      </c>
      <c r="R276" s="1521"/>
    </row>
    <row r="277" spans="1:18" s="121" customFormat="1">
      <c r="B277" s="1520"/>
      <c r="C277" s="1517" t="str">
        <f t="shared" si="74"/>
        <v>R.01</v>
      </c>
      <c r="D277" s="1517" t="str">
        <f t="shared" si="74"/>
        <v>Solar</v>
      </c>
      <c r="E277" s="1517">
        <f t="shared" si="74"/>
        <v>0</v>
      </c>
      <c r="F277" s="1524" t="e">
        <f t="shared" ca="1" si="74"/>
        <v>#REF!</v>
      </c>
      <c r="G277" s="1524">
        <f t="shared" si="74"/>
        <v>0</v>
      </c>
      <c r="H277" s="1524" t="e">
        <f t="shared" ca="1" si="74"/>
        <v>#REF!</v>
      </c>
      <c r="I277" s="1524" t="e">
        <f t="shared" ca="1" si="74"/>
        <v>#REF!</v>
      </c>
      <c r="J277" s="1524" t="e">
        <f t="shared" ca="1" si="74"/>
        <v>#REF!</v>
      </c>
      <c r="K277" s="1524" t="e">
        <f t="shared" ca="1" si="74"/>
        <v>#REF!</v>
      </c>
      <c r="L277" s="1524" t="e">
        <f t="shared" ca="1" si="74"/>
        <v>#REF!</v>
      </c>
      <c r="M277" s="1524" t="e">
        <f t="shared" ca="1" si="74"/>
        <v>#REF!</v>
      </c>
      <c r="N277" s="1524" t="e">
        <f t="shared" ca="1" si="74"/>
        <v>#REF!</v>
      </c>
      <c r="O277" s="1524" t="e">
        <f t="shared" ca="1" si="74"/>
        <v>#REF!</v>
      </c>
      <c r="P277" s="1524" t="e">
        <f t="shared" ca="1" si="74"/>
        <v>#REF!</v>
      </c>
      <c r="Q277" s="1524">
        <f t="shared" ca="1" si="74"/>
        <v>0</v>
      </c>
      <c r="R277" s="1521"/>
    </row>
    <row r="278" spans="1:18" s="121" customFormat="1">
      <c r="B278" s="1520"/>
      <c r="C278" s="1517" t="str">
        <f t="shared" si="74"/>
        <v>R.02</v>
      </c>
      <c r="D278" s="1517" t="str">
        <f t="shared" si="74"/>
        <v>Wind</v>
      </c>
      <c r="E278" s="1517">
        <f t="shared" si="74"/>
        <v>0</v>
      </c>
      <c r="F278" s="1524" t="e">
        <f t="shared" ca="1" si="74"/>
        <v>#REF!</v>
      </c>
      <c r="G278" s="1524">
        <f t="shared" si="74"/>
        <v>0</v>
      </c>
      <c r="H278" s="1524" t="e">
        <f t="shared" ca="1" si="74"/>
        <v>#REF!</v>
      </c>
      <c r="I278" s="1524" t="e">
        <f t="shared" ca="1" si="74"/>
        <v>#REF!</v>
      </c>
      <c r="J278" s="1524" t="e">
        <f t="shared" ca="1" si="74"/>
        <v>#REF!</v>
      </c>
      <c r="K278" s="1524" t="e">
        <f t="shared" ca="1" si="74"/>
        <v>#REF!</v>
      </c>
      <c r="L278" s="1524" t="e">
        <f t="shared" ca="1" si="74"/>
        <v>#REF!</v>
      </c>
      <c r="M278" s="1524" t="e">
        <f t="shared" ca="1" si="74"/>
        <v>#REF!</v>
      </c>
      <c r="N278" s="1524" t="e">
        <f t="shared" ca="1" si="74"/>
        <v>#REF!</v>
      </c>
      <c r="O278" s="1524" t="e">
        <f t="shared" ca="1" si="74"/>
        <v>#REF!</v>
      </c>
      <c r="P278" s="1524" t="e">
        <f t="shared" ca="1" si="74"/>
        <v>#REF!</v>
      </c>
      <c r="Q278" s="1524">
        <f t="shared" ca="1" si="74"/>
        <v>0</v>
      </c>
      <c r="R278" s="1521"/>
    </row>
    <row r="279" spans="1:18" s="121" customFormat="1">
      <c r="B279" s="1520"/>
      <c r="C279" s="1517" t="str">
        <f t="shared" si="74"/>
        <v>R.03</v>
      </c>
      <c r="D279" s="1517" t="str">
        <f t="shared" si="74"/>
        <v>Tidal</v>
      </c>
      <c r="E279" s="1517">
        <f t="shared" si="74"/>
        <v>0</v>
      </c>
      <c r="F279" s="1524" t="e">
        <f t="shared" ca="1" si="74"/>
        <v>#REF!</v>
      </c>
      <c r="G279" s="1524">
        <f t="shared" si="74"/>
        <v>0</v>
      </c>
      <c r="H279" s="1524" t="e">
        <f t="shared" ca="1" si="74"/>
        <v>#REF!</v>
      </c>
      <c r="I279" s="1524" t="e">
        <f t="shared" ca="1" si="74"/>
        <v>#REF!</v>
      </c>
      <c r="J279" s="1524" t="e">
        <f t="shared" ca="1" si="74"/>
        <v>#REF!</v>
      </c>
      <c r="K279" s="1524" t="e">
        <f t="shared" ca="1" si="74"/>
        <v>#REF!</v>
      </c>
      <c r="L279" s="1524" t="e">
        <f t="shared" ca="1" si="74"/>
        <v>#REF!</v>
      </c>
      <c r="M279" s="1524" t="e">
        <f t="shared" ca="1" si="74"/>
        <v>#REF!</v>
      </c>
      <c r="N279" s="1524" t="e">
        <f t="shared" ca="1" si="74"/>
        <v>#REF!</v>
      </c>
      <c r="O279" s="1524" t="e">
        <f t="shared" ca="1" si="74"/>
        <v>#REF!</v>
      </c>
      <c r="P279" s="1524" t="e">
        <f t="shared" ca="1" si="74"/>
        <v>#REF!</v>
      </c>
      <c r="Q279" s="1524">
        <f t="shared" ca="1" si="74"/>
        <v>0</v>
      </c>
      <c r="R279" s="1521"/>
    </row>
    <row r="280" spans="1:18" s="121" customFormat="1">
      <c r="B280" s="1520"/>
      <c r="C280" s="1517" t="str">
        <f t="shared" si="74"/>
        <v>R.04</v>
      </c>
      <c r="D280" s="1517" t="str">
        <f t="shared" si="74"/>
        <v>Wave</v>
      </c>
      <c r="E280" s="1517">
        <f t="shared" si="74"/>
        <v>0</v>
      </c>
      <c r="F280" s="1524" t="e">
        <f t="shared" ca="1" si="74"/>
        <v>#REF!</v>
      </c>
      <c r="G280" s="1524">
        <f t="shared" si="74"/>
        <v>0</v>
      </c>
      <c r="H280" s="1524" t="e">
        <f t="shared" ca="1" si="74"/>
        <v>#REF!</v>
      </c>
      <c r="I280" s="1524" t="e">
        <f t="shared" ca="1" si="74"/>
        <v>#REF!</v>
      </c>
      <c r="J280" s="1524" t="e">
        <f t="shared" ca="1" si="74"/>
        <v>#REF!</v>
      </c>
      <c r="K280" s="1524" t="e">
        <f t="shared" ca="1" si="74"/>
        <v>#REF!</v>
      </c>
      <c r="L280" s="1524" t="e">
        <f t="shared" ca="1" si="74"/>
        <v>#REF!</v>
      </c>
      <c r="M280" s="1524" t="e">
        <f t="shared" ca="1" si="74"/>
        <v>#REF!</v>
      </c>
      <c r="N280" s="1524" t="e">
        <f t="shared" ca="1" si="74"/>
        <v>#REF!</v>
      </c>
      <c r="O280" s="1524" t="e">
        <f t="shared" ca="1" si="74"/>
        <v>#REF!</v>
      </c>
      <c r="P280" s="1524" t="e">
        <f t="shared" ca="1" si="74"/>
        <v>#REF!</v>
      </c>
      <c r="Q280" s="1524">
        <f t="shared" ca="1" si="74"/>
        <v>0</v>
      </c>
      <c r="R280" s="1521"/>
    </row>
    <row r="281" spans="1:18" s="121" customFormat="1">
      <c r="B281" s="1520"/>
      <c r="C281" s="1517" t="str">
        <f t="shared" si="74"/>
        <v>R.05</v>
      </c>
      <c r="D281" s="1517" t="str">
        <f t="shared" si="74"/>
        <v>Geothermal</v>
      </c>
      <c r="E281" s="1517">
        <f t="shared" si="74"/>
        <v>0</v>
      </c>
      <c r="F281" s="1524" t="e">
        <f t="shared" ca="1" si="74"/>
        <v>#REF!</v>
      </c>
      <c r="G281" s="1524">
        <f t="shared" si="74"/>
        <v>0</v>
      </c>
      <c r="H281" s="1524" t="e">
        <f t="shared" ca="1" si="74"/>
        <v>#REF!</v>
      </c>
      <c r="I281" s="1524" t="e">
        <f t="shared" ca="1" si="74"/>
        <v>#REF!</v>
      </c>
      <c r="J281" s="1524" t="e">
        <f t="shared" ca="1" si="74"/>
        <v>#REF!</v>
      </c>
      <c r="K281" s="1524" t="e">
        <f t="shared" ca="1" si="74"/>
        <v>#REF!</v>
      </c>
      <c r="L281" s="1524" t="e">
        <f t="shared" ca="1" si="74"/>
        <v>#REF!</v>
      </c>
      <c r="M281" s="1524" t="e">
        <f t="shared" ca="1" si="74"/>
        <v>#REF!</v>
      </c>
      <c r="N281" s="1524" t="e">
        <f t="shared" ca="1" si="74"/>
        <v>#REF!</v>
      </c>
      <c r="O281" s="1524" t="e">
        <f t="shared" ca="1" si="74"/>
        <v>#REF!</v>
      </c>
      <c r="P281" s="1524" t="e">
        <f t="shared" ca="1" si="74"/>
        <v>#REF!</v>
      </c>
      <c r="Q281" s="1524">
        <f t="shared" ca="1" si="74"/>
        <v>0</v>
      </c>
      <c r="R281" s="1521"/>
    </row>
    <row r="282" spans="1:18" s="121" customFormat="1">
      <c r="B282" s="1520"/>
      <c r="C282" s="1517" t="str">
        <f t="shared" si="74"/>
        <v>R.06</v>
      </c>
      <c r="D282" s="1517" t="str">
        <f t="shared" si="74"/>
        <v>Hydro</v>
      </c>
      <c r="E282" s="1517">
        <f t="shared" si="74"/>
        <v>0</v>
      </c>
      <c r="F282" s="1524" t="e">
        <f t="shared" ca="1" si="74"/>
        <v>#REF!</v>
      </c>
      <c r="G282" s="1524">
        <f t="shared" si="74"/>
        <v>0</v>
      </c>
      <c r="H282" s="1524" t="e">
        <f t="shared" ca="1" si="74"/>
        <v>#REF!</v>
      </c>
      <c r="I282" s="1524" t="e">
        <f t="shared" ca="1" si="74"/>
        <v>#REF!</v>
      </c>
      <c r="J282" s="1524" t="e">
        <f t="shared" ca="1" si="74"/>
        <v>#REF!</v>
      </c>
      <c r="K282" s="1524" t="e">
        <f t="shared" ca="1" si="74"/>
        <v>#REF!</v>
      </c>
      <c r="L282" s="1524" t="e">
        <f t="shared" ca="1" si="74"/>
        <v>#REF!</v>
      </c>
      <c r="M282" s="1524" t="e">
        <f t="shared" ca="1" si="74"/>
        <v>#REF!</v>
      </c>
      <c r="N282" s="1524" t="e">
        <f t="shared" ca="1" si="74"/>
        <v>#REF!</v>
      </c>
      <c r="O282" s="1524" t="e">
        <f t="shared" ca="1" si="74"/>
        <v>#REF!</v>
      </c>
      <c r="P282" s="1524" t="e">
        <f t="shared" ca="1" si="74"/>
        <v>#REF!</v>
      </c>
      <c r="Q282" s="1524">
        <f t="shared" ca="1" si="74"/>
        <v>0</v>
      </c>
      <c r="R282" s="1521"/>
    </row>
    <row r="283" spans="1:18" s="121" customFormat="1">
      <c r="B283" s="1520"/>
      <c r="C283" s="1517" t="str">
        <f t="shared" si="74"/>
        <v>Y.02</v>
      </c>
      <c r="D283" s="1517" t="str">
        <f t="shared" si="74"/>
        <v>Electricity oversupply (imports)</v>
      </c>
      <c r="E283" s="1517">
        <f t="shared" si="74"/>
        <v>0</v>
      </c>
      <c r="F283" s="1524" t="e">
        <f ca="1">MAX(F30, 0)</f>
        <v>#REF!</v>
      </c>
      <c r="G283" s="1524">
        <f t="shared" ref="G283:Q283" si="75">MAX(G30, 0)</f>
        <v>0</v>
      </c>
      <c r="H283" s="1524" t="e">
        <f t="shared" ca="1" si="75"/>
        <v>#REF!</v>
      </c>
      <c r="I283" s="1524" t="e">
        <f t="shared" ca="1" si="75"/>
        <v>#REF!</v>
      </c>
      <c r="J283" s="1524" t="e">
        <f t="shared" ca="1" si="75"/>
        <v>#REF!</v>
      </c>
      <c r="K283" s="1524" t="e">
        <f t="shared" ca="1" si="75"/>
        <v>#REF!</v>
      </c>
      <c r="L283" s="1524" t="e">
        <f t="shared" ca="1" si="75"/>
        <v>#REF!</v>
      </c>
      <c r="M283" s="1524" t="e">
        <f t="shared" ca="1" si="75"/>
        <v>#REF!</v>
      </c>
      <c r="N283" s="1524" t="e">
        <f t="shared" ca="1" si="75"/>
        <v>#REF!</v>
      </c>
      <c r="O283" s="1524" t="e">
        <f t="shared" ca="1" si="75"/>
        <v>#REF!</v>
      </c>
      <c r="P283" s="1524" t="e">
        <f t="shared" ca="1" si="75"/>
        <v>#REF!</v>
      </c>
      <c r="Q283" s="1524">
        <f t="shared" ca="1" si="75"/>
        <v>0</v>
      </c>
      <c r="R283" s="1521"/>
    </row>
    <row r="284" spans="1:18" s="121" customFormat="1">
      <c r="B284" s="1520"/>
      <c r="C284" s="1517" t="str">
        <f t="shared" ref="C284:Q284" si="76">C32</f>
        <v>R.07</v>
      </c>
      <c r="D284" s="1517" t="str">
        <f t="shared" si="76"/>
        <v>Environmental heat</v>
      </c>
      <c r="E284" s="1517">
        <f t="shared" si="76"/>
        <v>0</v>
      </c>
      <c r="F284" s="1524" t="e">
        <f t="shared" ca="1" si="76"/>
        <v>#REF!</v>
      </c>
      <c r="G284" s="1524">
        <f t="shared" si="76"/>
        <v>0</v>
      </c>
      <c r="H284" s="1524" t="e">
        <f t="shared" ca="1" si="76"/>
        <v>#REF!</v>
      </c>
      <c r="I284" s="1524" t="e">
        <f t="shared" ca="1" si="76"/>
        <v>#REF!</v>
      </c>
      <c r="J284" s="1524" t="e">
        <f t="shared" ca="1" si="76"/>
        <v>#REF!</v>
      </c>
      <c r="K284" s="1524" t="e">
        <f t="shared" ca="1" si="76"/>
        <v>#REF!</v>
      </c>
      <c r="L284" s="1524" t="e">
        <f t="shared" ca="1" si="76"/>
        <v>#REF!</v>
      </c>
      <c r="M284" s="1524" t="e">
        <f t="shared" ca="1" si="76"/>
        <v>#REF!</v>
      </c>
      <c r="N284" s="1524" t="e">
        <f t="shared" ca="1" si="76"/>
        <v>#REF!</v>
      </c>
      <c r="O284" s="1524" t="e">
        <f t="shared" ca="1" si="76"/>
        <v>#REF!</v>
      </c>
      <c r="P284" s="1524" t="e">
        <f t="shared" ca="1" si="76"/>
        <v>#REF!</v>
      </c>
      <c r="Q284" s="1524">
        <f t="shared" ca="1" si="76"/>
        <v>0</v>
      </c>
      <c r="R284" s="1521"/>
    </row>
    <row r="285" spans="1:18" s="121" customFormat="1">
      <c r="B285" s="1520"/>
      <c r="C285" s="1517"/>
      <c r="D285" s="1517" t="s">
        <v>1330</v>
      </c>
      <c r="E285" s="1517">
        <f t="shared" ref="E285:Q285" si="77">E36</f>
        <v>0</v>
      </c>
      <c r="F285" s="1524" t="e">
        <f t="shared" ca="1" si="77"/>
        <v>#REF!</v>
      </c>
      <c r="G285" s="1524">
        <f t="shared" si="77"/>
        <v>0</v>
      </c>
      <c r="H285" s="1524" t="e">
        <f t="shared" ca="1" si="77"/>
        <v>#REF!</v>
      </c>
      <c r="I285" s="1524" t="e">
        <f t="shared" ca="1" si="77"/>
        <v>#REF!</v>
      </c>
      <c r="J285" s="1524" t="e">
        <f t="shared" ca="1" si="77"/>
        <v>#REF!</v>
      </c>
      <c r="K285" s="1524" t="e">
        <f t="shared" ca="1" si="77"/>
        <v>#REF!</v>
      </c>
      <c r="L285" s="1524" t="e">
        <f t="shared" ca="1" si="77"/>
        <v>#REF!</v>
      </c>
      <c r="M285" s="1524" t="e">
        <f t="shared" ca="1" si="77"/>
        <v>#REF!</v>
      </c>
      <c r="N285" s="1524" t="e">
        <f t="shared" ca="1" si="77"/>
        <v>#REF!</v>
      </c>
      <c r="O285" s="1524" t="e">
        <f t="shared" ca="1" si="77"/>
        <v>#REF!</v>
      </c>
      <c r="P285" s="1524" t="e">
        <f t="shared" ca="1" si="77"/>
        <v>#REF!</v>
      </c>
      <c r="Q285" s="1524">
        <f t="shared" ca="1" si="77"/>
        <v>0</v>
      </c>
      <c r="R285" s="1521"/>
    </row>
    <row r="286" spans="1:18" s="121" customFormat="1">
      <c r="B286" s="1520"/>
      <c r="C286" s="1517"/>
      <c r="D286" s="1517" t="str">
        <f>D39</f>
        <v>Coal</v>
      </c>
      <c r="E286" s="1517">
        <f>E39</f>
        <v>0</v>
      </c>
      <c r="F286" s="1524" t="e">
        <f ca="1">MAX(F39,0)</f>
        <v>#REF!</v>
      </c>
      <c r="G286" s="1524">
        <f t="shared" ref="G286:Q286" si="78">MAX(G39,0)</f>
        <v>0</v>
      </c>
      <c r="H286" s="1524" t="e">
        <f t="shared" ca="1" si="78"/>
        <v>#REF!</v>
      </c>
      <c r="I286" s="1524" t="e">
        <f t="shared" ca="1" si="78"/>
        <v>#REF!</v>
      </c>
      <c r="J286" s="1524" t="e">
        <f t="shared" ca="1" si="78"/>
        <v>#REF!</v>
      </c>
      <c r="K286" s="1524" t="e">
        <f t="shared" ca="1" si="78"/>
        <v>#REF!</v>
      </c>
      <c r="L286" s="1524" t="e">
        <f t="shared" ca="1" si="78"/>
        <v>#REF!</v>
      </c>
      <c r="M286" s="1524" t="e">
        <f t="shared" ca="1" si="78"/>
        <v>#REF!</v>
      </c>
      <c r="N286" s="1524" t="e">
        <f t="shared" ca="1" si="78"/>
        <v>#REF!</v>
      </c>
      <c r="O286" s="1524" t="e">
        <f t="shared" ca="1" si="78"/>
        <v>#REF!</v>
      </c>
      <c r="P286" s="1524" t="e">
        <f t="shared" ca="1" si="78"/>
        <v>#REF!</v>
      </c>
      <c r="Q286" s="1524">
        <f t="shared" ca="1" si="78"/>
        <v>400.12025503680002</v>
      </c>
      <c r="R286" s="1521"/>
    </row>
    <row r="287" spans="1:18" s="121" customFormat="1">
      <c r="B287" s="1520"/>
      <c r="C287" s="1517"/>
      <c r="D287" s="1517" t="s">
        <v>186</v>
      </c>
      <c r="E287" s="1517">
        <f t="shared" ref="E287:Q287" si="79">E43</f>
        <v>0</v>
      </c>
      <c r="F287" s="1524" t="e">
        <f t="shared" ca="1" si="79"/>
        <v>#REF!</v>
      </c>
      <c r="G287" s="1524">
        <f t="shared" si="79"/>
        <v>0</v>
      </c>
      <c r="H287" s="1524" t="e">
        <f t="shared" ca="1" si="79"/>
        <v>#REF!</v>
      </c>
      <c r="I287" s="1524" t="e">
        <f t="shared" ca="1" si="79"/>
        <v>#REF!</v>
      </c>
      <c r="J287" s="1524" t="e">
        <f t="shared" ca="1" si="79"/>
        <v>#REF!</v>
      </c>
      <c r="K287" s="1524" t="e">
        <f t="shared" ca="1" si="79"/>
        <v>#REF!</v>
      </c>
      <c r="L287" s="1524" t="e">
        <f t="shared" ca="1" si="79"/>
        <v>#REF!</v>
      </c>
      <c r="M287" s="1524" t="e">
        <f t="shared" ca="1" si="79"/>
        <v>#REF!</v>
      </c>
      <c r="N287" s="1524" t="e">
        <f t="shared" ca="1" si="79"/>
        <v>#REF!</v>
      </c>
      <c r="O287" s="1524" t="e">
        <f t="shared" ca="1" si="79"/>
        <v>#REF!</v>
      </c>
      <c r="P287" s="1524" t="e">
        <f t="shared" ca="1" si="79"/>
        <v>#REF!</v>
      </c>
      <c r="Q287" s="1524">
        <f t="shared" ca="1" si="79"/>
        <v>0</v>
      </c>
      <c r="R287" s="1521"/>
    </row>
    <row r="288" spans="1:18" s="121" customFormat="1">
      <c r="B288" s="1520"/>
      <c r="C288" s="1517"/>
      <c r="D288" s="1517" t="str">
        <f t="shared" ref="D288:Q289" si="80">D46</f>
        <v>Natural gas</v>
      </c>
      <c r="E288" s="1517">
        <f t="shared" si="80"/>
        <v>0</v>
      </c>
      <c r="F288" s="1524" t="e">
        <f t="shared" ca="1" si="80"/>
        <v>#REF!</v>
      </c>
      <c r="G288" s="1524">
        <f t="shared" si="80"/>
        <v>0</v>
      </c>
      <c r="H288" s="1524" t="e">
        <f t="shared" ca="1" si="80"/>
        <v>#REF!</v>
      </c>
      <c r="I288" s="1524" t="e">
        <f t="shared" ca="1" si="80"/>
        <v>#REF!</v>
      </c>
      <c r="J288" s="1524" t="e">
        <f t="shared" ca="1" si="80"/>
        <v>#REF!</v>
      </c>
      <c r="K288" s="1524" t="e">
        <f t="shared" ca="1" si="80"/>
        <v>#REF!</v>
      </c>
      <c r="L288" s="1524" t="e">
        <f t="shared" ca="1" si="80"/>
        <v>#REF!</v>
      </c>
      <c r="M288" s="1524" t="e">
        <f t="shared" ca="1" si="80"/>
        <v>#REF!</v>
      </c>
      <c r="N288" s="1524" t="e">
        <f t="shared" ca="1" si="80"/>
        <v>#REF!</v>
      </c>
      <c r="O288" s="1524" t="e">
        <f t="shared" ca="1" si="80"/>
        <v>#REF!</v>
      </c>
      <c r="P288" s="1524" t="e">
        <f t="shared" ca="1" si="80"/>
        <v>#REF!</v>
      </c>
      <c r="Q288" s="1524">
        <f t="shared" ca="1" si="80"/>
        <v>0</v>
      </c>
      <c r="R288" s="1521"/>
    </row>
    <row r="289" spans="1:23" s="121" customFormat="1">
      <c r="B289" s="1520"/>
      <c r="C289" s="1517"/>
      <c r="D289" s="1525" t="str">
        <f t="shared" si="80"/>
        <v>Total Primary Supply</v>
      </c>
      <c r="E289" s="1517">
        <f t="shared" si="80"/>
        <v>0</v>
      </c>
      <c r="F289" s="1526" t="e">
        <f t="shared" ca="1" si="80"/>
        <v>#REF!</v>
      </c>
      <c r="G289" s="1526">
        <f t="shared" si="80"/>
        <v>0</v>
      </c>
      <c r="H289" s="1526" t="e">
        <f t="shared" ca="1" si="80"/>
        <v>#REF!</v>
      </c>
      <c r="I289" s="1526" t="e">
        <f t="shared" ca="1" si="80"/>
        <v>#REF!</v>
      </c>
      <c r="J289" s="1526" t="e">
        <f t="shared" ca="1" si="80"/>
        <v>#REF!</v>
      </c>
      <c r="K289" s="1526" t="e">
        <f t="shared" ca="1" si="80"/>
        <v>#REF!</v>
      </c>
      <c r="L289" s="1526" t="e">
        <f t="shared" ca="1" si="80"/>
        <v>#REF!</v>
      </c>
      <c r="M289" s="1526" t="e">
        <f t="shared" ca="1" si="80"/>
        <v>#REF!</v>
      </c>
      <c r="N289" s="1526" t="e">
        <f t="shared" ca="1" si="80"/>
        <v>#REF!</v>
      </c>
      <c r="O289" s="1526" t="e">
        <f t="shared" ca="1" si="80"/>
        <v>#REF!</v>
      </c>
      <c r="P289" s="1526" t="e">
        <f t="shared" ca="1" si="80"/>
        <v>#REF!</v>
      </c>
      <c r="Q289" s="1526">
        <f t="shared" ca="1" si="80"/>
        <v>138.158140919076</v>
      </c>
      <c r="R289" s="1521"/>
    </row>
    <row r="290" spans="1:23" s="121" customFormat="1">
      <c r="B290" s="1520"/>
      <c r="C290" s="1517"/>
      <c r="D290" s="1517" t="s">
        <v>1338</v>
      </c>
      <c r="E290" s="1517"/>
      <c r="F290" s="1527" t="e">
        <f ca="1">MAX(0,F30)+MAX(0,F35)+MAX(0,F37)+MAX(0,F41)+MAX(0,F44)+F23</f>
        <v>#REF!</v>
      </c>
      <c r="G290" s="1527">
        <f>MAX(0,G30)+MAX(0,G35)+MAX(0,G37)+MAX(0,G41)+MAX(0,G44)</f>
        <v>0</v>
      </c>
      <c r="H290" s="1527" t="e">
        <f t="shared" ref="H290:Q290" ca="1" si="81">MAX(0,H30)+MAX(0,H35)+MAX(0,H37)+MAX(0,H41)+MAX(0,H44)+H23</f>
        <v>#REF!</v>
      </c>
      <c r="I290" s="1527" t="e">
        <f t="shared" ca="1" si="81"/>
        <v>#REF!</v>
      </c>
      <c r="J290" s="1527" t="e">
        <f t="shared" ca="1" si="81"/>
        <v>#REF!</v>
      </c>
      <c r="K290" s="1527" t="e">
        <f t="shared" ca="1" si="81"/>
        <v>#REF!</v>
      </c>
      <c r="L290" s="1527" t="e">
        <f t="shared" ca="1" si="81"/>
        <v>#REF!</v>
      </c>
      <c r="M290" s="1527" t="e">
        <f t="shared" ca="1" si="81"/>
        <v>#REF!</v>
      </c>
      <c r="N290" s="1527" t="e">
        <f t="shared" ca="1" si="81"/>
        <v>#REF!</v>
      </c>
      <c r="O290" s="1527" t="e">
        <f t="shared" ca="1" si="81"/>
        <v>#REF!</v>
      </c>
      <c r="P290" s="1527" t="e">
        <f t="shared" ca="1" si="81"/>
        <v>#REF!</v>
      </c>
      <c r="Q290" s="1527">
        <f t="shared" ca="1" si="81"/>
        <v>336.15525503679999</v>
      </c>
      <c r="R290" s="1521"/>
    </row>
    <row r="291" spans="1:23" s="121" customFormat="1">
      <c r="B291" s="1520"/>
      <c r="C291" s="1517"/>
      <c r="D291" s="1517"/>
      <c r="E291" s="1517"/>
      <c r="F291" s="1527"/>
      <c r="G291" s="1527"/>
      <c r="H291" s="1527"/>
      <c r="I291" s="1527"/>
      <c r="J291" s="1527"/>
      <c r="K291" s="1527"/>
      <c r="L291" s="1527"/>
      <c r="M291" s="1527"/>
      <c r="N291" s="1527"/>
      <c r="O291" s="1527"/>
      <c r="P291" s="1527" t="s">
        <v>1680</v>
      </c>
      <c r="Q291" s="1679">
        <f ca="1">Q290/Q289</f>
        <v>2.4331194151902906</v>
      </c>
      <c r="R291" s="1521"/>
    </row>
    <row r="292" spans="1:23" s="121" customFormat="1">
      <c r="B292" s="1520"/>
      <c r="C292" s="1517"/>
      <c r="D292" s="1517" t="s">
        <v>140</v>
      </c>
      <c r="E292" s="1517"/>
      <c r="F292" s="1527" t="e">
        <f ca="1">F18+F52+F53</f>
        <v>#REF!</v>
      </c>
      <c r="G292" s="1527">
        <f t="shared" ref="G292:Q292" si="82">G18+G52+G53</f>
        <v>0</v>
      </c>
      <c r="H292" s="1527" t="e">
        <f t="shared" ca="1" si="82"/>
        <v>#REF!</v>
      </c>
      <c r="I292" s="1527" t="e">
        <f t="shared" ca="1" si="82"/>
        <v>#REF!</v>
      </c>
      <c r="J292" s="1527" t="e">
        <f t="shared" ca="1" si="82"/>
        <v>#REF!</v>
      </c>
      <c r="K292" s="1527" t="e">
        <f t="shared" ca="1" si="82"/>
        <v>#REF!</v>
      </c>
      <c r="L292" s="1527" t="e">
        <f t="shared" ca="1" si="82"/>
        <v>#REF!</v>
      </c>
      <c r="M292" s="1527" t="e">
        <f t="shared" ca="1" si="82"/>
        <v>#REF!</v>
      </c>
      <c r="N292" s="1527" t="e">
        <f t="shared" ca="1" si="82"/>
        <v>#REF!</v>
      </c>
      <c r="O292" s="1527" t="e">
        <f t="shared" ca="1" si="82"/>
        <v>#REF!</v>
      </c>
      <c r="P292" s="1527" t="e">
        <f t="shared" ca="1" si="82"/>
        <v>#REF!</v>
      </c>
      <c r="Q292" s="1527">
        <f t="shared" ca="1" si="82"/>
        <v>290.0488831984606</v>
      </c>
      <c r="R292" s="1521"/>
    </row>
    <row r="293" spans="1:23" s="121" customFormat="1">
      <c r="B293" s="1520"/>
      <c r="C293" s="1517"/>
      <c r="D293" s="1517"/>
      <c r="E293" s="1517"/>
      <c r="F293" s="1527"/>
      <c r="G293" s="1527"/>
      <c r="H293" s="1527"/>
      <c r="I293" s="1527"/>
      <c r="J293" s="1527"/>
      <c r="K293" s="1527"/>
      <c r="L293" s="1527"/>
      <c r="M293" s="1527"/>
      <c r="N293" s="1527"/>
      <c r="O293" s="1527"/>
      <c r="P293" s="1527"/>
      <c r="Q293" s="1527"/>
      <c r="R293" s="1521"/>
    </row>
    <row r="294" spans="1:23" s="121" customFormat="1">
      <c r="F294" s="1409"/>
      <c r="G294" s="1409"/>
      <c r="H294" s="1409"/>
      <c r="I294" s="1409"/>
      <c r="J294" s="1409"/>
      <c r="K294" s="1409"/>
      <c r="L294" s="1409"/>
      <c r="M294" s="1409"/>
      <c r="N294" s="1409"/>
      <c r="O294" s="1409"/>
      <c r="P294" s="1409"/>
      <c r="Q294" s="1409"/>
    </row>
    <row r="295" spans="1:23" ht="15">
      <c r="A295"/>
      <c r="B295" s="1513" t="s">
        <v>1654</v>
      </c>
      <c r="C295" s="1514"/>
      <c r="D295" s="1514"/>
      <c r="E295" s="1514"/>
      <c r="F295" s="1514"/>
      <c r="G295" s="1514"/>
      <c r="H295" s="1515"/>
      <c r="I295" s="1515"/>
      <c r="J295" s="1515"/>
      <c r="K295" s="1515"/>
      <c r="L295" s="1515"/>
      <c r="M295" s="1515"/>
      <c r="N295" s="1515"/>
      <c r="O295" s="1515"/>
      <c r="P295" s="1515"/>
      <c r="Q295" s="1515"/>
      <c r="R295" s="1516"/>
      <c r="S295"/>
    </row>
    <row r="296" spans="1:23" ht="15">
      <c r="B296" s="1522"/>
      <c r="C296" s="1518"/>
      <c r="D296" s="1518"/>
      <c r="E296" s="1518"/>
      <c r="F296" s="1518"/>
      <c r="G296" s="1518"/>
      <c r="H296" s="1519"/>
      <c r="I296" s="1519"/>
      <c r="J296" s="1519"/>
      <c r="K296" s="1519"/>
      <c r="L296" s="1519"/>
      <c r="M296" s="1519"/>
      <c r="N296" s="1519"/>
      <c r="O296" s="1519"/>
      <c r="P296" s="1519"/>
      <c r="Q296" s="1519"/>
      <c r="R296" s="1523"/>
    </row>
    <row r="297" spans="1:23">
      <c r="B297" s="1520"/>
      <c r="C297" s="1655" t="s">
        <v>40</v>
      </c>
      <c r="D297" s="1657"/>
      <c r="E297" s="1525"/>
      <c r="F297" s="1658"/>
      <c r="G297" s="1658"/>
      <c r="H297" s="1658">
        <v>2007</v>
      </c>
      <c r="I297" s="1658">
        <v>2010</v>
      </c>
      <c r="J297" s="1658">
        <v>2015</v>
      </c>
      <c r="K297" s="1658">
        <v>2020</v>
      </c>
      <c r="L297" s="1658">
        <v>2025</v>
      </c>
      <c r="M297" s="1658">
        <v>2030</v>
      </c>
      <c r="N297" s="1658">
        <v>2035</v>
      </c>
      <c r="O297" s="1658">
        <v>2040</v>
      </c>
      <c r="P297" s="1658">
        <v>2045</v>
      </c>
      <c r="Q297" s="1659">
        <v>2050</v>
      </c>
      <c r="R297" s="1521" t="str">
        <f>Preferences.EnergyUnits</f>
        <v>TWh</v>
      </c>
    </row>
    <row r="298" spans="1:23" ht="4.5" customHeight="1">
      <c r="B298" s="1520"/>
      <c r="C298" s="1525"/>
      <c r="D298" s="1517"/>
      <c r="E298" s="1517"/>
      <c r="F298" s="1524"/>
      <c r="G298" s="1524"/>
      <c r="H298" s="1524"/>
      <c r="I298" s="1524"/>
      <c r="J298" s="1524"/>
      <c r="K298" s="1524"/>
      <c r="L298" s="1524"/>
      <c r="M298" s="1524"/>
      <c r="N298" s="1524"/>
      <c r="O298" s="1524"/>
      <c r="P298" s="1524"/>
      <c r="Q298" s="1524"/>
      <c r="R298" s="1521"/>
    </row>
    <row r="299" spans="1:23">
      <c r="B299" s="1520"/>
      <c r="C299" s="1651" t="s">
        <v>744</v>
      </c>
      <c r="D299" s="1651" t="str">
        <f>INDEX(Modules[Module], MATCH($C299, Modules[Code], 0))</f>
        <v>H2 Production for Transport</v>
      </c>
      <c r="E299" s="1650"/>
      <c r="F299" s="1652"/>
      <c r="G299" s="1650"/>
      <c r="H299" s="1653" t="e">
        <f ca="1">-INDEX(INDIRECT($C299&amp;".Outputs["&amp;H$297&amp;"]"),MATCH($C$297,INDIRECT($C299&amp;".Outputs[Vector]"),0))</f>
        <v>#REF!</v>
      </c>
      <c r="I299" s="1653" t="e">
        <f t="shared" ref="I299:Q311" ca="1" si="83">-INDEX(INDIRECT($C299&amp;".Outputs["&amp;I$297&amp;"]"),MATCH($C$297,INDIRECT($C299&amp;".Outputs[Vector]"),0))</f>
        <v>#REF!</v>
      </c>
      <c r="J299" s="1653" t="e">
        <f t="shared" ca="1" si="83"/>
        <v>#REF!</v>
      </c>
      <c r="K299" s="1653" t="e">
        <f t="shared" ca="1" si="83"/>
        <v>#REF!</v>
      </c>
      <c r="L299" s="1653" t="e">
        <f t="shared" ca="1" si="83"/>
        <v>#REF!</v>
      </c>
      <c r="M299" s="1653" t="e">
        <f t="shared" ca="1" si="83"/>
        <v>#REF!</v>
      </c>
      <c r="N299" s="1653" t="e">
        <f t="shared" ca="1" si="83"/>
        <v>#REF!</v>
      </c>
      <c r="O299" s="1653" t="e">
        <f t="shared" ca="1" si="83"/>
        <v>#REF!</v>
      </c>
      <c r="P299" s="1653" t="e">
        <f t="shared" ca="1" si="83"/>
        <v>#REF!</v>
      </c>
      <c r="Q299" s="1653" t="e">
        <f t="shared" ca="1" si="83"/>
        <v>#REF!</v>
      </c>
      <c r="R299" s="1521"/>
      <c r="S299" s="1715"/>
      <c r="T299" s="1131"/>
      <c r="U299" s="1131"/>
      <c r="W299" s="1715"/>
    </row>
    <row r="300" spans="1:23" s="1644" customFormat="1">
      <c r="B300" s="1520"/>
      <c r="C300" s="1651" t="s">
        <v>706</v>
      </c>
      <c r="D300" s="1651" t="str">
        <f>INDEX(Modules[Module], MATCH($C300, Modules[Code], 0))</f>
        <v>Agriculture and land use</v>
      </c>
      <c r="E300" s="1650"/>
      <c r="F300" s="1652"/>
      <c r="G300" s="1650"/>
      <c r="H300" s="1653" t="e">
        <f t="shared" ref="H300:H311" ca="1" si="84">-INDEX(INDIRECT($C300&amp;".Outputs["&amp;H$297&amp;"]"),MATCH($C$297,INDIRECT($C300&amp;".Outputs[Vector]"),0))</f>
        <v>#REF!</v>
      </c>
      <c r="I300" s="1653" t="e">
        <f t="shared" ca="1" si="83"/>
        <v>#REF!</v>
      </c>
      <c r="J300" s="1653" t="e">
        <f t="shared" ca="1" si="83"/>
        <v>#REF!</v>
      </c>
      <c r="K300" s="1653" t="e">
        <f t="shared" ca="1" si="83"/>
        <v>#REF!</v>
      </c>
      <c r="L300" s="1653" t="e">
        <f t="shared" ca="1" si="83"/>
        <v>#REF!</v>
      </c>
      <c r="M300" s="1653" t="e">
        <f t="shared" ca="1" si="83"/>
        <v>#REF!</v>
      </c>
      <c r="N300" s="1653" t="e">
        <f t="shared" ca="1" si="83"/>
        <v>#REF!</v>
      </c>
      <c r="O300" s="1653" t="e">
        <f t="shared" ca="1" si="83"/>
        <v>#REF!</v>
      </c>
      <c r="P300" s="1653" t="e">
        <f t="shared" ca="1" si="83"/>
        <v>#REF!</v>
      </c>
      <c r="Q300" s="1653" t="e">
        <f t="shared" ca="1" si="83"/>
        <v>#REF!</v>
      </c>
      <c r="R300" s="1521"/>
      <c r="S300" s="1715"/>
      <c r="T300" s="1131"/>
      <c r="U300" s="1131"/>
    </row>
    <row r="301" spans="1:23" s="1644" customFormat="1">
      <c r="B301" s="1520"/>
      <c r="C301" s="1651" t="s">
        <v>973</v>
      </c>
      <c r="D301" s="1651" t="str">
        <f>INDEX(Modules[Module], MATCH($C301, Modules[Code], 0))</f>
        <v>Solar thermal</v>
      </c>
      <c r="E301" s="1650"/>
      <c r="F301" s="1652"/>
      <c r="G301" s="1650"/>
      <c r="H301" s="1653" t="e">
        <f t="shared" ca="1" si="84"/>
        <v>#REF!</v>
      </c>
      <c r="I301" s="1653" t="e">
        <f t="shared" ca="1" si="83"/>
        <v>#REF!</v>
      </c>
      <c r="J301" s="1653" t="e">
        <f t="shared" ca="1" si="83"/>
        <v>#REF!</v>
      </c>
      <c r="K301" s="1653" t="e">
        <f t="shared" ca="1" si="83"/>
        <v>#REF!</v>
      </c>
      <c r="L301" s="1653" t="e">
        <f t="shared" ca="1" si="83"/>
        <v>#REF!</v>
      </c>
      <c r="M301" s="1653" t="e">
        <f t="shared" ca="1" si="83"/>
        <v>#REF!</v>
      </c>
      <c r="N301" s="1653" t="e">
        <f t="shared" ca="1" si="83"/>
        <v>#REF!</v>
      </c>
      <c r="O301" s="1653" t="e">
        <f t="shared" ca="1" si="83"/>
        <v>#REF!</v>
      </c>
      <c r="P301" s="1653" t="e">
        <f t="shared" ca="1" si="83"/>
        <v>#REF!</v>
      </c>
      <c r="Q301" s="1653" t="e">
        <f t="shared" ca="1" si="83"/>
        <v>#REF!</v>
      </c>
      <c r="R301" s="1521"/>
      <c r="T301" s="1131"/>
      <c r="U301" s="1131"/>
    </row>
    <row r="302" spans="1:23">
      <c r="B302" s="1520"/>
      <c r="C302" s="1651" t="s">
        <v>668</v>
      </c>
      <c r="D302" s="1651" t="str">
        <f>INDEX(Modules[Module], MATCH($C302, Modules[Code], 0))</f>
        <v>Domestic space heating and hot water</v>
      </c>
      <c r="E302" s="1650"/>
      <c r="F302" s="1652"/>
      <c r="G302" s="1650"/>
      <c r="H302" s="1653" t="e">
        <f t="shared" ca="1" si="84"/>
        <v>#REF!</v>
      </c>
      <c r="I302" s="1653" t="e">
        <f t="shared" ca="1" si="83"/>
        <v>#REF!</v>
      </c>
      <c r="J302" s="1653" t="e">
        <f t="shared" ca="1" si="83"/>
        <v>#REF!</v>
      </c>
      <c r="K302" s="1653" t="e">
        <f t="shared" ca="1" si="83"/>
        <v>#REF!</v>
      </c>
      <c r="L302" s="1653" t="e">
        <f t="shared" ca="1" si="83"/>
        <v>#REF!</v>
      </c>
      <c r="M302" s="1653" t="e">
        <f t="shared" ca="1" si="83"/>
        <v>#REF!</v>
      </c>
      <c r="N302" s="1653" t="e">
        <f t="shared" ca="1" si="83"/>
        <v>#REF!</v>
      </c>
      <c r="O302" s="1653" t="e">
        <f t="shared" ca="1" si="83"/>
        <v>#REF!</v>
      </c>
      <c r="P302" s="1653" t="e">
        <f t="shared" ca="1" si="83"/>
        <v>#REF!</v>
      </c>
      <c r="Q302" s="1653" t="e">
        <f t="shared" ca="1" si="83"/>
        <v>#REF!</v>
      </c>
      <c r="R302" s="1521"/>
      <c r="S302" s="1715"/>
      <c r="T302" s="1131"/>
      <c r="U302" s="1131"/>
      <c r="W302" s="1715"/>
    </row>
    <row r="303" spans="1:23">
      <c r="B303" s="1520"/>
      <c r="C303" s="1651" t="s">
        <v>716</v>
      </c>
      <c r="D303" s="1651" t="str">
        <f>INDEX(Modules[Module], MATCH($C303, Modules[Code], 0))</f>
        <v>Commercial heating and cooling</v>
      </c>
      <c r="E303" s="1650"/>
      <c r="F303" s="1652"/>
      <c r="G303" s="1650"/>
      <c r="H303" s="1653" t="e">
        <f t="shared" ca="1" si="84"/>
        <v>#REF!</v>
      </c>
      <c r="I303" s="1653" t="e">
        <f t="shared" ca="1" si="83"/>
        <v>#REF!</v>
      </c>
      <c r="J303" s="1653" t="e">
        <f t="shared" ca="1" si="83"/>
        <v>#REF!</v>
      </c>
      <c r="K303" s="1653" t="e">
        <f t="shared" ca="1" si="83"/>
        <v>#REF!</v>
      </c>
      <c r="L303" s="1653" t="e">
        <f t="shared" ca="1" si="83"/>
        <v>#REF!</v>
      </c>
      <c r="M303" s="1653" t="e">
        <f t="shared" ca="1" si="83"/>
        <v>#REF!</v>
      </c>
      <c r="N303" s="1653" t="e">
        <f t="shared" ca="1" si="83"/>
        <v>#REF!</v>
      </c>
      <c r="O303" s="1653" t="e">
        <f t="shared" ca="1" si="83"/>
        <v>#REF!</v>
      </c>
      <c r="P303" s="1653" t="e">
        <f t="shared" ca="1" si="83"/>
        <v>#REF!</v>
      </c>
      <c r="Q303" s="1653" t="e">
        <f t="shared" ca="1" si="83"/>
        <v>#REF!</v>
      </c>
      <c r="R303" s="1521"/>
      <c r="S303" s="1715"/>
      <c r="T303" s="1131"/>
      <c r="U303" s="1131"/>
      <c r="W303" s="1715"/>
    </row>
    <row r="304" spans="1:23">
      <c r="B304" s="1520"/>
      <c r="C304" s="1651" t="s">
        <v>721</v>
      </c>
      <c r="D304" s="1651" t="str">
        <f>INDEX(Modules[Module], MATCH($C304, Modules[Code], 0))</f>
        <v>Domestic lighting, appliances, and cooking</v>
      </c>
      <c r="E304" s="1650"/>
      <c r="F304" s="1652"/>
      <c r="G304" s="1650"/>
      <c r="H304" s="1653" t="e">
        <f t="shared" ca="1" si="84"/>
        <v>#REF!</v>
      </c>
      <c r="I304" s="1653" t="e">
        <f t="shared" ca="1" si="83"/>
        <v>#REF!</v>
      </c>
      <c r="J304" s="1653" t="e">
        <f t="shared" ca="1" si="83"/>
        <v>#REF!</v>
      </c>
      <c r="K304" s="1653" t="e">
        <f t="shared" ca="1" si="83"/>
        <v>#REF!</v>
      </c>
      <c r="L304" s="1653" t="e">
        <f t="shared" ca="1" si="83"/>
        <v>#REF!</v>
      </c>
      <c r="M304" s="1653" t="e">
        <f t="shared" ca="1" si="83"/>
        <v>#REF!</v>
      </c>
      <c r="N304" s="1653" t="e">
        <f t="shared" ca="1" si="83"/>
        <v>#REF!</v>
      </c>
      <c r="O304" s="1653" t="e">
        <f t="shared" ca="1" si="83"/>
        <v>#REF!</v>
      </c>
      <c r="P304" s="1653" t="e">
        <f t="shared" ca="1" si="83"/>
        <v>#REF!</v>
      </c>
      <c r="Q304" s="1653" t="e">
        <f t="shared" ca="1" si="83"/>
        <v>#REF!</v>
      </c>
      <c r="R304" s="1521"/>
      <c r="S304" s="1715"/>
      <c r="T304" s="1131"/>
      <c r="U304" s="1131"/>
      <c r="W304" s="1715"/>
    </row>
    <row r="305" spans="2:23">
      <c r="B305" s="1520"/>
      <c r="C305" s="1651" t="s">
        <v>722</v>
      </c>
      <c r="D305" s="1651" t="str">
        <f>INDEX(Modules[Module], MATCH($C305, Modules[Code], 0))</f>
        <v>Commercial lighting, appliances, and catering</v>
      </c>
      <c r="E305" s="1650"/>
      <c r="F305" s="1652"/>
      <c r="G305" s="1650"/>
      <c r="H305" s="1653" t="e">
        <f t="shared" ca="1" si="84"/>
        <v>#REF!</v>
      </c>
      <c r="I305" s="1653" t="e">
        <f t="shared" ca="1" si="83"/>
        <v>#REF!</v>
      </c>
      <c r="J305" s="1653" t="e">
        <f t="shared" ca="1" si="83"/>
        <v>#REF!</v>
      </c>
      <c r="K305" s="1653" t="e">
        <f t="shared" ca="1" si="83"/>
        <v>#REF!</v>
      </c>
      <c r="L305" s="1653" t="e">
        <f t="shared" ca="1" si="83"/>
        <v>#REF!</v>
      </c>
      <c r="M305" s="1653" t="e">
        <f t="shared" ca="1" si="83"/>
        <v>#REF!</v>
      </c>
      <c r="N305" s="1653" t="e">
        <f t="shared" ca="1" si="83"/>
        <v>#REF!</v>
      </c>
      <c r="O305" s="1653" t="e">
        <f t="shared" ca="1" si="83"/>
        <v>#REF!</v>
      </c>
      <c r="P305" s="1653" t="e">
        <f t="shared" ca="1" si="83"/>
        <v>#REF!</v>
      </c>
      <c r="Q305" s="1653" t="e">
        <f t="shared" ca="1" si="83"/>
        <v>#REF!</v>
      </c>
      <c r="R305" s="1521"/>
      <c r="S305" s="1715"/>
      <c r="T305" s="1131"/>
      <c r="U305" s="1131"/>
      <c r="W305" s="1715"/>
    </row>
    <row r="306" spans="2:23">
      <c r="B306" s="1520"/>
      <c r="C306" s="1651" t="s">
        <v>689</v>
      </c>
      <c r="D306" s="1651" t="str">
        <f>INDEX(Modules[Module], MATCH($C306, Modules[Code], 0))</f>
        <v>Industrial processes</v>
      </c>
      <c r="E306" s="1650"/>
      <c r="F306" s="1652"/>
      <c r="G306" s="1650"/>
      <c r="H306" s="1653" t="e">
        <f t="shared" ca="1" si="84"/>
        <v>#REF!</v>
      </c>
      <c r="I306" s="1653" t="e">
        <f t="shared" ca="1" si="83"/>
        <v>#REF!</v>
      </c>
      <c r="J306" s="1653" t="e">
        <f t="shared" ca="1" si="83"/>
        <v>#REF!</v>
      </c>
      <c r="K306" s="1653" t="e">
        <f t="shared" ca="1" si="83"/>
        <v>#REF!</v>
      </c>
      <c r="L306" s="1653" t="e">
        <f t="shared" ca="1" si="83"/>
        <v>#REF!</v>
      </c>
      <c r="M306" s="1653" t="e">
        <f t="shared" ca="1" si="83"/>
        <v>#REF!</v>
      </c>
      <c r="N306" s="1653" t="e">
        <f t="shared" ca="1" si="83"/>
        <v>#REF!</v>
      </c>
      <c r="O306" s="1653" t="e">
        <f t="shared" ca="1" si="83"/>
        <v>#REF!</v>
      </c>
      <c r="P306" s="1653" t="e">
        <f t="shared" ca="1" si="83"/>
        <v>#REF!</v>
      </c>
      <c r="Q306" s="1653" t="e">
        <f t="shared" ca="1" si="83"/>
        <v>#REF!</v>
      </c>
      <c r="R306" s="1521"/>
      <c r="S306" s="1715"/>
      <c r="T306" s="1131"/>
      <c r="U306" s="1131"/>
      <c r="W306" s="1715"/>
    </row>
    <row r="307" spans="2:23">
      <c r="B307" s="1520"/>
      <c r="C307" s="1651" t="s">
        <v>691</v>
      </c>
      <c r="D307" s="1651" t="str">
        <f>INDEX(Modules[Module], MATCH($C307, Modules[Code], 0))</f>
        <v>Domestic passenger transport</v>
      </c>
      <c r="E307" s="1650"/>
      <c r="F307" s="1652"/>
      <c r="G307" s="1650"/>
      <c r="H307" s="1653" t="e">
        <f t="shared" ca="1" si="84"/>
        <v>#REF!</v>
      </c>
      <c r="I307" s="1653" t="e">
        <f t="shared" ca="1" si="83"/>
        <v>#REF!</v>
      </c>
      <c r="J307" s="1653" t="e">
        <f t="shared" ca="1" si="83"/>
        <v>#REF!</v>
      </c>
      <c r="K307" s="1653" t="e">
        <f t="shared" ca="1" si="83"/>
        <v>#REF!</v>
      </c>
      <c r="L307" s="1653" t="e">
        <f t="shared" ca="1" si="83"/>
        <v>#REF!</v>
      </c>
      <c r="M307" s="1653" t="e">
        <f t="shared" ca="1" si="83"/>
        <v>#REF!</v>
      </c>
      <c r="N307" s="1653" t="e">
        <f t="shared" ca="1" si="83"/>
        <v>#REF!</v>
      </c>
      <c r="O307" s="1653" t="e">
        <f t="shared" ca="1" si="83"/>
        <v>#REF!</v>
      </c>
      <c r="P307" s="1653" t="e">
        <f t="shared" ca="1" si="83"/>
        <v>#REF!</v>
      </c>
      <c r="Q307" s="1653" t="e">
        <f t="shared" ca="1" si="83"/>
        <v>#REF!</v>
      </c>
      <c r="R307" s="1521"/>
      <c r="S307" s="1715"/>
      <c r="T307" s="1131"/>
      <c r="U307" s="1131"/>
      <c r="W307" s="1715"/>
    </row>
    <row r="308" spans="2:23">
      <c r="B308" s="1520"/>
      <c r="C308" s="1651" t="s">
        <v>703</v>
      </c>
      <c r="D308" s="1651" t="str">
        <f>INDEX(Modules[Module], MATCH($C308, Modules[Code], 0))</f>
        <v>Domestic freight</v>
      </c>
      <c r="E308" s="1650"/>
      <c r="F308" s="1652"/>
      <c r="G308" s="1650"/>
      <c r="H308" s="1653" t="e">
        <f t="shared" ca="1" si="84"/>
        <v>#REF!</v>
      </c>
      <c r="I308" s="1653" t="e">
        <f t="shared" ca="1" si="83"/>
        <v>#REF!</v>
      </c>
      <c r="J308" s="1653" t="e">
        <f t="shared" ca="1" si="83"/>
        <v>#REF!</v>
      </c>
      <c r="K308" s="1653" t="e">
        <f t="shared" ca="1" si="83"/>
        <v>#REF!</v>
      </c>
      <c r="L308" s="1653" t="e">
        <f t="shared" ca="1" si="83"/>
        <v>#REF!</v>
      </c>
      <c r="M308" s="1653" t="e">
        <f t="shared" ca="1" si="83"/>
        <v>#REF!</v>
      </c>
      <c r="N308" s="1653" t="e">
        <f t="shared" ca="1" si="83"/>
        <v>#REF!</v>
      </c>
      <c r="O308" s="1653" t="e">
        <f t="shared" ca="1" si="83"/>
        <v>#REF!</v>
      </c>
      <c r="P308" s="1653" t="e">
        <f t="shared" ca="1" si="83"/>
        <v>#REF!</v>
      </c>
      <c r="Q308" s="1653" t="e">
        <f t="shared" ca="1" si="83"/>
        <v>#REF!</v>
      </c>
      <c r="R308" s="1521"/>
      <c r="S308" s="1715"/>
      <c r="T308" s="1131"/>
      <c r="U308" s="1131"/>
      <c r="W308" s="1715"/>
    </row>
    <row r="309" spans="2:23">
      <c r="B309" s="1520"/>
      <c r="C309" s="1651" t="s">
        <v>733</v>
      </c>
      <c r="D309" s="1651" t="str">
        <f>INDEX(Modules[Module], MATCH($C309, Modules[Code], 0))</f>
        <v>Geosequestration</v>
      </c>
      <c r="E309" s="1650"/>
      <c r="F309" s="1652"/>
      <c r="G309" s="1650"/>
      <c r="H309" s="1653" t="e">
        <f t="shared" ca="1" si="84"/>
        <v>#REF!</v>
      </c>
      <c r="I309" s="1653" t="e">
        <f t="shared" ca="1" si="83"/>
        <v>#REF!</v>
      </c>
      <c r="J309" s="1653" t="e">
        <f t="shared" ca="1" si="83"/>
        <v>#REF!</v>
      </c>
      <c r="K309" s="1653" t="e">
        <f t="shared" ca="1" si="83"/>
        <v>#REF!</v>
      </c>
      <c r="L309" s="1653" t="e">
        <f t="shared" ca="1" si="83"/>
        <v>#REF!</v>
      </c>
      <c r="M309" s="1653" t="e">
        <f t="shared" ca="1" si="83"/>
        <v>#REF!</v>
      </c>
      <c r="N309" s="1653" t="e">
        <f t="shared" ca="1" si="83"/>
        <v>#REF!</v>
      </c>
      <c r="O309" s="1653" t="e">
        <f t="shared" ca="1" si="83"/>
        <v>#REF!</v>
      </c>
      <c r="P309" s="1653" t="e">
        <f t="shared" ca="1" si="83"/>
        <v>#REF!</v>
      </c>
      <c r="Q309" s="1653" t="e">
        <f t="shared" ca="1" si="83"/>
        <v>#REF!</v>
      </c>
      <c r="R309" s="1521"/>
      <c r="S309" s="1715"/>
      <c r="T309" s="1131"/>
      <c r="U309" s="1131"/>
      <c r="W309" s="1715"/>
    </row>
    <row r="310" spans="2:23">
      <c r="B310" s="1520"/>
      <c r="C310" s="1651" t="s">
        <v>742</v>
      </c>
      <c r="D310" s="1651" t="str">
        <f>INDEX(Modules[Module], MATCH($C310, Modules[Code], 0))</f>
        <v>Petroleum refineries</v>
      </c>
      <c r="E310" s="1650"/>
      <c r="F310" s="1652"/>
      <c r="G310" s="1650"/>
      <c r="H310" s="1653" t="e">
        <f t="shared" ca="1" si="84"/>
        <v>#REF!</v>
      </c>
      <c r="I310" s="1653" t="e">
        <f t="shared" ca="1" si="83"/>
        <v>#REF!</v>
      </c>
      <c r="J310" s="1653" t="e">
        <f t="shared" ca="1" si="83"/>
        <v>#REF!</v>
      </c>
      <c r="K310" s="1653" t="e">
        <f t="shared" ca="1" si="83"/>
        <v>#REF!</v>
      </c>
      <c r="L310" s="1653" t="e">
        <f t="shared" ca="1" si="83"/>
        <v>#REF!</v>
      </c>
      <c r="M310" s="1653" t="e">
        <f t="shared" ca="1" si="83"/>
        <v>#REF!</v>
      </c>
      <c r="N310" s="1653" t="e">
        <f t="shared" ca="1" si="83"/>
        <v>#REF!</v>
      </c>
      <c r="O310" s="1653" t="e">
        <f t="shared" ca="1" si="83"/>
        <v>#REF!</v>
      </c>
      <c r="P310" s="1653" t="e">
        <f t="shared" ca="1" si="83"/>
        <v>#REF!</v>
      </c>
      <c r="Q310" s="1653" t="e">
        <f t="shared" ca="1" si="83"/>
        <v>#REF!</v>
      </c>
      <c r="R310" s="1521"/>
      <c r="S310" s="1715"/>
      <c r="T310" s="1131"/>
      <c r="U310" s="1131"/>
      <c r="W310" s="1715"/>
    </row>
    <row r="311" spans="2:23">
      <c r="B311" s="1520"/>
      <c r="C311" s="1651" t="s">
        <v>747</v>
      </c>
      <c r="D311" s="1651" t="str">
        <f>INDEX(Modules[Module], MATCH($C311, Modules[Code], 0))</f>
        <v>Indigenous fossil-fuel production</v>
      </c>
      <c r="E311" s="1650"/>
      <c r="F311" s="1652"/>
      <c r="G311" s="1650"/>
      <c r="H311" s="1653" t="e">
        <f t="shared" ca="1" si="84"/>
        <v>#REF!</v>
      </c>
      <c r="I311" s="1653" t="e">
        <f t="shared" ca="1" si="83"/>
        <v>#REF!</v>
      </c>
      <c r="J311" s="1653" t="e">
        <f t="shared" ca="1" si="83"/>
        <v>#REF!</v>
      </c>
      <c r="K311" s="1653" t="e">
        <f t="shared" ca="1" si="83"/>
        <v>#REF!</v>
      </c>
      <c r="L311" s="1653" t="e">
        <f t="shared" ca="1" si="83"/>
        <v>#REF!</v>
      </c>
      <c r="M311" s="1653" t="e">
        <f t="shared" ca="1" si="83"/>
        <v>#REF!</v>
      </c>
      <c r="N311" s="1653" t="e">
        <f t="shared" ca="1" si="83"/>
        <v>#REF!</v>
      </c>
      <c r="O311" s="1653" t="e">
        <f t="shared" ca="1" si="83"/>
        <v>#REF!</v>
      </c>
      <c r="P311" s="1653" t="e">
        <f t="shared" ca="1" si="83"/>
        <v>#REF!</v>
      </c>
      <c r="Q311" s="1653" t="e">
        <f t="shared" ca="1" si="83"/>
        <v>#REF!</v>
      </c>
      <c r="R311" s="1521"/>
      <c r="S311" s="1715"/>
      <c r="T311" s="1624"/>
    </row>
    <row r="312" spans="2:23">
      <c r="B312" s="1520"/>
      <c r="C312" s="1651" t="s">
        <v>981</v>
      </c>
      <c r="D312" s="1651" t="str">
        <f>INDEX(Modules[Module], MATCH($C312, Modules[Code], 0))</f>
        <v>District heating effective demand</v>
      </c>
      <c r="E312" s="1650"/>
      <c r="F312" s="1652"/>
      <c r="G312" s="1650"/>
      <c r="H312" s="1653" t="e">
        <f ca="1">-INDEX(INDIRECT($C312&amp;".Outputs["&amp;H$297&amp;"]"),MATCH("V.02",INDIRECT($C312&amp;".Outputs[Vector]"),0))</f>
        <v>#REF!</v>
      </c>
      <c r="I312" s="1653" t="e">
        <f t="shared" ref="I312:Q312" ca="1" si="85">-INDEX(INDIRECT($C312&amp;".Outputs["&amp;I$297&amp;"]"),MATCH("V.02",INDIRECT($C312&amp;".Outputs[Vector]"),0))</f>
        <v>#REF!</v>
      </c>
      <c r="J312" s="1653" t="e">
        <f t="shared" ca="1" si="85"/>
        <v>#REF!</v>
      </c>
      <c r="K312" s="1653" t="e">
        <f t="shared" ca="1" si="85"/>
        <v>#REF!</v>
      </c>
      <c r="L312" s="1653" t="e">
        <f t="shared" ca="1" si="85"/>
        <v>#REF!</v>
      </c>
      <c r="M312" s="1653" t="e">
        <f t="shared" ca="1" si="85"/>
        <v>#REF!</v>
      </c>
      <c r="N312" s="1653" t="e">
        <f t="shared" ca="1" si="85"/>
        <v>#REF!</v>
      </c>
      <c r="O312" s="1653" t="e">
        <f t="shared" ca="1" si="85"/>
        <v>#REF!</v>
      </c>
      <c r="P312" s="1653" t="e">
        <f t="shared" ca="1" si="85"/>
        <v>#REF!</v>
      </c>
      <c r="Q312" s="1653">
        <f t="shared" ca="1" si="85"/>
        <v>0</v>
      </c>
      <c r="R312" s="1521"/>
    </row>
    <row r="313" spans="2:23" s="1643" customFormat="1">
      <c r="B313" s="1520"/>
      <c r="C313" s="1651"/>
      <c r="D313" s="1651" t="s">
        <v>132</v>
      </c>
      <c r="E313" s="1650"/>
      <c r="F313" s="1652"/>
      <c r="G313" s="1650"/>
      <c r="H313" s="1653" t="e">
        <f ca="1">SUM(H299:H312)</f>
        <v>#REF!</v>
      </c>
      <c r="I313" s="1653" t="e">
        <f t="shared" ref="I313:Q313" ca="1" si="86">SUM(I299:I312)</f>
        <v>#REF!</v>
      </c>
      <c r="J313" s="1653" t="e">
        <f t="shared" ca="1" si="86"/>
        <v>#REF!</v>
      </c>
      <c r="K313" s="1653" t="e">
        <f t="shared" ca="1" si="86"/>
        <v>#REF!</v>
      </c>
      <c r="L313" s="1653" t="e">
        <f t="shared" ca="1" si="86"/>
        <v>#REF!</v>
      </c>
      <c r="M313" s="1653" t="e">
        <f t="shared" ca="1" si="86"/>
        <v>#REF!</v>
      </c>
      <c r="N313" s="1653" t="e">
        <f t="shared" ca="1" si="86"/>
        <v>#REF!</v>
      </c>
      <c r="O313" s="1653" t="e">
        <f t="shared" ca="1" si="86"/>
        <v>#REF!</v>
      </c>
      <c r="P313" s="1653" t="e">
        <f t="shared" ca="1" si="86"/>
        <v>#REF!</v>
      </c>
      <c r="Q313" s="1653" t="e">
        <f t="shared" ca="1" si="86"/>
        <v>#REF!</v>
      </c>
      <c r="R313" s="1521"/>
    </row>
    <row r="314" spans="2:23" s="1644" customFormat="1">
      <c r="B314" s="1520"/>
      <c r="C314" s="1651"/>
      <c r="D314" s="1651"/>
      <c r="E314" s="1650"/>
      <c r="F314" s="1652"/>
      <c r="G314" s="1650"/>
      <c r="H314" s="1653"/>
      <c r="I314" s="1653"/>
      <c r="J314" s="1653"/>
      <c r="K314" s="1653"/>
      <c r="L314" s="1653"/>
      <c r="M314" s="1653"/>
      <c r="N314" s="1653"/>
      <c r="O314" s="1653"/>
      <c r="P314" s="1653"/>
      <c r="Q314" s="1653"/>
      <c r="R314" s="1521"/>
    </row>
    <row r="315" spans="2:23" s="1644" customFormat="1">
      <c r="B315" s="1520"/>
      <c r="C315" s="1651"/>
      <c r="D315" s="1656" t="s">
        <v>244</v>
      </c>
      <c r="E315" s="1650"/>
      <c r="F315" s="1652"/>
      <c r="G315" s="1650"/>
      <c r="H315" s="1653" t="e">
        <f ca="1">SUM(H307:H308,H299)</f>
        <v>#REF!</v>
      </c>
      <c r="I315" s="1653" t="e">
        <f t="shared" ref="I315:Q315" ca="1" si="87">SUM(I307:I308,I299)</f>
        <v>#REF!</v>
      </c>
      <c r="J315" s="1653" t="e">
        <f t="shared" ca="1" si="87"/>
        <v>#REF!</v>
      </c>
      <c r="K315" s="1653" t="e">
        <f t="shared" ca="1" si="87"/>
        <v>#REF!</v>
      </c>
      <c r="L315" s="1653" t="e">
        <f t="shared" ca="1" si="87"/>
        <v>#REF!</v>
      </c>
      <c r="M315" s="1653" t="e">
        <f t="shared" ca="1" si="87"/>
        <v>#REF!</v>
      </c>
      <c r="N315" s="1653" t="e">
        <f t="shared" ca="1" si="87"/>
        <v>#REF!</v>
      </c>
      <c r="O315" s="1653" t="e">
        <f t="shared" ca="1" si="87"/>
        <v>#REF!</v>
      </c>
      <c r="P315" s="1653" t="e">
        <f t="shared" ca="1" si="87"/>
        <v>#REF!</v>
      </c>
      <c r="Q315" s="1653" t="e">
        <f t="shared" ca="1" si="87"/>
        <v>#REF!</v>
      </c>
      <c r="R315" s="1521"/>
    </row>
    <row r="316" spans="2:23" s="1644" customFormat="1">
      <c r="B316" s="1520"/>
      <c r="C316" s="1651"/>
      <c r="D316" s="1656" t="s">
        <v>39</v>
      </c>
      <c r="E316" s="1650"/>
      <c r="F316" s="1652"/>
      <c r="G316" s="1650"/>
      <c r="H316" s="1653" t="e">
        <f ca="1">SUM(H309:H311,H306,H300)</f>
        <v>#REF!</v>
      </c>
      <c r="I316" s="1653" t="e">
        <f t="shared" ref="I316:Q316" ca="1" si="88">SUM(I309:I311,I306,I300)</f>
        <v>#REF!</v>
      </c>
      <c r="J316" s="1653" t="e">
        <f t="shared" ca="1" si="88"/>
        <v>#REF!</v>
      </c>
      <c r="K316" s="1653" t="e">
        <f t="shared" ca="1" si="88"/>
        <v>#REF!</v>
      </c>
      <c r="L316" s="1653" t="e">
        <f t="shared" ca="1" si="88"/>
        <v>#REF!</v>
      </c>
      <c r="M316" s="1653" t="e">
        <f t="shared" ca="1" si="88"/>
        <v>#REF!</v>
      </c>
      <c r="N316" s="1653" t="e">
        <f t="shared" ca="1" si="88"/>
        <v>#REF!</v>
      </c>
      <c r="O316" s="1653" t="e">
        <f t="shared" ca="1" si="88"/>
        <v>#REF!</v>
      </c>
      <c r="P316" s="1653" t="e">
        <f t="shared" ca="1" si="88"/>
        <v>#REF!</v>
      </c>
      <c r="Q316" s="1653" t="e">
        <f t="shared" ca="1" si="88"/>
        <v>#REF!</v>
      </c>
      <c r="R316" s="1521"/>
    </row>
    <row r="317" spans="2:23" s="1644" customFormat="1">
      <c r="B317" s="1520"/>
      <c r="C317" s="1651"/>
      <c r="D317" s="1656" t="s">
        <v>1027</v>
      </c>
      <c r="E317" s="1650"/>
      <c r="F317" s="1652"/>
      <c r="G317" s="1650"/>
      <c r="H317" s="1653" t="e">
        <f ca="1">SUM(H301:H303,H312)</f>
        <v>#REF!</v>
      </c>
      <c r="I317" s="1653" t="e">
        <f t="shared" ref="I317:Q317" ca="1" si="89">SUM(I301:I303,I312)</f>
        <v>#REF!</v>
      </c>
      <c r="J317" s="1653" t="e">
        <f t="shared" ca="1" si="89"/>
        <v>#REF!</v>
      </c>
      <c r="K317" s="1653" t="e">
        <f t="shared" ca="1" si="89"/>
        <v>#REF!</v>
      </c>
      <c r="L317" s="1653" t="e">
        <f t="shared" ca="1" si="89"/>
        <v>#REF!</v>
      </c>
      <c r="M317" s="1653" t="e">
        <f t="shared" ca="1" si="89"/>
        <v>#REF!</v>
      </c>
      <c r="N317" s="1653" t="e">
        <f t="shared" ca="1" si="89"/>
        <v>#REF!</v>
      </c>
      <c r="O317" s="1653" t="e">
        <f t="shared" ca="1" si="89"/>
        <v>#REF!</v>
      </c>
      <c r="P317" s="1653" t="e">
        <f t="shared" ca="1" si="89"/>
        <v>#REF!</v>
      </c>
      <c r="Q317" s="1653" t="e">
        <f t="shared" ca="1" si="89"/>
        <v>#REF!</v>
      </c>
      <c r="R317" s="1521"/>
    </row>
    <row r="318" spans="2:23" s="1644" customFormat="1">
      <c r="B318" s="1520"/>
      <c r="C318" s="1651"/>
      <c r="D318" s="1656" t="s">
        <v>27</v>
      </c>
      <c r="E318" s="1650"/>
      <c r="F318" s="1652"/>
      <c r="G318" s="1650"/>
      <c r="H318" s="1653" t="e">
        <f ca="1">SUM(H304:H305)</f>
        <v>#REF!</v>
      </c>
      <c r="I318" s="1653" t="e">
        <f t="shared" ref="I318:Q318" ca="1" si="90">SUM(I304:I305)</f>
        <v>#REF!</v>
      </c>
      <c r="J318" s="1653" t="e">
        <f t="shared" ca="1" si="90"/>
        <v>#REF!</v>
      </c>
      <c r="K318" s="1653" t="e">
        <f t="shared" ca="1" si="90"/>
        <v>#REF!</v>
      </c>
      <c r="L318" s="1653" t="e">
        <f t="shared" ca="1" si="90"/>
        <v>#REF!</v>
      </c>
      <c r="M318" s="1653" t="e">
        <f t="shared" ca="1" si="90"/>
        <v>#REF!</v>
      </c>
      <c r="N318" s="1653" t="e">
        <f t="shared" ca="1" si="90"/>
        <v>#REF!</v>
      </c>
      <c r="O318" s="1653" t="e">
        <f t="shared" ca="1" si="90"/>
        <v>#REF!</v>
      </c>
      <c r="P318" s="1653" t="e">
        <f t="shared" ca="1" si="90"/>
        <v>#REF!</v>
      </c>
      <c r="Q318" s="1653" t="e">
        <f t="shared" ca="1" si="90"/>
        <v>#REF!</v>
      </c>
      <c r="R318" s="1521"/>
    </row>
    <row r="319" spans="2:23" s="1644" customFormat="1">
      <c r="B319" s="1520"/>
      <c r="C319" s="1651"/>
      <c r="D319" s="1656" t="s">
        <v>132</v>
      </c>
      <c r="E319" s="1650"/>
      <c r="F319" s="1652"/>
      <c r="G319" s="1650"/>
      <c r="H319" s="1653" t="e">
        <f ca="1">SUM(H315:H318)</f>
        <v>#REF!</v>
      </c>
      <c r="I319" s="1653" t="e">
        <f t="shared" ref="I319:Q319" ca="1" si="91">SUM(I315:I318)</f>
        <v>#REF!</v>
      </c>
      <c r="J319" s="1653" t="e">
        <f t="shared" ca="1" si="91"/>
        <v>#REF!</v>
      </c>
      <c r="K319" s="1653" t="e">
        <f t="shared" ca="1" si="91"/>
        <v>#REF!</v>
      </c>
      <c r="L319" s="1653" t="e">
        <f t="shared" ca="1" si="91"/>
        <v>#REF!</v>
      </c>
      <c r="M319" s="1653" t="e">
        <f t="shared" ca="1" si="91"/>
        <v>#REF!</v>
      </c>
      <c r="N319" s="1653" t="e">
        <f t="shared" ca="1" si="91"/>
        <v>#REF!</v>
      </c>
      <c r="O319" s="1653" t="e">
        <f t="shared" ca="1" si="91"/>
        <v>#REF!</v>
      </c>
      <c r="P319" s="1653" t="e">
        <f t="shared" ca="1" si="91"/>
        <v>#REF!</v>
      </c>
      <c r="Q319" s="1653" t="e">
        <f t="shared" ca="1" si="91"/>
        <v>#REF!</v>
      </c>
      <c r="R319" s="1521"/>
    </row>
    <row r="320" spans="2:23" s="1660" customFormat="1">
      <c r="B320" s="1520"/>
      <c r="C320" s="1651"/>
      <c r="D320" s="1656"/>
      <c r="E320" s="1650"/>
      <c r="F320" s="1652"/>
      <c r="G320" s="1650"/>
      <c r="H320" s="1653"/>
      <c r="I320" s="1653"/>
      <c r="J320" s="1653"/>
      <c r="K320" s="1653"/>
      <c r="L320" s="1653"/>
      <c r="M320" s="1653"/>
      <c r="N320" s="1653"/>
      <c r="O320" s="1653"/>
      <c r="P320" s="1653"/>
      <c r="Q320" s="1653"/>
      <c r="R320" s="1521"/>
    </row>
    <row r="322" spans="2:18" ht="15">
      <c r="B322" s="1513" t="s">
        <v>1642</v>
      </c>
      <c r="C322" s="1514"/>
      <c r="D322" s="1514"/>
      <c r="E322" s="1514"/>
      <c r="F322" s="1514"/>
      <c r="G322" s="1514"/>
      <c r="H322" s="1515"/>
      <c r="I322" s="1515"/>
      <c r="J322" s="1515"/>
      <c r="K322" s="1515"/>
      <c r="L322" s="1515"/>
      <c r="M322" s="1515"/>
      <c r="N322" s="1515"/>
      <c r="O322" s="1515"/>
      <c r="P322" s="1515"/>
      <c r="Q322" s="1515"/>
      <c r="R322" s="1516"/>
    </row>
    <row r="323" spans="2:18" ht="15">
      <c r="B323" s="1522"/>
      <c r="C323" s="1518"/>
      <c r="D323" s="1518"/>
      <c r="E323" s="1518"/>
      <c r="F323" s="1518"/>
      <c r="G323" s="1518"/>
      <c r="H323" s="1519"/>
      <c r="I323" s="1519"/>
      <c r="J323" s="1519"/>
      <c r="K323" s="1519"/>
      <c r="L323" s="1519"/>
      <c r="M323" s="1519"/>
      <c r="N323" s="1519"/>
      <c r="O323" s="1519"/>
      <c r="P323" s="1519"/>
      <c r="Q323" s="1519"/>
      <c r="R323" s="1523"/>
    </row>
    <row r="324" spans="2:18">
      <c r="B324" s="1520"/>
      <c r="C324" s="1655" t="s">
        <v>1563</v>
      </c>
      <c r="D324" s="1657" t="str">
        <f>INDEX(Vectors[Description],MATCH($C324,Vectors[Code],0))</f>
        <v>UK Land area</v>
      </c>
      <c r="E324" s="1525"/>
      <c r="F324" s="1658"/>
      <c r="G324" s="1658"/>
      <c r="H324" s="1658">
        <v>2007</v>
      </c>
      <c r="I324" s="1658">
        <v>2010</v>
      </c>
      <c r="J324" s="1658">
        <v>2015</v>
      </c>
      <c r="K324" s="1658">
        <v>2020</v>
      </c>
      <c r="L324" s="1658">
        <v>2025</v>
      </c>
      <c r="M324" s="1658">
        <v>2030</v>
      </c>
      <c r="N324" s="1658">
        <v>2035</v>
      </c>
      <c r="O324" s="1658">
        <v>2040</v>
      </c>
      <c r="P324" s="1658">
        <v>2045</v>
      </c>
      <c r="Q324" s="1659">
        <v>2050</v>
      </c>
      <c r="R324" s="1521" t="str">
        <f>Preferences.AreaUnits</f>
        <v>km^2</v>
      </c>
    </row>
    <row r="325" spans="2:18" ht="6" customHeight="1">
      <c r="B325" s="1520"/>
      <c r="C325" s="1525"/>
      <c r="D325" s="1517"/>
      <c r="E325" s="1517"/>
      <c r="F325" s="1524"/>
      <c r="G325" s="1524"/>
      <c r="H325" s="1524"/>
      <c r="I325" s="1524"/>
      <c r="J325" s="1524"/>
      <c r="K325" s="1524"/>
      <c r="L325" s="1524"/>
      <c r="M325" s="1524"/>
      <c r="N325" s="1524"/>
      <c r="O325" s="1524"/>
      <c r="P325" s="1524"/>
      <c r="Q325" s="1524"/>
      <c r="R325" s="1521"/>
    </row>
    <row r="326" spans="2:18">
      <c r="B326" s="1520"/>
      <c r="C326" s="1651" t="s">
        <v>1070</v>
      </c>
      <c r="D326" s="1653" t="e">
        <f t="shared" ref="D326:D332" ca="1" si="92">INDEX(INDIRECT($C326&amp;".Info[Information type]"),MATCH($C$324,INDIRECT($C326&amp;".Info[Vector]"),0))</f>
        <v>#REF!</v>
      </c>
      <c r="E326" s="1650"/>
      <c r="F326" s="1652"/>
      <c r="G326" s="1650"/>
      <c r="H326" s="1653" t="e">
        <f t="shared" ref="H326:H332" ca="1" si="93">INDEX(INDIRECT($C326&amp;".Info["&amp;H$324&amp;"]"),MATCH($C$324,INDIRECT($C326&amp;".Info[Vector]"),0))</f>
        <v>#REF!</v>
      </c>
      <c r="I326" s="1653" t="e">
        <f t="shared" ref="I326:Q332" ca="1" si="94">INDEX(INDIRECT($C326&amp;".Info["&amp;I$324&amp;"]"),MATCH($C$324,INDIRECT($C326&amp;".Info[Vector]"),0))</f>
        <v>#REF!</v>
      </c>
      <c r="J326" s="1653" t="e">
        <f t="shared" ca="1" si="94"/>
        <v>#REF!</v>
      </c>
      <c r="K326" s="1653" t="e">
        <f t="shared" ca="1" si="94"/>
        <v>#REF!</v>
      </c>
      <c r="L326" s="1653" t="e">
        <f t="shared" ca="1" si="94"/>
        <v>#REF!</v>
      </c>
      <c r="M326" s="1653" t="e">
        <f t="shared" ca="1" si="94"/>
        <v>#REF!</v>
      </c>
      <c r="N326" s="1653" t="e">
        <f t="shared" ca="1" si="94"/>
        <v>#REF!</v>
      </c>
      <c r="O326" s="1653" t="e">
        <f t="shared" ca="1" si="94"/>
        <v>#REF!</v>
      </c>
      <c r="P326" s="1653" t="e">
        <f t="shared" ca="1" si="94"/>
        <v>#REF!</v>
      </c>
      <c r="Q326" s="1653" t="e">
        <f t="shared" ca="1" si="94"/>
        <v>#REF!</v>
      </c>
      <c r="R326" s="1521"/>
    </row>
    <row r="327" spans="2:18">
      <c r="B327" s="1520"/>
      <c r="C327" s="1651" t="s">
        <v>650</v>
      </c>
      <c r="D327" s="1653" t="e">
        <f t="shared" ca="1" si="92"/>
        <v>#REF!</v>
      </c>
      <c r="E327" s="1650"/>
      <c r="F327" s="1652"/>
      <c r="G327" s="1650"/>
      <c r="H327" s="1653" t="e">
        <f t="shared" ca="1" si="93"/>
        <v>#REF!</v>
      </c>
      <c r="I327" s="1653" t="e">
        <f t="shared" ca="1" si="94"/>
        <v>#REF!</v>
      </c>
      <c r="J327" s="1653" t="e">
        <f t="shared" ca="1" si="94"/>
        <v>#REF!</v>
      </c>
      <c r="K327" s="1653" t="e">
        <f t="shared" ca="1" si="94"/>
        <v>#REF!</v>
      </c>
      <c r="L327" s="1653" t="e">
        <f t="shared" ca="1" si="94"/>
        <v>#REF!</v>
      </c>
      <c r="M327" s="1653" t="e">
        <f t="shared" ca="1" si="94"/>
        <v>#REF!</v>
      </c>
      <c r="N327" s="1653" t="e">
        <f t="shared" ca="1" si="94"/>
        <v>#REF!</v>
      </c>
      <c r="O327" s="1653" t="e">
        <f t="shared" ca="1" si="94"/>
        <v>#REF!</v>
      </c>
      <c r="P327" s="1653" t="e">
        <f t="shared" ca="1" si="94"/>
        <v>#REF!</v>
      </c>
      <c r="Q327" s="1653" t="e">
        <f t="shared" ca="1" si="94"/>
        <v>#REF!</v>
      </c>
      <c r="R327" s="1521"/>
    </row>
    <row r="328" spans="2:18">
      <c r="B328" s="1520"/>
      <c r="C328" s="1651" t="s">
        <v>743</v>
      </c>
      <c r="D328" s="1653" t="e">
        <f t="shared" ca="1" si="92"/>
        <v>#REF!</v>
      </c>
      <c r="E328" s="1650"/>
      <c r="F328" s="1652"/>
      <c r="G328" s="1650"/>
      <c r="H328" s="1653" t="e">
        <f t="shared" ca="1" si="93"/>
        <v>#REF!</v>
      </c>
      <c r="I328" s="1653" t="e">
        <f t="shared" ca="1" si="94"/>
        <v>#REF!</v>
      </c>
      <c r="J328" s="1653" t="e">
        <f t="shared" ca="1" si="94"/>
        <v>#REF!</v>
      </c>
      <c r="K328" s="1653" t="e">
        <f t="shared" ca="1" si="94"/>
        <v>#REF!</v>
      </c>
      <c r="L328" s="1653" t="e">
        <f t="shared" ca="1" si="94"/>
        <v>#REF!</v>
      </c>
      <c r="M328" s="1653" t="e">
        <f t="shared" ca="1" si="94"/>
        <v>#REF!</v>
      </c>
      <c r="N328" s="1653" t="e">
        <f t="shared" ca="1" si="94"/>
        <v>#REF!</v>
      </c>
      <c r="O328" s="1653" t="e">
        <f t="shared" ca="1" si="94"/>
        <v>#REF!</v>
      </c>
      <c r="P328" s="1653" t="e">
        <f t="shared" ca="1" si="94"/>
        <v>#REF!</v>
      </c>
      <c r="Q328" s="1653" t="e">
        <f t="shared" ca="1" si="94"/>
        <v>#REF!</v>
      </c>
      <c r="R328" s="1521"/>
    </row>
    <row r="329" spans="2:18">
      <c r="B329" s="1520"/>
      <c r="C329" s="1651" t="s">
        <v>973</v>
      </c>
      <c r="D329" s="1653" t="e">
        <f t="shared" ca="1" si="92"/>
        <v>#REF!</v>
      </c>
      <c r="E329" s="1650"/>
      <c r="F329" s="1652"/>
      <c r="G329" s="1650"/>
      <c r="H329" s="1653" t="e">
        <f t="shared" ca="1" si="93"/>
        <v>#REF!</v>
      </c>
      <c r="I329" s="1653" t="e">
        <f t="shared" ca="1" si="94"/>
        <v>#REF!</v>
      </c>
      <c r="J329" s="1653" t="e">
        <f t="shared" ca="1" si="94"/>
        <v>#REF!</v>
      </c>
      <c r="K329" s="1653" t="e">
        <f t="shared" ca="1" si="94"/>
        <v>#REF!</v>
      </c>
      <c r="L329" s="1653" t="e">
        <f t="shared" ca="1" si="94"/>
        <v>#REF!</v>
      </c>
      <c r="M329" s="1653" t="e">
        <f t="shared" ca="1" si="94"/>
        <v>#REF!</v>
      </c>
      <c r="N329" s="1653" t="e">
        <f t="shared" ca="1" si="94"/>
        <v>#REF!</v>
      </c>
      <c r="O329" s="1653" t="e">
        <f t="shared" ca="1" si="94"/>
        <v>#REF!</v>
      </c>
      <c r="P329" s="1653" t="e">
        <f t="shared" ca="1" si="94"/>
        <v>#REF!</v>
      </c>
      <c r="Q329" s="1653" t="e">
        <f t="shared" ca="1" si="94"/>
        <v>#REF!</v>
      </c>
      <c r="R329" s="1521"/>
    </row>
    <row r="330" spans="2:18">
      <c r="B330" s="1520"/>
      <c r="C330" s="1651" t="s">
        <v>1021</v>
      </c>
      <c r="D330" s="1653" t="e">
        <f t="shared" ca="1" si="92"/>
        <v>#REF!</v>
      </c>
      <c r="E330" s="1650"/>
      <c r="F330" s="1652"/>
      <c r="G330" s="1650"/>
      <c r="H330" s="1653" t="e">
        <f t="shared" ca="1" si="93"/>
        <v>#REF!</v>
      </c>
      <c r="I330" s="1653" t="e">
        <f t="shared" ca="1" si="94"/>
        <v>#REF!</v>
      </c>
      <c r="J330" s="1653" t="e">
        <f t="shared" ca="1" si="94"/>
        <v>#REF!</v>
      </c>
      <c r="K330" s="1653" t="e">
        <f t="shared" ca="1" si="94"/>
        <v>#REF!</v>
      </c>
      <c r="L330" s="1653" t="e">
        <f t="shared" ca="1" si="94"/>
        <v>#REF!</v>
      </c>
      <c r="M330" s="1653" t="e">
        <f t="shared" ca="1" si="94"/>
        <v>#REF!</v>
      </c>
      <c r="N330" s="1653" t="e">
        <f t="shared" ca="1" si="94"/>
        <v>#REF!</v>
      </c>
      <c r="O330" s="1653" t="e">
        <f t="shared" ca="1" si="94"/>
        <v>#REF!</v>
      </c>
      <c r="P330" s="1653" t="e">
        <f t="shared" ca="1" si="94"/>
        <v>#REF!</v>
      </c>
      <c r="Q330" s="1653" t="e">
        <f t="shared" ca="1" si="94"/>
        <v>#REF!</v>
      </c>
      <c r="R330" s="1521"/>
    </row>
    <row r="331" spans="2:18" s="1715" customFormat="1">
      <c r="B331" s="1520"/>
      <c r="C331" s="1651" t="s">
        <v>1823</v>
      </c>
      <c r="D331" s="1653" t="e">
        <f t="shared" ca="1" si="92"/>
        <v>#REF!</v>
      </c>
      <c r="E331" s="1650"/>
      <c r="F331" s="1652"/>
      <c r="G331" s="1650"/>
      <c r="H331" s="1653" t="e">
        <f t="shared" ca="1" si="93"/>
        <v>#REF!</v>
      </c>
      <c r="I331" s="1653" t="e">
        <f t="shared" ca="1" si="94"/>
        <v>#REF!</v>
      </c>
      <c r="J331" s="1653" t="e">
        <f t="shared" ca="1" si="94"/>
        <v>#REF!</v>
      </c>
      <c r="K331" s="1653" t="e">
        <f t="shared" ca="1" si="94"/>
        <v>#REF!</v>
      </c>
      <c r="L331" s="1653" t="e">
        <f t="shared" ca="1" si="94"/>
        <v>#REF!</v>
      </c>
      <c r="M331" s="1653" t="e">
        <f t="shared" ca="1" si="94"/>
        <v>#REF!</v>
      </c>
      <c r="N331" s="1653" t="e">
        <f t="shared" ca="1" si="94"/>
        <v>#REF!</v>
      </c>
      <c r="O331" s="1653" t="e">
        <f t="shared" ca="1" si="94"/>
        <v>#REF!</v>
      </c>
      <c r="P331" s="1653" t="e">
        <f t="shared" ca="1" si="94"/>
        <v>#REF!</v>
      </c>
      <c r="Q331" s="1653" t="e">
        <f t="shared" ca="1" si="94"/>
        <v>#REF!</v>
      </c>
      <c r="R331" s="1521"/>
    </row>
    <row r="332" spans="2:18">
      <c r="B332" s="1520"/>
      <c r="C332" s="1651" t="s">
        <v>1824</v>
      </c>
      <c r="D332" s="1653" t="e">
        <f t="shared" ca="1" si="92"/>
        <v>#REF!</v>
      </c>
      <c r="E332" s="1650"/>
      <c r="F332" s="1652"/>
      <c r="G332" s="1650"/>
      <c r="H332" s="1653" t="e">
        <f t="shared" ca="1" si="93"/>
        <v>#REF!</v>
      </c>
      <c r="I332" s="1653" t="e">
        <f t="shared" ca="1" si="94"/>
        <v>#REF!</v>
      </c>
      <c r="J332" s="1653" t="e">
        <f t="shared" ca="1" si="94"/>
        <v>#REF!</v>
      </c>
      <c r="K332" s="1653" t="e">
        <f t="shared" ca="1" si="94"/>
        <v>#REF!</v>
      </c>
      <c r="L332" s="1653" t="e">
        <f t="shared" ca="1" si="94"/>
        <v>#REF!</v>
      </c>
      <c r="M332" s="1653" t="e">
        <f t="shared" ca="1" si="94"/>
        <v>#REF!</v>
      </c>
      <c r="N332" s="1653" t="e">
        <f t="shared" ca="1" si="94"/>
        <v>#REF!</v>
      </c>
      <c r="O332" s="1653" t="e">
        <f t="shared" ca="1" si="94"/>
        <v>#REF!</v>
      </c>
      <c r="P332" s="1653" t="e">
        <f t="shared" ca="1" si="94"/>
        <v>#REF!</v>
      </c>
      <c r="Q332" s="1653" t="e">
        <f t="shared" ca="1" si="94"/>
        <v>#REF!</v>
      </c>
      <c r="R332" s="1521"/>
    </row>
    <row r="333" spans="2:18">
      <c r="B333" s="1520"/>
      <c r="C333" s="1651"/>
      <c r="D333" s="1651"/>
      <c r="E333" s="1650"/>
      <c r="F333" s="1652"/>
      <c r="G333" s="1650"/>
      <c r="H333" s="1653"/>
      <c r="I333" s="1653"/>
      <c r="J333" s="1653"/>
      <c r="K333" s="1653"/>
      <c r="L333" s="1653"/>
      <c r="M333" s="1653"/>
      <c r="N333" s="1653"/>
      <c r="O333" s="1653"/>
      <c r="P333" s="1653"/>
      <c r="Q333" s="1653"/>
      <c r="R333" s="1521"/>
    </row>
    <row r="334" spans="2:18" s="1654" customFormat="1">
      <c r="B334" s="1520"/>
      <c r="C334" s="1655" t="s">
        <v>1575</v>
      </c>
      <c r="D334" s="1657" t="str">
        <f>INDEX(Vectors[Description],MATCH($C334,Vectors[Code],0))</f>
        <v>UK Sea area</v>
      </c>
      <c r="E334" s="1525"/>
      <c r="F334" s="1658"/>
      <c r="G334" s="1658"/>
      <c r="H334" s="1658">
        <v>2007</v>
      </c>
      <c r="I334" s="1658">
        <v>2010</v>
      </c>
      <c r="J334" s="1658">
        <v>2015</v>
      </c>
      <c r="K334" s="1658">
        <v>2020</v>
      </c>
      <c r="L334" s="1658">
        <v>2025</v>
      </c>
      <c r="M334" s="1658">
        <v>2030</v>
      </c>
      <c r="N334" s="1658">
        <v>2035</v>
      </c>
      <c r="O334" s="1658">
        <v>2040</v>
      </c>
      <c r="P334" s="1658">
        <v>2045</v>
      </c>
      <c r="Q334" s="1659">
        <v>2050</v>
      </c>
      <c r="R334" s="1521" t="str">
        <f>Preferences.AreaUnits</f>
        <v>km^2</v>
      </c>
    </row>
    <row r="335" spans="2:18" s="1654" customFormat="1" ht="4.5" customHeight="1">
      <c r="B335" s="1520"/>
      <c r="C335" s="1525"/>
      <c r="D335" s="1517"/>
      <c r="E335" s="1517"/>
      <c r="F335" s="1524"/>
      <c r="G335" s="1524"/>
      <c r="H335" s="1524"/>
      <c r="I335" s="1524"/>
      <c r="J335" s="1524"/>
      <c r="K335" s="1524"/>
      <c r="L335" s="1524"/>
      <c r="M335" s="1524"/>
      <c r="N335" s="1524"/>
      <c r="O335" s="1524"/>
      <c r="P335" s="1524"/>
      <c r="Q335" s="1524"/>
      <c r="R335" s="1521"/>
    </row>
    <row r="336" spans="2:18" s="1654" customFormat="1">
      <c r="B336" s="1520"/>
      <c r="C336" s="1651" t="s">
        <v>1071</v>
      </c>
      <c r="D336" s="1653" t="e">
        <f ca="1">INDEX(INDIRECT($C336&amp;".Info[Information type]"),MATCH($C$334,INDIRECT($C336&amp;".Info[Vector]"),0))</f>
        <v>#REF!</v>
      </c>
      <c r="E336" s="1650"/>
      <c r="F336" s="1652"/>
      <c r="G336" s="1650"/>
      <c r="H336" s="1653" t="e">
        <f ca="1">INDEX(INDIRECT($C336&amp;".Info["&amp;H$324&amp;"]"),MATCH($C$334,INDIRECT($C336&amp;".Info[Vector]"),0))</f>
        <v>#REF!</v>
      </c>
      <c r="I336" s="1653" t="e">
        <f t="shared" ref="I336:Q339" ca="1" si="95">INDEX(INDIRECT($C336&amp;".Info["&amp;I$324&amp;"]"),MATCH($C$334,INDIRECT($C336&amp;".Info[Vector]"),0))</f>
        <v>#REF!</v>
      </c>
      <c r="J336" s="1653" t="e">
        <f t="shared" ca="1" si="95"/>
        <v>#REF!</v>
      </c>
      <c r="K336" s="1653" t="e">
        <f t="shared" ca="1" si="95"/>
        <v>#REF!</v>
      </c>
      <c r="L336" s="1653" t="e">
        <f t="shared" ca="1" si="95"/>
        <v>#REF!</v>
      </c>
      <c r="M336" s="1653" t="e">
        <f t="shared" ca="1" si="95"/>
        <v>#REF!</v>
      </c>
      <c r="N336" s="1653" t="e">
        <f t="shared" ca="1" si="95"/>
        <v>#REF!</v>
      </c>
      <c r="O336" s="1653" t="e">
        <f t="shared" ca="1" si="95"/>
        <v>#REF!</v>
      </c>
      <c r="P336" s="1653" t="e">
        <f t="shared" ca="1" si="95"/>
        <v>#REF!</v>
      </c>
      <c r="Q336" s="1653" t="e">
        <f t="shared" ca="1" si="95"/>
        <v>#REF!</v>
      </c>
      <c r="R336" s="1521"/>
    </row>
    <row r="337" spans="2:18" s="1654" customFormat="1">
      <c r="B337" s="1520"/>
      <c r="C337" s="1651" t="s">
        <v>1526</v>
      </c>
      <c r="D337" s="1653" t="e">
        <f ca="1">INDEX(INDIRECT($C337&amp;".Info[Information type]"),MATCH($C$334,INDIRECT($C337&amp;".Info[Vector]"),0))</f>
        <v>#REF!</v>
      </c>
      <c r="E337" s="1650"/>
      <c r="F337" s="1652"/>
      <c r="G337" s="1650"/>
      <c r="H337" s="1653" t="e">
        <f ca="1">INDEX(INDIRECT($C337&amp;".Info["&amp;H$324&amp;"]"),MATCH($C$334,INDIRECT($C337&amp;".Info[Vector]"),0))</f>
        <v>#REF!</v>
      </c>
      <c r="I337" s="1653" t="e">
        <f t="shared" ca="1" si="95"/>
        <v>#REF!</v>
      </c>
      <c r="J337" s="1653" t="e">
        <f t="shared" ca="1" si="95"/>
        <v>#REF!</v>
      </c>
      <c r="K337" s="1653" t="e">
        <f t="shared" ca="1" si="95"/>
        <v>#REF!</v>
      </c>
      <c r="L337" s="1653" t="e">
        <f t="shared" ca="1" si="95"/>
        <v>#REF!</v>
      </c>
      <c r="M337" s="1653" t="e">
        <f t="shared" ca="1" si="95"/>
        <v>#REF!</v>
      </c>
      <c r="N337" s="1653" t="e">
        <f t="shared" ca="1" si="95"/>
        <v>#REF!</v>
      </c>
      <c r="O337" s="1653" t="e">
        <f t="shared" ca="1" si="95"/>
        <v>#REF!</v>
      </c>
      <c r="P337" s="1653" t="e">
        <f t="shared" ca="1" si="95"/>
        <v>#REF!</v>
      </c>
      <c r="Q337" s="1653" t="e">
        <f t="shared" ca="1" si="95"/>
        <v>#REF!</v>
      </c>
      <c r="R337" s="1521"/>
    </row>
    <row r="338" spans="2:18" s="1654" customFormat="1">
      <c r="B338" s="1520"/>
      <c r="C338" s="1651" t="s">
        <v>1527</v>
      </c>
      <c r="D338" s="1653" t="e">
        <f ca="1">INDEX(INDIRECT($C338&amp;".Info[Information type]"),MATCH($C$334,INDIRECT($C338&amp;".Info[Vector]"),0))</f>
        <v>#REF!</v>
      </c>
      <c r="E338" s="1650"/>
      <c r="F338" s="1652"/>
      <c r="G338" s="1650"/>
      <c r="H338" s="1653" t="e">
        <f ca="1">INDEX(INDIRECT($C338&amp;".Info["&amp;H$324&amp;"]"),MATCH($C$334,INDIRECT($C338&amp;".Info[Vector]"),0))</f>
        <v>#REF!</v>
      </c>
      <c r="I338" s="1653" t="e">
        <f t="shared" ca="1" si="95"/>
        <v>#REF!</v>
      </c>
      <c r="J338" s="1653" t="e">
        <f t="shared" ca="1" si="95"/>
        <v>#REF!</v>
      </c>
      <c r="K338" s="1653" t="e">
        <f t="shared" ca="1" si="95"/>
        <v>#REF!</v>
      </c>
      <c r="L338" s="1653" t="e">
        <f t="shared" ca="1" si="95"/>
        <v>#REF!</v>
      </c>
      <c r="M338" s="1653" t="e">
        <f t="shared" ca="1" si="95"/>
        <v>#REF!</v>
      </c>
      <c r="N338" s="1653" t="e">
        <f t="shared" ca="1" si="95"/>
        <v>#REF!</v>
      </c>
      <c r="O338" s="1653" t="e">
        <f t="shared" ca="1" si="95"/>
        <v>#REF!</v>
      </c>
      <c r="P338" s="1653" t="e">
        <f t="shared" ca="1" si="95"/>
        <v>#REF!</v>
      </c>
      <c r="Q338" s="1653" t="e">
        <f t="shared" ca="1" si="95"/>
        <v>#REF!</v>
      </c>
      <c r="R338" s="1521"/>
    </row>
    <row r="339" spans="2:18" s="1654" customFormat="1">
      <c r="B339" s="1520"/>
      <c r="C339" s="1651" t="s">
        <v>1226</v>
      </c>
      <c r="D339" s="1653" t="e">
        <f ca="1">INDEX(INDIRECT($C339&amp;".Info[Information type]"),MATCH($C$334,INDIRECT($C339&amp;".Info[Vector]"),0))</f>
        <v>#REF!</v>
      </c>
      <c r="E339" s="1650"/>
      <c r="F339" s="1652"/>
      <c r="G339" s="1650"/>
      <c r="H339" s="1653" t="e">
        <f ca="1">INDEX(INDIRECT($C339&amp;".Info["&amp;H$324&amp;"]"),MATCH($C$334,INDIRECT($C339&amp;".Info[Vector]"),0))</f>
        <v>#REF!</v>
      </c>
      <c r="I339" s="1653" t="e">
        <f t="shared" ca="1" si="95"/>
        <v>#REF!</v>
      </c>
      <c r="J339" s="1653" t="e">
        <f t="shared" ca="1" si="95"/>
        <v>#REF!</v>
      </c>
      <c r="K339" s="1653" t="e">
        <f t="shared" ca="1" si="95"/>
        <v>#REF!</v>
      </c>
      <c r="L339" s="1653" t="e">
        <f t="shared" ca="1" si="95"/>
        <v>#REF!</v>
      </c>
      <c r="M339" s="1653" t="e">
        <f t="shared" ca="1" si="95"/>
        <v>#REF!</v>
      </c>
      <c r="N339" s="1653" t="e">
        <f t="shared" ca="1" si="95"/>
        <v>#REF!</v>
      </c>
      <c r="O339" s="1653" t="e">
        <f t="shared" ca="1" si="95"/>
        <v>#REF!</v>
      </c>
      <c r="P339" s="1653" t="e">
        <f t="shared" ca="1" si="95"/>
        <v>#REF!</v>
      </c>
      <c r="Q339" s="1653" t="e">
        <f t="shared" ca="1" si="95"/>
        <v>#REF!</v>
      </c>
      <c r="R339" s="1521"/>
    </row>
    <row r="340" spans="2:18" s="1654" customFormat="1">
      <c r="B340" s="1520"/>
      <c r="C340" s="1651"/>
      <c r="D340" s="1651"/>
      <c r="E340" s="1650"/>
      <c r="F340" s="1652"/>
      <c r="G340" s="1650"/>
      <c r="H340" s="1653"/>
      <c r="I340" s="1653"/>
      <c r="J340" s="1653"/>
      <c r="K340" s="1653"/>
      <c r="L340" s="1653"/>
      <c r="M340" s="1653"/>
      <c r="N340" s="1653"/>
      <c r="O340" s="1653"/>
      <c r="P340" s="1653"/>
      <c r="Q340" s="1653"/>
      <c r="R340" s="1521"/>
    </row>
    <row r="341" spans="2:18" s="1654" customFormat="1">
      <c r="B341" s="1520"/>
      <c r="C341" s="1655" t="s">
        <v>1648</v>
      </c>
      <c r="D341" s="1657" t="str">
        <f>INDEX(Vectors[Description],MATCH($C341,Vectors[Code],0))</f>
        <v>Land area overseas</v>
      </c>
      <c r="E341" s="1525"/>
      <c r="F341" s="1658"/>
      <c r="G341" s="1658"/>
      <c r="H341" s="1658">
        <v>2007</v>
      </c>
      <c r="I341" s="1658">
        <v>2010</v>
      </c>
      <c r="J341" s="1658">
        <v>2015</v>
      </c>
      <c r="K341" s="1658">
        <v>2020</v>
      </c>
      <c r="L341" s="1658">
        <v>2025</v>
      </c>
      <c r="M341" s="1658">
        <v>2030</v>
      </c>
      <c r="N341" s="1658">
        <v>2035</v>
      </c>
      <c r="O341" s="1658">
        <v>2040</v>
      </c>
      <c r="P341" s="1658">
        <v>2045</v>
      </c>
      <c r="Q341" s="1659">
        <v>2050</v>
      </c>
      <c r="R341" s="1521" t="str">
        <f>Preferences.AreaUnits</f>
        <v>km^2</v>
      </c>
    </row>
    <row r="342" spans="2:18" s="1654" customFormat="1" ht="4.5" customHeight="1">
      <c r="B342" s="1520"/>
      <c r="C342" s="1525"/>
      <c r="D342" s="1517"/>
      <c r="E342" s="1517"/>
      <c r="F342" s="1524"/>
      <c r="G342" s="1524"/>
      <c r="H342" s="1524"/>
      <c r="I342" s="1524"/>
      <c r="J342" s="1524"/>
      <c r="K342" s="1524"/>
      <c r="L342" s="1524"/>
      <c r="M342" s="1524"/>
      <c r="N342" s="1524"/>
      <c r="O342" s="1524"/>
      <c r="P342" s="1524"/>
      <c r="Q342" s="1524"/>
      <c r="R342" s="1521"/>
    </row>
    <row r="343" spans="2:18" s="1654" customFormat="1">
      <c r="B343" s="1520"/>
      <c r="C343" s="1651" t="s">
        <v>1043</v>
      </c>
      <c r="D343" s="1653" t="e">
        <f ca="1">INDEX(INDIRECT($C343&amp;".Info[Information type]"),MATCH($C$341,INDIRECT($C343&amp;".Info[Vector]"),0))</f>
        <v>#REF!</v>
      </c>
      <c r="E343" s="1650"/>
      <c r="F343" s="1652"/>
      <c r="G343" s="1650"/>
      <c r="H343" s="1653" t="e">
        <f ca="1">INDEX(INDIRECT($C343&amp;".Info["&amp;H$324&amp;"]"),MATCH($C$341,INDIRECT($C343&amp;".Info[Vector]"),0))</f>
        <v>#REF!</v>
      </c>
      <c r="I343" s="1653" t="e">
        <f t="shared" ref="I343:Q344" ca="1" si="96">INDEX(INDIRECT($C343&amp;".Info["&amp;I$324&amp;"]"),MATCH($C$341,INDIRECT($C343&amp;".Info[Vector]"),0))</f>
        <v>#REF!</v>
      </c>
      <c r="J343" s="1653" t="e">
        <f t="shared" ca="1" si="96"/>
        <v>#REF!</v>
      </c>
      <c r="K343" s="1653" t="e">
        <f t="shared" ca="1" si="96"/>
        <v>#REF!</v>
      </c>
      <c r="L343" s="1653" t="e">
        <f t="shared" ca="1" si="96"/>
        <v>#REF!</v>
      </c>
      <c r="M343" s="1653" t="e">
        <f t="shared" ca="1" si="96"/>
        <v>#REF!</v>
      </c>
      <c r="N343" s="1653" t="e">
        <f t="shared" ca="1" si="96"/>
        <v>#REF!</v>
      </c>
      <c r="O343" s="1653" t="e">
        <f t="shared" ca="1" si="96"/>
        <v>#REF!</v>
      </c>
      <c r="P343" s="1653" t="e">
        <f t="shared" ca="1" si="96"/>
        <v>#REF!</v>
      </c>
      <c r="Q343" s="1653" t="e">
        <f t="shared" ca="1" si="96"/>
        <v>#REF!</v>
      </c>
      <c r="R343" s="1521"/>
    </row>
    <row r="344" spans="2:18" s="1654" customFormat="1">
      <c r="B344" s="1520"/>
      <c r="C344" s="1651" t="s">
        <v>639</v>
      </c>
      <c r="D344" s="1653" t="e">
        <f ca="1">INDEX(INDIRECT($C344&amp;".Info[Information type]"),MATCH($C$341,INDIRECT($C344&amp;".Info[Vector]"),0))</f>
        <v>#REF!</v>
      </c>
      <c r="E344" s="1650"/>
      <c r="F344" s="1652"/>
      <c r="G344" s="1650"/>
      <c r="H344" s="1653" t="e">
        <f ca="1">INDEX(INDIRECT($C344&amp;".Info["&amp;H$324&amp;"]"),MATCH($C$341,INDIRECT($C344&amp;".Info[Vector]"),0))</f>
        <v>#REF!</v>
      </c>
      <c r="I344" s="1653" t="e">
        <f t="shared" ca="1" si="96"/>
        <v>#REF!</v>
      </c>
      <c r="J344" s="1653" t="e">
        <f t="shared" ca="1" si="96"/>
        <v>#REF!</v>
      </c>
      <c r="K344" s="1653" t="e">
        <f t="shared" ca="1" si="96"/>
        <v>#REF!</v>
      </c>
      <c r="L344" s="1653" t="e">
        <f t="shared" ca="1" si="96"/>
        <v>#REF!</v>
      </c>
      <c r="M344" s="1653" t="e">
        <f t="shared" ca="1" si="96"/>
        <v>#REF!</v>
      </c>
      <c r="N344" s="1653" t="e">
        <f t="shared" ca="1" si="96"/>
        <v>#REF!</v>
      </c>
      <c r="O344" s="1653" t="e">
        <f t="shared" ca="1" si="96"/>
        <v>#REF!</v>
      </c>
      <c r="P344" s="1653" t="e">
        <f t="shared" ca="1" si="96"/>
        <v>#REF!</v>
      </c>
      <c r="Q344" s="1653" t="e">
        <f t="shared" ca="1" si="96"/>
        <v>#REF!</v>
      </c>
      <c r="R344" s="1521"/>
    </row>
    <row r="345" spans="2:18" s="1654" customFormat="1">
      <c r="B345" s="1520"/>
      <c r="C345" s="1651"/>
      <c r="D345" s="1651"/>
      <c r="E345" s="1650"/>
      <c r="F345" s="1652"/>
      <c r="G345" s="1650"/>
      <c r="H345" s="1653"/>
      <c r="I345" s="1653"/>
      <c r="J345" s="1653"/>
      <c r="K345" s="1653"/>
      <c r="L345" s="1653"/>
      <c r="M345" s="1653"/>
      <c r="N345" s="1653"/>
      <c r="O345" s="1653"/>
      <c r="P345" s="1653"/>
      <c r="Q345" s="1653"/>
      <c r="R345" s="1521"/>
    </row>
    <row r="346" spans="2:18" s="1654" customFormat="1">
      <c r="B346" s="1520"/>
      <c r="C346" s="1655" t="s">
        <v>1650</v>
      </c>
      <c r="D346" s="1657" t="str">
        <f>INDEX(Vectors[Description],MATCH($C346,Vectors[Code],0))</f>
        <v>Length of wave front</v>
      </c>
      <c r="E346" s="1650"/>
      <c r="F346" s="1652"/>
      <c r="G346" s="1650"/>
      <c r="H346" s="1658">
        <v>2007</v>
      </c>
      <c r="I346" s="1658">
        <v>2010</v>
      </c>
      <c r="J346" s="1658">
        <v>2015</v>
      </c>
      <c r="K346" s="1658">
        <v>2020</v>
      </c>
      <c r="L346" s="1658">
        <v>2025</v>
      </c>
      <c r="M346" s="1658">
        <v>2030</v>
      </c>
      <c r="N346" s="1658">
        <v>2035</v>
      </c>
      <c r="O346" s="1658">
        <v>2040</v>
      </c>
      <c r="P346" s="1658">
        <v>2045</v>
      </c>
      <c r="Q346" s="1659">
        <v>2050</v>
      </c>
      <c r="R346" s="1521" t="s">
        <v>1001</v>
      </c>
    </row>
    <row r="347" spans="2:18" s="1654" customFormat="1" ht="6" customHeight="1">
      <c r="B347" s="1520"/>
      <c r="C347" s="1652"/>
      <c r="D347" s="1652"/>
      <c r="E347" s="1652"/>
      <c r="F347" s="1652"/>
      <c r="G347" s="1650"/>
      <c r="H347" s="1524"/>
      <c r="I347" s="1524"/>
      <c r="J347" s="1524"/>
      <c r="K347" s="1524"/>
      <c r="L347" s="1524"/>
      <c r="M347" s="1524"/>
      <c r="N347" s="1524"/>
      <c r="O347" s="1524"/>
      <c r="P347" s="1524"/>
      <c r="Q347" s="1524"/>
      <c r="R347" s="1521"/>
    </row>
    <row r="348" spans="2:18" s="1654" customFormat="1">
      <c r="B348" s="1520"/>
      <c r="C348" s="1651" t="s">
        <v>1525</v>
      </c>
      <c r="D348" s="1653" t="e">
        <f ca="1">INDEX(INDIRECT($C348&amp;".Info[Information type]"),MATCH($C$346,INDIRECT($C348&amp;".Info[Vector]"),0))</f>
        <v>#REF!</v>
      </c>
      <c r="E348" s="1650"/>
      <c r="F348" s="1652"/>
      <c r="G348" s="1650"/>
      <c r="H348" s="1653" t="e">
        <f ca="1">INDEX(INDIRECT($C348&amp;".Info["&amp;H$324&amp;"]"),MATCH($C$346,INDIRECT($C348&amp;".Info[Vector]"),0))</f>
        <v>#REF!</v>
      </c>
      <c r="I348" s="1653" t="e">
        <f t="shared" ref="I348:Q348" ca="1" si="97">INDEX(INDIRECT($C348&amp;".Info["&amp;I$324&amp;"]"),MATCH($C$346,INDIRECT($C348&amp;".Info[Vector]"),0))</f>
        <v>#REF!</v>
      </c>
      <c r="J348" s="1653" t="e">
        <f t="shared" ca="1" si="97"/>
        <v>#REF!</v>
      </c>
      <c r="K348" s="1653" t="e">
        <f t="shared" ca="1" si="97"/>
        <v>#REF!</v>
      </c>
      <c r="L348" s="1653" t="e">
        <f t="shared" ca="1" si="97"/>
        <v>#REF!</v>
      </c>
      <c r="M348" s="1653" t="e">
        <f t="shared" ca="1" si="97"/>
        <v>#REF!</v>
      </c>
      <c r="N348" s="1653" t="e">
        <f t="shared" ca="1" si="97"/>
        <v>#REF!</v>
      </c>
      <c r="O348" s="1653" t="e">
        <f t="shared" ca="1" si="97"/>
        <v>#REF!</v>
      </c>
      <c r="P348" s="1653" t="e">
        <f t="shared" ca="1" si="97"/>
        <v>#REF!</v>
      </c>
      <c r="Q348" s="1653" t="e">
        <f t="shared" ca="1" si="97"/>
        <v>#REF!</v>
      </c>
      <c r="R348" s="1521"/>
    </row>
    <row r="349" spans="2:18" s="1654" customFormat="1">
      <c r="B349" s="1520"/>
      <c r="C349" s="1651"/>
      <c r="D349" s="1651"/>
      <c r="E349" s="1650"/>
      <c r="F349" s="1652"/>
      <c r="G349" s="1650"/>
      <c r="H349" s="1653"/>
      <c r="I349" s="1653"/>
      <c r="J349" s="1653"/>
      <c r="K349" s="1653"/>
      <c r="L349" s="1653"/>
      <c r="M349" s="1653"/>
      <c r="N349" s="1653"/>
      <c r="O349" s="1653"/>
      <c r="P349" s="1653"/>
      <c r="Q349" s="1653"/>
      <c r="R349" s="1521"/>
    </row>
    <row r="350" spans="2:18" s="1654" customFormat="1">
      <c r="B350" s="1520"/>
      <c r="C350" s="1655" t="s">
        <v>1569</v>
      </c>
      <c r="D350" s="1657" t="str">
        <f>INDEX(Vectors[Description],MATCH($C350,Vectors[Code],0))</f>
        <v>Number of units</v>
      </c>
      <c r="E350" s="1525"/>
      <c r="F350" s="1658"/>
      <c r="G350" s="1658"/>
      <c r="H350" s="1658">
        <v>2007</v>
      </c>
      <c r="I350" s="1658">
        <v>2010</v>
      </c>
      <c r="J350" s="1658">
        <v>2015</v>
      </c>
      <c r="K350" s="1658">
        <v>2020</v>
      </c>
      <c r="L350" s="1658">
        <v>2025</v>
      </c>
      <c r="M350" s="1658">
        <v>2030</v>
      </c>
      <c r="N350" s="1658">
        <v>2035</v>
      </c>
      <c r="O350" s="1658">
        <v>2040</v>
      </c>
      <c r="P350" s="1658">
        <v>2045</v>
      </c>
      <c r="Q350" s="1659">
        <v>2050</v>
      </c>
      <c r="R350" s="1521" t="s">
        <v>1622</v>
      </c>
    </row>
    <row r="351" spans="2:18" s="1654" customFormat="1" ht="4.5" customHeight="1">
      <c r="B351" s="1520"/>
      <c r="C351" s="1525"/>
      <c r="D351" s="1517"/>
      <c r="E351" s="1517"/>
      <c r="F351" s="1524"/>
      <c r="G351" s="1524"/>
      <c r="H351" s="1524"/>
      <c r="I351" s="1524"/>
      <c r="J351" s="1524"/>
      <c r="K351" s="1524"/>
      <c r="L351" s="1524"/>
      <c r="M351" s="1524"/>
      <c r="N351" s="1524"/>
      <c r="O351" s="1524"/>
      <c r="P351" s="1524"/>
      <c r="Q351" s="1524"/>
      <c r="R351" s="1521"/>
    </row>
    <row r="352" spans="2:18" s="1654" customFormat="1">
      <c r="B352" s="1520"/>
      <c r="C352" s="1651" t="s">
        <v>623</v>
      </c>
      <c r="D352" s="1653" t="str">
        <f ca="1">INDEX(INDIRECT($C352&amp;".Info[Information type]"),MATCH($C$350,INDIRECT($C352&amp;".Info[Vector]"),0))</f>
        <v>2 GW thermal power stations</v>
      </c>
      <c r="E352" s="1650"/>
      <c r="F352" s="1652"/>
      <c r="G352" s="1650"/>
      <c r="H352" s="1653" t="e">
        <f ca="1">INDEX(INDIRECT($C352&amp;".Info["&amp;H$324&amp;"]"),MATCH($C$350,INDIRECT($C352&amp;".Info[Vector]"),0))</f>
        <v>#REF!</v>
      </c>
      <c r="I352" s="1653" t="e">
        <f t="shared" ref="I352:Q357" ca="1" si="98">INDEX(INDIRECT($C352&amp;".Info["&amp;I$324&amp;"]"),MATCH($C$350,INDIRECT($C352&amp;".Info[Vector]"),0))</f>
        <v>#REF!</v>
      </c>
      <c r="J352" s="1653" t="e">
        <f t="shared" ca="1" si="98"/>
        <v>#REF!</v>
      </c>
      <c r="K352" s="1653" t="e">
        <f t="shared" ca="1" si="98"/>
        <v>#REF!</v>
      </c>
      <c r="L352" s="1653" t="e">
        <f t="shared" ca="1" si="98"/>
        <v>#REF!</v>
      </c>
      <c r="M352" s="1653" t="e">
        <f t="shared" ca="1" si="98"/>
        <v>#REF!</v>
      </c>
      <c r="N352" s="1653" t="e">
        <f t="shared" ca="1" si="98"/>
        <v>#REF!</v>
      </c>
      <c r="O352" s="1653" t="e">
        <f t="shared" ca="1" si="98"/>
        <v>#REF!</v>
      </c>
      <c r="P352" s="1653" t="e">
        <f t="shared" ca="1" si="98"/>
        <v>#REF!</v>
      </c>
      <c r="Q352" s="1653">
        <f t="shared" ca="1" si="98"/>
        <v>0</v>
      </c>
      <c r="R352" s="1521"/>
    </row>
    <row r="353" spans="2:18" s="1654" customFormat="1">
      <c r="B353" s="1520"/>
      <c r="C353" s="1651" t="s">
        <v>679</v>
      </c>
      <c r="D353" s="1653" t="str">
        <f ca="1">INDEX(INDIRECT($C353&amp;".Info[Information type]"),MATCH($C$350,INDIRECT($C353&amp;".Info[Vector]"),0))</f>
        <v>1.2 GW CCS power stations</v>
      </c>
      <c r="E353" s="1650"/>
      <c r="F353" s="1652"/>
      <c r="G353" s="1650"/>
      <c r="H353" s="1653">
        <f ca="1">INDEX(INDIRECT($C353&amp;".Info["&amp;H$324&amp;"]"),MATCH($C$350,INDIRECT($C353&amp;".Info[Vector]"),0))</f>
        <v>0</v>
      </c>
      <c r="I353" s="1653">
        <f t="shared" ca="1" si="98"/>
        <v>0</v>
      </c>
      <c r="J353" s="1653">
        <f t="shared" ca="1" si="98"/>
        <v>0.70833333333333348</v>
      </c>
      <c r="K353" s="1653">
        <f t="shared" ca="1" si="98"/>
        <v>1.416666666666667</v>
      </c>
      <c r="L353" s="1653">
        <f t="shared" ca="1" si="98"/>
        <v>3.666666666666667</v>
      </c>
      <c r="M353" s="1653">
        <f t="shared" ca="1" si="98"/>
        <v>8.4166666666666661</v>
      </c>
      <c r="N353" s="1653">
        <f t="shared" ca="1" si="98"/>
        <v>14.666666666666666</v>
      </c>
      <c r="O353" s="1653">
        <f t="shared" ca="1" si="98"/>
        <v>20.916666666666664</v>
      </c>
      <c r="P353" s="1653">
        <f t="shared" ca="1" si="98"/>
        <v>27.166666666666668</v>
      </c>
      <c r="Q353" s="1653">
        <f t="shared" ca="1" si="98"/>
        <v>33.416666666666671</v>
      </c>
      <c r="R353" s="1521"/>
    </row>
    <row r="354" spans="2:18" s="1654" customFormat="1">
      <c r="B354" s="1520"/>
      <c r="C354" s="1651" t="s">
        <v>635</v>
      </c>
      <c r="D354" s="1653" t="e">
        <f ca="1">INDEX(INDIRECT($C354&amp;".Info[Information type]"),MATCH($C$350,INDIRECT($C354&amp;".Info[Vector]"),0))</f>
        <v>#REF!</v>
      </c>
      <c r="E354" s="1650"/>
      <c r="F354" s="1652"/>
      <c r="G354" s="1650"/>
      <c r="H354" s="1653" t="e">
        <f ca="1">INDEX(INDIRECT($C354&amp;".Info["&amp;H$324&amp;"]"),MATCH($C$350,INDIRECT($C354&amp;".Info[Vector]"),0))</f>
        <v>#REF!</v>
      </c>
      <c r="I354" s="1653" t="e">
        <f t="shared" ca="1" si="98"/>
        <v>#REF!</v>
      </c>
      <c r="J354" s="1653" t="e">
        <f t="shared" ca="1" si="98"/>
        <v>#REF!</v>
      </c>
      <c r="K354" s="1653" t="e">
        <f t="shared" ca="1" si="98"/>
        <v>#REF!</v>
      </c>
      <c r="L354" s="1653" t="e">
        <f t="shared" ca="1" si="98"/>
        <v>#REF!</v>
      </c>
      <c r="M354" s="1653" t="e">
        <f t="shared" ca="1" si="98"/>
        <v>#REF!</v>
      </c>
      <c r="N354" s="1653" t="e">
        <f t="shared" ca="1" si="98"/>
        <v>#REF!</v>
      </c>
      <c r="O354" s="1653" t="e">
        <f t="shared" ca="1" si="98"/>
        <v>#REF!</v>
      </c>
      <c r="P354" s="1653" t="e">
        <f t="shared" ca="1" si="98"/>
        <v>#REF!</v>
      </c>
      <c r="Q354" s="1653" t="e">
        <f t="shared" ca="1" si="98"/>
        <v>#REF!</v>
      </c>
      <c r="R354" s="1521"/>
    </row>
    <row r="355" spans="2:18" s="1654" customFormat="1">
      <c r="B355" s="1520"/>
      <c r="C355" s="1651" t="s">
        <v>653</v>
      </c>
      <c r="D355" s="1653" t="e">
        <f ca="1">INDEX(INDIRECT($C355&amp;".Info[Information type]"),MATCH($C$350,INDIRECT($C355&amp;".Info[Vector]"),0))</f>
        <v>#REF!</v>
      </c>
      <c r="E355" s="1650"/>
      <c r="F355" s="1652"/>
      <c r="G355" s="1650"/>
      <c r="H355" s="1653" t="e">
        <f ca="1">INDEX(INDIRECT($C355&amp;".Info["&amp;H$324&amp;"]"),MATCH($C$350,INDIRECT($C355&amp;".Info[Vector]"),0))</f>
        <v>#REF!</v>
      </c>
      <c r="I355" s="1653" t="e">
        <f t="shared" ca="1" si="98"/>
        <v>#REF!</v>
      </c>
      <c r="J355" s="1653" t="e">
        <f t="shared" ca="1" si="98"/>
        <v>#REF!</v>
      </c>
      <c r="K355" s="1653" t="e">
        <f t="shared" ca="1" si="98"/>
        <v>#REF!</v>
      </c>
      <c r="L355" s="1653" t="e">
        <f t="shared" ca="1" si="98"/>
        <v>#REF!</v>
      </c>
      <c r="M355" s="1653" t="e">
        <f t="shared" ca="1" si="98"/>
        <v>#REF!</v>
      </c>
      <c r="N355" s="1653" t="e">
        <f t="shared" ca="1" si="98"/>
        <v>#REF!</v>
      </c>
      <c r="O355" s="1653" t="e">
        <f t="shared" ca="1" si="98"/>
        <v>#REF!</v>
      </c>
      <c r="P355" s="1653" t="e">
        <f t="shared" ca="1" si="98"/>
        <v>#REF!</v>
      </c>
      <c r="Q355" s="1653" t="e">
        <f t="shared" ca="1" si="98"/>
        <v>#REF!</v>
      </c>
      <c r="R355" s="1521"/>
    </row>
    <row r="356" spans="2:18" s="1654" customFormat="1">
      <c r="B356" s="1520"/>
      <c r="C356" s="1651" t="s">
        <v>646</v>
      </c>
      <c r="D356" s="1651" t="e">
        <f ca="1">INDEX(INDIRECT($C356&amp;".Info[Information type]"),MATCH($C$350,INDIRECT($C356&amp;".Info[Vector]"),0))</f>
        <v>#REF!</v>
      </c>
      <c r="E356" s="1650"/>
      <c r="F356" s="1652"/>
      <c r="G356" s="1650"/>
      <c r="H356" s="1653" t="e">
        <f ca="1">INDEX(INDIRECT($C356&amp;".Info["&amp;H$324&amp;"]"),MATCH($C$350,INDIRECT($C356&amp;".Info[Vector]"),0))</f>
        <v>#REF!</v>
      </c>
      <c r="I356" s="1653" t="e">
        <f t="shared" ca="1" si="98"/>
        <v>#REF!</v>
      </c>
      <c r="J356" s="1653" t="e">
        <f t="shared" ca="1" si="98"/>
        <v>#REF!</v>
      </c>
      <c r="K356" s="1653" t="e">
        <f t="shared" ca="1" si="98"/>
        <v>#REF!</v>
      </c>
      <c r="L356" s="1653" t="e">
        <f t="shared" ca="1" si="98"/>
        <v>#REF!</v>
      </c>
      <c r="M356" s="1653" t="e">
        <f t="shared" ca="1" si="98"/>
        <v>#REF!</v>
      </c>
      <c r="N356" s="1653" t="e">
        <f t="shared" ca="1" si="98"/>
        <v>#REF!</v>
      </c>
      <c r="O356" s="1653" t="e">
        <f t="shared" ca="1" si="98"/>
        <v>#REF!</v>
      </c>
      <c r="P356" s="1653" t="e">
        <f t="shared" ca="1" si="98"/>
        <v>#REF!</v>
      </c>
      <c r="Q356" s="1653" t="e">
        <f t="shared" ca="1" si="98"/>
        <v>#REF!</v>
      </c>
      <c r="R356" s="1521"/>
    </row>
    <row r="357" spans="2:18" s="1654" customFormat="1">
      <c r="B357" s="1520"/>
      <c r="C357" s="1651" t="s">
        <v>736</v>
      </c>
      <c r="D357" s="1651" t="e">
        <f t="shared" ref="D357" ca="1" si="99">INDEX(INDIRECT($C357&amp;".Info[Information type]"),MATCH($C$350,INDIRECT($C357&amp;".Info[Vector]"),0))</f>
        <v>#REF!</v>
      </c>
      <c r="E357" s="1650"/>
      <c r="F357" s="1652"/>
      <c r="G357" s="1650"/>
      <c r="H357" s="1653" t="e">
        <f t="shared" ref="H357" ca="1" si="100">INDEX(INDIRECT($C357&amp;".Info["&amp;H$324&amp;"]"),MATCH($C$350,INDIRECT($C357&amp;".Info[Vector]"),0))</f>
        <v>#REF!</v>
      </c>
      <c r="I357" s="1653" t="e">
        <f t="shared" ca="1" si="98"/>
        <v>#REF!</v>
      </c>
      <c r="J357" s="1653" t="e">
        <f t="shared" ca="1" si="98"/>
        <v>#REF!</v>
      </c>
      <c r="K357" s="1653" t="e">
        <f t="shared" ca="1" si="98"/>
        <v>#REF!</v>
      </c>
      <c r="L357" s="1653" t="e">
        <f t="shared" ca="1" si="98"/>
        <v>#REF!</v>
      </c>
      <c r="M357" s="1653" t="e">
        <f t="shared" ca="1" si="98"/>
        <v>#REF!</v>
      </c>
      <c r="N357" s="1653" t="e">
        <f t="shared" ca="1" si="98"/>
        <v>#REF!</v>
      </c>
      <c r="O357" s="1653" t="e">
        <f t="shared" ca="1" si="98"/>
        <v>#REF!</v>
      </c>
      <c r="P357" s="1653" t="e">
        <f t="shared" ca="1" si="98"/>
        <v>#REF!</v>
      </c>
      <c r="Q357" s="1653" t="e">
        <f t="shared" ca="1" si="98"/>
        <v>#REF!</v>
      </c>
      <c r="R357" s="1521"/>
    </row>
    <row r="358" spans="2:18" s="1654" customFormat="1">
      <c r="B358" s="1520"/>
      <c r="C358" s="1651"/>
      <c r="D358" s="1651"/>
      <c r="E358" s="1650"/>
      <c r="F358" s="1652"/>
      <c r="G358" s="1650"/>
      <c r="H358" s="1653"/>
      <c r="I358" s="1653"/>
      <c r="J358" s="1653"/>
      <c r="K358" s="1653"/>
      <c r="L358" s="1653"/>
      <c r="M358" s="1653"/>
      <c r="N358" s="1653"/>
      <c r="O358" s="1653"/>
      <c r="P358" s="1653"/>
      <c r="Q358" s="1653"/>
      <c r="R358" s="1521"/>
    </row>
    <row r="359" spans="2:18" s="1654" customFormat="1">
      <c r="B359" s="1520"/>
      <c r="C359" s="1651"/>
      <c r="D359" s="1651"/>
      <c r="E359" s="1650"/>
      <c r="F359" s="1652"/>
      <c r="G359" s="1650"/>
      <c r="H359" s="1653"/>
      <c r="I359" s="1653"/>
      <c r="J359" s="1653"/>
      <c r="K359" s="1653"/>
      <c r="L359" s="1653"/>
      <c r="M359" s="1653"/>
      <c r="N359" s="1653"/>
      <c r="O359" s="1653"/>
      <c r="P359" s="1653"/>
      <c r="Q359" s="1653"/>
      <c r="R359" s="1521"/>
    </row>
    <row r="361" spans="2:18">
      <c r="I361" s="1668">
        <v>2050</v>
      </c>
    </row>
    <row r="362" spans="2:18">
      <c r="D362" s="1660" t="s">
        <v>1678</v>
      </c>
      <c r="H362" s="1681" t="s">
        <v>1711</v>
      </c>
      <c r="I362" s="1682" t="str">
        <f>Preferences.EnergyUnits</f>
        <v>TWh</v>
      </c>
      <c r="J362" s="1683" t="s">
        <v>1712</v>
      </c>
      <c r="N362" s="1681" t="s">
        <v>1713</v>
      </c>
      <c r="O362" s="1680" t="s">
        <v>1715</v>
      </c>
      <c r="P362" s="1680" t="s">
        <v>1714</v>
      </c>
      <c r="Q362" s="1680" t="s">
        <v>1716</v>
      </c>
      <c r="R362" s="1680" t="s">
        <v>1717</v>
      </c>
    </row>
    <row r="363" spans="2:18">
      <c r="B363" s="1660"/>
      <c r="C363" s="1624"/>
      <c r="D363" s="1131"/>
      <c r="H363" s="1667" t="s">
        <v>760</v>
      </c>
      <c r="I363" s="1670">
        <f ca="1">$Q$38</f>
        <v>63.965000000000003</v>
      </c>
      <c r="J363" s="1671" t="s">
        <v>125</v>
      </c>
      <c r="N363" s="1667" t="s">
        <v>1663</v>
      </c>
      <c r="O363" s="1131" t="e">
        <f t="shared" ref="O363:O394" si="101">SUMIF($H$363:$H$453,$N363,$I$363:$I$453)</f>
        <v>#REF!</v>
      </c>
      <c r="P363" s="1131">
        <f t="shared" ref="P363:P394" si="102">SUMIF($J$363:$J$453,$N363,$I$363:$I$453)</f>
        <v>0</v>
      </c>
      <c r="Q363" s="1624" t="e">
        <f>O363-P363</f>
        <v>#REF!</v>
      </c>
      <c r="R363" s="1680" t="e">
        <f>IF(Q363=0,"ok",IF(ABS(Q363)=SUM(O363:P363),"ok","error"))</f>
        <v>#REF!</v>
      </c>
    </row>
    <row r="364" spans="2:18">
      <c r="C364" s="1624"/>
      <c r="D364" s="1131"/>
      <c r="H364" s="1667" t="s">
        <v>1657</v>
      </c>
      <c r="I364" s="1670">
        <f ca="1">MAX(Q37,0)</f>
        <v>336.15525503679999</v>
      </c>
      <c r="J364" s="1671" t="s">
        <v>125</v>
      </c>
      <c r="N364" s="1667" t="s">
        <v>172</v>
      </c>
      <c r="O364" s="1131">
        <f t="shared" si="101"/>
        <v>0</v>
      </c>
      <c r="P364" s="1131" t="e">
        <f t="shared" si="102"/>
        <v>#REF!</v>
      </c>
      <c r="Q364" s="1624" t="e">
        <f t="shared" ref="Q364:Q413" si="103">O364-P364</f>
        <v>#REF!</v>
      </c>
      <c r="R364" s="1680" t="e">
        <f t="shared" ref="R364:R413" si="104">IF(Q364=0,"ok",IF(ABS(Q364)=SUM(O364:P364),"ok","error"))</f>
        <v>#REF!</v>
      </c>
    </row>
    <row r="365" spans="2:18">
      <c r="C365" s="1624"/>
      <c r="D365" s="1131"/>
      <c r="H365" s="1667" t="s">
        <v>761</v>
      </c>
      <c r="I365" s="1670">
        <f ca="1">Q40</f>
        <v>107.70336000383915</v>
      </c>
      <c r="J365" s="1671" t="s">
        <v>186</v>
      </c>
      <c r="N365" s="1667" t="s">
        <v>1662</v>
      </c>
      <c r="O365" s="1131" t="e">
        <f t="shared" si="101"/>
        <v>#REF!</v>
      </c>
      <c r="P365" s="1131" t="e">
        <f t="shared" si="102"/>
        <v>#REF!</v>
      </c>
      <c r="Q365" s="1624" t="e">
        <f t="shared" si="103"/>
        <v>#REF!</v>
      </c>
      <c r="R365" s="1680" t="e">
        <f t="shared" si="104"/>
        <v>#REF!</v>
      </c>
    </row>
    <row r="366" spans="2:18">
      <c r="C366" s="1624"/>
      <c r="D366" s="1131"/>
      <c r="H366" s="1667" t="s">
        <v>1658</v>
      </c>
      <c r="I366" s="1670">
        <f ca="1">MAX(Q41,0)</f>
        <v>0</v>
      </c>
      <c r="J366" s="1671" t="s">
        <v>186</v>
      </c>
      <c r="N366" s="1667" t="s">
        <v>1676</v>
      </c>
      <c r="O366" s="1131" t="e">
        <f t="shared" si="101"/>
        <v>#REF!</v>
      </c>
      <c r="P366" s="1131">
        <f t="shared" si="102"/>
        <v>0</v>
      </c>
      <c r="Q366" s="1624" t="e">
        <f t="shared" si="103"/>
        <v>#REF!</v>
      </c>
      <c r="R366" s="1680" t="e">
        <f t="shared" si="104"/>
        <v>#REF!</v>
      </c>
    </row>
    <row r="367" spans="2:18" ht="14">
      <c r="C367" s="1624"/>
      <c r="D367" s="1131"/>
      <c r="H367" s="1667" t="s">
        <v>782</v>
      </c>
      <c r="I367" s="1670">
        <f ca="1">Q45</f>
        <v>82.232541885272198</v>
      </c>
      <c r="J367" s="1672" t="s">
        <v>1659</v>
      </c>
      <c r="N367" s="1667" t="s">
        <v>1665</v>
      </c>
      <c r="O367" s="1131" t="e">
        <f t="shared" si="101"/>
        <v>#REF!</v>
      </c>
      <c r="P367" s="1131">
        <f t="shared" si="102"/>
        <v>0</v>
      </c>
      <c r="Q367" s="1624" t="e">
        <f t="shared" si="103"/>
        <v>#REF!</v>
      </c>
      <c r="R367" s="1680" t="e">
        <f t="shared" si="104"/>
        <v>#REF!</v>
      </c>
    </row>
    <row r="368" spans="2:18" ht="14">
      <c r="C368" s="1624"/>
      <c r="D368" s="1131"/>
      <c r="H368" s="1667" t="s">
        <v>1660</v>
      </c>
      <c r="I368" s="1670">
        <f ca="1">MAX(Q44,0)</f>
        <v>0</v>
      </c>
      <c r="J368" s="1672" t="s">
        <v>1659</v>
      </c>
      <c r="N368" s="1667" t="s">
        <v>1677</v>
      </c>
      <c r="O368" s="1131" t="e">
        <f t="shared" si="101"/>
        <v>#REF!</v>
      </c>
      <c r="P368" s="1131" t="e">
        <f t="shared" si="102"/>
        <v>#REF!</v>
      </c>
      <c r="Q368" s="1624" t="e">
        <f t="shared" si="103"/>
        <v>#REF!</v>
      </c>
      <c r="R368" s="1680" t="e">
        <f t="shared" si="104"/>
        <v>#REF!</v>
      </c>
    </row>
    <row r="369" spans="3:20">
      <c r="C369" s="1624"/>
      <c r="D369" s="1131"/>
      <c r="H369" s="1667" t="s">
        <v>1661</v>
      </c>
      <c r="I369" s="1670" t="e">
        <f>#REF!+#REF!</f>
        <v>#REF!</v>
      </c>
      <c r="J369" s="1671" t="s">
        <v>1662</v>
      </c>
      <c r="N369" s="1667" t="s">
        <v>125</v>
      </c>
      <c r="O369" s="1131">
        <f t="shared" ca="1" si="101"/>
        <v>400.12025503680002</v>
      </c>
      <c r="P369" s="1131">
        <f t="shared" ca="1" si="102"/>
        <v>400.12025503680002</v>
      </c>
      <c r="Q369" s="1624">
        <f t="shared" ca="1" si="103"/>
        <v>0</v>
      </c>
      <c r="R369" s="1680" t="str">
        <f t="shared" ca="1" si="104"/>
        <v>ok</v>
      </c>
    </row>
    <row r="370" spans="3:20">
      <c r="C370" s="1624"/>
      <c r="D370" s="1131"/>
      <c r="H370" s="1667" t="s">
        <v>1225</v>
      </c>
      <c r="I370" s="1670" t="e">
        <f>#REF!</f>
        <v>#REF!</v>
      </c>
      <c r="J370" s="1671" t="s">
        <v>1662</v>
      </c>
      <c r="N370" s="1667" t="s">
        <v>1657</v>
      </c>
      <c r="O370" s="1131">
        <f t="shared" ca="1" si="101"/>
        <v>336.15525503679999</v>
      </c>
      <c r="P370" s="1131">
        <f t="shared" si="102"/>
        <v>0</v>
      </c>
      <c r="Q370" s="1624">
        <f t="shared" ca="1" si="103"/>
        <v>336.15525503679999</v>
      </c>
      <c r="R370" s="1680" t="str">
        <f t="shared" ca="1" si="104"/>
        <v>ok</v>
      </c>
    </row>
    <row r="371" spans="3:20">
      <c r="C371" s="1624"/>
      <c r="D371" s="1131"/>
      <c r="H371" s="1667" t="s">
        <v>1663</v>
      </c>
      <c r="I371" s="1670" t="e">
        <f>#REF!+#REF!</f>
        <v>#REF!</v>
      </c>
      <c r="J371" s="1671" t="s">
        <v>1662</v>
      </c>
      <c r="N371" s="1667" t="s">
        <v>760</v>
      </c>
      <c r="O371" s="1131">
        <f t="shared" ca="1" si="101"/>
        <v>63.965000000000003</v>
      </c>
      <c r="P371" s="1131">
        <f t="shared" si="102"/>
        <v>0</v>
      </c>
      <c r="Q371" s="1624">
        <f t="shared" ca="1" si="103"/>
        <v>63.965000000000003</v>
      </c>
      <c r="R371" s="1680" t="str">
        <f t="shared" ca="1" si="104"/>
        <v>ok</v>
      </c>
    </row>
    <row r="372" spans="3:20">
      <c r="C372" s="1624"/>
      <c r="D372" s="1131"/>
      <c r="H372" s="1667" t="s">
        <v>1664</v>
      </c>
      <c r="I372" s="1670" t="e">
        <f>#REF!+#REF!+#REF!</f>
        <v>#REF!</v>
      </c>
      <c r="J372" s="1671" t="s">
        <v>1662</v>
      </c>
      <c r="N372" s="1676" t="s">
        <v>675</v>
      </c>
      <c r="O372" s="1131" t="e">
        <f t="shared" si="101"/>
        <v>#REF!</v>
      </c>
      <c r="P372" s="1131">
        <f t="shared" ca="1" si="102"/>
        <v>0</v>
      </c>
      <c r="Q372" s="1624" t="e">
        <f t="shared" ca="1" si="103"/>
        <v>#REF!</v>
      </c>
      <c r="R372" s="1680" t="e">
        <f t="shared" ca="1" si="104"/>
        <v>#REF!</v>
      </c>
    </row>
    <row r="373" spans="3:20" s="1660" customFormat="1">
      <c r="C373" s="1624"/>
      <c r="D373" s="1131"/>
      <c r="H373" s="1667" t="s">
        <v>1664</v>
      </c>
      <c r="I373" s="1670" t="e">
        <f>#REF!</f>
        <v>#REF!</v>
      </c>
      <c r="J373" s="1671" t="s">
        <v>1011</v>
      </c>
      <c r="N373" s="1667" t="s">
        <v>727</v>
      </c>
      <c r="O373" s="1131">
        <f t="shared" si="101"/>
        <v>0</v>
      </c>
      <c r="P373" s="1131" t="e">
        <f t="shared" si="102"/>
        <v>#REF!</v>
      </c>
      <c r="Q373" s="1624" t="e">
        <f t="shared" si="103"/>
        <v>#REF!</v>
      </c>
      <c r="R373" s="1680" t="e">
        <f t="shared" si="104"/>
        <v>#REF!</v>
      </c>
    </row>
    <row r="374" spans="3:20" ht="14">
      <c r="C374" s="1624"/>
      <c r="D374" s="1131"/>
      <c r="H374" s="1667" t="s">
        <v>1665</v>
      </c>
      <c r="I374" s="1670" t="e">
        <f>#REF!</f>
        <v>#REF!</v>
      </c>
      <c r="J374" s="1671" t="s">
        <v>1011</v>
      </c>
      <c r="N374" s="1673" t="s">
        <v>1666</v>
      </c>
      <c r="O374" s="1127" t="e">
        <f t="shared" si="101"/>
        <v>#REF!</v>
      </c>
      <c r="P374" s="1127" t="e">
        <f t="shared" si="102"/>
        <v>#REF!</v>
      </c>
      <c r="Q374" s="1728" t="e">
        <f t="shared" si="103"/>
        <v>#REF!</v>
      </c>
      <c r="R374" s="1680" t="e">
        <f t="shared" si="104"/>
        <v>#REF!</v>
      </c>
      <c r="S374" s="1732"/>
      <c r="T374" s="1732"/>
    </row>
    <row r="375" spans="3:20">
      <c r="C375" s="1624"/>
      <c r="D375" s="1131"/>
      <c r="H375" s="1667" t="s">
        <v>1676</v>
      </c>
      <c r="I375" s="1670" t="e">
        <f>#REF!</f>
        <v>#REF!</v>
      </c>
      <c r="J375" s="1671" t="s">
        <v>214</v>
      </c>
      <c r="N375" s="1667" t="s">
        <v>50</v>
      </c>
      <c r="O375" s="1131" t="e">
        <f t="shared" si="101"/>
        <v>#REF!</v>
      </c>
      <c r="P375" s="1131">
        <f t="shared" si="102"/>
        <v>0</v>
      </c>
      <c r="Q375" s="1624" t="e">
        <f t="shared" si="103"/>
        <v>#REF!</v>
      </c>
      <c r="R375" s="1680" t="e">
        <f t="shared" si="104"/>
        <v>#REF!</v>
      </c>
    </row>
    <row r="376" spans="3:20">
      <c r="C376" s="1624"/>
      <c r="D376" s="1131"/>
      <c r="H376" s="1667" t="s">
        <v>125</v>
      </c>
      <c r="I376" s="1670">
        <f ca="1">SUM(I363:I364)</f>
        <v>400.12025503680002</v>
      </c>
      <c r="J376" s="1671" t="s">
        <v>1011</v>
      </c>
      <c r="N376" s="1667" t="s">
        <v>14</v>
      </c>
      <c r="O376" s="1131" t="e">
        <f t="shared" ca="1" si="101"/>
        <v>#REF!</v>
      </c>
      <c r="P376" s="1131" t="e">
        <f t="shared" ca="1" si="102"/>
        <v>#REF!</v>
      </c>
      <c r="Q376" s="1624" t="e">
        <f t="shared" ca="1" si="103"/>
        <v>#REF!</v>
      </c>
      <c r="R376" s="1680" t="e">
        <f t="shared" ca="1" si="104"/>
        <v>#REF!</v>
      </c>
    </row>
    <row r="377" spans="3:20">
      <c r="C377" s="1624"/>
      <c r="D377" s="1131"/>
      <c r="H377" s="1667" t="s">
        <v>186</v>
      </c>
      <c r="I377" s="1670">
        <f ca="1">SUM(I365:I366)</f>
        <v>107.70336000383915</v>
      </c>
      <c r="J377" s="1671" t="s">
        <v>214</v>
      </c>
      <c r="N377" s="1667" t="s">
        <v>1660</v>
      </c>
      <c r="O377" s="1131">
        <f t="shared" ca="1" si="101"/>
        <v>0</v>
      </c>
      <c r="P377" s="1131">
        <f t="shared" si="102"/>
        <v>0</v>
      </c>
      <c r="Q377" s="1624">
        <f t="shared" ca="1" si="103"/>
        <v>0</v>
      </c>
      <c r="R377" s="1680" t="str">
        <f t="shared" ca="1" si="104"/>
        <v>ok</v>
      </c>
    </row>
    <row r="378" spans="3:20" ht="14">
      <c r="C378" s="1624"/>
      <c r="D378" s="1131"/>
      <c r="H378" s="1673" t="s">
        <v>1659</v>
      </c>
      <c r="I378" s="1670">
        <f ca="1">SUM(I367:I368)</f>
        <v>82.232541885272198</v>
      </c>
      <c r="J378" s="1671" t="s">
        <v>14</v>
      </c>
      <c r="N378" s="1667" t="s">
        <v>782</v>
      </c>
      <c r="O378" s="1131">
        <f t="shared" ca="1" si="101"/>
        <v>82.232541885272198</v>
      </c>
      <c r="P378" s="1131">
        <f t="shared" si="102"/>
        <v>0</v>
      </c>
      <c r="Q378" s="1624">
        <f t="shared" ca="1" si="103"/>
        <v>82.232541885272198</v>
      </c>
      <c r="R378" s="1680" t="str">
        <f t="shared" ca="1" si="104"/>
        <v>ok</v>
      </c>
    </row>
    <row r="379" spans="3:20" ht="14">
      <c r="C379" s="1624"/>
      <c r="D379" s="1131"/>
      <c r="H379" s="1673" t="s">
        <v>15</v>
      </c>
      <c r="I379" s="1670" t="e">
        <f>#REF!</f>
        <v>#REF!</v>
      </c>
      <c r="J379" s="1671" t="s">
        <v>62</v>
      </c>
      <c r="N379" s="1667" t="s">
        <v>423</v>
      </c>
      <c r="O379" s="1131">
        <f t="shared" si="101"/>
        <v>0</v>
      </c>
      <c r="P379" s="1131" t="e">
        <f t="shared" si="102"/>
        <v>#REF!</v>
      </c>
      <c r="Q379" s="1624" t="e">
        <f t="shared" si="103"/>
        <v>#REF!</v>
      </c>
      <c r="R379" s="1680" t="e">
        <f t="shared" si="104"/>
        <v>#REF!</v>
      </c>
    </row>
    <row r="380" spans="3:20" s="1664" customFormat="1" ht="14">
      <c r="C380" s="1624"/>
      <c r="D380" s="1131"/>
      <c r="H380" s="1673" t="s">
        <v>62</v>
      </c>
      <c r="I380" s="1670" t="e">
        <f>I379</f>
        <v>#REF!</v>
      </c>
      <c r="J380" s="1671" t="s">
        <v>1666</v>
      </c>
      <c r="N380" s="1667" t="s">
        <v>3</v>
      </c>
      <c r="O380" s="1131" t="e">
        <f t="shared" si="101"/>
        <v>#REF!</v>
      </c>
      <c r="P380" s="1131">
        <f t="shared" si="102"/>
        <v>0</v>
      </c>
      <c r="Q380" s="1624" t="e">
        <f t="shared" si="103"/>
        <v>#REF!</v>
      </c>
      <c r="R380" s="1680" t="e">
        <f t="shared" si="104"/>
        <v>#REF!</v>
      </c>
    </row>
    <row r="381" spans="3:20" ht="14">
      <c r="C381" s="1624"/>
      <c r="D381" s="1131"/>
      <c r="H381" s="1673" t="s">
        <v>15</v>
      </c>
      <c r="I381" s="1670" t="e">
        <f>#REF!</f>
        <v>#REF!</v>
      </c>
      <c r="J381" s="1671" t="s">
        <v>1667</v>
      </c>
      <c r="N381" s="1676" t="s">
        <v>708</v>
      </c>
      <c r="O381" s="1131" t="e">
        <f t="shared" si="101"/>
        <v>#REF!</v>
      </c>
      <c r="P381" s="1131" t="e">
        <f t="shared" si="102"/>
        <v>#REF!</v>
      </c>
      <c r="Q381" s="1624" t="e">
        <f t="shared" si="103"/>
        <v>#REF!</v>
      </c>
      <c r="R381" s="1680" t="e">
        <f t="shared" si="104"/>
        <v>#REF!</v>
      </c>
    </row>
    <row r="382" spans="3:20" s="1660" customFormat="1" ht="14">
      <c r="C382" s="1624"/>
      <c r="D382" s="1131"/>
      <c r="H382" s="1673"/>
      <c r="I382" s="1670"/>
      <c r="J382" s="1671"/>
      <c r="N382" s="1676" t="s">
        <v>1669</v>
      </c>
      <c r="O382" s="1131" t="e">
        <f t="shared" si="101"/>
        <v>#REF!</v>
      </c>
      <c r="P382" s="1131" t="e">
        <f t="shared" si="102"/>
        <v>#REF!</v>
      </c>
      <c r="Q382" s="1624" t="e">
        <f t="shared" si="103"/>
        <v>#REF!</v>
      </c>
      <c r="R382" s="1680" t="e">
        <f t="shared" si="104"/>
        <v>#REF!</v>
      </c>
    </row>
    <row r="383" spans="3:20">
      <c r="C383" s="1624"/>
      <c r="D383" s="1131"/>
      <c r="H383" s="1667" t="s">
        <v>1662</v>
      </c>
      <c r="I383" s="1670" t="e">
        <f>#REF!</f>
        <v>#REF!</v>
      </c>
      <c r="J383" s="1671" t="s">
        <v>1011</v>
      </c>
      <c r="N383" s="1667" t="s">
        <v>1672</v>
      </c>
      <c r="O383" s="1131">
        <f t="shared" si="101"/>
        <v>0</v>
      </c>
      <c r="P383" s="1131" t="e">
        <f t="shared" si="102"/>
        <v>#REF!</v>
      </c>
      <c r="Q383" s="1624" t="e">
        <f t="shared" si="103"/>
        <v>#REF!</v>
      </c>
      <c r="R383" s="1680" t="e">
        <f t="shared" si="104"/>
        <v>#REF!</v>
      </c>
    </row>
    <row r="384" spans="3:20">
      <c r="C384" s="1624"/>
      <c r="D384" s="1131"/>
      <c r="H384" s="1667" t="s">
        <v>1662</v>
      </c>
      <c r="I384" s="1670" t="e">
        <f>#REF!</f>
        <v>#REF!</v>
      </c>
      <c r="J384" s="1671" t="s">
        <v>214</v>
      </c>
      <c r="N384" s="1667" t="s">
        <v>1671</v>
      </c>
      <c r="O384" s="1131">
        <f t="shared" si="101"/>
        <v>0</v>
      </c>
      <c r="P384" s="1131" t="e">
        <f t="shared" si="102"/>
        <v>#REF!</v>
      </c>
      <c r="Q384" s="1624" t="e">
        <f t="shared" si="103"/>
        <v>#REF!</v>
      </c>
      <c r="R384" s="1680" t="e">
        <f t="shared" si="104"/>
        <v>#REF!</v>
      </c>
    </row>
    <row r="385" spans="3:18">
      <c r="C385" s="1624"/>
      <c r="D385" s="1131"/>
      <c r="H385" s="1667" t="s">
        <v>1662</v>
      </c>
      <c r="I385" s="1670" t="e">
        <f>#REF!</f>
        <v>#REF!</v>
      </c>
      <c r="J385" s="1671" t="s">
        <v>14</v>
      </c>
      <c r="N385" s="1667" t="s">
        <v>19</v>
      </c>
      <c r="O385" s="1131" t="e">
        <f t="shared" si="101"/>
        <v>#REF!</v>
      </c>
      <c r="P385" s="1131">
        <f t="shared" si="102"/>
        <v>0</v>
      </c>
      <c r="Q385" s="1624" t="e">
        <f t="shared" si="103"/>
        <v>#REF!</v>
      </c>
      <c r="R385" s="1680" t="e">
        <f t="shared" si="104"/>
        <v>#REF!</v>
      </c>
    </row>
    <row r="386" spans="3:18">
      <c r="C386" s="1624"/>
      <c r="D386" s="1131"/>
      <c r="H386" s="1667" t="s">
        <v>1662</v>
      </c>
      <c r="I386" s="1670" t="e">
        <f>#REF!</f>
        <v>#REF!</v>
      </c>
      <c r="J386" s="1671" t="s">
        <v>52</v>
      </c>
      <c r="N386" s="1667" t="s">
        <v>39</v>
      </c>
      <c r="O386" s="1131">
        <f t="shared" si="101"/>
        <v>0</v>
      </c>
      <c r="P386" s="1131" t="e">
        <f t="shared" si="102"/>
        <v>#REF!</v>
      </c>
      <c r="Q386" s="1624" t="e">
        <f t="shared" si="103"/>
        <v>#REF!</v>
      </c>
      <c r="R386" s="1680" t="e">
        <f t="shared" si="104"/>
        <v>#REF!</v>
      </c>
    </row>
    <row r="387" spans="3:18" s="1664" customFormat="1">
      <c r="C387" s="1624"/>
      <c r="D387" s="1131"/>
      <c r="H387" s="1667" t="s">
        <v>1011</v>
      </c>
      <c r="I387" s="1670">
        <f ca="1">MAX(-Q37,0)</f>
        <v>0</v>
      </c>
      <c r="J387" s="1671" t="s">
        <v>1670</v>
      </c>
      <c r="N387" s="1667" t="s">
        <v>726</v>
      </c>
      <c r="O387" s="1131">
        <f t="shared" si="101"/>
        <v>0</v>
      </c>
      <c r="P387" s="1131" t="e">
        <f t="shared" si="102"/>
        <v>#REF!</v>
      </c>
      <c r="Q387" s="1624" t="e">
        <f t="shared" si="103"/>
        <v>#REF!</v>
      </c>
      <c r="R387" s="1680" t="e">
        <f t="shared" si="104"/>
        <v>#REF!</v>
      </c>
    </row>
    <row r="388" spans="3:18" s="1664" customFormat="1">
      <c r="C388" s="1624"/>
      <c r="D388" s="1131"/>
      <c r="H388" s="1667" t="s">
        <v>214</v>
      </c>
      <c r="I388" s="1670">
        <f ca="1">MAX(-Q41,0)</f>
        <v>107.70336000383915</v>
      </c>
      <c r="J388" s="1671" t="s">
        <v>1670</v>
      </c>
      <c r="N388" s="1667" t="s">
        <v>739</v>
      </c>
      <c r="O388" s="1131">
        <f t="shared" si="101"/>
        <v>0</v>
      </c>
      <c r="P388" s="1131" t="e">
        <f t="shared" si="102"/>
        <v>#REF!</v>
      </c>
      <c r="Q388" s="1624" t="e">
        <f t="shared" si="103"/>
        <v>#REF!</v>
      </c>
      <c r="R388" s="1680" t="e">
        <f t="shared" si="104"/>
        <v>#REF!</v>
      </c>
    </row>
    <row r="389" spans="3:18" s="1664" customFormat="1">
      <c r="C389" s="1624"/>
      <c r="D389" s="1131"/>
      <c r="H389" s="1667" t="s">
        <v>14</v>
      </c>
      <c r="I389" s="1670">
        <f ca="1">MAX(-Q44,0)</f>
        <v>82.232541885272198</v>
      </c>
      <c r="J389" s="1671" t="s">
        <v>1670</v>
      </c>
      <c r="N389" s="1667" t="s">
        <v>1674</v>
      </c>
      <c r="O389" s="1131">
        <f t="shared" si="101"/>
        <v>0</v>
      </c>
      <c r="P389" s="1131" t="e">
        <f t="shared" si="102"/>
        <v>#REF!</v>
      </c>
      <c r="Q389" s="1624" t="e">
        <f t="shared" si="103"/>
        <v>#REF!</v>
      </c>
      <c r="R389" s="1680" t="e">
        <f t="shared" si="104"/>
        <v>#REF!</v>
      </c>
    </row>
    <row r="390" spans="3:18">
      <c r="C390" s="1624"/>
      <c r="D390" s="1131"/>
      <c r="H390" s="1667" t="s">
        <v>1011</v>
      </c>
      <c r="I390" s="1674">
        <f ca="1">-I.a!O256-I.b!O253</f>
        <v>400.12025503680002</v>
      </c>
      <c r="J390" s="1671" t="s">
        <v>1668</v>
      </c>
      <c r="N390" s="1667" t="s">
        <v>1673</v>
      </c>
      <c r="O390" s="1131">
        <f t="shared" si="101"/>
        <v>0</v>
      </c>
      <c r="P390" s="1131" t="e">
        <f t="shared" si="102"/>
        <v>#REF!</v>
      </c>
      <c r="Q390" s="1624" t="e">
        <f t="shared" si="103"/>
        <v>#REF!</v>
      </c>
      <c r="R390" s="1680" t="e">
        <f t="shared" si="104"/>
        <v>#REF!</v>
      </c>
    </row>
    <row r="391" spans="3:18">
      <c r="C391" s="1624"/>
      <c r="D391" s="1131"/>
      <c r="H391" s="1667" t="s">
        <v>214</v>
      </c>
      <c r="I391" s="1674">
        <f ca="1">-I.a!O255</f>
        <v>0</v>
      </c>
      <c r="J391" s="1671" t="s">
        <v>1668</v>
      </c>
      <c r="N391" s="1667" t="s">
        <v>214</v>
      </c>
      <c r="O391" s="1131" t="e">
        <f t="shared" ca="1" si="101"/>
        <v>#REF!</v>
      </c>
      <c r="P391" s="1131" t="e">
        <f t="shared" si="102"/>
        <v>#REF!</v>
      </c>
      <c r="Q391" s="1624" t="e">
        <f t="shared" ca="1" si="103"/>
        <v>#REF!</v>
      </c>
      <c r="R391" s="1680" t="e">
        <f t="shared" ca="1" si="104"/>
        <v>#REF!</v>
      </c>
    </row>
    <row r="392" spans="3:18">
      <c r="C392" s="1624"/>
      <c r="D392" s="1131"/>
      <c r="H392" s="1667" t="s">
        <v>14</v>
      </c>
      <c r="I392" s="1674">
        <f>-I.a!O257-I.b!O254</f>
        <v>151.89074227938463</v>
      </c>
      <c r="J392" s="1671" t="s">
        <v>1668</v>
      </c>
      <c r="N392" s="1667" t="s">
        <v>52</v>
      </c>
      <c r="O392" s="1131">
        <f t="shared" si="101"/>
        <v>0</v>
      </c>
      <c r="P392" s="1131" t="e">
        <f t="shared" si="102"/>
        <v>#REF!</v>
      </c>
      <c r="Q392" s="1624" t="e">
        <f t="shared" si="103"/>
        <v>#REF!</v>
      </c>
      <c r="R392" s="1680" t="e">
        <f t="shared" si="104"/>
        <v>#REF!</v>
      </c>
    </row>
    <row r="393" spans="3:18">
      <c r="C393" s="1624"/>
      <c r="D393" s="1131"/>
      <c r="H393" s="1667" t="s">
        <v>0</v>
      </c>
      <c r="I393" s="1674" t="e">
        <f>-#REF!</f>
        <v>#REF!</v>
      </c>
      <c r="J393" s="1671" t="s">
        <v>1668</v>
      </c>
      <c r="N393" s="1667" t="s">
        <v>1225</v>
      </c>
      <c r="O393" s="1131" t="e">
        <f t="shared" si="101"/>
        <v>#REF!</v>
      </c>
      <c r="P393" s="1131">
        <f t="shared" si="102"/>
        <v>0</v>
      </c>
      <c r="Q393" s="1624" t="e">
        <f t="shared" si="103"/>
        <v>#REF!</v>
      </c>
      <c r="R393" s="1680" t="e">
        <f t="shared" si="104"/>
        <v>#REF!</v>
      </c>
    </row>
    <row r="394" spans="3:18">
      <c r="C394" s="1624"/>
      <c r="D394" s="1131"/>
      <c r="H394" s="1667" t="s">
        <v>1668</v>
      </c>
      <c r="I394" s="1670">
        <f ca="1">XVII.a!O66</f>
        <v>0</v>
      </c>
      <c r="J394" s="1675" t="s">
        <v>675</v>
      </c>
      <c r="N394" s="1667" t="s">
        <v>169</v>
      </c>
      <c r="O394" s="1131">
        <f t="shared" si="101"/>
        <v>0</v>
      </c>
      <c r="P394" s="1131" t="e">
        <f t="shared" si="102"/>
        <v>#REF!</v>
      </c>
      <c r="Q394" s="1624" t="e">
        <f t="shared" si="103"/>
        <v>#REF!</v>
      </c>
      <c r="R394" s="1680" t="e">
        <f t="shared" si="104"/>
        <v>#REF!</v>
      </c>
    </row>
    <row r="395" spans="3:18" ht="14">
      <c r="C395" s="1624"/>
      <c r="D395" s="1131"/>
      <c r="H395" s="1667" t="s">
        <v>1668</v>
      </c>
      <c r="I395" s="1670" t="e">
        <f ca="1">I.a!O255+I.b!O252+#REF!+XVII.a!O67</f>
        <v>#REF!</v>
      </c>
      <c r="J395" s="1671" t="s">
        <v>1666</v>
      </c>
      <c r="N395" s="1673" t="s">
        <v>1659</v>
      </c>
      <c r="O395" s="1131">
        <f t="shared" ref="O395:O413" ca="1" si="105">SUMIF($H$363:$H$453,$N395,$I$363:$I$453)</f>
        <v>82.232541885272198</v>
      </c>
      <c r="P395" s="1131">
        <f t="shared" ref="P395:P413" ca="1" si="106">SUMIF($J$363:$J$453,$N395,$I$363:$I$453)</f>
        <v>82.232541885272198</v>
      </c>
      <c r="Q395" s="1624">
        <f t="shared" ca="1" si="103"/>
        <v>0</v>
      </c>
      <c r="R395" s="1680" t="str">
        <f t="shared" ca="1" si="104"/>
        <v>ok</v>
      </c>
    </row>
    <row r="396" spans="3:18">
      <c r="C396" s="1624"/>
      <c r="D396" s="1131"/>
      <c r="H396" s="1667" t="s">
        <v>1668</v>
      </c>
      <c r="I396" s="1670" t="e">
        <f ca="1">XVII.a!O68+I.a!O259+I.a!O260+I.b!O255+I.b!O256+#REF!+#REF!</f>
        <v>#REF!</v>
      </c>
      <c r="J396" s="1675" t="s">
        <v>52</v>
      </c>
      <c r="N396" s="1667" t="s">
        <v>0</v>
      </c>
      <c r="O396" s="1131" t="e">
        <f t="shared" si="105"/>
        <v>#REF!</v>
      </c>
      <c r="P396" s="1131">
        <f t="shared" si="106"/>
        <v>0</v>
      </c>
      <c r="Q396" s="1624" t="e">
        <f t="shared" si="103"/>
        <v>#REF!</v>
      </c>
      <c r="R396" s="1680" t="e">
        <f t="shared" si="104"/>
        <v>#REF!</v>
      </c>
    </row>
    <row r="397" spans="3:18" s="1660" customFormat="1">
      <c r="C397" s="1624"/>
      <c r="D397" s="1131"/>
      <c r="H397" s="1667" t="s">
        <v>1011</v>
      </c>
      <c r="I397" s="1670" t="e">
        <f>-#REF!-#REF!</f>
        <v>#REF!</v>
      </c>
      <c r="J397" s="1675" t="s">
        <v>1677</v>
      </c>
      <c r="N397" s="1667" t="s">
        <v>186</v>
      </c>
      <c r="O397" s="1131">
        <f t="shared" ca="1" si="105"/>
        <v>107.70336000383915</v>
      </c>
      <c r="P397" s="1131">
        <f t="shared" ca="1" si="106"/>
        <v>107.70336000383915</v>
      </c>
      <c r="Q397" s="1624">
        <f t="shared" ca="1" si="103"/>
        <v>0</v>
      </c>
      <c r="R397" s="1680" t="str">
        <f t="shared" ca="1" si="104"/>
        <v>ok</v>
      </c>
    </row>
    <row r="398" spans="3:18" s="1660" customFormat="1">
      <c r="C398" s="1624"/>
      <c r="D398" s="1131"/>
      <c r="H398" s="1667" t="s">
        <v>214</v>
      </c>
      <c r="I398" s="1670" t="e">
        <f>-#REF!-#REF!</f>
        <v>#REF!</v>
      </c>
      <c r="J398" s="1675" t="s">
        <v>1677</v>
      </c>
      <c r="N398" s="1667" t="s">
        <v>1658</v>
      </c>
      <c r="O398" s="1131">
        <f t="shared" ca="1" si="105"/>
        <v>0</v>
      </c>
      <c r="P398" s="1131">
        <f t="shared" si="106"/>
        <v>0</v>
      </c>
      <c r="Q398" s="1624">
        <f t="shared" ca="1" si="103"/>
        <v>0</v>
      </c>
      <c r="R398" s="1680" t="str">
        <f t="shared" ca="1" si="104"/>
        <v>ok</v>
      </c>
    </row>
    <row r="399" spans="3:18" s="1660" customFormat="1">
      <c r="C399" s="1624"/>
      <c r="D399" s="1131"/>
      <c r="H399" s="1667" t="s">
        <v>14</v>
      </c>
      <c r="I399" s="1670" t="e">
        <f>-#REF!-#REF!</f>
        <v>#REF!</v>
      </c>
      <c r="J399" s="1675" t="s">
        <v>1677</v>
      </c>
      <c r="N399" s="1667" t="s">
        <v>761</v>
      </c>
      <c r="O399" s="1131">
        <f t="shared" ca="1" si="105"/>
        <v>107.70336000383915</v>
      </c>
      <c r="P399" s="1131">
        <f t="shared" si="106"/>
        <v>0</v>
      </c>
      <c r="Q399" s="1624">
        <f t="shared" ca="1" si="103"/>
        <v>107.70336000383915</v>
      </c>
      <c r="R399" s="1680" t="str">
        <f t="shared" ca="1" si="104"/>
        <v>ok</v>
      </c>
    </row>
    <row r="400" spans="3:18" s="1660" customFormat="1">
      <c r="C400" s="1624"/>
      <c r="D400" s="1131"/>
      <c r="H400" s="1667" t="s">
        <v>1677</v>
      </c>
      <c r="I400" s="1670" t="e">
        <f>#REF!+#REF!</f>
        <v>#REF!</v>
      </c>
      <c r="J400" s="1675" t="s">
        <v>1666</v>
      </c>
      <c r="N400" s="1667" t="s">
        <v>1664</v>
      </c>
      <c r="O400" s="1131" t="e">
        <f t="shared" si="105"/>
        <v>#REF!</v>
      </c>
      <c r="P400" s="1131">
        <f t="shared" si="106"/>
        <v>0</v>
      </c>
      <c r="Q400" s="1624" t="e">
        <f t="shared" si="103"/>
        <v>#REF!</v>
      </c>
      <c r="R400" s="1680" t="e">
        <f t="shared" si="104"/>
        <v>#REF!</v>
      </c>
    </row>
    <row r="401" spans="3:18" s="1660" customFormat="1">
      <c r="C401" s="1624"/>
      <c r="D401" s="1131"/>
      <c r="H401" s="1667" t="s">
        <v>1677</v>
      </c>
      <c r="I401" s="1670" t="e">
        <f>#REF!+#REF!</f>
        <v>#REF!</v>
      </c>
      <c r="J401" s="1675" t="s">
        <v>52</v>
      </c>
      <c r="N401" s="1667" t="s">
        <v>1670</v>
      </c>
      <c r="O401" s="1131">
        <f t="shared" si="105"/>
        <v>0</v>
      </c>
      <c r="P401" s="1131">
        <f t="shared" ca="1" si="106"/>
        <v>451.89801600683535</v>
      </c>
      <c r="Q401" s="1624">
        <f t="shared" ca="1" si="103"/>
        <v>-451.89801600683535</v>
      </c>
      <c r="R401" s="1680" t="str">
        <f t="shared" ca="1" si="104"/>
        <v>ok</v>
      </c>
    </row>
    <row r="402" spans="3:18">
      <c r="C402" s="1624"/>
      <c r="D402" s="1131"/>
      <c r="H402" s="1667" t="s">
        <v>50</v>
      </c>
      <c r="I402" s="1670" t="e">
        <f>#REF!</f>
        <v>#REF!</v>
      </c>
      <c r="J402" s="1671" t="s">
        <v>1666</v>
      </c>
      <c r="N402" s="1667" t="s">
        <v>1675</v>
      </c>
      <c r="O402" s="1131" t="e">
        <f t="shared" si="105"/>
        <v>#REF!</v>
      </c>
      <c r="P402" s="1131">
        <f t="shared" si="106"/>
        <v>0</v>
      </c>
      <c r="Q402" s="1624" t="e">
        <f t="shared" si="103"/>
        <v>#REF!</v>
      </c>
      <c r="R402" s="1680" t="e">
        <f t="shared" si="104"/>
        <v>#REF!</v>
      </c>
    </row>
    <row r="403" spans="3:18">
      <c r="C403" s="1624"/>
      <c r="D403" s="1131"/>
      <c r="H403" s="1667" t="s">
        <v>1</v>
      </c>
      <c r="I403" s="1670" t="e">
        <f>#REF!+#REF!</f>
        <v>#REF!</v>
      </c>
      <c r="J403" s="1671" t="s">
        <v>1666</v>
      </c>
      <c r="N403" s="1667" t="s">
        <v>777</v>
      </c>
      <c r="O403" s="1131">
        <f t="shared" si="105"/>
        <v>0</v>
      </c>
      <c r="P403" s="1131" t="e">
        <f t="shared" si="106"/>
        <v>#REF!</v>
      </c>
      <c r="Q403" s="1624" t="e">
        <f t="shared" si="103"/>
        <v>#REF!</v>
      </c>
      <c r="R403" s="1680" t="e">
        <f t="shared" si="104"/>
        <v>#REF!</v>
      </c>
    </row>
    <row r="404" spans="3:18">
      <c r="C404" s="1624"/>
      <c r="D404" s="1131"/>
      <c r="H404" s="1667" t="s">
        <v>64</v>
      </c>
      <c r="I404" s="1670" t="e">
        <f>#REF!+#REF!</f>
        <v>#REF!</v>
      </c>
      <c r="J404" s="1671" t="s">
        <v>1666</v>
      </c>
      <c r="N404" s="1667" t="s">
        <v>776</v>
      </c>
      <c r="O404" s="1131">
        <f t="shared" si="105"/>
        <v>0</v>
      </c>
      <c r="P404" s="1131" t="e">
        <f t="shared" si="106"/>
        <v>#REF!</v>
      </c>
      <c r="Q404" s="1624" t="e">
        <f t="shared" si="103"/>
        <v>#REF!</v>
      </c>
      <c r="R404" s="1680" t="e">
        <f t="shared" si="104"/>
        <v>#REF!</v>
      </c>
    </row>
    <row r="405" spans="3:18" ht="14">
      <c r="C405" s="1624"/>
      <c r="D405" s="1131"/>
      <c r="H405" s="1667" t="s">
        <v>2</v>
      </c>
      <c r="I405" s="1670" t="e">
        <f>#REF!</f>
        <v>#REF!</v>
      </c>
      <c r="J405" s="1671" t="s">
        <v>1666</v>
      </c>
      <c r="N405" s="1673" t="s">
        <v>15</v>
      </c>
      <c r="O405" s="1131" t="e">
        <f t="shared" si="105"/>
        <v>#REF!</v>
      </c>
      <c r="P405" s="1131">
        <f t="shared" si="106"/>
        <v>0</v>
      </c>
      <c r="Q405" s="1624" t="e">
        <f t="shared" si="103"/>
        <v>#REF!</v>
      </c>
      <c r="R405" s="1680" t="e">
        <f t="shared" si="104"/>
        <v>#REF!</v>
      </c>
    </row>
    <row r="406" spans="3:18" ht="14">
      <c r="C406" s="1624"/>
      <c r="D406" s="1131"/>
      <c r="H406" s="1667" t="s">
        <v>3</v>
      </c>
      <c r="I406" s="1670" t="e">
        <f>#REF!</f>
        <v>#REF!</v>
      </c>
      <c r="J406" s="1671" t="s">
        <v>1666</v>
      </c>
      <c r="N406" s="1673" t="s">
        <v>62</v>
      </c>
      <c r="O406" s="1131" t="e">
        <f t="shared" si="105"/>
        <v>#REF!</v>
      </c>
      <c r="P406" s="1131" t="e">
        <f t="shared" si="106"/>
        <v>#REF!</v>
      </c>
      <c r="Q406" s="1624" t="e">
        <f t="shared" si="103"/>
        <v>#REF!</v>
      </c>
      <c r="R406" s="1680" t="e">
        <f t="shared" si="104"/>
        <v>#REF!</v>
      </c>
    </row>
    <row r="407" spans="3:18">
      <c r="C407" s="1624"/>
      <c r="D407" s="1131"/>
      <c r="H407" s="1667" t="s">
        <v>19</v>
      </c>
      <c r="I407" s="1670" t="e">
        <f>#REF!</f>
        <v>#REF!</v>
      </c>
      <c r="J407" s="1671" t="s">
        <v>1666</v>
      </c>
      <c r="N407" s="1667" t="s">
        <v>1667</v>
      </c>
      <c r="O407" s="1131" t="e">
        <f t="shared" si="105"/>
        <v>#REF!</v>
      </c>
      <c r="P407" s="1131" t="e">
        <f t="shared" si="106"/>
        <v>#REF!</v>
      </c>
      <c r="Q407" s="1624" t="e">
        <f t="shared" si="103"/>
        <v>#REF!</v>
      </c>
      <c r="R407" s="1680" t="e">
        <f t="shared" si="104"/>
        <v>#REF!</v>
      </c>
    </row>
    <row r="408" spans="3:18">
      <c r="C408" s="1624"/>
      <c r="D408" s="1131"/>
      <c r="H408" s="1667" t="s">
        <v>1666</v>
      </c>
      <c r="I408" s="1670" t="e">
        <f>-#REF!</f>
        <v>#REF!</v>
      </c>
      <c r="J408" s="1675" t="s">
        <v>1669</v>
      </c>
      <c r="N408" s="1667" t="s">
        <v>1011</v>
      </c>
      <c r="O408" s="1131" t="e">
        <f t="shared" ca="1" si="105"/>
        <v>#REF!</v>
      </c>
      <c r="P408" s="1131" t="e">
        <f t="shared" si="106"/>
        <v>#REF!</v>
      </c>
      <c r="Q408" s="1624" t="e">
        <f t="shared" ca="1" si="103"/>
        <v>#REF!</v>
      </c>
      <c r="R408" s="1680" t="e">
        <f t="shared" ca="1" si="104"/>
        <v>#REF!</v>
      </c>
    </row>
    <row r="409" spans="3:18">
      <c r="C409" s="1624"/>
      <c r="D409" s="1131"/>
      <c r="H409" s="1667" t="s">
        <v>1666</v>
      </c>
      <c r="I409" s="1670">
        <f ca="1">MAX(-'2050'!T104,0)</f>
        <v>261.96211411772401</v>
      </c>
      <c r="J409" s="1675" t="s">
        <v>1670</v>
      </c>
      <c r="N409" s="1667" t="s">
        <v>1668</v>
      </c>
      <c r="O409" s="1131" t="e">
        <f t="shared" ca="1" si="105"/>
        <v>#REF!</v>
      </c>
      <c r="P409" s="1131" t="e">
        <f t="shared" ca="1" si="106"/>
        <v>#REF!</v>
      </c>
      <c r="Q409" s="1624" t="e">
        <f t="shared" ca="1" si="103"/>
        <v>#REF!</v>
      </c>
      <c r="R409" s="1680" t="e">
        <f t="shared" ca="1" si="104"/>
        <v>#REF!</v>
      </c>
    </row>
    <row r="410" spans="3:18">
      <c r="C410" s="1624"/>
      <c r="D410" s="1131"/>
      <c r="H410" s="1667" t="s">
        <v>1666</v>
      </c>
      <c r="I410" s="1670" t="e">
        <f>#REF!</f>
        <v>#REF!</v>
      </c>
      <c r="J410" s="1675" t="s">
        <v>52</v>
      </c>
      <c r="N410" s="1667" t="s">
        <v>64</v>
      </c>
      <c r="O410" s="1131" t="e">
        <f t="shared" si="105"/>
        <v>#REF!</v>
      </c>
      <c r="P410" s="1131">
        <f t="shared" si="106"/>
        <v>0</v>
      </c>
      <c r="Q410" s="1624" t="e">
        <f t="shared" si="103"/>
        <v>#REF!</v>
      </c>
      <c r="R410" s="1680" t="e">
        <f t="shared" si="104"/>
        <v>#REF!</v>
      </c>
    </row>
    <row r="411" spans="3:18" s="1660" customFormat="1">
      <c r="C411" s="1624"/>
      <c r="D411" s="1131"/>
      <c r="H411" s="1667" t="s">
        <v>14</v>
      </c>
      <c r="I411" s="1670" t="e">
        <f>-#REF!</f>
        <v>#REF!</v>
      </c>
      <c r="J411" s="1675" t="s">
        <v>1669</v>
      </c>
      <c r="N411" s="1667" t="s">
        <v>1661</v>
      </c>
      <c r="O411" s="1131" t="e">
        <f t="shared" si="105"/>
        <v>#REF!</v>
      </c>
      <c r="P411" s="1131">
        <f t="shared" si="106"/>
        <v>0</v>
      </c>
      <c r="Q411" s="1624" t="e">
        <f t="shared" si="103"/>
        <v>#REF!</v>
      </c>
      <c r="R411" s="1680" t="e">
        <f t="shared" si="104"/>
        <v>#REF!</v>
      </c>
    </row>
    <row r="412" spans="3:18">
      <c r="C412" s="1624"/>
      <c r="D412" s="1131"/>
      <c r="H412" s="1676" t="s">
        <v>1669</v>
      </c>
      <c r="I412" s="1670" t="e">
        <f>#REF!</f>
        <v>#REF!</v>
      </c>
      <c r="J412" s="1675" t="s">
        <v>708</v>
      </c>
      <c r="N412" s="1667" t="s">
        <v>2</v>
      </c>
      <c r="O412" s="1131" t="e">
        <f t="shared" si="105"/>
        <v>#REF!</v>
      </c>
      <c r="P412" s="1131">
        <f t="shared" si="106"/>
        <v>0</v>
      </c>
      <c r="Q412" s="1624" t="e">
        <f t="shared" si="103"/>
        <v>#REF!</v>
      </c>
      <c r="R412" s="1680" t="e">
        <f t="shared" si="104"/>
        <v>#REF!</v>
      </c>
    </row>
    <row r="413" spans="3:18">
      <c r="C413" s="1624"/>
      <c r="D413" s="1131"/>
      <c r="H413" s="1676" t="s">
        <v>1669</v>
      </c>
      <c r="I413" s="1670" t="e">
        <f>#REF!</f>
        <v>#REF!</v>
      </c>
      <c r="J413" s="1675" t="s">
        <v>52</v>
      </c>
      <c r="N413" s="1667" t="s">
        <v>1</v>
      </c>
      <c r="O413" s="1131" t="e">
        <f t="shared" si="105"/>
        <v>#REF!</v>
      </c>
      <c r="P413" s="1131">
        <f t="shared" si="106"/>
        <v>0</v>
      </c>
      <c r="Q413" s="1624" t="e">
        <f t="shared" si="103"/>
        <v>#REF!</v>
      </c>
      <c r="R413" s="1680" t="e">
        <f t="shared" si="104"/>
        <v>#REF!</v>
      </c>
    </row>
    <row r="414" spans="3:18">
      <c r="C414" s="1624"/>
      <c r="D414" s="1131"/>
      <c r="H414" s="1667" t="s">
        <v>1667</v>
      </c>
      <c r="I414" s="1670" t="e">
        <f>-#REF!</f>
        <v>#REF!</v>
      </c>
      <c r="J414" s="1671" t="s">
        <v>1671</v>
      </c>
    </row>
    <row r="415" spans="3:18">
      <c r="C415" s="1624"/>
      <c r="D415" s="1131"/>
      <c r="H415" s="1676" t="s">
        <v>708</v>
      </c>
      <c r="I415" s="1670" t="e">
        <f>-#REF!</f>
        <v>#REF!</v>
      </c>
      <c r="J415" s="1671" t="s">
        <v>776</v>
      </c>
    </row>
    <row r="416" spans="3:18">
      <c r="C416" s="1624"/>
      <c r="D416" s="1131"/>
      <c r="H416" s="1667" t="s">
        <v>1675</v>
      </c>
      <c r="I416" s="1670" t="e">
        <f>-#REF!</f>
        <v>#REF!</v>
      </c>
      <c r="J416" s="1671" t="s">
        <v>1671</v>
      </c>
    </row>
    <row r="417" spans="3:10">
      <c r="C417" s="1624"/>
      <c r="D417" s="1131"/>
      <c r="H417" s="1667" t="s">
        <v>1675</v>
      </c>
      <c r="I417" s="1670" t="e">
        <f>-#REF!</f>
        <v>#REF!</v>
      </c>
      <c r="J417" s="1671" t="s">
        <v>1672</v>
      </c>
    </row>
    <row r="418" spans="3:10" s="1660" customFormat="1">
      <c r="C418" s="1624"/>
      <c r="D418" s="1131"/>
      <c r="H418" s="1667" t="s">
        <v>1677</v>
      </c>
      <c r="I418" s="1670" t="e">
        <f>#REF!</f>
        <v>#REF!</v>
      </c>
      <c r="J418" s="1671" t="s">
        <v>1671</v>
      </c>
    </row>
    <row r="419" spans="3:10" s="1660" customFormat="1">
      <c r="C419" s="1624"/>
      <c r="D419" s="1131"/>
      <c r="H419" s="1667" t="s">
        <v>1677</v>
      </c>
      <c r="I419" s="1670" t="e">
        <f>#REF!</f>
        <v>#REF!</v>
      </c>
      <c r="J419" s="1671" t="s">
        <v>1672</v>
      </c>
    </row>
    <row r="420" spans="3:10" s="1660" customFormat="1">
      <c r="C420" s="1624"/>
      <c r="D420" s="1131"/>
      <c r="H420" s="1676" t="s">
        <v>675</v>
      </c>
      <c r="I420" s="1670" t="e">
        <f>-#REF!</f>
        <v>#REF!</v>
      </c>
      <c r="J420" s="1671" t="s">
        <v>1671</v>
      </c>
    </row>
    <row r="421" spans="3:10" s="1660" customFormat="1">
      <c r="C421" s="1624"/>
      <c r="D421" s="1131"/>
      <c r="H421" s="1676" t="s">
        <v>675</v>
      </c>
      <c r="I421" s="1670" t="e">
        <f>-#REF!</f>
        <v>#REF!</v>
      </c>
      <c r="J421" s="1671" t="s">
        <v>1672</v>
      </c>
    </row>
    <row r="422" spans="3:10" s="1660" customFormat="1">
      <c r="C422" s="1624"/>
      <c r="D422" s="1131"/>
      <c r="H422" s="1676" t="s">
        <v>675</v>
      </c>
      <c r="I422" s="1670" t="e">
        <f>-#REF!-#REF!</f>
        <v>#REF!</v>
      </c>
      <c r="J422" s="1671" t="s">
        <v>39</v>
      </c>
    </row>
    <row r="423" spans="3:10" s="1660" customFormat="1">
      <c r="C423" s="1624"/>
      <c r="D423" s="1131"/>
      <c r="H423" s="1676" t="s">
        <v>675</v>
      </c>
      <c r="I423" s="1670" t="e">
        <f ca="1">I394-SUM(I420:I422)</f>
        <v>#REF!</v>
      </c>
      <c r="J423" s="1671" t="s">
        <v>52</v>
      </c>
    </row>
    <row r="424" spans="3:10" s="1660" customFormat="1">
      <c r="C424" s="1624"/>
      <c r="D424" s="1131"/>
      <c r="H424" s="1667" t="s">
        <v>1666</v>
      </c>
      <c r="I424" s="1670" t="e">
        <f>-#REF!-#REF!</f>
        <v>#REF!</v>
      </c>
      <c r="J424" s="1671" t="s">
        <v>1671</v>
      </c>
    </row>
    <row r="425" spans="3:10">
      <c r="C425" s="1624"/>
      <c r="D425" s="1131"/>
      <c r="H425" s="1667" t="s">
        <v>1011</v>
      </c>
      <c r="I425" s="1670" t="e">
        <f>-#REF!</f>
        <v>#REF!</v>
      </c>
      <c r="J425" s="1671" t="s">
        <v>1671</v>
      </c>
    </row>
    <row r="426" spans="3:10" s="1660" customFormat="1">
      <c r="C426" s="1624"/>
      <c r="D426" s="1131"/>
      <c r="H426" s="1667" t="s">
        <v>214</v>
      </c>
      <c r="I426" s="1670" t="e">
        <f>-#REF!</f>
        <v>#REF!</v>
      </c>
      <c r="J426" s="1671" t="s">
        <v>1671</v>
      </c>
    </row>
    <row r="427" spans="3:10" s="1660" customFormat="1">
      <c r="C427" s="1624"/>
      <c r="D427" s="1131"/>
      <c r="H427" s="1667" t="s">
        <v>14</v>
      </c>
      <c r="I427" s="1670" t="e">
        <f>-#REF!</f>
        <v>#REF!</v>
      </c>
      <c r="J427" s="1671" t="s">
        <v>1671</v>
      </c>
    </row>
    <row r="428" spans="3:10" s="1660" customFormat="1">
      <c r="C428" s="1624"/>
      <c r="D428" s="1131"/>
      <c r="H428" s="1667" t="s">
        <v>1666</v>
      </c>
      <c r="I428" s="1670" t="e">
        <f>-#REF!</f>
        <v>#REF!</v>
      </c>
      <c r="J428" s="1671" t="s">
        <v>1672</v>
      </c>
    </row>
    <row r="429" spans="3:10" s="1660" customFormat="1">
      <c r="C429" s="1624"/>
      <c r="D429" s="1131"/>
      <c r="H429" s="1667" t="s">
        <v>1011</v>
      </c>
      <c r="I429" s="1670" t="e">
        <f>-#REF!</f>
        <v>#REF!</v>
      </c>
      <c r="J429" s="1671" t="s">
        <v>1672</v>
      </c>
    </row>
    <row r="430" spans="3:10" s="1660" customFormat="1">
      <c r="C430" s="1624"/>
      <c r="D430" s="1131"/>
      <c r="H430" s="1667" t="s">
        <v>214</v>
      </c>
      <c r="I430" s="1670" t="e">
        <f>-#REF!</f>
        <v>#REF!</v>
      </c>
      <c r="J430" s="1671" t="s">
        <v>1672</v>
      </c>
    </row>
    <row r="431" spans="3:10" s="1660" customFormat="1">
      <c r="C431" s="1624"/>
      <c r="D431" s="1131"/>
      <c r="H431" s="1667" t="s">
        <v>14</v>
      </c>
      <c r="I431" s="1670" t="e">
        <f>-#REF!</f>
        <v>#REF!</v>
      </c>
      <c r="J431" s="1671" t="s">
        <v>1672</v>
      </c>
    </row>
    <row r="432" spans="3:10" s="1660" customFormat="1">
      <c r="C432" s="1624"/>
      <c r="D432" s="1131"/>
      <c r="H432" s="1667" t="s">
        <v>1666</v>
      </c>
      <c r="I432" s="1670" t="e">
        <f>-#REF!</f>
        <v>#REF!</v>
      </c>
      <c r="J432" s="1671" t="s">
        <v>1673</v>
      </c>
    </row>
    <row r="433" spans="3:10" s="1660" customFormat="1">
      <c r="C433" s="1624"/>
      <c r="D433" s="1131"/>
      <c r="H433" s="1667" t="s">
        <v>14</v>
      </c>
      <c r="I433" s="1670" t="e">
        <f>-#REF!</f>
        <v>#REF!</v>
      </c>
      <c r="J433" s="1671" t="s">
        <v>1673</v>
      </c>
    </row>
    <row r="434" spans="3:10" s="1660" customFormat="1">
      <c r="C434" s="1624"/>
      <c r="D434" s="1131"/>
      <c r="H434" s="1667" t="s">
        <v>1666</v>
      </c>
      <c r="I434" s="1670" t="e">
        <f>-#REF!</f>
        <v>#REF!</v>
      </c>
      <c r="J434" s="1671" t="s">
        <v>1674</v>
      </c>
    </row>
    <row r="435" spans="3:10">
      <c r="C435" s="1624"/>
      <c r="D435" s="1131"/>
      <c r="H435" s="1667" t="s">
        <v>14</v>
      </c>
      <c r="I435" s="1670" t="e">
        <f>-#REF!</f>
        <v>#REF!</v>
      </c>
      <c r="J435" s="1671" t="s">
        <v>1674</v>
      </c>
    </row>
    <row r="436" spans="3:10" s="1660" customFormat="1">
      <c r="C436" s="1624"/>
      <c r="D436" s="1131"/>
      <c r="H436" s="1667" t="s">
        <v>1666</v>
      </c>
      <c r="I436" s="1670" t="e">
        <f>-#REF!-#REF!-XV.b!O133</f>
        <v>#REF!</v>
      </c>
      <c r="J436" s="1671" t="s">
        <v>39</v>
      </c>
    </row>
    <row r="437" spans="3:10" s="1660" customFormat="1">
      <c r="C437" s="1624"/>
      <c r="D437" s="1131"/>
      <c r="H437" s="1667" t="s">
        <v>1011</v>
      </c>
      <c r="I437" s="1670" t="e">
        <f>-#REF!-XV.b!O134</f>
        <v>#REF!</v>
      </c>
      <c r="J437" s="1671" t="s">
        <v>39</v>
      </c>
    </row>
    <row r="438" spans="3:10" s="1660" customFormat="1">
      <c r="C438" s="1624"/>
      <c r="D438" s="1131"/>
      <c r="H438" s="1667" t="s">
        <v>214</v>
      </c>
      <c r="I438" s="1670" t="e">
        <f>-#REF!-#REF!</f>
        <v>#REF!</v>
      </c>
      <c r="J438" s="1671" t="s">
        <v>39</v>
      </c>
    </row>
    <row r="439" spans="3:10">
      <c r="C439" s="1624"/>
      <c r="D439" s="1131"/>
      <c r="H439" s="1667" t="s">
        <v>14</v>
      </c>
      <c r="I439" s="1670" t="e">
        <f>-#REF!-#REF!-XV.b!O135</f>
        <v>#REF!</v>
      </c>
      <c r="J439" s="1671" t="s">
        <v>39</v>
      </c>
    </row>
    <row r="440" spans="3:10" s="1664" customFormat="1">
      <c r="C440" s="1624"/>
      <c r="D440" s="1131"/>
      <c r="H440" s="1667" t="s">
        <v>1666</v>
      </c>
      <c r="I440" s="1670" t="e">
        <f>-#REF!</f>
        <v>#REF!</v>
      </c>
      <c r="J440" s="1671" t="s">
        <v>172</v>
      </c>
    </row>
    <row r="441" spans="3:10" s="1664" customFormat="1">
      <c r="C441" s="1624"/>
      <c r="D441" s="1131"/>
      <c r="H441" s="1667" t="s">
        <v>1011</v>
      </c>
      <c r="I441" s="1670" t="e">
        <f>-#REF!</f>
        <v>#REF!</v>
      </c>
      <c r="J441" s="1671" t="s">
        <v>172</v>
      </c>
    </row>
    <row r="442" spans="3:10" s="1664" customFormat="1">
      <c r="C442" s="1624"/>
      <c r="D442" s="1131"/>
      <c r="H442" s="1667" t="s">
        <v>214</v>
      </c>
      <c r="I442" s="1670" t="e">
        <f>-#REF!</f>
        <v>#REF!</v>
      </c>
      <c r="J442" s="1671" t="s">
        <v>172</v>
      </c>
    </row>
    <row r="443" spans="3:10" s="1664" customFormat="1">
      <c r="C443" s="1624"/>
      <c r="D443" s="1131"/>
      <c r="H443" s="1667" t="s">
        <v>14</v>
      </c>
      <c r="I443" s="1670" t="e">
        <f>-#REF!</f>
        <v>#REF!</v>
      </c>
      <c r="J443" s="1671" t="s">
        <v>172</v>
      </c>
    </row>
    <row r="444" spans="3:10" s="1660" customFormat="1">
      <c r="C444" s="1624"/>
      <c r="D444" s="1131"/>
      <c r="H444" s="1667" t="s">
        <v>1666</v>
      </c>
      <c r="I444" s="1670" t="e">
        <f>-#REF!-#REF!</f>
        <v>#REF!</v>
      </c>
      <c r="J444" s="1671" t="s">
        <v>776</v>
      </c>
    </row>
    <row r="445" spans="3:10" s="1660" customFormat="1">
      <c r="C445" s="1624"/>
      <c r="D445" s="1131"/>
      <c r="H445" s="1667" t="s">
        <v>214</v>
      </c>
      <c r="I445" s="1670" t="e">
        <f>-#REF!-#REF!</f>
        <v>#REF!</v>
      </c>
      <c r="J445" s="1671" t="s">
        <v>776</v>
      </c>
    </row>
    <row r="446" spans="3:10" s="1660" customFormat="1">
      <c r="C446" s="1624"/>
      <c r="D446" s="1131"/>
      <c r="H446" s="1667" t="s">
        <v>1666</v>
      </c>
      <c r="I446" s="1670" t="e">
        <f>-#REF!-#REF!</f>
        <v>#REF!</v>
      </c>
      <c r="J446" s="1671" t="s">
        <v>777</v>
      </c>
    </row>
    <row r="447" spans="3:10" s="1660" customFormat="1">
      <c r="C447" s="1624"/>
      <c r="D447" s="1131"/>
      <c r="H447" s="1667" t="s">
        <v>214</v>
      </c>
      <c r="I447" s="1670" t="e">
        <f>-#REF!-#REF!</f>
        <v>#REF!</v>
      </c>
      <c r="J447" s="1671" t="s">
        <v>777</v>
      </c>
    </row>
    <row r="448" spans="3:10" s="1660" customFormat="1">
      <c r="C448" s="1624"/>
      <c r="D448" s="1131"/>
      <c r="H448" s="1667" t="s">
        <v>214</v>
      </c>
      <c r="I448" s="1670" t="e">
        <f>-#REF!</f>
        <v>#REF!</v>
      </c>
      <c r="J448" s="1671" t="s">
        <v>727</v>
      </c>
    </row>
    <row r="449" spans="3:10" s="1660" customFormat="1">
      <c r="C449" s="1624"/>
      <c r="D449" s="1131"/>
      <c r="H449" s="1667" t="s">
        <v>214</v>
      </c>
      <c r="I449" s="1670" t="e">
        <f>-#REF!</f>
        <v>#REF!</v>
      </c>
      <c r="J449" s="1671" t="s">
        <v>169</v>
      </c>
    </row>
    <row r="450" spans="3:10" s="1660" customFormat="1">
      <c r="C450" s="1624"/>
      <c r="D450" s="1131"/>
      <c r="H450" s="1667" t="s">
        <v>214</v>
      </c>
      <c r="I450" s="1670" t="e">
        <f>-#REF!</f>
        <v>#REF!</v>
      </c>
      <c r="J450" s="1671" t="s">
        <v>726</v>
      </c>
    </row>
    <row r="451" spans="3:10" s="1660" customFormat="1">
      <c r="C451" s="1624"/>
      <c r="D451" s="1131"/>
      <c r="H451" s="1667" t="s">
        <v>214</v>
      </c>
      <c r="I451" s="1670" t="e">
        <f>-#REF!</f>
        <v>#REF!</v>
      </c>
      <c r="J451" s="1671" t="s">
        <v>739</v>
      </c>
    </row>
    <row r="452" spans="3:10" s="1660" customFormat="1">
      <c r="C452" s="1624"/>
      <c r="D452" s="1131"/>
      <c r="H452" s="1667" t="s">
        <v>1666</v>
      </c>
      <c r="I452" s="1670" t="e">
        <f>-#REF!</f>
        <v>#REF!</v>
      </c>
      <c r="J452" s="1671" t="s">
        <v>423</v>
      </c>
    </row>
    <row r="453" spans="3:10" s="1660" customFormat="1">
      <c r="C453" s="1624"/>
      <c r="D453" s="1131"/>
      <c r="H453" s="1667" t="s">
        <v>14</v>
      </c>
      <c r="I453" s="1670" t="e">
        <f ca="1">XVI.a!O95</f>
        <v>#REF!</v>
      </c>
      <c r="J453" s="1671" t="s">
        <v>52</v>
      </c>
    </row>
    <row r="454" spans="3:10" s="1660" customFormat="1">
      <c r="H454" s="1667"/>
      <c r="I454" s="1670"/>
      <c r="J454" s="1671"/>
    </row>
    <row r="455" spans="3:10">
      <c r="H455" s="1667"/>
    </row>
    <row r="456" spans="3:10">
      <c r="H456" s="1667"/>
      <c r="I456" s="1670"/>
      <c r="J456" s="1671"/>
    </row>
    <row r="457" spans="3:10">
      <c r="H457" s="1667"/>
      <c r="I457" s="1670"/>
      <c r="J457" s="1669"/>
    </row>
    <row r="458" spans="3:10" ht="14">
      <c r="H458" s="1673"/>
      <c r="I458" s="1670"/>
      <c r="J458" s="1671"/>
    </row>
    <row r="459" spans="3:10" ht="14">
      <c r="H459" s="1673"/>
      <c r="I459" s="1670"/>
      <c r="J459" s="1671"/>
    </row>
    <row r="460" spans="3:10">
      <c r="H460" s="1667"/>
      <c r="I460" s="1670"/>
      <c r="J460" s="1671"/>
    </row>
    <row r="461" spans="3:10">
      <c r="H461" s="1667"/>
      <c r="I461" s="1670"/>
    </row>
    <row r="462" spans="3:10">
      <c r="H462" s="1667"/>
      <c r="I462" s="1670"/>
      <c r="J462" s="1671"/>
    </row>
    <row r="463" spans="3:10">
      <c r="H463" s="1667"/>
      <c r="I463" s="1670"/>
    </row>
    <row r="464" spans="3:10">
      <c r="H464" s="1667"/>
      <c r="I464" s="1670"/>
      <c r="J464" s="1671"/>
    </row>
    <row r="465" spans="8:10">
      <c r="H465" s="1667"/>
      <c r="I465" s="1670"/>
      <c r="J465" s="1671"/>
    </row>
    <row r="466" spans="8:10">
      <c r="H466" s="1667"/>
      <c r="I466" s="1670"/>
      <c r="J466" s="1671"/>
    </row>
    <row r="467" spans="8:10">
      <c r="H467" s="1667"/>
      <c r="I467" s="1670"/>
      <c r="J467" s="1671"/>
    </row>
    <row r="468" spans="8:10">
      <c r="H468" s="1667"/>
      <c r="I468" s="1670"/>
      <c r="J468" s="1671"/>
    </row>
    <row r="469" spans="8:10">
      <c r="H469" s="1667"/>
      <c r="I469" s="1670"/>
      <c r="J469" s="1671"/>
    </row>
    <row r="470" spans="8:10">
      <c r="H470" s="1667"/>
      <c r="I470" s="1670"/>
      <c r="J470" s="1669"/>
    </row>
    <row r="471" spans="8:10">
      <c r="H471" s="1667"/>
      <c r="I471" s="1670"/>
      <c r="J471" s="1671"/>
    </row>
    <row r="472" spans="8:10">
      <c r="H472" s="1667"/>
      <c r="I472" s="1670"/>
      <c r="J472" s="1671"/>
    </row>
    <row r="473" spans="8:10">
      <c r="H473" s="1667"/>
      <c r="I473" s="1670"/>
      <c r="J473" s="1671"/>
    </row>
    <row r="474" spans="8:10">
      <c r="H474" s="1667"/>
      <c r="I474" s="1670"/>
      <c r="J474" s="1671"/>
    </row>
    <row r="475" spans="8:10">
      <c r="H475" s="1667"/>
      <c r="I475" s="1670"/>
      <c r="J475" s="1671"/>
    </row>
    <row r="476" spans="8:10">
      <c r="H476" s="1667"/>
      <c r="I476" s="1670"/>
      <c r="J476" s="1671"/>
    </row>
    <row r="477" spans="8:10">
      <c r="H477" s="1667"/>
      <c r="I477" s="1670"/>
    </row>
    <row r="478" spans="8:10">
      <c r="H478" s="1667"/>
      <c r="I478" s="1670"/>
      <c r="J478" s="1671"/>
    </row>
    <row r="479" spans="8:10">
      <c r="H479" s="1667"/>
      <c r="I479" s="1670"/>
      <c r="J479" s="1671"/>
    </row>
    <row r="480" spans="8:10">
      <c r="H480" s="1667"/>
      <c r="I480" s="1670"/>
      <c r="J480" s="1671"/>
    </row>
    <row r="481" spans="8:10">
      <c r="H481" s="1667"/>
      <c r="I481" s="1670"/>
      <c r="J481" s="1671"/>
    </row>
    <row r="482" spans="8:10">
      <c r="H482" s="1667"/>
      <c r="I482" s="1670"/>
      <c r="J482" s="1671"/>
    </row>
    <row r="483" spans="8:10">
      <c r="H483" s="1667"/>
      <c r="I483" s="1670"/>
      <c r="J483" s="1669"/>
    </row>
    <row r="484" spans="8:10">
      <c r="H484" s="1667"/>
      <c r="I484" s="1670"/>
      <c r="J484" s="1671"/>
    </row>
    <row r="485" spans="8:10">
      <c r="H485" s="1676"/>
      <c r="I485" s="1670"/>
      <c r="J485" s="1671"/>
    </row>
    <row r="486" spans="8:10">
      <c r="H486" s="1667"/>
      <c r="I486" s="1670"/>
      <c r="J486" s="1671"/>
    </row>
    <row r="487" spans="8:10">
      <c r="H487" s="1676"/>
      <c r="I487" s="1670"/>
      <c r="J487" s="1671"/>
    </row>
    <row r="488" spans="8:10">
      <c r="H488" s="1676"/>
      <c r="I488" s="1670"/>
      <c r="J488" s="1671"/>
    </row>
    <row r="489" spans="8:10">
      <c r="H489" s="1676"/>
      <c r="I489" s="1670"/>
      <c r="J489" s="1671"/>
    </row>
    <row r="490" spans="8:10">
      <c r="H490" s="1676"/>
      <c r="I490" s="1670"/>
      <c r="J490" s="1671"/>
    </row>
    <row r="491" spans="8:10">
      <c r="H491" s="1676"/>
    </row>
    <row r="492" spans="8:10">
      <c r="H492" s="1676"/>
    </row>
    <row r="493" spans="8:10">
      <c r="H493" s="1667"/>
    </row>
    <row r="494" spans="8:10">
      <c r="H494" s="1667"/>
    </row>
    <row r="495" spans="8:10">
      <c r="H495" s="1667"/>
    </row>
    <row r="496" spans="8:10">
      <c r="H496" s="1667"/>
    </row>
    <row r="497" spans="8:8">
      <c r="H497" s="1667"/>
    </row>
    <row r="498" spans="8:8">
      <c r="H498" s="1667"/>
    </row>
    <row r="499" spans="8:8">
      <c r="H499" s="1676"/>
    </row>
    <row r="500" spans="8:8">
      <c r="H500" s="1676"/>
    </row>
    <row r="501" spans="8:8">
      <c r="H501" s="1676"/>
    </row>
    <row r="502" spans="8:8">
      <c r="H502" s="1676"/>
    </row>
    <row r="503" spans="8:8">
      <c r="H503" s="1676"/>
    </row>
    <row r="504" spans="8:8">
      <c r="H504" s="1676"/>
    </row>
    <row r="505" spans="8:8">
      <c r="H505" s="1667"/>
    </row>
    <row r="506" spans="8:8">
      <c r="H506" s="1667"/>
    </row>
    <row r="507" spans="8:8">
      <c r="H507" s="1667"/>
    </row>
    <row r="508" spans="8:8">
      <c r="H508" s="1667"/>
    </row>
    <row r="509" spans="8:8">
      <c r="H509" s="1667"/>
    </row>
    <row r="510" spans="8:8">
      <c r="H510" s="1667"/>
    </row>
    <row r="511" spans="8:8">
      <c r="H511" s="1667"/>
    </row>
    <row r="512" spans="8:8">
      <c r="H512" s="1667"/>
    </row>
    <row r="513" spans="8:8">
      <c r="H513" s="1667"/>
    </row>
    <row r="514" spans="8:8">
      <c r="H514" s="1667"/>
    </row>
    <row r="515" spans="8:8">
      <c r="H515" s="1667"/>
    </row>
    <row r="516" spans="8:8">
      <c r="H516" s="1667"/>
    </row>
    <row r="517" spans="8:8">
      <c r="H517" s="1667"/>
    </row>
    <row r="518" spans="8:8">
      <c r="H518" s="1667"/>
    </row>
    <row r="519" spans="8:8">
      <c r="H519" s="1667"/>
    </row>
    <row r="520" spans="8:8">
      <c r="H520" s="1667"/>
    </row>
    <row r="521" spans="8:8">
      <c r="H521" s="1667"/>
    </row>
    <row r="522" spans="8:8">
      <c r="H522" s="1667"/>
    </row>
    <row r="523" spans="8:8">
      <c r="H523" s="1667"/>
    </row>
    <row r="524" spans="8:8">
      <c r="H524" s="1667"/>
    </row>
    <row r="525" spans="8:8">
      <c r="H525" s="1667"/>
    </row>
    <row r="526" spans="8:8">
      <c r="H526" s="1667"/>
    </row>
    <row r="527" spans="8:8">
      <c r="H527" s="1667"/>
    </row>
    <row r="528" spans="8:8">
      <c r="H528" s="1667"/>
    </row>
    <row r="529" spans="8:8">
      <c r="H529" s="1667"/>
    </row>
    <row r="530" spans="8:8">
      <c r="H530" s="1667"/>
    </row>
    <row r="531" spans="8:8">
      <c r="H531" s="1667"/>
    </row>
    <row r="532" spans="8:8">
      <c r="H532" s="1667"/>
    </row>
    <row r="533" spans="8:8">
      <c r="H533" s="1667"/>
    </row>
    <row r="534" spans="8:8">
      <c r="H534" s="1667"/>
    </row>
    <row r="535" spans="8:8">
      <c r="H535" s="1667"/>
    </row>
    <row r="536" spans="8:8">
      <c r="H536" s="1667"/>
    </row>
    <row r="537" spans="8:8">
      <c r="H537" s="1667"/>
    </row>
    <row r="538" spans="8:8">
      <c r="H538" s="1667"/>
    </row>
    <row r="539" spans="8:8">
      <c r="H539" s="1667"/>
    </row>
    <row r="540" spans="8:8">
      <c r="H540" s="1667"/>
    </row>
    <row r="541" spans="8:8">
      <c r="H541" s="1667"/>
    </row>
    <row r="542" spans="8:8">
      <c r="H542" s="1667"/>
    </row>
    <row r="543" spans="8:8">
      <c r="H543" s="1667"/>
    </row>
    <row r="544" spans="8:8">
      <c r="H544" s="1667"/>
    </row>
  </sheetData>
  <sortState ref="T363:V453">
    <sortCondition ref="T363"/>
  </sortState>
  <pageMargins left="0.7" right="0.7" top="0.75" bottom="0.75" header="0.3" footer="0.3"/>
  <pageSetup paperSize="9" orientation="portrait"/>
  <ignoredErrors>
    <ignoredError sqref="H180:Q180 F109 H109:Q109 F99:Q99" formula="1"/>
    <ignoredError sqref="I150:Q150" evalError="1"/>
  </ignoredError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theme="7" tint="0.39997558519241921"/>
    <pageSetUpPr autoPageBreaks="0"/>
  </sheetPr>
  <dimension ref="A2:L67"/>
  <sheetViews>
    <sheetView workbookViewId="0"/>
  </sheetViews>
  <sheetFormatPr baseColWidth="10" defaultColWidth="8.83203125" defaultRowHeight="13" x14ac:dyDescent="0"/>
  <cols>
    <col min="1" max="1" width="3.6640625" customWidth="1"/>
    <col min="2" max="2" width="12.6640625" customWidth="1"/>
    <col min="3" max="3" width="28.5" style="121" bestFit="1" customWidth="1"/>
    <col min="4" max="4" width="23.6640625" customWidth="1"/>
    <col min="5" max="5" width="10.1640625" customWidth="1"/>
    <col min="6" max="6" width="13.83203125" bestFit="1" customWidth="1"/>
    <col min="8" max="8" width="10.33203125" bestFit="1" customWidth="1"/>
    <col min="9" max="9" width="15.1640625" customWidth="1"/>
    <col min="10" max="10" width="13.33203125" bestFit="1" customWidth="1"/>
    <col min="11" max="11" width="11.1640625" customWidth="1"/>
    <col min="12" max="12" width="12.83203125" customWidth="1"/>
  </cols>
  <sheetData>
    <row r="2" spans="1:12" ht="18">
      <c r="B2" s="29" t="s">
        <v>580</v>
      </c>
      <c r="C2" s="29"/>
      <c r="H2" s="29" t="s">
        <v>105</v>
      </c>
    </row>
    <row r="3" spans="1:12" ht="4.5" customHeight="1"/>
    <row r="4" spans="1:12" s="18" customFormat="1" ht="20.25" customHeight="1">
      <c r="B4" s="34" t="s">
        <v>79</v>
      </c>
      <c r="C4" s="34" t="s">
        <v>399</v>
      </c>
      <c r="D4" s="34" t="s">
        <v>400</v>
      </c>
      <c r="E4" s="35" t="s">
        <v>78</v>
      </c>
      <c r="F4" s="35" t="str">
        <f>Preferences.EnergyUnits</f>
        <v>TWh</v>
      </c>
      <c r="H4" s="398">
        <v>840</v>
      </c>
      <c r="I4" s="39" t="s">
        <v>81</v>
      </c>
      <c r="J4" s="18" t="s">
        <v>106</v>
      </c>
      <c r="K4" s="492">
        <f>H4*INDEX(Conversions.Energy.Joules, MATCH(I4, Conversions.Energy.Units, 0))/INDEX(Conversions.Energy.Joules, MATCH(L4, Conversions.Energy.Units, 0))</f>
        <v>3.024E+18</v>
      </c>
      <c r="L4" s="39" t="s">
        <v>617</v>
      </c>
    </row>
    <row r="5" spans="1:12" s="18" customFormat="1" ht="15">
      <c r="A5" s="537"/>
      <c r="B5" s="30" t="s">
        <v>80</v>
      </c>
      <c r="C5" s="30" t="s">
        <v>401</v>
      </c>
      <c r="D5" s="36" t="s">
        <v>89</v>
      </c>
      <c r="E5" s="31">
        <f>10^15</f>
        <v>1000000000000000</v>
      </c>
      <c r="F5" s="31">
        <f t="shared" ref="F5:F23" si="0">$E5/INDEX(Conversions.Energy.Joules, MATCH(F$4, Conversions.Energy.Units, 0))</f>
        <v>0.27777777777777779</v>
      </c>
    </row>
    <row r="6" spans="1:12" s="18" customFormat="1" ht="15">
      <c r="A6" s="537"/>
      <c r="B6" s="30" t="s">
        <v>103</v>
      </c>
      <c r="C6" s="30" t="s">
        <v>402</v>
      </c>
      <c r="D6" s="36" t="s">
        <v>104</v>
      </c>
      <c r="E6" s="31">
        <f>10^12</f>
        <v>1000000000000</v>
      </c>
      <c r="F6" s="31">
        <f t="shared" si="0"/>
        <v>2.7777777777777778E-4</v>
      </c>
      <c r="K6" s="399"/>
    </row>
    <row r="7" spans="1:12" s="18" customFormat="1" ht="15">
      <c r="A7" s="537"/>
      <c r="B7" s="30" t="s">
        <v>359</v>
      </c>
      <c r="C7" s="30" t="s">
        <v>403</v>
      </c>
      <c r="D7" s="36" t="s">
        <v>360</v>
      </c>
      <c r="E7" s="31">
        <f>10^9</f>
        <v>1000000000</v>
      </c>
      <c r="F7" s="31">
        <f t="shared" si="0"/>
        <v>2.7777777777777776E-7</v>
      </c>
    </row>
    <row r="8" spans="1:12" s="532" customFormat="1" ht="15">
      <c r="A8" s="537"/>
      <c r="B8" s="30" t="s">
        <v>617</v>
      </c>
      <c r="C8" s="30" t="s">
        <v>78</v>
      </c>
      <c r="D8" s="36" t="s">
        <v>618</v>
      </c>
      <c r="E8" s="31">
        <v>1</v>
      </c>
      <c r="F8" s="31">
        <f t="shared" si="0"/>
        <v>2.777777777777778E-16</v>
      </c>
    </row>
    <row r="9" spans="1:12" s="18" customFormat="1" ht="15">
      <c r="A9" s="537"/>
      <c r="B9" s="30" t="s">
        <v>367</v>
      </c>
      <c r="C9" s="30" t="s">
        <v>404</v>
      </c>
      <c r="D9" s="36" t="s">
        <v>368</v>
      </c>
      <c r="E9" s="31">
        <f>10^6</f>
        <v>1000000</v>
      </c>
      <c r="F9" s="31">
        <f t="shared" si="0"/>
        <v>2.7777777777777777E-10</v>
      </c>
    </row>
    <row r="10" spans="1:12" s="18" customFormat="1" ht="15">
      <c r="A10" s="537"/>
      <c r="B10" s="30" t="s">
        <v>82</v>
      </c>
      <c r="C10" s="30" t="s">
        <v>405</v>
      </c>
      <c r="D10" s="36" t="s">
        <v>90</v>
      </c>
      <c r="E10" s="31">
        <f>10^3*60*60</f>
        <v>3600000</v>
      </c>
      <c r="F10" s="31">
        <f t="shared" si="0"/>
        <v>1.0000000000000001E-9</v>
      </c>
    </row>
    <row r="11" spans="1:12" s="18" customFormat="1" ht="15">
      <c r="A11" s="537"/>
      <c r="B11" s="30" t="s">
        <v>268</v>
      </c>
      <c r="C11" s="30" t="s">
        <v>406</v>
      </c>
      <c r="D11" s="36" t="s">
        <v>269</v>
      </c>
      <c r="E11" s="31">
        <f>1000*60*60*365.25*60000000</f>
        <v>7.8894E+16</v>
      </c>
      <c r="F11" s="31">
        <f t="shared" si="0"/>
        <v>21.914999999999999</v>
      </c>
    </row>
    <row r="12" spans="1:12" s="18" customFormat="1" ht="15">
      <c r="A12" s="537"/>
      <c r="B12" s="30" t="s">
        <v>81</v>
      </c>
      <c r="C12" s="30" t="s">
        <v>407</v>
      </c>
      <c r="D12" s="36" t="s">
        <v>91</v>
      </c>
      <c r="E12" s="31">
        <f>10^12*60*60</f>
        <v>3600000000000000</v>
      </c>
      <c r="F12" s="31">
        <f t="shared" si="0"/>
        <v>1</v>
      </c>
    </row>
    <row r="13" spans="1:12" s="18" customFormat="1" ht="15">
      <c r="A13" s="537"/>
      <c r="B13" s="30" t="s">
        <v>372</v>
      </c>
      <c r="C13" s="30" t="s">
        <v>408</v>
      </c>
      <c r="D13" s="36" t="s">
        <v>398</v>
      </c>
      <c r="E13" s="31">
        <f>10^9*60*60</f>
        <v>3600000000000</v>
      </c>
      <c r="F13" s="31">
        <f t="shared" si="0"/>
        <v>1E-3</v>
      </c>
    </row>
    <row r="14" spans="1:12" s="532" customFormat="1" ht="15">
      <c r="A14" s="537"/>
      <c r="B14" s="30" t="s">
        <v>2131</v>
      </c>
      <c r="C14" s="30" t="s">
        <v>2132</v>
      </c>
      <c r="D14" s="36" t="s">
        <v>2133</v>
      </c>
      <c r="E14" s="31">
        <f>10^6*60*60</f>
        <v>3600000000</v>
      </c>
      <c r="F14" s="31">
        <f t="shared" si="0"/>
        <v>9.9999999999999995E-7</v>
      </c>
    </row>
    <row r="15" spans="1:12" s="532" customFormat="1" ht="15">
      <c r="A15" s="537"/>
      <c r="B15" s="30" t="s">
        <v>2019</v>
      </c>
      <c r="C15" s="30" t="s">
        <v>2020</v>
      </c>
      <c r="D15" s="36" t="s">
        <v>2021</v>
      </c>
      <c r="E15" s="31">
        <f>5861520000000000/1000000</f>
        <v>5861520000</v>
      </c>
      <c r="F15" s="31">
        <f t="shared" si="0"/>
        <v>1.6281999999999999E-6</v>
      </c>
    </row>
    <row r="16" spans="1:12" s="532" customFormat="1" ht="15">
      <c r="A16" s="537"/>
      <c r="B16" s="30" t="s">
        <v>2000</v>
      </c>
      <c r="C16" s="30" t="s">
        <v>2001</v>
      </c>
      <c r="D16" s="36" t="s">
        <v>2002</v>
      </c>
      <c r="E16" s="31">
        <v>5861520000000000</v>
      </c>
      <c r="F16" s="31">
        <f t="shared" ref="F16" si="1">$E16/INDEX(Conversions.Energy.Joules, MATCH(F$4, Conversions.Energy.Units, 0))</f>
        <v>1.6282000000000001</v>
      </c>
    </row>
    <row r="17" spans="1:9" s="18" customFormat="1" ht="15">
      <c r="A17" s="537"/>
      <c r="B17" s="30" t="s">
        <v>84</v>
      </c>
      <c r="C17" s="30" t="s">
        <v>409</v>
      </c>
      <c r="D17" s="36" t="s">
        <v>92</v>
      </c>
      <c r="E17" s="31">
        <f>41.868*10^9</f>
        <v>41868000000</v>
      </c>
      <c r="F17" s="31">
        <f t="shared" si="0"/>
        <v>1.163E-5</v>
      </c>
    </row>
    <row r="18" spans="1:9" s="18" customFormat="1" ht="15">
      <c r="A18" s="537"/>
      <c r="B18" s="30" t="s">
        <v>181</v>
      </c>
      <c r="C18" s="30" t="s">
        <v>410</v>
      </c>
      <c r="D18" s="36" t="s">
        <v>182</v>
      </c>
      <c r="E18" s="31">
        <f>E17*1000</f>
        <v>41868000000000</v>
      </c>
      <c r="F18" s="31">
        <f t="shared" si="0"/>
        <v>1.163E-2</v>
      </c>
    </row>
    <row r="19" spans="1:9" s="18" customFormat="1" ht="15">
      <c r="A19" s="537"/>
      <c r="B19" s="30" t="s">
        <v>83</v>
      </c>
      <c r="C19" s="30" t="s">
        <v>411</v>
      </c>
      <c r="D19" s="36" t="s">
        <v>93</v>
      </c>
      <c r="E19" s="31">
        <f>E17*1000000</f>
        <v>4.1868E+16</v>
      </c>
      <c r="F19" s="31">
        <f t="shared" si="0"/>
        <v>11.63</v>
      </c>
    </row>
    <row r="20" spans="1:9" s="18" customFormat="1" ht="15">
      <c r="A20" s="537"/>
      <c r="B20" s="30" t="s">
        <v>85</v>
      </c>
      <c r="C20" s="30" t="s">
        <v>412</v>
      </c>
      <c r="D20" s="36" t="s">
        <v>94</v>
      </c>
      <c r="E20" s="31">
        <f>41.868*10^9/396.83</f>
        <v>105506136.12882091</v>
      </c>
      <c r="F20" s="31">
        <f t="shared" si="0"/>
        <v>2.9307260035783588E-8</v>
      </c>
    </row>
    <row r="21" spans="1:9" s="18" customFormat="1" ht="15">
      <c r="A21" s="537"/>
      <c r="B21" s="30" t="s">
        <v>86</v>
      </c>
      <c r="C21" s="30" t="s">
        <v>413</v>
      </c>
      <c r="D21" s="36" t="s">
        <v>95</v>
      </c>
      <c r="E21" s="31">
        <f>E20/100000</f>
        <v>1055.0613612882091</v>
      </c>
      <c r="F21" s="31">
        <f t="shared" si="0"/>
        <v>2.9307260035783586E-13</v>
      </c>
    </row>
    <row r="22" spans="1:9" s="18" customFormat="1" ht="15">
      <c r="A22" s="537"/>
      <c r="B22" s="30" t="s">
        <v>87</v>
      </c>
      <c r="C22" s="30" t="s">
        <v>414</v>
      </c>
      <c r="D22" s="36" t="s">
        <v>96</v>
      </c>
      <c r="E22" s="31">
        <v>4.1840000000000002</v>
      </c>
      <c r="F22" s="31">
        <f t="shared" si="0"/>
        <v>1.1622222222222223E-15</v>
      </c>
    </row>
    <row r="23" spans="1:9" s="18" customFormat="1" ht="15">
      <c r="A23" s="537"/>
      <c r="B23" s="30" t="s">
        <v>88</v>
      </c>
      <c r="C23" s="30" t="s">
        <v>415</v>
      </c>
      <c r="D23" s="36" t="s">
        <v>97</v>
      </c>
      <c r="E23" s="31">
        <f>10^9*60*60*8765.8</f>
        <v>3.1556879999999996E+16</v>
      </c>
      <c r="F23" s="31">
        <f t="shared" si="0"/>
        <v>8.7657999999999987</v>
      </c>
    </row>
    <row r="24" spans="1:9" s="532" customFormat="1" ht="15">
      <c r="A24" s="537"/>
      <c r="B24" s="32" t="s">
        <v>1843</v>
      </c>
      <c r="C24" s="32" t="s">
        <v>1888</v>
      </c>
      <c r="D24" s="37" t="s">
        <v>1844</v>
      </c>
      <c r="E24" s="33">
        <f>F24*Unit.J</f>
        <v>2.5252525252525255E-17</v>
      </c>
      <c r="F24" s="33">
        <f>1/11</f>
        <v>9.0909090909090912E-2</v>
      </c>
    </row>
    <row r="26" spans="1:9">
      <c r="E26" s="28"/>
      <c r="F26" s="28"/>
    </row>
    <row r="27" spans="1:9" ht="18">
      <c r="B27" s="29" t="s">
        <v>581</v>
      </c>
      <c r="C27" s="29"/>
      <c r="D27" s="1"/>
      <c r="E27" s="1"/>
      <c r="F27" s="1"/>
    </row>
    <row r="28" spans="1:9" ht="4.5" customHeight="1">
      <c r="B28" s="1"/>
      <c r="C28" s="1"/>
      <c r="D28" s="1"/>
      <c r="E28" s="1"/>
      <c r="F28" s="1"/>
    </row>
    <row r="29" spans="1:9" ht="15">
      <c r="A29" s="3"/>
      <c r="B29" s="34" t="s">
        <v>79</v>
      </c>
      <c r="C29" s="34" t="s">
        <v>399</v>
      </c>
      <c r="D29" s="34" t="s">
        <v>400</v>
      </c>
      <c r="E29" s="527" t="s">
        <v>582</v>
      </c>
      <c r="F29" s="527" t="str">
        <f>Preferences.PowerUnits</f>
        <v>GW</v>
      </c>
      <c r="I29" s="1126"/>
    </row>
    <row r="30" spans="1:9" ht="15">
      <c r="A30" s="3"/>
      <c r="B30" s="30" t="s">
        <v>583</v>
      </c>
      <c r="C30" s="30" t="s">
        <v>585</v>
      </c>
      <c r="D30" s="36" t="s">
        <v>587</v>
      </c>
      <c r="E30" s="31">
        <v>1000000000</v>
      </c>
      <c r="F30" s="31">
        <f t="shared" ref="F30:F35" si="2">$E30/INDEX(Conversions.Power.Watts, MATCH(F$29, Conversions.Power.Units, 0))</f>
        <v>1</v>
      </c>
    </row>
    <row r="31" spans="1:9" s="1" customFormat="1" ht="15">
      <c r="A31" s="3"/>
      <c r="B31" s="30" t="s">
        <v>589</v>
      </c>
      <c r="C31" s="30" t="s">
        <v>590</v>
      </c>
      <c r="D31" s="36" t="s">
        <v>591</v>
      </c>
      <c r="E31" s="31">
        <v>1000000</v>
      </c>
      <c r="F31" s="31">
        <f t="shared" si="2"/>
        <v>1E-3</v>
      </c>
    </row>
    <row r="32" spans="1:9" ht="15">
      <c r="A32" s="3"/>
      <c r="B32" s="1" t="s">
        <v>584</v>
      </c>
      <c r="C32" s="1" t="s">
        <v>586</v>
      </c>
      <c r="D32" s="36" t="s">
        <v>588</v>
      </c>
      <c r="E32" s="31">
        <v>1000</v>
      </c>
      <c r="F32" s="31">
        <f t="shared" si="2"/>
        <v>9.9999999999999995E-7</v>
      </c>
    </row>
    <row r="33" spans="1:6" s="121" customFormat="1" ht="15">
      <c r="A33" s="3"/>
      <c r="B33" s="121" t="s">
        <v>619</v>
      </c>
      <c r="C33" s="121" t="s">
        <v>582</v>
      </c>
      <c r="D33" s="36" t="s">
        <v>620</v>
      </c>
      <c r="E33" s="31">
        <v>1</v>
      </c>
      <c r="F33" s="31">
        <f t="shared" si="2"/>
        <v>1.0000000000000001E-9</v>
      </c>
    </row>
    <row r="34" spans="1:6" ht="15">
      <c r="A34" s="3"/>
      <c r="B34" s="1632" t="s">
        <v>1576</v>
      </c>
      <c r="C34" s="1632" t="s">
        <v>1577</v>
      </c>
      <c r="D34" s="36" t="s">
        <v>1578</v>
      </c>
      <c r="E34" s="31">
        <f>29000000*1000000/(24*60*60)</f>
        <v>335648148.14814812</v>
      </c>
      <c r="F34" s="31">
        <f t="shared" si="2"/>
        <v>0.33564814814814814</v>
      </c>
    </row>
    <row r="35" spans="1:6">
      <c r="B35" s="543" t="s">
        <v>592</v>
      </c>
      <c r="C35" s="543" t="s">
        <v>593</v>
      </c>
      <c r="D35" s="544" t="s">
        <v>594</v>
      </c>
      <c r="E35" s="545">
        <f>$E$19/Unit.year</f>
        <v>1326716860.597764</v>
      </c>
      <c r="F35" s="545">
        <f t="shared" si="2"/>
        <v>1.3267168605977639</v>
      </c>
    </row>
    <row r="37" spans="1:6" ht="4.5" customHeight="1">
      <c r="B37" s="29" t="s">
        <v>595</v>
      </c>
      <c r="C37" s="29"/>
      <c r="D37" s="1"/>
      <c r="E37" s="1"/>
      <c r="F37" s="1"/>
    </row>
    <row r="38" spans="1:6" ht="15">
      <c r="A38" s="3"/>
      <c r="B38" s="1"/>
      <c r="C38" s="1"/>
      <c r="D38" s="1"/>
      <c r="E38" s="1"/>
      <c r="F38" s="1"/>
    </row>
    <row r="39" spans="1:6" ht="15">
      <c r="A39" s="3"/>
      <c r="B39" s="34" t="s">
        <v>79</v>
      </c>
      <c r="C39" s="34" t="s">
        <v>399</v>
      </c>
      <c r="D39" s="34" t="s">
        <v>400</v>
      </c>
      <c r="E39" s="527"/>
      <c r="F39" s="527" t="s">
        <v>596</v>
      </c>
    </row>
    <row r="40" spans="1:6">
      <c r="B40" s="30" t="s">
        <v>597</v>
      </c>
      <c r="C40" s="30" t="s">
        <v>598</v>
      </c>
      <c r="D40" s="36" t="s">
        <v>599</v>
      </c>
      <c r="E40" s="31"/>
      <c r="F40" s="31">
        <f>365.25*Unit.day</f>
        <v>31557600</v>
      </c>
    </row>
    <row r="41" spans="1:6">
      <c r="B41" s="30" t="s">
        <v>1196</v>
      </c>
      <c r="C41" s="30" t="s">
        <v>1194</v>
      </c>
      <c r="D41" s="36" t="s">
        <v>1195</v>
      </c>
      <c r="E41" s="40"/>
      <c r="F41" s="1404">
        <f>Unit.hour*24</f>
        <v>86400</v>
      </c>
    </row>
    <row r="42" spans="1:6">
      <c r="B42" t="s">
        <v>1197</v>
      </c>
      <c r="C42" s="121" t="s">
        <v>1198</v>
      </c>
      <c r="D42" s="1387" t="s">
        <v>1199</v>
      </c>
      <c r="F42" s="1131">
        <f>Unit.minute*60</f>
        <v>3600</v>
      </c>
    </row>
    <row r="43" spans="1:6" ht="15">
      <c r="A43" s="3"/>
      <c r="B43" s="1114" t="s">
        <v>1200</v>
      </c>
      <c r="C43" s="1114" t="s">
        <v>1201</v>
      </c>
      <c r="D43" s="1405" t="s">
        <v>1202</v>
      </c>
      <c r="E43" s="1114"/>
      <c r="F43" s="1406">
        <v>60</v>
      </c>
    </row>
    <row r="45" spans="1:6" ht="18">
      <c r="B45" s="29" t="s">
        <v>1172</v>
      </c>
      <c r="C45" s="29"/>
      <c r="D45" s="121"/>
      <c r="E45" s="121"/>
      <c r="F45" s="121"/>
    </row>
    <row r="46" spans="1:6" ht="15">
      <c r="A46" s="3"/>
      <c r="B46" s="121"/>
      <c r="D46" s="121"/>
      <c r="E46" s="121"/>
      <c r="F46" s="121"/>
    </row>
    <row r="47" spans="1:6" ht="15">
      <c r="A47" s="3"/>
      <c r="B47" s="34" t="s">
        <v>79</v>
      </c>
      <c r="C47" s="34" t="s">
        <v>399</v>
      </c>
      <c r="D47" s="34" t="s">
        <v>400</v>
      </c>
      <c r="E47" s="527" t="s">
        <v>1180</v>
      </c>
      <c r="F47" s="527" t="str">
        <f>Preferences.AreaUnits</f>
        <v>km^2</v>
      </c>
    </row>
    <row r="48" spans="1:6" s="121" customFormat="1" ht="15">
      <c r="A48" s="3"/>
      <c r="B48" s="30" t="s">
        <v>1173</v>
      </c>
      <c r="C48" s="30" t="s">
        <v>1174</v>
      </c>
      <c r="D48" s="36" t="s">
        <v>1175</v>
      </c>
      <c r="E48" s="31">
        <f>100^2</f>
        <v>10000</v>
      </c>
      <c r="F48" s="31">
        <f t="shared" ref="F48:F53" si="3">$E48/INDEX(Conversions.Area.m2, MATCH(F$47, Conversions.Area.Units, 0))</f>
        <v>0.01</v>
      </c>
    </row>
    <row r="49" spans="1:8" ht="15">
      <c r="A49" s="3"/>
      <c r="B49" s="30" t="s">
        <v>1218</v>
      </c>
      <c r="C49" s="30" t="s">
        <v>1219</v>
      </c>
      <c r="D49" s="36" t="s">
        <v>1220</v>
      </c>
      <c r="E49" s="31">
        <f>E48*1000000</f>
        <v>10000000000</v>
      </c>
      <c r="F49" s="31">
        <f t="shared" si="3"/>
        <v>10000</v>
      </c>
      <c r="H49" s="31"/>
    </row>
    <row r="50" spans="1:8" ht="15">
      <c r="A50" s="3"/>
      <c r="B50" s="30" t="s">
        <v>1177</v>
      </c>
      <c r="C50" s="30" t="s">
        <v>1176</v>
      </c>
      <c r="D50" s="36" t="s">
        <v>1178</v>
      </c>
      <c r="E50" s="31">
        <v>4046.8564224000002</v>
      </c>
      <c r="F50" s="31">
        <f t="shared" si="3"/>
        <v>4.0468564224000001E-3</v>
      </c>
    </row>
    <row r="51" spans="1:8" s="121" customFormat="1" ht="15">
      <c r="A51" s="3"/>
      <c r="B51" s="121" t="s">
        <v>1179</v>
      </c>
      <c r="C51" s="121" t="s">
        <v>1181</v>
      </c>
      <c r="D51" s="36" t="s">
        <v>1183</v>
      </c>
      <c r="E51" s="31">
        <f>1000^2</f>
        <v>1000000</v>
      </c>
      <c r="F51" s="31">
        <f t="shared" si="3"/>
        <v>1</v>
      </c>
    </row>
    <row r="52" spans="1:8" ht="15">
      <c r="A52" s="3"/>
      <c r="B52" s="121" t="s">
        <v>1180</v>
      </c>
      <c r="C52" s="121" t="s">
        <v>1182</v>
      </c>
      <c r="D52" s="36" t="s">
        <v>1184</v>
      </c>
      <c r="E52" s="31">
        <v>1</v>
      </c>
      <c r="F52" s="31">
        <f t="shared" si="3"/>
        <v>9.9999999999999995E-7</v>
      </c>
    </row>
    <row r="53" spans="1:8" s="121" customFormat="1" ht="15">
      <c r="A53" s="3"/>
      <c r="B53" s="543" t="s">
        <v>1185</v>
      </c>
      <c r="C53" s="543" t="s">
        <v>1185</v>
      </c>
      <c r="D53" s="544" t="s">
        <v>1186</v>
      </c>
      <c r="E53" s="545">
        <f>20700*E51</f>
        <v>20700000000</v>
      </c>
      <c r="F53" s="545">
        <f t="shared" si="3"/>
        <v>20700</v>
      </c>
    </row>
    <row r="54" spans="1:8">
      <c r="B54" s="40"/>
      <c r="C54" s="40"/>
      <c r="D54" s="1387"/>
      <c r="E54" s="1388"/>
      <c r="F54" s="1388"/>
    </row>
    <row r="55" spans="1:8" s="121" customFormat="1" ht="18">
      <c r="B55" s="29" t="s">
        <v>1203</v>
      </c>
      <c r="F55"/>
    </row>
    <row r="56" spans="1:8" ht="4.5" customHeight="1">
      <c r="A56" s="3"/>
      <c r="B56" s="29"/>
      <c r="D56" s="121"/>
      <c r="E56" s="121"/>
      <c r="F56" s="121"/>
    </row>
    <row r="57" spans="1:8" ht="15">
      <c r="A57" s="3"/>
      <c r="B57" s="34" t="s">
        <v>1206</v>
      </c>
      <c r="C57" s="34" t="s">
        <v>399</v>
      </c>
      <c r="D57" s="34" t="s">
        <v>400</v>
      </c>
      <c r="E57" s="527" t="s">
        <v>1208</v>
      </c>
      <c r="F57" s="34" t="s">
        <v>1207</v>
      </c>
    </row>
    <row r="58" spans="1:8" ht="15">
      <c r="A58" s="3"/>
      <c r="B58" s="30" t="str">
        <f>Preferences.EnergyUnits</f>
        <v>TWh</v>
      </c>
      <c r="C58" s="30" t="s">
        <v>1204</v>
      </c>
      <c r="D58" s="36" t="s">
        <v>1205</v>
      </c>
      <c r="E58" s="1407">
        <f>(1/Unit.J)*(1/Unit.year)*Unit.W</f>
        <v>0.1140771161305042</v>
      </c>
      <c r="F58" s="1408" t="str">
        <f>Preferences.PowerUnits</f>
        <v>GW</v>
      </c>
    </row>
    <row r="59" spans="1:8" ht="15">
      <c r="A59" s="3"/>
      <c r="B59" s="1408" t="str">
        <f>Preferences.PowerUnits</f>
        <v>GW</v>
      </c>
      <c r="C59" s="30" t="s">
        <v>1209</v>
      </c>
      <c r="D59" s="36" t="s">
        <v>1210</v>
      </c>
      <c r="E59">
        <f>(1/Unit.W)*Unit.year*Unit.J</f>
        <v>8.766</v>
      </c>
      <c r="F59" s="565" t="str">
        <f>Preferences.EnergyUnits</f>
        <v>TWh</v>
      </c>
    </row>
    <row r="60" spans="1:8">
      <c r="B60" s="1416" t="str">
        <f>Preferences.PowerUnits</f>
        <v>GW</v>
      </c>
      <c r="C60" s="1114" t="s">
        <v>1211</v>
      </c>
      <c r="D60" s="37" t="s">
        <v>1212</v>
      </c>
      <c r="E60" s="1114">
        <f>Unit.J/Unit.W</f>
        <v>2.7777777777777776E-7</v>
      </c>
      <c r="F60" s="1417" t="str">
        <f>Preferences.EnergyUnits&amp;"/s"</f>
        <v>TWh/s</v>
      </c>
    </row>
    <row r="61" spans="1:8" s="1899" customFormat="1"/>
    <row r="62" spans="1:8" s="1899" customFormat="1" ht="18">
      <c r="B62" s="29" t="s">
        <v>2071</v>
      </c>
      <c r="C62" s="29"/>
    </row>
    <row r="63" spans="1:8" s="1899" customFormat="1" ht="4.5" customHeight="1"/>
    <row r="64" spans="1:8" s="1899" customFormat="1">
      <c r="B64" s="34" t="s">
        <v>1206</v>
      </c>
      <c r="C64" s="34" t="s">
        <v>399</v>
      </c>
      <c r="D64" s="34" t="s">
        <v>400</v>
      </c>
      <c r="E64" s="527" t="s">
        <v>1208</v>
      </c>
      <c r="F64" s="34" t="s">
        <v>1207</v>
      </c>
    </row>
    <row r="65" spans="2:6" s="1899" customFormat="1">
      <c r="B65" s="1899" t="s">
        <v>2072</v>
      </c>
      <c r="C65" s="1899" t="s">
        <v>2073</v>
      </c>
      <c r="D65" s="1899" t="s">
        <v>2074</v>
      </c>
      <c r="E65" s="1899">
        <v>4.5460900000000004</v>
      </c>
      <c r="F65" s="1899" t="s">
        <v>2075</v>
      </c>
    </row>
    <row r="66" spans="2:6" s="1899" customFormat="1">
      <c r="B66" s="1114" t="s">
        <v>2076</v>
      </c>
      <c r="C66" s="1114" t="s">
        <v>2077</v>
      </c>
      <c r="D66" s="1114" t="s">
        <v>2078</v>
      </c>
      <c r="E66" s="1114">
        <v>3.7854109999999999</v>
      </c>
      <c r="F66" s="1114" t="s">
        <v>2075</v>
      </c>
    </row>
    <row r="67" spans="2:6" s="1899" customFormat="1"/>
  </sheetData>
  <dataValidations count="1">
    <dataValidation type="list" allowBlank="1" showInputMessage="1" showErrorMessage="1" sqref="I4 L4">
      <formula1>Conversions.Energy.Units</formula1>
    </dataValidation>
  </dataValidation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theme="7" tint="0.39997558519241921"/>
    <pageSetUpPr autoPageBreaks="0"/>
  </sheetPr>
  <dimension ref="A1:M29"/>
  <sheetViews>
    <sheetView workbookViewId="0">
      <selection activeCell="L15" sqref="L15"/>
    </sheetView>
  </sheetViews>
  <sheetFormatPr baseColWidth="10" defaultColWidth="8.83203125" defaultRowHeight="13" x14ac:dyDescent="0"/>
  <cols>
    <col min="1" max="1" width="4.5" customWidth="1"/>
    <col min="2" max="4" width="13.83203125" customWidth="1"/>
    <col min="5" max="5" width="18.83203125" bestFit="1" customWidth="1"/>
    <col min="7" max="7" width="36.5" customWidth="1"/>
  </cols>
  <sheetData>
    <row r="1" spans="1:13" s="121" customFormat="1"/>
    <row r="2" spans="1:13" s="121" customFormat="1" ht="18">
      <c r="B2" s="29" t="s">
        <v>660</v>
      </c>
      <c r="G2" s="29" t="s">
        <v>643</v>
      </c>
    </row>
    <row r="4" spans="1:13" ht="22.5" customHeight="1">
      <c r="B4" s="605" t="s">
        <v>598</v>
      </c>
      <c r="C4" s="605" t="s">
        <v>658</v>
      </c>
      <c r="D4" s="605" t="s">
        <v>659</v>
      </c>
      <c r="E4" s="605" t="s">
        <v>663</v>
      </c>
      <c r="G4" s="1113" t="s">
        <v>961</v>
      </c>
      <c r="H4" s="1113" t="s">
        <v>962</v>
      </c>
      <c r="I4" s="1113" t="s">
        <v>963</v>
      </c>
    </row>
    <row r="5" spans="1:13" ht="16">
      <c r="A5" s="3"/>
      <c r="B5" s="532">
        <v>2007</v>
      </c>
      <c r="C5" s="606">
        <v>60973000</v>
      </c>
      <c r="D5" s="606">
        <v>26042600</v>
      </c>
      <c r="E5" s="606">
        <v>1322842</v>
      </c>
      <c r="G5" s="606" t="s">
        <v>960</v>
      </c>
      <c r="H5" s="796" t="s">
        <v>964</v>
      </c>
      <c r="I5">
        <v>100</v>
      </c>
      <c r="M5" s="1127"/>
    </row>
    <row r="6" spans="1:13" ht="16">
      <c r="A6" s="3"/>
      <c r="B6" s="532">
        <v>2010</v>
      </c>
      <c r="C6" s="606">
        <v>62222403</v>
      </c>
      <c r="D6" s="606">
        <v>26917400</v>
      </c>
      <c r="E6" s="606">
        <f>E5*(1.025)^3</f>
        <v>1424556.1481562499</v>
      </c>
      <c r="G6" s="606" t="s">
        <v>967</v>
      </c>
      <c r="H6" s="796" t="s">
        <v>964</v>
      </c>
      <c r="I6">
        <v>110</v>
      </c>
      <c r="M6" s="1127"/>
    </row>
    <row r="7" spans="1:13" ht="15">
      <c r="A7" s="3"/>
      <c r="B7" s="532">
        <v>2015</v>
      </c>
      <c r="C7" s="606">
        <v>64344156</v>
      </c>
      <c r="D7" s="606">
        <v>28469000</v>
      </c>
      <c r="E7" s="606">
        <f t="shared" ref="E7:E14" si="0">E6*(1.025)^5</f>
        <v>1611754.5257478147</v>
      </c>
      <c r="M7" s="1127"/>
    </row>
    <row r="8" spans="1:13" ht="15">
      <c r="A8" s="3"/>
      <c r="B8" s="532">
        <v>2020</v>
      </c>
      <c r="C8" s="606">
        <v>66521962</v>
      </c>
      <c r="D8" s="606">
        <v>30004800</v>
      </c>
      <c r="E8" s="606">
        <f t="shared" si="0"/>
        <v>1823552.3075947112</v>
      </c>
      <c r="M8" s="1127"/>
    </row>
    <row r="9" spans="1:13" ht="15">
      <c r="A9" s="3"/>
      <c r="B9" s="532">
        <v>2025</v>
      </c>
      <c r="C9" s="606">
        <v>68647528</v>
      </c>
      <c r="D9" s="606">
        <v>31434800</v>
      </c>
      <c r="E9" s="606">
        <f t="shared" si="0"/>
        <v>2063182.0574483068</v>
      </c>
      <c r="M9" s="1127"/>
    </row>
    <row r="10" spans="1:13" ht="15">
      <c r="A10" s="3"/>
      <c r="B10" s="532">
        <v>2030</v>
      </c>
      <c r="C10" s="606">
        <v>70575666</v>
      </c>
      <c r="D10" s="606">
        <v>32744800</v>
      </c>
      <c r="E10" s="606">
        <f t="shared" si="0"/>
        <v>2334301.124485591</v>
      </c>
      <c r="M10" s="1127"/>
    </row>
    <row r="11" spans="1:13" ht="15">
      <c r="A11" s="3"/>
      <c r="B11" s="532">
        <v>2035</v>
      </c>
      <c r="C11" s="606">
        <v>72278230.000000015</v>
      </c>
      <c r="D11" s="606">
        <f>D10*(1.01)^5</f>
        <v>34415113.888514474</v>
      </c>
      <c r="E11" s="606">
        <f t="shared" si="0"/>
        <v>2641047.4636028181</v>
      </c>
      <c r="M11" s="1127"/>
    </row>
    <row r="12" spans="1:13" ht="15">
      <c r="A12" s="3"/>
      <c r="B12" s="532">
        <v>2040</v>
      </c>
      <c r="C12" s="606">
        <v>73853253</v>
      </c>
      <c r="D12" s="606">
        <f>D11*(1.01)^5</f>
        <v>36170630.572164804</v>
      </c>
      <c r="E12" s="606">
        <f t="shared" si="0"/>
        <v>2988102.7909541815</v>
      </c>
      <c r="M12" s="1127"/>
    </row>
    <row r="13" spans="1:13" ht="15">
      <c r="A13" s="3"/>
      <c r="B13" s="532">
        <v>2045</v>
      </c>
      <c r="C13" s="606">
        <v>75356458</v>
      </c>
      <c r="D13" s="606">
        <f>D12*(1.01)^5</f>
        <v>38015696.24979952</v>
      </c>
      <c r="E13" s="606">
        <f t="shared" si="0"/>
        <v>3380764.0386469583</v>
      </c>
      <c r="M13" s="1127"/>
    </row>
    <row r="14" spans="1:13">
      <c r="B14" s="532">
        <v>2050</v>
      </c>
      <c r="C14" s="606">
        <v>76789483</v>
      </c>
      <c r="D14" s="606">
        <f>D13*(1.01)^5</f>
        <v>39954878.82008817</v>
      </c>
      <c r="E14" s="606">
        <f t="shared" si="0"/>
        <v>3825024.199170446</v>
      </c>
      <c r="G14" s="1114"/>
      <c r="H14" s="1114"/>
      <c r="I14" s="1114"/>
      <c r="M14" s="1127"/>
    </row>
    <row r="16" spans="1:13">
      <c r="B16" s="530" t="s">
        <v>667</v>
      </c>
    </row>
    <row r="17" spans="2:3" s="121" customFormat="1">
      <c r="B17" s="530"/>
    </row>
    <row r="18" spans="2:3">
      <c r="B18" s="20" t="s">
        <v>665</v>
      </c>
      <c r="C18" s="121" t="s">
        <v>666</v>
      </c>
    </row>
    <row r="19" spans="2:3" s="121" customFormat="1">
      <c r="B19" s="20"/>
    </row>
    <row r="20" spans="2:3">
      <c r="B20" s="20" t="s">
        <v>664</v>
      </c>
      <c r="C20" s="121" t="s">
        <v>670</v>
      </c>
    </row>
    <row r="21" spans="2:3" s="121" customFormat="1">
      <c r="B21" s="20"/>
      <c r="C21" s="121" t="s">
        <v>792</v>
      </c>
    </row>
    <row r="22" spans="2:3">
      <c r="B22" s="20"/>
      <c r="C22" s="121" t="s">
        <v>671</v>
      </c>
    </row>
    <row r="23" spans="2:3" s="121" customFormat="1">
      <c r="B23" s="20"/>
    </row>
    <row r="24" spans="2:3">
      <c r="B24" s="20" t="s">
        <v>661</v>
      </c>
      <c r="C24" s="121" t="s">
        <v>662</v>
      </c>
    </row>
    <row r="26" spans="2:3">
      <c r="B26" s="20" t="s">
        <v>965</v>
      </c>
      <c r="C26" s="121" t="s">
        <v>966</v>
      </c>
    </row>
    <row r="29" spans="2:3">
      <c r="C29" s="1077"/>
    </row>
  </sheetData>
  <pageMargins left="0.7" right="0.7" top="0.75" bottom="0.75" header="0.3" footer="0.3"/>
  <ignoredErrors>
    <ignoredError sqref="D5:D10 D11:D14" calculatedColumn="1"/>
  </ignoredErrors>
  <tableParts count="1">
    <tablePart r:id="rId1"/>
  </tableParts>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7" tint="0.39997558519241921"/>
    <pageSetUpPr autoPageBreaks="0"/>
  </sheetPr>
  <dimension ref="A2:K42"/>
  <sheetViews>
    <sheetView workbookViewId="0"/>
  </sheetViews>
  <sheetFormatPr baseColWidth="10" defaultColWidth="8.83203125" defaultRowHeight="13" x14ac:dyDescent="0"/>
  <cols>
    <col min="1" max="1" width="2.83203125" customWidth="1"/>
    <col min="2" max="2" width="35" customWidth="1"/>
    <col min="3" max="3" width="26.33203125" customWidth="1"/>
    <col min="5" max="5" width="18.6640625" style="121" bestFit="1" customWidth="1"/>
    <col min="6" max="6" width="14.1640625" customWidth="1"/>
    <col min="7" max="8" width="14.1640625" style="121" customWidth="1"/>
    <col min="10" max="10" width="24.1640625" customWidth="1"/>
    <col min="11" max="11" width="12.33203125" bestFit="1" customWidth="1"/>
  </cols>
  <sheetData>
    <row r="2" spans="1:11" ht="18" customHeight="1">
      <c r="B2" s="29" t="s">
        <v>366</v>
      </c>
      <c r="C2" s="121"/>
      <c r="E2" s="29" t="s">
        <v>526</v>
      </c>
      <c r="F2" s="121"/>
      <c r="H2" s="20" t="str">
        <f>"per " &amp; Preferences.EnergyUnits</f>
        <v>per TWh</v>
      </c>
      <c r="J2" s="29" t="s">
        <v>533</v>
      </c>
      <c r="K2" s="29"/>
    </row>
    <row r="3" spans="1:11" ht="6.75" customHeight="1">
      <c r="B3" s="246"/>
      <c r="C3" s="121"/>
      <c r="E3" s="246"/>
      <c r="F3" s="121"/>
      <c r="J3" s="246"/>
      <c r="K3" s="246"/>
    </row>
    <row r="4" spans="1:11" s="121" customFormat="1" ht="6.75" customHeight="1">
      <c r="B4" s="246"/>
      <c r="E4" s="246"/>
      <c r="J4" s="246"/>
      <c r="K4" s="246"/>
    </row>
    <row r="5" spans="1:11" ht="18.75" customHeight="1">
      <c r="B5" s="34" t="s">
        <v>362</v>
      </c>
      <c r="C5" s="645" t="str">
        <f>Preferences.EnergyUnits &amp; " / kg"</f>
        <v>TWh / kg</v>
      </c>
      <c r="E5" s="34" t="s">
        <v>529</v>
      </c>
      <c r="F5" s="35" t="s">
        <v>553</v>
      </c>
      <c r="G5" s="35" t="s">
        <v>554</v>
      </c>
      <c r="H5" s="35" t="s">
        <v>555</v>
      </c>
      <c r="J5" s="34" t="s">
        <v>14</v>
      </c>
      <c r="K5" s="34" t="s">
        <v>534</v>
      </c>
    </row>
    <row r="6" spans="1:11" ht="15">
      <c r="A6" s="3"/>
      <c r="B6" s="30" t="s">
        <v>358</v>
      </c>
      <c r="C6" s="247">
        <f>'DUKES 09 (A.1)'!$C$7*Unit.GJ/1000</f>
        <v>7.2500000000000004E-9</v>
      </c>
      <c r="E6" s="30" t="s">
        <v>527</v>
      </c>
      <c r="F6" s="247">
        <f>0.308/1000000000/Unit.kWh</f>
        <v>0.30799999999999994</v>
      </c>
      <c r="G6" s="247">
        <f>(13.56 / 96935) * EF.IndustrialCoal.CO2 * GWP.CH4</f>
        <v>9.0479269613658628E-4</v>
      </c>
      <c r="H6" s="247">
        <f>(2.77 / 96935) *EF.IndustrialCoal.CO2 * GWP.N2O</f>
        <v>2.7284221385464481E-3</v>
      </c>
      <c r="J6" s="30" t="s">
        <v>535</v>
      </c>
      <c r="K6" s="30">
        <v>1</v>
      </c>
    </row>
    <row r="7" spans="1:11" ht="15">
      <c r="A7" s="3"/>
      <c r="B7" s="30" t="s">
        <v>361</v>
      </c>
      <c r="C7" s="247">
        <f>'DUKES 09 (A.1)'!$C$38*Unit.GJ/1000</f>
        <v>8.277777777777778E-9</v>
      </c>
      <c r="E7" s="30" t="s">
        <v>528</v>
      </c>
      <c r="F7" s="247">
        <f>0.25/1000000000/Unit.kWh</f>
        <v>0.25</v>
      </c>
      <c r="G7" s="247">
        <f>(4.28 / 72193) * EF.Diesel.CO2 * GWP.CH4</f>
        <v>3.1124901306220826E-4</v>
      </c>
      <c r="H7" s="247">
        <f>(4.19 / 72193)*EF.Diesel.CO2 * GWP.N2O</f>
        <v>4.4980122726580142E-3</v>
      </c>
      <c r="J7" s="30" t="s">
        <v>536</v>
      </c>
      <c r="K7" s="30">
        <v>21</v>
      </c>
    </row>
    <row r="8" spans="1:11" ht="15">
      <c r="A8" s="3"/>
      <c r="B8" s="30" t="s">
        <v>331</v>
      </c>
      <c r="C8" s="247">
        <f>'DUKES 09 (A.1)'!$C$39*Unit.GJ/1000</f>
        <v>6.8888888888888888E-9</v>
      </c>
      <c r="E8" s="30" t="s">
        <v>259</v>
      </c>
      <c r="F8" s="247">
        <f>0.184/1000000000/Unit.kWh</f>
        <v>0.18399999999999997</v>
      </c>
      <c r="G8" s="247">
        <f>(5.49 / 57516) * EF.NaturalGas.CO2 * GWP.CH4</f>
        <v>3.6882537033173374E-4</v>
      </c>
      <c r="H8" s="247">
        <f>(0.4 / 57516) *EF.NaturalGas.CO2 * GWP.N2O</f>
        <v>3.9668961680228111E-4</v>
      </c>
      <c r="J8" s="30" t="s">
        <v>537</v>
      </c>
      <c r="K8" s="30">
        <v>310</v>
      </c>
    </row>
    <row r="9" spans="1:11" ht="15">
      <c r="A9" s="3"/>
      <c r="B9" s="32" t="s">
        <v>332</v>
      </c>
      <c r="C9" s="248">
        <f>'DUKES 09 (A.1)'!$C$40*Unit.GJ/1000</f>
        <v>9.0555555555555567E-9</v>
      </c>
      <c r="E9" s="32" t="s">
        <v>252</v>
      </c>
      <c r="F9" s="248">
        <f>(44/12)*6.273/1000/1000000/Unit.therm</f>
        <v>0.78482259931212373</v>
      </c>
      <c r="G9" s="248"/>
      <c r="H9" s="248"/>
      <c r="J9" s="30" t="s">
        <v>538</v>
      </c>
      <c r="K9" s="521" t="s">
        <v>541</v>
      </c>
    </row>
    <row r="10" spans="1:11" ht="15">
      <c r="A10" s="3"/>
      <c r="B10" s="30"/>
      <c r="C10" s="36"/>
      <c r="E10" s="30"/>
      <c r="F10" s="36"/>
      <c r="G10" s="36"/>
      <c r="H10" s="36"/>
      <c r="J10" s="30" t="s">
        <v>539</v>
      </c>
      <c r="K10" s="521" t="s">
        <v>542</v>
      </c>
    </row>
    <row r="11" spans="1:11" ht="17">
      <c r="A11" s="3"/>
      <c r="B11" s="523" t="s">
        <v>692</v>
      </c>
      <c r="C11" s="646" t="str">
        <f>Preferences.EnergyUnits &amp; " / kg"</f>
        <v>TWh / kg</v>
      </c>
      <c r="E11"/>
      <c r="J11" s="32" t="s">
        <v>540</v>
      </c>
      <c r="K11" s="522">
        <v>23900</v>
      </c>
    </row>
    <row r="12" spans="1:11" s="121" customFormat="1" ht="15">
      <c r="A12" s="3"/>
      <c r="B12" s="815" t="s">
        <v>793</v>
      </c>
      <c r="C12" s="247">
        <f>'DUKES 09 (A.1)'!$F$20*Unit.GJ/1000</f>
        <v>1.2681685784924602E-8</v>
      </c>
      <c r="J12" s="30"/>
      <c r="K12" s="813"/>
    </row>
    <row r="13" spans="1:11" ht="15">
      <c r="A13" s="3"/>
      <c r="B13" s="30" t="s">
        <v>693</v>
      </c>
      <c r="C13" s="247">
        <f>'DUKES 09 (A.1)'!$F$21*Unit.GJ/1000</f>
        <v>1.2793750995122346E-8</v>
      </c>
      <c r="E13" s="526"/>
      <c r="F13" s="525"/>
      <c r="G13" s="525"/>
    </row>
    <row r="14" spans="1:11" s="121" customFormat="1" ht="15">
      <c r="A14" s="3"/>
      <c r="B14" s="30" t="s">
        <v>696</v>
      </c>
      <c r="C14" s="247">
        <f>'DUKES 09 (A.1)'!$F$28*Unit.GJ/1000</f>
        <v>1.3081411266069852E-8</v>
      </c>
      <c r="E14" s="526"/>
      <c r="F14" s="525"/>
      <c r="G14" s="525"/>
    </row>
    <row r="15" spans="1:11" s="121" customFormat="1" ht="15">
      <c r="A15" s="3"/>
      <c r="B15" s="30" t="s">
        <v>697</v>
      </c>
      <c r="C15" s="247">
        <f>'DUKES 09 (A.1)'!$F$30*Unit.GJ/1000</f>
        <v>1.2651871239786547E-8</v>
      </c>
      <c r="E15" s="526"/>
      <c r="F15" s="525"/>
      <c r="G15" s="525"/>
    </row>
    <row r="16" spans="1:11" s="121" customFormat="1" ht="15">
      <c r="A16" s="3"/>
      <c r="B16" s="32" t="s">
        <v>705</v>
      </c>
      <c r="C16" s="248">
        <f>'DUKES 09 (A.1)'!$F$27*Unit.GJ/1000</f>
        <v>1.2827208886163561E-8</v>
      </c>
      <c r="E16" s="526"/>
      <c r="F16" s="525"/>
      <c r="G16" s="525"/>
    </row>
    <row r="17" spans="1:10" ht="15" customHeight="1">
      <c r="B17" s="30"/>
      <c r="C17" s="36"/>
    </row>
    <row r="18" spans="1:10" ht="15">
      <c r="A18" s="3"/>
      <c r="B18" s="523" t="s">
        <v>363</v>
      </c>
      <c r="C18" s="646" t="str">
        <f>Preferences.EnergyUnits &amp; " / cubic metre"</f>
        <v>TWh / cubic metre</v>
      </c>
      <c r="E18" s="24" t="s">
        <v>545</v>
      </c>
      <c r="J18" s="24" t="s">
        <v>546</v>
      </c>
    </row>
    <row r="19" spans="1:10" s="121" customFormat="1" ht="15">
      <c r="A19" s="3"/>
      <c r="B19" s="814" t="s">
        <v>794</v>
      </c>
      <c r="C19" s="247">
        <f>'DUKES 09 (A.1)'!$F$37*Unit.MJ</f>
        <v>1.1016960011247869E-8</v>
      </c>
      <c r="E19" s="24"/>
      <c r="J19" s="24"/>
    </row>
    <row r="20" spans="1:10" ht="15">
      <c r="A20" s="3"/>
      <c r="B20" s="30" t="s">
        <v>364</v>
      </c>
      <c r="C20" s="247">
        <f>'DUKES 09 (A.1)'!$F$38*Unit.MJ</f>
        <v>1.0944444444444444E-8</v>
      </c>
      <c r="E20" s="246" t="s">
        <v>544</v>
      </c>
      <c r="J20" s="246" t="s">
        <v>547</v>
      </c>
    </row>
    <row r="21" spans="1:10" ht="15">
      <c r="A21" s="3"/>
      <c r="B21" s="30" t="s">
        <v>257</v>
      </c>
      <c r="C21" s="247">
        <f>'DUKES 09 (A.1)'!$F$39*Unit.MJ</f>
        <v>5.0000000000000001E-9</v>
      </c>
      <c r="E21" s="246" t="s">
        <v>543</v>
      </c>
    </row>
    <row r="22" spans="1:10" ht="15">
      <c r="A22" s="3"/>
      <c r="B22" s="30" t="s">
        <v>252</v>
      </c>
      <c r="C22" s="247">
        <f>'DUKES 09 (A.1)'!$F$40*Unit.MJ</f>
        <v>8.3333333333333335E-10</v>
      </c>
      <c r="E22" s="246" t="s">
        <v>549</v>
      </c>
    </row>
    <row r="23" spans="1:10" ht="15">
      <c r="A23" s="3"/>
      <c r="B23" s="30" t="s">
        <v>211</v>
      </c>
      <c r="C23" s="247">
        <f>23*Unit.MJ</f>
        <v>6.3888888888888885E-9</v>
      </c>
      <c r="E23"/>
    </row>
    <row r="24" spans="1:10" ht="15">
      <c r="A24" s="3"/>
      <c r="B24" s="32" t="s">
        <v>365</v>
      </c>
      <c r="C24" s="248">
        <f>23*Unit.MJ</f>
        <v>6.3888888888888885E-9</v>
      </c>
      <c r="E24" s="24" t="s">
        <v>548</v>
      </c>
    </row>
    <row r="25" spans="1:10">
      <c r="E25" s="246" t="s">
        <v>550</v>
      </c>
    </row>
    <row r="26" spans="1:10">
      <c r="B26" s="24" t="s">
        <v>546</v>
      </c>
      <c r="E26" s="246" t="s">
        <v>551</v>
      </c>
    </row>
    <row r="27" spans="1:10">
      <c r="B27" s="246" t="s">
        <v>694</v>
      </c>
      <c r="E27" s="246" t="s">
        <v>552</v>
      </c>
    </row>
    <row r="30" spans="1:10" ht="18">
      <c r="B30" s="29" t="s">
        <v>698</v>
      </c>
      <c r="C30" s="121"/>
    </row>
    <row r="31" spans="1:10">
      <c r="B31" s="246"/>
      <c r="C31" s="121"/>
    </row>
    <row r="32" spans="1:10" ht="15">
      <c r="A32" s="3"/>
      <c r="B32" s="34" t="s">
        <v>699</v>
      </c>
      <c r="C32" s="645" t="s">
        <v>695</v>
      </c>
    </row>
    <row r="33" spans="1:3" ht="15">
      <c r="A33" s="3"/>
      <c r="B33" s="30" t="s">
        <v>701</v>
      </c>
      <c r="C33" s="247">
        <f>(1/1362)*1000</f>
        <v>0.73421439060205573</v>
      </c>
    </row>
    <row r="34" spans="1:3" s="1907" customFormat="1" ht="15">
      <c r="A34" s="3"/>
      <c r="B34" s="30" t="s">
        <v>2126</v>
      </c>
      <c r="C34" s="247">
        <v>0.78900000000000003</v>
      </c>
    </row>
    <row r="35" spans="1:3" s="1907" customFormat="1" ht="15">
      <c r="A35" s="3"/>
      <c r="B35" s="30" t="s">
        <v>2127</v>
      </c>
      <c r="C35" s="247">
        <f>AVERAGE(775,840)/1000</f>
        <v>0.8075</v>
      </c>
    </row>
    <row r="36" spans="1:3" ht="15">
      <c r="A36" s="3"/>
      <c r="B36" s="32" t="s">
        <v>702</v>
      </c>
      <c r="C36" s="248">
        <f>(1/1198)*1000</f>
        <v>0.8347245409015025</v>
      </c>
    </row>
    <row r="37" spans="1:3" ht="15">
      <c r="A37" s="3"/>
      <c r="B37" s="30"/>
      <c r="C37" s="247"/>
    </row>
    <row r="38" spans="1:3" ht="15">
      <c r="A38" s="3"/>
      <c r="B38" s="30"/>
      <c r="C38" s="247"/>
    </row>
    <row r="41" spans="1:3">
      <c r="B41" s="38" t="s">
        <v>546</v>
      </c>
    </row>
    <row r="42" spans="1:3">
      <c r="B42" s="582" t="s">
        <v>700</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7" tint="0.39997558519241921"/>
    <pageSetUpPr autoPageBreaks="0"/>
  </sheetPr>
  <dimension ref="A1:K55"/>
  <sheetViews>
    <sheetView workbookViewId="0"/>
  </sheetViews>
  <sheetFormatPr baseColWidth="10" defaultColWidth="8.83203125" defaultRowHeight="13" x14ac:dyDescent="0"/>
  <cols>
    <col min="1" max="1" width="1.1640625" customWidth="1"/>
    <col min="3" max="3" width="28.1640625" style="121" bestFit="1" customWidth="1"/>
    <col min="4" max="4" width="9.6640625" customWidth="1"/>
    <col min="5" max="5" width="9.5" customWidth="1"/>
    <col min="6" max="6" width="9.6640625" customWidth="1"/>
    <col min="7" max="7" width="9.6640625" style="1685" customWidth="1"/>
    <col min="8" max="8" width="49.6640625" bestFit="1" customWidth="1"/>
  </cols>
  <sheetData>
    <row r="1" spans="1:8" s="121" customFormat="1" ht="15">
      <c r="B1" s="575" t="s">
        <v>824</v>
      </c>
      <c r="G1" s="1685"/>
    </row>
    <row r="2" spans="1:8" s="121" customFormat="1">
      <c r="B2" s="121" t="s">
        <v>1392</v>
      </c>
      <c r="G2" s="1685"/>
      <c r="H2" s="20" t="str">
        <f>"Mt CO2e per " &amp; Preferences.EnergyUnits</f>
        <v>Mt CO2e per TWh</v>
      </c>
    </row>
    <row r="4" spans="1:8" ht="17">
      <c r="A4" s="548"/>
      <c r="B4" s="532" t="s">
        <v>72</v>
      </c>
      <c r="C4" s="532" t="s">
        <v>73</v>
      </c>
      <c r="D4" s="532" t="s">
        <v>811</v>
      </c>
      <c r="E4" s="532" t="s">
        <v>812</v>
      </c>
      <c r="F4" s="532" t="s">
        <v>813</v>
      </c>
      <c r="G4" s="532" t="s">
        <v>1730</v>
      </c>
      <c r="H4" s="532" t="s">
        <v>559</v>
      </c>
    </row>
    <row r="5" spans="1:8" ht="15">
      <c r="A5" s="3"/>
      <c r="B5" s="532" t="s">
        <v>31</v>
      </c>
      <c r="C5" s="532" t="str">
        <f>INDEX(Vectors[Description], MATCH(EF[Vector], Vectors[Code], 0))</f>
        <v>Conversion losses</v>
      </c>
      <c r="D5" s="592">
        <v>0</v>
      </c>
      <c r="E5" s="592">
        <v>0</v>
      </c>
      <c r="F5" s="592">
        <v>0</v>
      </c>
      <c r="G5" s="592">
        <f>SUM(EF[[#This Row],[CO2]:[N2O]])</f>
        <v>0</v>
      </c>
      <c r="H5" s="532"/>
    </row>
    <row r="6" spans="1:8" ht="15">
      <c r="A6" s="3"/>
      <c r="B6" s="532" t="s">
        <v>32</v>
      </c>
      <c r="C6" s="532" t="str">
        <f>INDEX(Vectors[Description], MATCH(EF[Vector], Vectors[Code], 0))</f>
        <v>Distribution losses and own use</v>
      </c>
      <c r="D6" s="592">
        <v>0</v>
      </c>
      <c r="E6" s="592">
        <v>0</v>
      </c>
      <c r="F6" s="592">
        <v>0</v>
      </c>
      <c r="G6" s="592">
        <f>SUM(EF[[#This Row],[CO2]:[N2O]])</f>
        <v>0</v>
      </c>
      <c r="H6" s="532"/>
    </row>
    <row r="7" spans="1:8" ht="15">
      <c r="A7" s="3"/>
      <c r="B7" s="532" t="s">
        <v>55</v>
      </c>
      <c r="C7" s="532" t="str">
        <f>INDEX(Vectors[Description], MATCH(EF[Vector], Vectors[Code], 0))</f>
        <v>Unallocated</v>
      </c>
      <c r="D7" s="592">
        <v>0</v>
      </c>
      <c r="E7" s="592">
        <v>0</v>
      </c>
      <c r="F7" s="592">
        <v>0</v>
      </c>
      <c r="G7" s="592">
        <f>SUM(EF[[#This Row],[CO2]:[N2O]])</f>
        <v>0</v>
      </c>
      <c r="H7" s="532"/>
    </row>
    <row r="8" spans="1:8" ht="15">
      <c r="A8" s="3"/>
      <c r="B8" s="532" t="s">
        <v>33</v>
      </c>
      <c r="C8" s="532" t="str">
        <f>INDEX(Vectors[Description], MATCH(EF[Vector], Vectors[Code], 0))</f>
        <v>Road transport</v>
      </c>
      <c r="D8" s="592">
        <v>0</v>
      </c>
      <c r="E8" s="592">
        <v>0</v>
      </c>
      <c r="F8" s="592">
        <v>0</v>
      </c>
      <c r="G8" s="592">
        <f>SUM(EF[[#This Row],[CO2]:[N2O]])</f>
        <v>0</v>
      </c>
      <c r="H8" s="532"/>
    </row>
    <row r="9" spans="1:8" ht="15">
      <c r="A9" s="3"/>
      <c r="B9" s="532" t="s">
        <v>34</v>
      </c>
      <c r="C9" s="532" t="str">
        <f>INDEX(Vectors[Description], MATCH(EF[Vector], Vectors[Code], 0))</f>
        <v>Rail transport</v>
      </c>
      <c r="D9" s="592">
        <v>0</v>
      </c>
      <c r="E9" s="592">
        <v>0</v>
      </c>
      <c r="F9" s="592">
        <v>0</v>
      </c>
      <c r="G9" s="592">
        <f>SUM(EF[[#This Row],[CO2]:[N2O]])</f>
        <v>0</v>
      </c>
      <c r="H9" s="532"/>
    </row>
    <row r="10" spans="1:8" ht="15">
      <c r="A10" s="3"/>
      <c r="B10" s="532" t="s">
        <v>35</v>
      </c>
      <c r="C10" s="532" t="str">
        <f>INDEX(Vectors[Description], MATCH(EF[Vector], Vectors[Code], 0))</f>
        <v>Domestic aviation</v>
      </c>
      <c r="D10" s="592">
        <v>0</v>
      </c>
      <c r="E10" s="592">
        <v>0</v>
      </c>
      <c r="F10" s="592">
        <v>0</v>
      </c>
      <c r="G10" s="592">
        <f>SUM(EF[[#This Row],[CO2]:[N2O]])</f>
        <v>0</v>
      </c>
      <c r="H10" s="532"/>
    </row>
    <row r="11" spans="1:8" ht="15">
      <c r="A11" s="3"/>
      <c r="B11" s="532" t="s">
        <v>36</v>
      </c>
      <c r="C11" s="532" t="str">
        <f>INDEX(Vectors[Description], MATCH(EF[Vector], Vectors[Code], 0))</f>
        <v>National navigation</v>
      </c>
      <c r="D11" s="592">
        <v>0</v>
      </c>
      <c r="E11" s="592">
        <v>0</v>
      </c>
      <c r="F11" s="592">
        <v>0</v>
      </c>
      <c r="G11" s="592">
        <f>SUM(EF[[#This Row],[CO2]:[N2O]])</f>
        <v>0</v>
      </c>
      <c r="H11" s="532"/>
    </row>
    <row r="12" spans="1:8" ht="15">
      <c r="A12" s="3"/>
      <c r="B12" s="532" t="s">
        <v>737</v>
      </c>
      <c r="C12" s="532" t="str">
        <f>INDEX(Vectors[Description], MATCH(EF[Vector], Vectors[Code], 0))</f>
        <v>International aviation</v>
      </c>
      <c r="D12" s="592">
        <v>0</v>
      </c>
      <c r="E12" s="592">
        <v>0</v>
      </c>
      <c r="F12" s="592">
        <v>0</v>
      </c>
      <c r="G12" s="592">
        <f>SUM(EF[[#This Row],[CO2]:[N2O]])</f>
        <v>0</v>
      </c>
      <c r="H12" s="532"/>
    </row>
    <row r="13" spans="1:8" ht="15">
      <c r="A13" s="3"/>
      <c r="B13" s="532" t="s">
        <v>738</v>
      </c>
      <c r="C13" s="532" t="str">
        <f>INDEX(Vectors[Description], MATCH(EF[Vector], Vectors[Code], 0))</f>
        <v>International shipping</v>
      </c>
      <c r="D13" s="592">
        <v>0</v>
      </c>
      <c r="E13" s="592">
        <v>0</v>
      </c>
      <c r="F13" s="592">
        <v>0</v>
      </c>
      <c r="G13" s="592">
        <f>SUM(EF[[#This Row],[CO2]:[N2O]])</f>
        <v>0</v>
      </c>
      <c r="H13" s="532"/>
    </row>
    <row r="14" spans="1:8" ht="15">
      <c r="A14" s="3"/>
      <c r="B14" s="532" t="s">
        <v>13</v>
      </c>
      <c r="C14" s="532" t="str">
        <f>INDEX(Vectors[Description], MATCH(EF[Vector], Vectors[Code], 0))</f>
        <v>Industry</v>
      </c>
      <c r="D14" s="592">
        <v>0</v>
      </c>
      <c r="E14" s="592">
        <v>0</v>
      </c>
      <c r="F14" s="592">
        <v>0</v>
      </c>
      <c r="G14" s="592">
        <f>SUM(EF[[#This Row],[CO2]:[N2O]])</f>
        <v>0</v>
      </c>
      <c r="H14" s="532"/>
    </row>
    <row r="15" spans="1:8" ht="15">
      <c r="A15" s="3"/>
      <c r="B15" s="532" t="s">
        <v>6</v>
      </c>
      <c r="C15" s="532" t="str">
        <f>INDEX(Vectors[Description], MATCH(EF[Vector], Vectors[Code], 0))</f>
        <v>Heating and cooling</v>
      </c>
      <c r="D15" s="592">
        <v>0</v>
      </c>
      <c r="E15" s="592">
        <v>0</v>
      </c>
      <c r="F15" s="592">
        <v>0</v>
      </c>
      <c r="G15" s="592">
        <f>SUM(EF[[#This Row],[CO2]:[N2O]])</f>
        <v>0</v>
      </c>
      <c r="H15" s="532"/>
    </row>
    <row r="16" spans="1:8" ht="15">
      <c r="A16" s="3"/>
      <c r="B16" s="532" t="s">
        <v>51</v>
      </c>
      <c r="C16" s="532" t="str">
        <f>INDEX(Vectors[Description], MATCH(EF[Vector], Vectors[Code], 0))</f>
        <v>Lighting &amp; appliances</v>
      </c>
      <c r="D16" s="592">
        <v>0</v>
      </c>
      <c r="E16" s="592">
        <v>0</v>
      </c>
      <c r="F16" s="592">
        <v>0</v>
      </c>
      <c r="G16" s="592">
        <f>SUM(EF[[#This Row],[CO2]:[N2O]])</f>
        <v>0</v>
      </c>
      <c r="H16" s="532"/>
    </row>
    <row r="17" spans="1:8" ht="15">
      <c r="A17" s="3"/>
      <c r="B17" s="532" t="s">
        <v>37</v>
      </c>
      <c r="C17" s="532" t="str">
        <f>INDEX(Vectors[Description], MATCH(EF[Vector], Vectors[Code], 0))</f>
        <v>Food consumption [UNUSED]</v>
      </c>
      <c r="D17" s="592">
        <v>0</v>
      </c>
      <c r="E17" s="592">
        <v>0</v>
      </c>
      <c r="F17" s="592">
        <v>0</v>
      </c>
      <c r="G17" s="592">
        <f>SUM(EF[[#This Row],[CO2]:[N2O]])</f>
        <v>0</v>
      </c>
      <c r="H17" s="532"/>
    </row>
    <row r="18" spans="1:8" ht="15">
      <c r="A18" s="3"/>
      <c r="B18" s="532" t="s">
        <v>7</v>
      </c>
      <c r="C18" s="532" t="str">
        <f>INDEX(Vectors[Description], MATCH(EF[Vector], Vectors[Code], 0))</f>
        <v>Nuclear fission</v>
      </c>
      <c r="D18" s="592">
        <v>0</v>
      </c>
      <c r="E18" s="592">
        <v>0</v>
      </c>
      <c r="F18" s="592">
        <v>0</v>
      </c>
      <c r="G18" s="592">
        <f>SUM(EF[[#This Row],[CO2]:[N2O]])</f>
        <v>0</v>
      </c>
      <c r="H18" s="532"/>
    </row>
    <row r="19" spans="1:8" ht="15">
      <c r="A19" s="3"/>
      <c r="B19" s="532" t="s">
        <v>30</v>
      </c>
      <c r="C19" s="532" t="str">
        <f>INDEX(Vectors[Description], MATCH(EF[Vector], Vectors[Code], 0))</f>
        <v>Solar</v>
      </c>
      <c r="D19" s="592">
        <v>0</v>
      </c>
      <c r="E19" s="592">
        <v>0</v>
      </c>
      <c r="F19" s="592">
        <v>0</v>
      </c>
      <c r="G19" s="592">
        <f>SUM(EF[[#This Row],[CO2]:[N2O]])</f>
        <v>0</v>
      </c>
      <c r="H19" s="532"/>
    </row>
    <row r="20" spans="1:8" ht="15">
      <c r="A20" s="3"/>
      <c r="B20" s="532" t="s">
        <v>8</v>
      </c>
      <c r="C20" s="532" t="str">
        <f>INDEX(Vectors[Description], MATCH(EF[Vector], Vectors[Code], 0))</f>
        <v>Wind</v>
      </c>
      <c r="D20" s="592">
        <v>0</v>
      </c>
      <c r="E20" s="592">
        <v>0</v>
      </c>
      <c r="F20" s="592">
        <v>0</v>
      </c>
      <c r="G20" s="592">
        <f>SUM(EF[[#This Row],[CO2]:[N2O]])</f>
        <v>0</v>
      </c>
      <c r="H20" s="532"/>
    </row>
    <row r="21" spans="1:8" ht="15">
      <c r="A21" s="3"/>
      <c r="B21" s="532" t="s">
        <v>9</v>
      </c>
      <c r="C21" s="532" t="str">
        <f>INDEX(Vectors[Description], MATCH(EF[Vector], Vectors[Code], 0))</f>
        <v>Tidal</v>
      </c>
      <c r="D21" s="592">
        <v>0</v>
      </c>
      <c r="E21" s="592">
        <v>0</v>
      </c>
      <c r="F21" s="592">
        <v>0</v>
      </c>
      <c r="G21" s="592">
        <f>SUM(EF[[#This Row],[CO2]:[N2O]])</f>
        <v>0</v>
      </c>
      <c r="H21" s="532"/>
    </row>
    <row r="22" spans="1:8" ht="15">
      <c r="A22" s="3"/>
      <c r="B22" s="532" t="s">
        <v>10</v>
      </c>
      <c r="C22" s="532" t="str">
        <f>INDEX(Vectors[Description], MATCH(EF[Vector], Vectors[Code], 0))</f>
        <v>Wave</v>
      </c>
      <c r="D22" s="592">
        <v>0</v>
      </c>
      <c r="E22" s="592">
        <v>0</v>
      </c>
      <c r="F22" s="592">
        <v>0</v>
      </c>
      <c r="G22" s="592">
        <f>SUM(EF[[#This Row],[CO2]:[N2O]])</f>
        <v>0</v>
      </c>
      <c r="H22" s="532"/>
    </row>
    <row r="23" spans="1:8" ht="15">
      <c r="A23" s="3"/>
      <c r="B23" s="532" t="s">
        <v>11</v>
      </c>
      <c r="C23" s="532" t="str">
        <f>INDEX(Vectors[Description], MATCH(EF[Vector], Vectors[Code], 0))</f>
        <v>Geothermal</v>
      </c>
      <c r="D23" s="592">
        <v>0</v>
      </c>
      <c r="E23" s="592">
        <v>0</v>
      </c>
      <c r="F23" s="592">
        <v>0</v>
      </c>
      <c r="G23" s="592">
        <f>SUM(EF[[#This Row],[CO2]:[N2O]])</f>
        <v>0</v>
      </c>
      <c r="H23" s="532"/>
    </row>
    <row r="24" spans="1:8" ht="15">
      <c r="A24" s="3"/>
      <c r="B24" s="532" t="s">
        <v>12</v>
      </c>
      <c r="C24" s="532" t="str">
        <f>INDEX(Vectors[Description], MATCH(EF[Vector], Vectors[Code], 0))</f>
        <v>Hydro</v>
      </c>
      <c r="D24" s="592">
        <v>0</v>
      </c>
      <c r="E24" s="592">
        <v>0</v>
      </c>
      <c r="F24" s="592">
        <v>0</v>
      </c>
      <c r="G24" s="592">
        <f>SUM(EF[[#This Row],[CO2]:[N2O]])</f>
        <v>0</v>
      </c>
      <c r="H24" s="532"/>
    </row>
    <row r="25" spans="1:8" ht="15">
      <c r="A25" s="3"/>
      <c r="B25" s="532" t="s">
        <v>98</v>
      </c>
      <c r="C25" s="532" t="str">
        <f>INDEX(Vectors[Description], MATCH(EF[Vector], Vectors[Code], 0))</f>
        <v>Environmental heat</v>
      </c>
      <c r="D25" s="592">
        <v>0</v>
      </c>
      <c r="E25" s="592">
        <v>0</v>
      </c>
      <c r="F25" s="592">
        <v>0</v>
      </c>
      <c r="G25" s="592">
        <f>SUM(EF[[#This Row],[CO2]:[N2O]])</f>
        <v>0</v>
      </c>
      <c r="H25" s="532"/>
    </row>
    <row r="26" spans="1:8" ht="15">
      <c r="A26" s="3"/>
      <c r="B26" s="532" t="s">
        <v>784</v>
      </c>
      <c r="C26" s="532" t="str">
        <f>INDEX(Vectors[Description], MATCH(EF[Vector], Vectors[Code], 0))</f>
        <v>Agriculture</v>
      </c>
      <c r="D26" s="592">
        <v>0</v>
      </c>
      <c r="E26" s="592">
        <v>0</v>
      </c>
      <c r="F26" s="592">
        <v>0</v>
      </c>
      <c r="G26" s="592">
        <f>SUM(EF[[#This Row],[CO2]:[N2O]])</f>
        <v>0</v>
      </c>
      <c r="H26" s="532"/>
    </row>
    <row r="27" spans="1:8" ht="15">
      <c r="A27" s="3"/>
      <c r="B27" s="532" t="s">
        <v>49</v>
      </c>
      <c r="C27" s="532" t="str">
        <f>INDEX(Vectors[Description], MATCH(EF[Vector], Vectors[Code], 0))</f>
        <v>Waste</v>
      </c>
      <c r="D27" s="592">
        <v>0</v>
      </c>
      <c r="E27" s="592">
        <v>0</v>
      </c>
      <c r="F27" s="592">
        <v>0</v>
      </c>
      <c r="G27" s="592">
        <f>SUM(EF[[#This Row],[CO2]:[N2O]])</f>
        <v>0</v>
      </c>
      <c r="H27" s="532"/>
    </row>
    <row r="28" spans="1:8" ht="15">
      <c r="A28" s="3"/>
      <c r="B28" s="532" t="s">
        <v>53</v>
      </c>
      <c r="C28" s="532" t="str">
        <f>INDEX(Vectors[Description], MATCH(EF[Vector], Vectors[Code], 0))</f>
        <v>Biomass oversupply (imports)</v>
      </c>
      <c r="D28" s="592">
        <v>0</v>
      </c>
      <c r="E28" s="592">
        <v>0</v>
      </c>
      <c r="F28" s="592">
        <v>0</v>
      </c>
      <c r="G28" s="592">
        <f>SUM(EF[[#This Row],[CO2]:[N2O]])</f>
        <v>0</v>
      </c>
      <c r="H28" s="532"/>
    </row>
    <row r="29" spans="1:8" ht="15">
      <c r="A29" s="3"/>
      <c r="B29" s="532" t="s">
        <v>54</v>
      </c>
      <c r="C29" s="532" t="str">
        <f>INDEX(Vectors[Description], MATCH(EF[Vector], Vectors[Code], 0))</f>
        <v>Electricity oversupply (imports)</v>
      </c>
      <c r="D29" s="592">
        <v>0</v>
      </c>
      <c r="E29" s="592">
        <v>0</v>
      </c>
      <c r="F29" s="592">
        <v>0</v>
      </c>
      <c r="G29" s="592">
        <f>SUM(EF[[#This Row],[CO2]:[N2O]])</f>
        <v>0</v>
      </c>
      <c r="H29" s="532"/>
    </row>
    <row r="30" spans="1:8" ht="15">
      <c r="A30" s="3"/>
      <c r="B30" s="532" t="s">
        <v>648</v>
      </c>
      <c r="C30" s="532" t="str">
        <f>INDEX(Vectors[Description], MATCH(EF[Vector], Vectors[Code], 0))</f>
        <v>Petroleum products oversupply</v>
      </c>
      <c r="D30" s="592">
        <v>0</v>
      </c>
      <c r="E30" s="592">
        <v>0</v>
      </c>
      <c r="F30" s="592">
        <v>0</v>
      </c>
      <c r="G30" s="592">
        <f>SUM(EF[[#This Row],[CO2]:[N2O]])</f>
        <v>0</v>
      </c>
      <c r="H30" s="532"/>
    </row>
    <row r="31" spans="1:8" ht="15">
      <c r="A31" s="3"/>
      <c r="B31" s="532" t="s">
        <v>749</v>
      </c>
      <c r="C31" s="532" t="str">
        <f>INDEX(Vectors[Description], MATCH(EF[Vector], Vectors[Code], 0))</f>
        <v>Coal oversupply (imports)</v>
      </c>
      <c r="D31" s="592">
        <v>0</v>
      </c>
      <c r="E31" s="592">
        <v>0</v>
      </c>
      <c r="F31" s="592">
        <v>0</v>
      </c>
      <c r="G31" s="592">
        <f>SUM(EF[[#This Row],[CO2]:[N2O]])</f>
        <v>0</v>
      </c>
      <c r="H31" s="532"/>
    </row>
    <row r="32" spans="1:8" ht="15">
      <c r="A32" s="3"/>
      <c r="B32" s="532" t="s">
        <v>750</v>
      </c>
      <c r="C32" s="532" t="str">
        <f>INDEX(Vectors[Description], MATCH(EF[Vector], Vectors[Code], 0))</f>
        <v>Oil and petroleum products oversupply (imports)</v>
      </c>
      <c r="D32" s="592">
        <v>0</v>
      </c>
      <c r="E32" s="592">
        <v>0</v>
      </c>
      <c r="F32" s="592">
        <v>0</v>
      </c>
      <c r="G32" s="592">
        <f>SUM(EF[[#This Row],[CO2]:[N2O]])</f>
        <v>0</v>
      </c>
      <c r="H32" s="532"/>
    </row>
    <row r="33" spans="1:11" ht="15">
      <c r="A33" s="3"/>
      <c r="B33" s="532" t="s">
        <v>751</v>
      </c>
      <c r="C33" s="532" t="str">
        <f>INDEX(Vectors[Description], MATCH(EF[Vector], Vectors[Code], 0))</f>
        <v>Gas oversupply (imports)</v>
      </c>
      <c r="D33" s="592">
        <v>0</v>
      </c>
      <c r="E33" s="592">
        <v>0</v>
      </c>
      <c r="F33" s="592">
        <v>0</v>
      </c>
      <c r="G33" s="592">
        <f>SUM(EF[[#This Row],[CO2]:[N2O]])</f>
        <v>0</v>
      </c>
      <c r="H33" s="532"/>
    </row>
    <row r="34" spans="1:11" ht="15">
      <c r="A34" s="3"/>
      <c r="B34" s="532" t="s">
        <v>757</v>
      </c>
      <c r="C34" s="532" t="str">
        <f>INDEX(Vectors[Description], MATCH(EF[Vector], Vectors[Code], 0))</f>
        <v>Coal reserves</v>
      </c>
      <c r="D34" s="247">
        <f>EF.IndustrialCoal.CO2</f>
        <v>0.30799999999999994</v>
      </c>
      <c r="E34" s="247">
        <f>EF.IndustrialCoal.CH4</f>
        <v>9.0479269613658628E-4</v>
      </c>
      <c r="F34" s="247">
        <f>EF.IndustrialCoal.N2O</f>
        <v>2.7284221385464481E-3</v>
      </c>
      <c r="G34" s="247">
        <f>SUM(EF[[#This Row],[CO2]:[N2O]])</f>
        <v>0.31163321483468298</v>
      </c>
      <c r="H34" s="532" t="s">
        <v>825</v>
      </c>
    </row>
    <row r="35" spans="1:11" ht="15">
      <c r="A35" s="3"/>
      <c r="B35" s="532" t="s">
        <v>758</v>
      </c>
      <c r="C35" s="532" t="str">
        <f>INDEX(Vectors[Description], MATCH(EF[Vector], Vectors[Code], 0))</f>
        <v>Oil reserves</v>
      </c>
      <c r="D35" s="247">
        <f>EF.Diesel.CO2</f>
        <v>0.25</v>
      </c>
      <c r="E35" s="247">
        <f>EF.Diesel.CH4</f>
        <v>3.1124901306220826E-4</v>
      </c>
      <c r="F35" s="247">
        <f>EF.Diesel.N2O</f>
        <v>4.4980122726580142E-3</v>
      </c>
      <c r="G35" s="247">
        <f>SUM(EF[[#This Row],[CO2]:[N2O]])</f>
        <v>0.25480926128572023</v>
      </c>
      <c r="H35" s="532" t="s">
        <v>826</v>
      </c>
    </row>
    <row r="36" spans="1:11" ht="15">
      <c r="A36" s="3"/>
      <c r="B36" s="532" t="s">
        <v>759</v>
      </c>
      <c r="C36" s="532" t="str">
        <f>INDEX(Vectors[Description], MATCH(EF[Vector], Vectors[Code], 0))</f>
        <v>Gas reserves</v>
      </c>
      <c r="D36" s="247">
        <f>EF.NaturalGas.CO2</f>
        <v>0.18399999999999997</v>
      </c>
      <c r="E36" s="247">
        <f>EF.NaturalGas.CH4</f>
        <v>3.6882537033173374E-4</v>
      </c>
      <c r="F36" s="247">
        <f>EF.NaturalGas.N2O</f>
        <v>3.9668961680228111E-4</v>
      </c>
      <c r="G36" s="247">
        <f>SUM(EF[[#This Row],[CO2]:[N2O]])</f>
        <v>0.18476551498713398</v>
      </c>
      <c r="H36" s="532" t="s">
        <v>827</v>
      </c>
    </row>
    <row r="37" spans="1:11" ht="15">
      <c r="A37" s="3"/>
      <c r="B37" s="532" t="s">
        <v>58</v>
      </c>
      <c r="C37" s="532" t="str">
        <f>INDEX(Vectors[Description], MATCH(EF[Vector], Vectors[Code], 0))</f>
        <v>Coal and fossil waste</v>
      </c>
      <c r="D37" s="247">
        <f>EF.IndustrialCoal.CO2</f>
        <v>0.30799999999999994</v>
      </c>
      <c r="E37" s="247">
        <f>EF.IndustrialCoal.CH4</f>
        <v>9.0479269613658628E-4</v>
      </c>
      <c r="F37" s="247">
        <f>EF.IndustrialCoal.N2O</f>
        <v>2.7284221385464481E-3</v>
      </c>
      <c r="G37" s="247">
        <f>SUM(EF[[#This Row],[CO2]:[N2O]])</f>
        <v>0.31163321483468298</v>
      </c>
      <c r="H37" s="532" t="s">
        <v>825</v>
      </c>
    </row>
    <row r="38" spans="1:11" ht="15">
      <c r="A38" s="3"/>
      <c r="B38" s="532" t="s">
        <v>59</v>
      </c>
      <c r="C38" s="532" t="str">
        <f>INDEX(Vectors[Description], MATCH(EF[Vector], Vectors[Code], 0))</f>
        <v>Oil and petroleum products</v>
      </c>
      <c r="D38" s="247">
        <f>EF.Diesel.CO2</f>
        <v>0.25</v>
      </c>
      <c r="E38" s="247">
        <f>EF.Diesel.CH4</f>
        <v>3.1124901306220826E-4</v>
      </c>
      <c r="F38" s="247">
        <f>EF.Diesel.N2O</f>
        <v>4.4980122726580142E-3</v>
      </c>
      <c r="G38" s="247">
        <f>SUM(EF[[#This Row],[CO2]:[N2O]])</f>
        <v>0.25480926128572023</v>
      </c>
      <c r="H38" s="532" t="s">
        <v>826</v>
      </c>
    </row>
    <row r="39" spans="1:11" ht="15">
      <c r="A39" s="3"/>
      <c r="B39" s="532" t="s">
        <v>60</v>
      </c>
      <c r="C39" s="532" t="str">
        <f>INDEX(Vectors[Description], MATCH(EF[Vector], Vectors[Code], 0))</f>
        <v>Natural gas</v>
      </c>
      <c r="D39" s="247">
        <f>EF.NaturalGas.CO2</f>
        <v>0.18399999999999997</v>
      </c>
      <c r="E39" s="247">
        <f>EF.NaturalGas.CH4</f>
        <v>3.6882537033173374E-4</v>
      </c>
      <c r="F39" s="247">
        <f>EF.NaturalGas.N2O</f>
        <v>3.9668961680228111E-4</v>
      </c>
      <c r="G39" s="247">
        <f>SUM(EF[[#This Row],[CO2]:[N2O]])</f>
        <v>0.18476551498713398</v>
      </c>
      <c r="H39" s="532" t="s">
        <v>827</v>
      </c>
    </row>
    <row r="40" spans="1:11" ht="15">
      <c r="A40" s="3"/>
      <c r="B40" s="532" t="s">
        <v>40</v>
      </c>
      <c r="C40" s="532" t="str">
        <f>INDEX(Vectors[Description], MATCH(EF[Vector], Vectors[Code], 0))</f>
        <v>Electricity (delivered to end user)</v>
      </c>
      <c r="D40" s="592">
        <v>0</v>
      </c>
      <c r="E40" s="592">
        <v>0</v>
      </c>
      <c r="F40" s="592">
        <v>0</v>
      </c>
      <c r="G40" s="592">
        <f>SUM(EF[[#This Row],[CO2]:[N2O]])</f>
        <v>0</v>
      </c>
      <c r="H40" s="532"/>
      <c r="K40" s="28"/>
    </row>
    <row r="41" spans="1:11" ht="15">
      <c r="A41" s="3"/>
      <c r="B41" s="532" t="s">
        <v>41</v>
      </c>
      <c r="C41" s="532" t="str">
        <f>INDEX(Vectors[Description], MATCH(EF[Vector], Vectors[Code], 0))</f>
        <v>Electricity (supplied to grid)</v>
      </c>
      <c r="D41" s="592">
        <v>0</v>
      </c>
      <c r="E41" s="592">
        <v>0</v>
      </c>
      <c r="F41" s="592">
        <v>0</v>
      </c>
      <c r="G41" s="592">
        <f>SUM(EF[[#This Row],[CO2]:[N2O]])</f>
        <v>0</v>
      </c>
      <c r="H41" s="532"/>
      <c r="K41" s="28"/>
    </row>
    <row r="42" spans="1:11" ht="15">
      <c r="A42" s="3"/>
      <c r="B42" s="532" t="s">
        <v>42</v>
      </c>
      <c r="C42" s="532" t="str">
        <f>INDEX(Vectors[Description], MATCH(EF[Vector], Vectors[Code], 0))</f>
        <v>Solid hydrocarbons</v>
      </c>
      <c r="D42" s="247">
        <f>EF.IndustrialCoal.CO2</f>
        <v>0.30799999999999994</v>
      </c>
      <c r="E42" s="247">
        <f>EF.IndustrialCoal.CH4</f>
        <v>9.0479269613658628E-4</v>
      </c>
      <c r="F42" s="247">
        <f>EF.IndustrialCoal.N2O</f>
        <v>2.7284221385464481E-3</v>
      </c>
      <c r="G42" s="247">
        <f>SUM(EF[[#This Row],[CO2]:[N2O]])</f>
        <v>0.31163321483468298</v>
      </c>
      <c r="H42" s="532" t="s">
        <v>825</v>
      </c>
    </row>
    <row r="43" spans="1:11" ht="15">
      <c r="A43" s="3"/>
      <c r="B43" s="532" t="s">
        <v>44</v>
      </c>
      <c r="C43" s="532" t="str">
        <f>INDEX(Vectors[Description], MATCH(EF[Vector], Vectors[Code], 0))</f>
        <v>Liquid hydrocarbons</v>
      </c>
      <c r="D43" s="247">
        <f>EF.Diesel.CO2</f>
        <v>0.25</v>
      </c>
      <c r="E43" s="247">
        <f>EF.Diesel.CH4</f>
        <v>3.1124901306220826E-4</v>
      </c>
      <c r="F43" s="247">
        <f>EF.Diesel.N2O</f>
        <v>4.4980122726580142E-3</v>
      </c>
      <c r="G43" s="247">
        <f>SUM(EF[[#This Row],[CO2]:[N2O]])</f>
        <v>0.25480926128572023</v>
      </c>
      <c r="H43" s="532" t="s">
        <v>826</v>
      </c>
    </row>
    <row r="44" spans="1:11" ht="15">
      <c r="A44" s="3"/>
      <c r="B44" s="532" t="s">
        <v>45</v>
      </c>
      <c r="C44" s="532" t="str">
        <f>INDEX(Vectors[Description], MATCH(EF[Vector], Vectors[Code], 0))</f>
        <v>Gaseous hydrocarbons</v>
      </c>
      <c r="D44" s="247">
        <f>EF.NaturalGas.CO2</f>
        <v>0.18399999999999997</v>
      </c>
      <c r="E44" s="247">
        <f>EF.NaturalGas.CH4</f>
        <v>3.6882537033173374E-4</v>
      </c>
      <c r="F44" s="247">
        <f>EF.NaturalGas.N2O</f>
        <v>3.9668961680228111E-4</v>
      </c>
      <c r="G44" s="247">
        <f>SUM(EF[[#This Row],[CO2]:[N2O]])</f>
        <v>0.18476551498713398</v>
      </c>
      <c r="H44" s="532" t="s">
        <v>827</v>
      </c>
    </row>
    <row r="45" spans="1:11" ht="15">
      <c r="A45" s="3"/>
      <c r="B45" s="532" t="s">
        <v>101</v>
      </c>
      <c r="C45" s="532" t="str">
        <f>INDEX(Vectors[Description], MATCH(EF[Vector], Vectors[Code], 0))</f>
        <v>Blast furnace gas</v>
      </c>
      <c r="D45" s="247">
        <f>EF.BlastFurnaceGas.CO2</f>
        <v>0.78482259931212373</v>
      </c>
      <c r="E45" s="592">
        <v>0</v>
      </c>
      <c r="F45" s="592">
        <v>0</v>
      </c>
      <c r="G45" s="592">
        <f>SUM(EF[[#This Row],[CO2]:[N2O]])</f>
        <v>0.78482259931212373</v>
      </c>
      <c r="H45" s="532"/>
    </row>
    <row r="46" spans="1:11" ht="15">
      <c r="A46" s="3"/>
      <c r="B46" s="532" t="s">
        <v>632</v>
      </c>
      <c r="C46" s="532" t="str">
        <f>INDEX(Vectors[Description], MATCH(EF[Vector], Vectors[Code], 0))</f>
        <v>Heat transport</v>
      </c>
      <c r="D46" s="592">
        <v>0</v>
      </c>
      <c r="E46" s="592">
        <v>0</v>
      </c>
      <c r="F46" s="592">
        <v>0</v>
      </c>
      <c r="G46" s="592">
        <f>SUM(EF[[#This Row],[CO2]:[N2O]])</f>
        <v>0</v>
      </c>
      <c r="H46" s="532"/>
    </row>
    <row r="47" spans="1:11" ht="15">
      <c r="A47" s="3"/>
      <c r="B47" s="532" t="s">
        <v>633</v>
      </c>
      <c r="C47" s="532" t="str">
        <f>INDEX(Vectors[Description], MATCH(EF[Vector], Vectors[Code], 0))</f>
        <v>Edible biomass</v>
      </c>
      <c r="D47" s="592">
        <v>0</v>
      </c>
      <c r="E47" s="592">
        <v>0</v>
      </c>
      <c r="F47" s="592">
        <v>0</v>
      </c>
      <c r="G47" s="592">
        <f>SUM(EF[[#This Row],[CO2]:[N2O]])</f>
        <v>0</v>
      </c>
      <c r="H47" s="532"/>
    </row>
    <row r="48" spans="1:11" ht="15">
      <c r="A48" s="3"/>
      <c r="B48" s="532" t="s">
        <v>634</v>
      </c>
      <c r="C48" s="532" t="str">
        <f>INDEX(Vectors[Description], MATCH(EF[Vector], Vectors[Code], 0))</f>
        <v>Dry biomass and waste</v>
      </c>
      <c r="D48" s="592">
        <v>0</v>
      </c>
      <c r="E48" s="592">
        <v>0</v>
      </c>
      <c r="F48" s="592">
        <v>0</v>
      </c>
      <c r="G48" s="592">
        <f>SUM(EF[[#This Row],[CO2]:[N2O]])</f>
        <v>0</v>
      </c>
      <c r="H48" s="532"/>
    </row>
    <row r="49" spans="1:8" ht="15">
      <c r="A49" s="3"/>
      <c r="B49" s="532" t="s">
        <v>711</v>
      </c>
      <c r="C49" s="532" t="str">
        <f>INDEX(Vectors[Description], MATCH(EF[Vector], Vectors[Code], 0))</f>
        <v>Wet biomass and waste</v>
      </c>
      <c r="D49" s="592">
        <v>0</v>
      </c>
      <c r="E49" s="592">
        <v>0</v>
      </c>
      <c r="F49" s="592">
        <v>0</v>
      </c>
      <c r="G49" s="592">
        <f>SUM(EF[[#This Row],[CO2]:[N2O]])</f>
        <v>0</v>
      </c>
      <c r="H49" s="532"/>
    </row>
    <row r="50" spans="1:8" ht="15">
      <c r="A50" s="3"/>
      <c r="B50" s="30" t="s">
        <v>975</v>
      </c>
      <c r="C50" s="30" t="str">
        <f>INDEX(Vectors[Description], MATCH(EF[Vector], Vectors[Code], 0))</f>
        <v>Domestic solar thermal</v>
      </c>
      <c r="D50" s="1126">
        <v>0</v>
      </c>
      <c r="E50" s="1126">
        <v>0</v>
      </c>
      <c r="F50" s="1126">
        <v>0</v>
      </c>
      <c r="G50" s="1126">
        <f>SUM(EF[[#This Row],[CO2]:[N2O]])</f>
        <v>0</v>
      </c>
      <c r="H50" s="30"/>
    </row>
    <row r="51" spans="1:8" ht="15">
      <c r="A51" s="3"/>
    </row>
    <row r="55" spans="1:8" ht="6.75" customHeight="1"/>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pageSetUpPr autoPageBreaks="0"/>
  </sheetPr>
  <dimension ref="A1:G23"/>
  <sheetViews>
    <sheetView workbookViewId="0"/>
  </sheetViews>
  <sheetFormatPr baseColWidth="10" defaultColWidth="8.83203125" defaultRowHeight="13" x14ac:dyDescent="0"/>
  <cols>
    <col min="1" max="1" width="1" customWidth="1"/>
    <col min="2" max="2" width="8.5" customWidth="1"/>
    <col min="3" max="3" width="41.6640625" customWidth="1"/>
    <col min="4" max="4" width="5.33203125" customWidth="1"/>
    <col min="5" max="5" width="3.5" bestFit="1" customWidth="1"/>
  </cols>
  <sheetData>
    <row r="1" spans="1:7" s="121" customFormat="1" ht="15">
      <c r="A1" s="3"/>
    </row>
    <row r="2" spans="1:7" ht="15">
      <c r="A2" s="3"/>
      <c r="B2" s="8" t="s">
        <v>557</v>
      </c>
    </row>
    <row r="3" spans="1:7" ht="15">
      <c r="A3" s="3"/>
    </row>
    <row r="4" spans="1:7" ht="17">
      <c r="A4" s="548"/>
      <c r="B4" s="26" t="s">
        <v>77</v>
      </c>
      <c r="C4" s="26" t="s">
        <v>558</v>
      </c>
      <c r="E4" s="648"/>
      <c r="F4" s="536"/>
      <c r="G4" s="536"/>
    </row>
    <row r="5" spans="1:7" s="536" customFormat="1" ht="15">
      <c r="A5" s="742"/>
      <c r="B5" s="536" t="s">
        <v>68</v>
      </c>
      <c r="C5" s="536" t="s">
        <v>426</v>
      </c>
    </row>
    <row r="6" spans="1:7" s="536" customFormat="1" ht="15">
      <c r="A6" s="742"/>
      <c r="B6" s="536" t="s">
        <v>69</v>
      </c>
      <c r="C6" s="536" t="s">
        <v>427</v>
      </c>
    </row>
    <row r="7" spans="1:7" s="536" customFormat="1" ht="15">
      <c r="A7" s="742"/>
      <c r="B7" s="536" t="s">
        <v>70</v>
      </c>
      <c r="C7" s="536" t="s">
        <v>428</v>
      </c>
    </row>
    <row r="8" spans="1:7" s="536" customFormat="1" ht="15">
      <c r="A8" s="742"/>
      <c r="B8" s="536" t="s">
        <v>71</v>
      </c>
      <c r="C8" s="536" t="s">
        <v>1022</v>
      </c>
    </row>
    <row r="9" spans="1:7" s="536" customFormat="1" ht="15">
      <c r="A9" s="742"/>
      <c r="B9" s="536" t="s">
        <v>560</v>
      </c>
      <c r="C9" s="536" t="s">
        <v>1330</v>
      </c>
    </row>
    <row r="10" spans="1:7" s="536" customFormat="1" ht="15">
      <c r="A10" s="742"/>
      <c r="B10" s="536" t="s">
        <v>561</v>
      </c>
      <c r="C10" s="536" t="s">
        <v>735</v>
      </c>
    </row>
    <row r="11" spans="1:7" s="536" customFormat="1" ht="15">
      <c r="A11" s="742"/>
      <c r="B11" s="536" t="s">
        <v>562</v>
      </c>
      <c r="C11" s="536" t="s">
        <v>745</v>
      </c>
    </row>
    <row r="12" spans="1:7" s="536" customFormat="1" ht="15">
      <c r="A12" s="742"/>
      <c r="B12" s="536" t="s">
        <v>563</v>
      </c>
      <c r="C12" s="536" t="s">
        <v>570</v>
      </c>
    </row>
    <row r="13" spans="1:7" s="536" customFormat="1" ht="15">
      <c r="A13" s="742"/>
      <c r="B13" s="536" t="s">
        <v>565</v>
      </c>
      <c r="C13" s="536" t="s">
        <v>26</v>
      </c>
    </row>
    <row r="14" spans="1:7" s="536" customFormat="1" ht="15">
      <c r="A14" s="742"/>
      <c r="B14" s="536" t="s">
        <v>566</v>
      </c>
      <c r="C14" s="536" t="s">
        <v>65</v>
      </c>
    </row>
    <row r="15" spans="1:7" s="536" customFormat="1" ht="15">
      <c r="A15" s="742"/>
      <c r="B15" s="536" t="s">
        <v>567</v>
      </c>
      <c r="C15" s="536" t="s">
        <v>39</v>
      </c>
    </row>
    <row r="16" spans="1:7" s="536" customFormat="1" ht="15">
      <c r="A16" s="742"/>
      <c r="B16" s="536" t="s">
        <v>568</v>
      </c>
      <c r="C16" s="536" t="s">
        <v>244</v>
      </c>
    </row>
    <row r="17" spans="1:3" s="536" customFormat="1" ht="15">
      <c r="A17" s="742"/>
      <c r="B17" s="536" t="s">
        <v>569</v>
      </c>
      <c r="C17" s="536" t="s">
        <v>1407</v>
      </c>
    </row>
    <row r="18" spans="1:3" s="536" customFormat="1" ht="15">
      <c r="A18" s="742"/>
      <c r="B18" s="536" t="s">
        <v>564</v>
      </c>
      <c r="C18" s="536" t="s">
        <v>423</v>
      </c>
    </row>
    <row r="19" spans="1:3" ht="15">
      <c r="A19" s="3"/>
      <c r="B19" s="565" t="s">
        <v>740</v>
      </c>
      <c r="C19" s="565" t="s">
        <v>741</v>
      </c>
    </row>
    <row r="20" spans="1:3">
      <c r="B20" s="565" t="s">
        <v>770</v>
      </c>
      <c r="C20" s="565" t="s">
        <v>141</v>
      </c>
    </row>
    <row r="21" spans="1:3">
      <c r="B21" s="565" t="s">
        <v>979</v>
      </c>
      <c r="C21" s="565" t="s">
        <v>675</v>
      </c>
    </row>
    <row r="22" spans="1:3">
      <c r="B22" s="565" t="s">
        <v>2183</v>
      </c>
      <c r="C22" s="565" t="s">
        <v>2184</v>
      </c>
    </row>
    <row r="23" spans="1:3">
      <c r="B23" s="121"/>
      <c r="C23" s="121"/>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pageSetUpPr autoPageBreaks="0"/>
  </sheetPr>
  <dimension ref="A1:G56"/>
  <sheetViews>
    <sheetView workbookViewId="0"/>
  </sheetViews>
  <sheetFormatPr baseColWidth="10" defaultColWidth="8.83203125" defaultRowHeight="13" x14ac:dyDescent="0"/>
  <cols>
    <col min="1" max="1" width="1" style="121" customWidth="1"/>
    <col min="2" max="2" width="8.5" style="121" customWidth="1"/>
    <col min="3" max="3" width="32" style="121" bestFit="1" customWidth="1"/>
    <col min="4" max="4" width="10.5" style="121" bestFit="1" customWidth="1"/>
    <col min="5" max="5" width="32" style="121" customWidth="1"/>
    <col min="6" max="6" width="43.5" style="121" customWidth="1"/>
    <col min="7" max="7" width="56.6640625" style="121" bestFit="1" customWidth="1"/>
    <col min="8" max="16384" width="8.83203125" style="121"/>
  </cols>
  <sheetData>
    <row r="1" spans="1:6" ht="15">
      <c r="A1" s="3"/>
    </row>
    <row r="2" spans="1:6" ht="15">
      <c r="A2" s="3"/>
      <c r="B2" s="8" t="s">
        <v>622</v>
      </c>
      <c r="C2" s="8"/>
      <c r="D2" s="8"/>
      <c r="E2" s="8"/>
    </row>
    <row r="3" spans="1:6" ht="15">
      <c r="A3" s="3"/>
    </row>
    <row r="4" spans="1:6" ht="36.75" customHeight="1">
      <c r="A4" s="548"/>
      <c r="B4" s="641" t="s">
        <v>77</v>
      </c>
      <c r="C4" s="641" t="s">
        <v>626</v>
      </c>
      <c r="D4" s="641" t="s">
        <v>627</v>
      </c>
      <c r="E4" s="641" t="s">
        <v>558</v>
      </c>
      <c r="F4" s="641" t="s">
        <v>559</v>
      </c>
    </row>
    <row r="5" spans="1:6" s="532" customFormat="1">
      <c r="A5" s="15"/>
      <c r="B5" s="536" t="s">
        <v>623</v>
      </c>
      <c r="C5" s="532" t="s">
        <v>1852</v>
      </c>
      <c r="D5" s="564" t="str">
        <f>LEFT(Modules[Code], FIND(".", Modules[Code])-1)</f>
        <v>I</v>
      </c>
      <c r="E5" s="564" t="str">
        <f>INDEX(Workstreams[Workstream], MATCH(Modules[WS Code], Workstreams[Code], 0))</f>
        <v>Hydrocarbon fuel power generation</v>
      </c>
      <c r="F5" s="532" t="s">
        <v>1520</v>
      </c>
    </row>
    <row r="6" spans="1:6" s="532" customFormat="1">
      <c r="A6" s="15"/>
      <c r="B6" s="536" t="s">
        <v>679</v>
      </c>
      <c r="C6" s="532" t="s">
        <v>1534</v>
      </c>
      <c r="D6" s="564" t="str">
        <f>LEFT(Modules[Code], FIND(".", Modules[Code])-1)</f>
        <v>I</v>
      </c>
      <c r="E6" s="566" t="str">
        <f>INDEX(Workstreams[Workstream], MATCH(Modules[WS Code], Workstreams[Code], 0))</f>
        <v>Hydrocarbon fuel power generation</v>
      </c>
    </row>
    <row r="7" spans="1:6" s="532" customFormat="1">
      <c r="A7" s="15"/>
      <c r="B7" s="565" t="s">
        <v>635</v>
      </c>
      <c r="C7" s="30" t="s">
        <v>1026</v>
      </c>
      <c r="D7" s="566" t="str">
        <f>LEFT(Modules[Code], FIND(".", Modules[Code])-1)</f>
        <v>II</v>
      </c>
      <c r="E7" s="566" t="str">
        <f>INDEX(Workstreams[Workstream], MATCH(Modules[WS Code], Workstreams[Code], 0))</f>
        <v>Nuclear power generation</v>
      </c>
      <c r="F7" s="30"/>
    </row>
    <row r="8" spans="1:6" s="532" customFormat="1">
      <c r="A8" s="15"/>
      <c r="B8" s="565" t="s">
        <v>1070</v>
      </c>
      <c r="C8" s="30" t="s">
        <v>684</v>
      </c>
      <c r="D8" s="566" t="str">
        <f>LEFT(Modules[Code], FIND(".", Modules[Code])-1)</f>
        <v>III</v>
      </c>
      <c r="E8" s="566" t="str">
        <f>INDEX(Workstreams[Workstream], MATCH(Modules[WS Code], Workstreams[Code], 0))</f>
        <v>National renewable power generation</v>
      </c>
      <c r="F8" s="30"/>
    </row>
    <row r="9" spans="1:6" s="532" customFormat="1">
      <c r="A9" s="15"/>
      <c r="B9" s="565" t="s">
        <v>1071</v>
      </c>
      <c r="C9" s="30" t="s">
        <v>685</v>
      </c>
      <c r="D9" s="566" t="str">
        <f>LEFT(Modules[Code], FIND(".", Modules[Code])-1)</f>
        <v>III</v>
      </c>
      <c r="E9" s="566" t="str">
        <f>INDEX(Workstreams[Workstream], MATCH(Modules[WS Code], Workstreams[Code], 0))</f>
        <v>National renewable power generation</v>
      </c>
      <c r="F9" s="30"/>
    </row>
    <row r="10" spans="1:6" s="532" customFormat="1">
      <c r="A10" s="15"/>
      <c r="B10" s="565" t="s">
        <v>650</v>
      </c>
      <c r="C10" s="30" t="s">
        <v>1837</v>
      </c>
      <c r="D10" s="566" t="str">
        <f>LEFT(Modules[Code], FIND(".", Modules[Code])-1)</f>
        <v>III</v>
      </c>
      <c r="E10" s="566" t="str">
        <f>INDEX(Workstreams[Workstream], MATCH(Modules[WS Code], Workstreams[Code], 0))</f>
        <v>National renewable power generation</v>
      </c>
      <c r="F10" s="30" t="s">
        <v>651</v>
      </c>
    </row>
    <row r="11" spans="1:6" s="532" customFormat="1">
      <c r="A11" s="15"/>
      <c r="B11" s="565" t="s">
        <v>652</v>
      </c>
      <c r="C11" s="30" t="s">
        <v>1851</v>
      </c>
      <c r="D11" s="566" t="str">
        <f>LEFT(Modules[Code], FIND(".", Modules[Code])-1)</f>
        <v>III</v>
      </c>
      <c r="E11" s="566" t="str">
        <f>INDEX(Workstreams[Workstream], MATCH(Modules[WS Code], Workstreams[Code], 0))</f>
        <v>National renewable power generation</v>
      </c>
      <c r="F11" s="30"/>
    </row>
    <row r="12" spans="1:6" s="532" customFormat="1">
      <c r="A12" s="15"/>
      <c r="B12" s="565" t="s">
        <v>1525</v>
      </c>
      <c r="C12" s="30" t="s">
        <v>2</v>
      </c>
      <c r="D12" s="566" t="str">
        <f>LEFT(Modules[Code], FIND(".", Modules[Code])-1)</f>
        <v>III</v>
      </c>
      <c r="E12" s="566" t="str">
        <f>INDEX(Workstreams[Workstream], MATCH(Modules[WS Code], Workstreams[Code], 0))</f>
        <v>National renewable power generation</v>
      </c>
      <c r="F12" s="30"/>
    </row>
    <row r="13" spans="1:6" s="532" customFormat="1">
      <c r="A13" s="15"/>
      <c r="B13" s="565" t="s">
        <v>1526</v>
      </c>
      <c r="C13" s="30" t="s">
        <v>1643</v>
      </c>
      <c r="D13" s="566" t="str">
        <f>LEFT(Modules[Code], FIND(".", Modules[Code])-1)</f>
        <v>III</v>
      </c>
      <c r="E13" s="566" t="str">
        <f>INDEX(Workstreams[Workstream], MATCH(Modules[WS Code], Workstreams[Code], 0))</f>
        <v>National renewable power generation</v>
      </c>
      <c r="F13" s="30"/>
    </row>
    <row r="14" spans="1:6" s="532" customFormat="1">
      <c r="A14" s="15"/>
      <c r="B14" s="565" t="s">
        <v>1527</v>
      </c>
      <c r="C14" s="30" t="s">
        <v>1644</v>
      </c>
      <c r="D14" s="566" t="str">
        <f>LEFT(Modules[Code], FIND(".", Modules[Code])-1)</f>
        <v>III</v>
      </c>
      <c r="E14" s="566" t="str">
        <f>INDEX(Workstreams[Workstream], MATCH(Modules[WS Code], Workstreams[Code], 0))</f>
        <v>National renewable power generation</v>
      </c>
      <c r="F14" s="30"/>
    </row>
    <row r="15" spans="1:6" s="532" customFormat="1">
      <c r="A15" s="15"/>
      <c r="B15" s="565" t="s">
        <v>653</v>
      </c>
      <c r="C15" s="30" t="s">
        <v>1625</v>
      </c>
      <c r="D15" s="566" t="str">
        <f>LEFT(Modules[Code], FIND(".", Modules[Code])-1)</f>
        <v>III</v>
      </c>
      <c r="E15" s="566" t="str">
        <f>INDEX(Workstreams[Workstream], MATCH(Modules[WS Code], Workstreams[Code], 0))</f>
        <v>National renewable power generation</v>
      </c>
      <c r="F15" s="30"/>
    </row>
    <row r="16" spans="1:6" s="532" customFormat="1">
      <c r="A16" s="15"/>
      <c r="B16" s="565" t="s">
        <v>654</v>
      </c>
      <c r="C16" s="30" t="s">
        <v>1410</v>
      </c>
      <c r="D16" s="566" t="str">
        <f>LEFT(Modules[Code], FIND(".", Modules[Code])-1)</f>
        <v>III</v>
      </c>
      <c r="E16" s="566" t="str">
        <f>INDEX(Workstreams[Workstream], MATCH(Modules[WS Code], Workstreams[Code], 0))</f>
        <v>National renewable power generation</v>
      </c>
      <c r="F16" s="30"/>
    </row>
    <row r="17" spans="1:6" s="532" customFormat="1">
      <c r="A17" s="15"/>
      <c r="B17" s="565" t="s">
        <v>743</v>
      </c>
      <c r="C17" s="30" t="s">
        <v>62</v>
      </c>
      <c r="D17" s="566" t="str">
        <f>LEFT(Modules[Code], FIND(".", Modules[Code])-1)</f>
        <v>IV</v>
      </c>
      <c r="E17" s="566" t="str">
        <f>INDEX(Workstreams[Workstream], MATCH(Modules[WS Code], Workstreams[Code], 0))</f>
        <v>Distributed renewable power generation</v>
      </c>
      <c r="F17" s="30"/>
    </row>
    <row r="18" spans="1:6" s="532" customFormat="1">
      <c r="A18" s="15"/>
      <c r="B18" s="565" t="s">
        <v>973</v>
      </c>
      <c r="C18" s="30" t="s">
        <v>1853</v>
      </c>
      <c r="D18" s="566" t="str">
        <f>LEFT(Modules[Code], FIND(".", Modules[Code])-1)</f>
        <v>IV</v>
      </c>
      <c r="E18" s="566" t="str">
        <f>INDEX(Workstreams[Workstream], MATCH(Modules[WS Code], Workstreams[Code], 0))</f>
        <v>Distributed renewable power generation</v>
      </c>
      <c r="F18" s="30"/>
    </row>
    <row r="19" spans="1:6" s="532" customFormat="1">
      <c r="A19" s="15"/>
      <c r="B19" s="565" t="s">
        <v>1021</v>
      </c>
      <c r="C19" s="30" t="s">
        <v>1854</v>
      </c>
      <c r="D19" s="566" t="str">
        <f>LEFT(Modules[Code], FIND(".", Modules[Code])-1)</f>
        <v>IV</v>
      </c>
      <c r="E19" s="566" t="str">
        <f>INDEX(Workstreams[Workstream], MATCH(Modules[WS Code], Workstreams[Code], 0))</f>
        <v>Distributed renewable power generation</v>
      </c>
      <c r="F19" s="30"/>
    </row>
    <row r="20" spans="1:6" s="532" customFormat="1">
      <c r="A20" s="15"/>
      <c r="B20" s="565" t="s">
        <v>734</v>
      </c>
      <c r="C20" s="30" t="s">
        <v>1856</v>
      </c>
      <c r="D20" s="566" t="str">
        <f>LEFT(Modules[Code], FIND(".", Modules[Code])-1)</f>
        <v>V</v>
      </c>
      <c r="E20" s="566" t="str">
        <f>INDEX(Workstreams[Workstream], MATCH(Modules[WS Code], Workstreams[Code], 0))</f>
        <v>Bioenergy</v>
      </c>
      <c r="F20" s="30"/>
    </row>
    <row r="21" spans="1:6" s="532" customFormat="1">
      <c r="A21" s="15"/>
      <c r="B21" s="565" t="s">
        <v>1043</v>
      </c>
      <c r="C21" s="30" t="s">
        <v>1044</v>
      </c>
      <c r="D21" s="566" t="str">
        <f>LEFT(Modules[Code], FIND(".", Modules[Code])-1)</f>
        <v>V</v>
      </c>
      <c r="E21" s="566" t="str">
        <f>INDEX(Workstreams[Workstream], MATCH(Modules[WS Code], Workstreams[Code], 0))</f>
        <v>Bioenergy</v>
      </c>
      <c r="F21" s="30"/>
    </row>
    <row r="22" spans="1:6" s="532" customFormat="1">
      <c r="A22" s="15"/>
      <c r="B22" s="565" t="s">
        <v>706</v>
      </c>
      <c r="C22" s="30" t="s">
        <v>1331</v>
      </c>
      <c r="D22" s="566" t="str">
        <f>LEFT(Modules[Code], FIND(".", Modules[Code])-1)</f>
        <v>VI</v>
      </c>
      <c r="E22" s="566" t="str">
        <f>INDEX(Workstreams[Workstream], MATCH(Modules[WS Code], Workstreams[Code], 0))</f>
        <v>Agriculture and waste</v>
      </c>
      <c r="F22" s="30"/>
    </row>
    <row r="23" spans="1:6" s="532" customFormat="1">
      <c r="A23" s="15"/>
      <c r="B23" s="565" t="s">
        <v>736</v>
      </c>
      <c r="C23" s="30" t="s">
        <v>1855</v>
      </c>
      <c r="D23" s="566" t="str">
        <f>LEFT(Modules[Code], FIND(".", Modules[Code])-1)</f>
        <v>VI</v>
      </c>
      <c r="E23" s="566" t="str">
        <f>INDEX(Workstreams[Workstream], MATCH(Modules[WS Code], Workstreams[Code], 0))</f>
        <v>Agriculture and waste</v>
      </c>
      <c r="F23" s="30"/>
    </row>
    <row r="24" spans="1:6" s="532" customFormat="1">
      <c r="A24" s="15"/>
      <c r="B24" s="565" t="s">
        <v>1226</v>
      </c>
      <c r="C24" s="30" t="s">
        <v>1225</v>
      </c>
      <c r="D24" s="566" t="s">
        <v>561</v>
      </c>
      <c r="E24" s="566" t="str">
        <f>INDEX(Workstreams[Workstream], MATCH(Modules[WS Code], Workstreams[Code], 0))</f>
        <v>Agriculture and waste</v>
      </c>
      <c r="F24" s="30"/>
    </row>
    <row r="25" spans="1:6" s="532" customFormat="1">
      <c r="A25" s="15"/>
      <c r="B25" s="565" t="s">
        <v>639</v>
      </c>
      <c r="C25" s="30" t="s">
        <v>50</v>
      </c>
      <c r="D25" s="566" t="str">
        <f>LEFT(Modules[Code], FIND(".", Modules[Code])-1)</f>
        <v>VII</v>
      </c>
      <c r="E25" s="566" t="str">
        <f>INDEX(Workstreams[Workstream], MATCH(Modules[WS Code], Workstreams[Code], 0))</f>
        <v>Electricity distribution, storage, and balancing</v>
      </c>
      <c r="F25" s="30"/>
    </row>
    <row r="26" spans="1:6" s="532" customFormat="1">
      <c r="A26" s="15"/>
      <c r="B26" s="565" t="s">
        <v>642</v>
      </c>
      <c r="C26" s="30" t="s">
        <v>640</v>
      </c>
      <c r="D26" s="566" t="str">
        <f>LEFT(Modules[Code], FIND(".", Modules[Code])-1)</f>
        <v>VII</v>
      </c>
      <c r="E26" s="566" t="str">
        <f>INDEX(Workstreams[Workstream], MATCH(Modules[WS Code], Workstreams[Code], 0))</f>
        <v>Electricity distribution, storage, and balancing</v>
      </c>
      <c r="F26" s="30"/>
    </row>
    <row r="27" spans="1:6" s="532" customFormat="1">
      <c r="A27" s="15"/>
      <c r="B27" s="565" t="s">
        <v>646</v>
      </c>
      <c r="C27" s="30" t="s">
        <v>1857</v>
      </c>
      <c r="D27" s="566" t="str">
        <f>LEFT(Modules[Code], FIND(".", Modules[Code])-1)</f>
        <v>VII</v>
      </c>
      <c r="E27" s="566" t="str">
        <f>INDEX(Workstreams[Workstream], MATCH(Modules[WS Code], Workstreams[Code], 0))</f>
        <v>Electricity distribution, storage, and balancing</v>
      </c>
      <c r="F27" s="30" t="s">
        <v>649</v>
      </c>
    </row>
    <row r="28" spans="1:6" s="532" customFormat="1">
      <c r="A28" s="15"/>
      <c r="B28" s="565" t="s">
        <v>744</v>
      </c>
      <c r="C28" s="30" t="s">
        <v>1573</v>
      </c>
      <c r="D28" s="566" t="str">
        <f>LEFT(Modules[Code], FIND(".", Modules[Code])-1)</f>
        <v>VIII</v>
      </c>
      <c r="E28" s="566" t="str">
        <f>INDEX(Workstreams[Workstream], MATCH(Modules[WS Code], Workstreams[Code], 0))</f>
        <v>H2 Production</v>
      </c>
      <c r="F28" s="30"/>
    </row>
    <row r="29" spans="1:6" s="532" customFormat="1">
      <c r="A29" s="15"/>
      <c r="B29" s="565" t="s">
        <v>668</v>
      </c>
      <c r="C29" s="30" t="s">
        <v>970</v>
      </c>
      <c r="D29" s="566" t="str">
        <f>LEFT(Modules[Code], FIND(".", Modules[Code])-1)</f>
        <v>IX</v>
      </c>
      <c r="E29" s="566" t="str">
        <f>INDEX(Workstreams[Workstream], MATCH(Modules[WS Code], Workstreams[Code], 0))</f>
        <v>Heating</v>
      </c>
      <c r="F29" s="30"/>
    </row>
    <row r="30" spans="1:6" s="532" customFormat="1">
      <c r="A30" s="15"/>
      <c r="B30" s="565" t="s">
        <v>1618</v>
      </c>
      <c r="C30" s="30" t="s">
        <v>1655</v>
      </c>
      <c r="D30" s="566" t="str">
        <f>LEFT(Modules[Code], FIND(".", Modules[Code])-1)</f>
        <v>IX</v>
      </c>
      <c r="E30" s="566" t="str">
        <f>INDEX(Workstreams[Workstream], MATCH(Modules[WS Code], Workstreams[Code], 0))</f>
        <v>Heating</v>
      </c>
      <c r="F30" s="30"/>
    </row>
    <row r="31" spans="1:6" s="532" customFormat="1">
      <c r="A31" s="15"/>
      <c r="B31" s="565" t="s">
        <v>1619</v>
      </c>
      <c r="C31" s="30" t="s">
        <v>1656</v>
      </c>
      <c r="D31" s="566" t="str">
        <f>LEFT(Modules[Code], FIND(".", Modules[Code])-1)</f>
        <v>IX</v>
      </c>
      <c r="E31" s="566" t="str">
        <f>INDEX(Workstreams[Workstream], MATCH(Modules[WS Code], Workstreams[Code], 0))</f>
        <v>Heating</v>
      </c>
      <c r="F31" s="30"/>
    </row>
    <row r="32" spans="1:6" s="532" customFormat="1">
      <c r="A32" s="15"/>
      <c r="B32" s="565" t="s">
        <v>2056</v>
      </c>
      <c r="C32" s="30" t="s">
        <v>2057</v>
      </c>
      <c r="D32" s="566" t="s">
        <v>565</v>
      </c>
      <c r="E32" s="566" t="s">
        <v>26</v>
      </c>
      <c r="F32" s="30"/>
    </row>
    <row r="33" spans="1:7" s="532" customFormat="1">
      <c r="A33" s="15"/>
      <c r="B33" s="565" t="s">
        <v>687</v>
      </c>
      <c r="C33" s="30" t="s">
        <v>1411</v>
      </c>
      <c r="D33" s="566" t="str">
        <f>LEFT(Modules[Code], FIND(".", Modules[Code])-1)</f>
        <v>IX</v>
      </c>
      <c r="E33" s="566" t="str">
        <f>INDEX(Workstreams[Workstream], MATCH(Modules[WS Code], Workstreams[Code], 0))</f>
        <v>Heating</v>
      </c>
      <c r="F33" s="30"/>
    </row>
    <row r="34" spans="1:7" s="532" customFormat="1">
      <c r="A34" s="15"/>
      <c r="B34" s="565" t="s">
        <v>716</v>
      </c>
      <c r="C34" s="30" t="s">
        <v>972</v>
      </c>
      <c r="D34" s="566" t="str">
        <f>LEFT(Modules[Code], FIND(".", Modules[Code])-1)</f>
        <v>IX</v>
      </c>
      <c r="E34" s="566" t="str">
        <f>INDEX(Workstreams[Workstream], MATCH(Modules[WS Code], Workstreams[Code], 0))</f>
        <v>Heating</v>
      </c>
      <c r="F34" s="30"/>
    </row>
    <row r="35" spans="1:7" s="532" customFormat="1">
      <c r="A35" s="15"/>
      <c r="B35" s="565" t="s">
        <v>717</v>
      </c>
      <c r="C35" s="30" t="s">
        <v>1412</v>
      </c>
      <c r="D35" s="566" t="str">
        <f>LEFT(Modules[Code], FIND(".", Modules[Code])-1)</f>
        <v>IX</v>
      </c>
      <c r="E35" s="566" t="str">
        <f>INDEX(Workstreams[Workstream], MATCH(Modules[WS Code], Workstreams[Code], 0))</f>
        <v>Heating</v>
      </c>
      <c r="F35" s="30"/>
    </row>
    <row r="36" spans="1:7">
      <c r="A36" s="11"/>
      <c r="B36" s="565" t="s">
        <v>721</v>
      </c>
      <c r="C36" s="30" t="s">
        <v>723</v>
      </c>
      <c r="D36" s="566" t="str">
        <f>LEFT(Modules[Code], FIND(".", Modules[Code])-1)</f>
        <v>X</v>
      </c>
      <c r="E36" s="566" t="str">
        <f>INDEX(Workstreams[Workstream], MATCH(Modules[WS Code], Workstreams[Code], 0))</f>
        <v>Lighting and appliances</v>
      </c>
      <c r="F36" s="30"/>
    </row>
    <row r="37" spans="1:7">
      <c r="A37" s="11"/>
      <c r="B37" s="565" t="s">
        <v>722</v>
      </c>
      <c r="C37" s="30" t="s">
        <v>724</v>
      </c>
      <c r="D37" s="566" t="str">
        <f>LEFT(Modules[Code], FIND(".", Modules[Code])-1)</f>
        <v>X</v>
      </c>
      <c r="E37" s="566" t="str">
        <f>INDEX(Workstreams[Workstream], MATCH(Modules[WS Code], Workstreams[Code], 0))</f>
        <v>Lighting and appliances</v>
      </c>
      <c r="F37" s="30"/>
    </row>
    <row r="38" spans="1:7">
      <c r="A38" s="11"/>
      <c r="B38" s="565" t="s">
        <v>689</v>
      </c>
      <c r="C38" s="30" t="s">
        <v>425</v>
      </c>
      <c r="D38" s="566" t="str">
        <f>LEFT(Modules[Code], FIND(".", Modules[Code])-1)</f>
        <v>XI</v>
      </c>
      <c r="E38" s="566" t="str">
        <f>INDEX(Workstreams[Workstream], MATCH(Modules[WS Code], Workstreams[Code], 0))</f>
        <v>Industry</v>
      </c>
      <c r="F38" s="30"/>
    </row>
    <row r="39" spans="1:7">
      <c r="A39" s="11"/>
      <c r="B39" s="565" t="s">
        <v>691</v>
      </c>
      <c r="C39" s="30" t="s">
        <v>996</v>
      </c>
      <c r="D39" s="566" t="str">
        <f>LEFT(Modules[Code], FIND(".", Modules[Code])-1)</f>
        <v>XII</v>
      </c>
      <c r="E39" s="566" t="str">
        <f>INDEX(Workstreams[Workstream], MATCH(Modules[WS Code], Workstreams[Code], 0))</f>
        <v>Transport</v>
      </c>
      <c r="F39" s="30"/>
    </row>
    <row r="40" spans="1:7">
      <c r="A40" s="11"/>
      <c r="B40" s="565" t="s">
        <v>703</v>
      </c>
      <c r="C40" s="30" t="s">
        <v>997</v>
      </c>
      <c r="D40" s="566" t="str">
        <f>LEFT(Modules[Code], FIND(".", Modules[Code])-1)</f>
        <v>XII</v>
      </c>
      <c r="E40" s="566" t="str">
        <f>INDEX(Workstreams[Workstream], MATCH(Modules[WS Code], Workstreams[Code], 0))</f>
        <v>Transport</v>
      </c>
      <c r="F40" s="30"/>
    </row>
    <row r="41" spans="1:7">
      <c r="A41" s="11"/>
      <c r="B41" s="565" t="s">
        <v>704</v>
      </c>
      <c r="C41" s="30" t="s">
        <v>726</v>
      </c>
      <c r="D41" s="566" t="str">
        <f>LEFT(Modules[Code], FIND(".", Modules[Code])-1)</f>
        <v>XII</v>
      </c>
      <c r="E41" s="566" t="str">
        <f>INDEX(Workstreams[Workstream], MATCH(Modules[WS Code], Workstreams[Code], 0))</f>
        <v>Transport</v>
      </c>
      <c r="F41" s="30"/>
    </row>
    <row r="42" spans="1:7">
      <c r="A42" s="11"/>
      <c r="B42" s="565" t="s">
        <v>725</v>
      </c>
      <c r="C42" s="30" t="s">
        <v>1408</v>
      </c>
      <c r="D42" s="566" t="str">
        <f>LEFT(Modules[Code], FIND(".", Modules[Code])-1)</f>
        <v>XII</v>
      </c>
      <c r="E42" s="566" t="str">
        <f>INDEX(Workstreams[Workstream], MATCH(Modules[WS Code], Workstreams[Code], 0))</f>
        <v>Transport</v>
      </c>
      <c r="F42" s="30"/>
    </row>
    <row r="43" spans="1:7">
      <c r="A43" s="11"/>
      <c r="B43" s="565" t="s">
        <v>728</v>
      </c>
      <c r="C43" s="30" t="s">
        <v>739</v>
      </c>
      <c r="D43" s="566" t="str">
        <f>LEFT(Modules[Code], FIND(".", Modules[Code])-1)</f>
        <v>XII</v>
      </c>
      <c r="E43" s="566" t="str">
        <f>INDEX(Workstreams[Workstream], MATCH(Modules[WS Code], Workstreams[Code], 0))</f>
        <v>Transport</v>
      </c>
      <c r="F43" s="30"/>
    </row>
    <row r="44" spans="1:7">
      <c r="A44" s="11"/>
      <c r="B44" s="565" t="s">
        <v>730</v>
      </c>
      <c r="C44" s="30" t="s">
        <v>1409</v>
      </c>
      <c r="D44" s="566" t="str">
        <f>LEFT(Modules[Code], FIND(".", Modules[Code])-1)</f>
        <v>XII</v>
      </c>
      <c r="E44" s="566" t="str">
        <f>INDEX(Workstreams[Workstream], MATCH(Modules[WS Code], Workstreams[Code], 0))</f>
        <v>Transport</v>
      </c>
      <c r="F44" s="30"/>
    </row>
    <row r="45" spans="1:7">
      <c r="A45" s="11"/>
      <c r="B45" s="565" t="s">
        <v>712</v>
      </c>
      <c r="C45" s="30" t="s">
        <v>1407</v>
      </c>
      <c r="D45" s="566" t="str">
        <f>LEFT(Modules[Code], FIND(".", Modules[Code])-1)</f>
        <v>XIII</v>
      </c>
      <c r="E45" s="566" t="str">
        <f>INDEX(Workstreams[Workstream], MATCH(Modules[WS Code], Workstreams[Code], 0))</f>
        <v>Food consumption [UNUSED]</v>
      </c>
      <c r="F45" s="30"/>
    </row>
    <row r="46" spans="1:7">
      <c r="A46" s="11"/>
      <c r="B46" s="565" t="s">
        <v>733</v>
      </c>
      <c r="C46" s="30" t="s">
        <v>423</v>
      </c>
      <c r="D46" s="566" t="str">
        <f>LEFT(Modules[Code], FIND(".", Modules[Code])-1)</f>
        <v>XIV</v>
      </c>
      <c r="E46" s="566" t="str">
        <f>INDEX(Workstreams[Workstream], MATCH(Modules[WS Code], Workstreams[Code], 0))</f>
        <v>Geosequestration</v>
      </c>
      <c r="F46" s="30"/>
      <c r="G46" s="30"/>
    </row>
    <row r="47" spans="1:7">
      <c r="A47" s="11"/>
      <c r="B47" s="565" t="s">
        <v>742</v>
      </c>
      <c r="C47" s="30" t="s">
        <v>146</v>
      </c>
      <c r="D47" s="566" t="str">
        <f>LEFT(Modules[Code], FIND(".", Modules[Code])-1)</f>
        <v>XV</v>
      </c>
      <c r="E47" s="566" t="str">
        <f>INDEX(Workstreams[Workstream], MATCH(Modules[WS Code], Workstreams[Code], 0))</f>
        <v>Fossil fuel production</v>
      </c>
      <c r="F47" s="30"/>
      <c r="G47" s="30"/>
    </row>
    <row r="48" spans="1:7">
      <c r="A48" s="11"/>
      <c r="B48" s="565" t="s">
        <v>747</v>
      </c>
      <c r="C48" s="30" t="s">
        <v>748</v>
      </c>
      <c r="D48" s="566" t="str">
        <f>LEFT(Modules[Code], FIND(".", Modules[Code])-1)</f>
        <v>XV</v>
      </c>
      <c r="E48" s="566" t="str">
        <f>INDEX(Workstreams[Workstream], MATCH(Modules[WS Code], Workstreams[Code], 0))</f>
        <v>Fossil fuel production</v>
      </c>
      <c r="F48" s="30"/>
      <c r="G48" s="30"/>
    </row>
    <row r="49" spans="1:6">
      <c r="A49" s="11"/>
      <c r="B49" s="565" t="s">
        <v>771</v>
      </c>
      <c r="C49" s="30" t="s">
        <v>773</v>
      </c>
      <c r="D49" s="566" t="str">
        <f>LEFT(Modules[Code], FIND(".", Modules[Code])-1)</f>
        <v>XVI</v>
      </c>
      <c r="E49" s="566" t="str">
        <f>INDEX(Workstreams[Workstream], MATCH(Modules[WS Code], Workstreams[Code], 0))</f>
        <v>Transfers</v>
      </c>
      <c r="F49" s="30" t="s">
        <v>934</v>
      </c>
    </row>
    <row r="50" spans="1:6">
      <c r="A50" s="11"/>
      <c r="B50" s="565" t="s">
        <v>772</v>
      </c>
      <c r="C50" s="30" t="s">
        <v>1222</v>
      </c>
      <c r="D50" s="566" t="str">
        <f>LEFT(Modules[Code], FIND(".", Modules[Code])-1)</f>
        <v>XVI</v>
      </c>
      <c r="E50" s="566" t="str">
        <f>INDEX(Workstreams[Workstream], MATCH(Modules[WS Code], Workstreams[Code], 0))</f>
        <v>Transfers</v>
      </c>
      <c r="F50" s="30"/>
    </row>
    <row r="51" spans="1:6">
      <c r="A51" s="11"/>
      <c r="B51" s="565" t="s">
        <v>981</v>
      </c>
      <c r="C51" s="30" t="s">
        <v>980</v>
      </c>
      <c r="D51" s="566" t="str">
        <f>LEFT(Modules[Code], FIND(".", Modules[Code])-1)</f>
        <v>XVII</v>
      </c>
      <c r="E51" s="566" t="str">
        <f>INDEX(Workstreams[Workstream], MATCH(Modules[WS Code], Workstreams[Code], 0))</f>
        <v>District heating</v>
      </c>
      <c r="F51" s="30" t="s">
        <v>982</v>
      </c>
    </row>
    <row r="52" spans="1:6">
      <c r="A52" s="11"/>
      <c r="B52" s="565"/>
      <c r="C52" s="30"/>
      <c r="D52" s="566"/>
      <c r="E52" s="566"/>
      <c r="F52" s="30"/>
    </row>
    <row r="53" spans="1:6">
      <c r="A53" s="11"/>
      <c r="B53" s="565"/>
      <c r="C53" s="30"/>
      <c r="D53" s="566"/>
      <c r="E53" s="566"/>
      <c r="F53" s="30"/>
    </row>
    <row r="54" spans="1:6">
      <c r="A54" s="11"/>
    </row>
    <row r="55" spans="1:6">
      <c r="A55" s="11"/>
    </row>
    <row r="56" spans="1:6">
      <c r="A56" s="11"/>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pageSetUpPr autoPageBreaks="0" fitToPage="1"/>
  </sheetPr>
  <dimension ref="A2:K77"/>
  <sheetViews>
    <sheetView workbookViewId="0"/>
  </sheetViews>
  <sheetFormatPr baseColWidth="10" defaultColWidth="8.83203125" defaultRowHeight="15" x14ac:dyDescent="0"/>
  <cols>
    <col min="1" max="1" width="1" style="3" customWidth="1"/>
    <col min="2" max="2" width="16.1640625" style="3" bestFit="1" customWidth="1"/>
    <col min="3" max="3" width="21" style="12" bestFit="1" customWidth="1"/>
    <col min="4" max="4" width="9.5" style="2" bestFit="1" customWidth="1"/>
    <col min="5" max="5" width="29.5" style="3" bestFit="1" customWidth="1"/>
    <col min="6" max="6" width="142.5" style="17" customWidth="1"/>
    <col min="7" max="9" width="6.5" style="6" customWidth="1"/>
    <col min="10" max="16384" width="8.83203125" style="3"/>
  </cols>
  <sheetData>
    <row r="2" spans="1:9" s="9" customFormat="1">
      <c r="A2" s="537"/>
      <c r="B2" s="8" t="s">
        <v>17</v>
      </c>
      <c r="C2" s="13"/>
      <c r="F2" s="16"/>
      <c r="G2" s="4"/>
      <c r="H2" s="4"/>
      <c r="I2" s="4"/>
    </row>
    <row r="3" spans="1:9" s="9" customFormat="1">
      <c r="A3" s="537"/>
      <c r="B3" s="10"/>
      <c r="C3" s="13"/>
      <c r="F3" s="16"/>
      <c r="G3" s="4"/>
      <c r="H3" s="4"/>
      <c r="I3" s="4"/>
    </row>
    <row r="4" spans="1:9" s="9" customFormat="1" ht="21" customHeight="1">
      <c r="A4" s="549"/>
      <c r="B4" s="14" t="s">
        <v>75</v>
      </c>
      <c r="C4" s="14" t="s">
        <v>76</v>
      </c>
      <c r="D4" s="14" t="s">
        <v>77</v>
      </c>
      <c r="E4" s="14" t="s">
        <v>73</v>
      </c>
      <c r="F4" s="25" t="s">
        <v>74</v>
      </c>
      <c r="G4" s="5"/>
      <c r="H4" s="5"/>
      <c r="I4" s="5"/>
    </row>
    <row r="5" spans="1:9" s="9" customFormat="1" ht="13">
      <c r="A5" s="15"/>
      <c r="B5" s="22" t="s">
        <v>25</v>
      </c>
      <c r="C5" s="22" t="s">
        <v>52</v>
      </c>
      <c r="D5" s="24" t="s">
        <v>31</v>
      </c>
      <c r="E5" s="22" t="s">
        <v>20</v>
      </c>
      <c r="F5" s="23"/>
      <c r="G5" s="4"/>
      <c r="H5" s="4"/>
      <c r="I5" s="4"/>
    </row>
    <row r="6" spans="1:9" s="9" customFormat="1" ht="13">
      <c r="A6" s="15"/>
      <c r="B6" s="22" t="s">
        <v>25</v>
      </c>
      <c r="C6" s="22" t="s">
        <v>52</v>
      </c>
      <c r="D6" s="24" t="s">
        <v>32</v>
      </c>
      <c r="E6" s="22" t="s">
        <v>21</v>
      </c>
      <c r="F6" s="23"/>
      <c r="G6" s="4"/>
      <c r="H6" s="4"/>
      <c r="I6" s="4"/>
    </row>
    <row r="7" spans="1:9" s="9" customFormat="1" ht="13">
      <c r="A7" s="15"/>
      <c r="B7" s="22" t="s">
        <v>25</v>
      </c>
      <c r="C7" s="24" t="s">
        <v>28</v>
      </c>
      <c r="D7" s="24" t="s">
        <v>55</v>
      </c>
      <c r="E7" s="22" t="s">
        <v>28</v>
      </c>
      <c r="F7" s="23"/>
      <c r="G7" s="4"/>
      <c r="H7" s="4"/>
      <c r="I7" s="4"/>
    </row>
    <row r="8" spans="1:9" s="9" customFormat="1" ht="13">
      <c r="A8" s="15"/>
      <c r="B8" s="18" t="s">
        <v>67</v>
      </c>
      <c r="C8" s="24" t="s">
        <v>22</v>
      </c>
      <c r="D8" s="24" t="s">
        <v>33</v>
      </c>
      <c r="E8" s="532" t="s">
        <v>776</v>
      </c>
      <c r="F8" s="23"/>
      <c r="G8" s="4"/>
      <c r="H8" s="4"/>
      <c r="I8" s="4"/>
    </row>
    <row r="9" spans="1:9" s="9" customFormat="1" ht="13">
      <c r="A9" s="15"/>
      <c r="B9" s="18" t="s">
        <v>67</v>
      </c>
      <c r="C9" s="24" t="s">
        <v>22</v>
      </c>
      <c r="D9" s="24" t="s">
        <v>34</v>
      </c>
      <c r="E9" s="532" t="s">
        <v>777</v>
      </c>
      <c r="F9" s="23"/>
      <c r="G9" s="4"/>
      <c r="H9" s="4"/>
      <c r="I9" s="4"/>
    </row>
    <row r="10" spans="1:9" s="9" customFormat="1" ht="13">
      <c r="A10" s="15"/>
      <c r="B10" s="18" t="s">
        <v>67</v>
      </c>
      <c r="C10" s="24" t="s">
        <v>22</v>
      </c>
      <c r="D10" s="24" t="s">
        <v>35</v>
      </c>
      <c r="E10" s="532" t="s">
        <v>727</v>
      </c>
      <c r="F10" s="23"/>
      <c r="G10" s="4"/>
      <c r="H10" s="4"/>
      <c r="I10" s="4"/>
    </row>
    <row r="11" spans="1:9" s="9" customFormat="1" ht="14">
      <c r="A11" s="15"/>
      <c r="B11" s="18" t="s">
        <v>67</v>
      </c>
      <c r="C11" s="24" t="s">
        <v>22</v>
      </c>
      <c r="D11" s="24" t="s">
        <v>36</v>
      </c>
      <c r="E11" s="532" t="s">
        <v>169</v>
      </c>
      <c r="F11" s="23"/>
      <c r="G11" s="7"/>
      <c r="H11" s="7"/>
      <c r="I11" s="4"/>
    </row>
    <row r="12" spans="1:9" s="9" customFormat="1" ht="13">
      <c r="A12" s="15"/>
      <c r="B12" s="18" t="s">
        <v>67</v>
      </c>
      <c r="C12" s="121" t="s">
        <v>22</v>
      </c>
      <c r="D12" s="121" t="s">
        <v>737</v>
      </c>
      <c r="E12" s="532" t="s">
        <v>726</v>
      </c>
      <c r="F12" s="23"/>
      <c r="G12" s="4"/>
      <c r="H12" s="4"/>
      <c r="I12" s="4"/>
    </row>
    <row r="13" spans="1:9" s="9" customFormat="1" ht="13">
      <c r="A13" s="15"/>
      <c r="B13" s="18" t="s">
        <v>67</v>
      </c>
      <c r="C13" s="121" t="s">
        <v>22</v>
      </c>
      <c r="D13" s="121" t="s">
        <v>738</v>
      </c>
      <c r="E13" s="532" t="s">
        <v>739</v>
      </c>
      <c r="F13" s="23"/>
      <c r="G13" s="4"/>
      <c r="H13" s="4"/>
      <c r="I13" s="4"/>
    </row>
    <row r="14" spans="1:9" s="9" customFormat="1" ht="13">
      <c r="A14" s="15"/>
      <c r="B14" s="18" t="s">
        <v>67</v>
      </c>
      <c r="C14" s="24" t="s">
        <v>39</v>
      </c>
      <c r="D14" s="24" t="s">
        <v>13</v>
      </c>
      <c r="E14" s="532" t="s">
        <v>39</v>
      </c>
      <c r="F14" s="26" t="s">
        <v>1221</v>
      </c>
      <c r="G14" s="4"/>
      <c r="H14" s="4"/>
      <c r="I14" s="4"/>
    </row>
    <row r="15" spans="1:9" s="9" customFormat="1" ht="13">
      <c r="A15" s="15"/>
      <c r="B15" s="18" t="s">
        <v>67</v>
      </c>
      <c r="C15" s="121" t="s">
        <v>1027</v>
      </c>
      <c r="D15" s="24" t="s">
        <v>6</v>
      </c>
      <c r="E15" s="532" t="s">
        <v>1027</v>
      </c>
      <c r="F15" s="26" t="s">
        <v>1028</v>
      </c>
      <c r="G15" s="4"/>
      <c r="H15" s="4"/>
      <c r="I15" s="4"/>
    </row>
    <row r="16" spans="1:9" s="9" customFormat="1" ht="13">
      <c r="A16" s="15"/>
      <c r="B16" s="532" t="s">
        <v>67</v>
      </c>
      <c r="C16" s="24" t="s">
        <v>65</v>
      </c>
      <c r="D16" s="24" t="s">
        <v>51</v>
      </c>
      <c r="E16" s="22" t="s">
        <v>27</v>
      </c>
      <c r="F16" s="26" t="s">
        <v>710</v>
      </c>
      <c r="G16" s="4"/>
      <c r="H16" s="4"/>
      <c r="I16" s="4"/>
    </row>
    <row r="17" spans="1:9" s="9" customFormat="1" ht="13">
      <c r="A17" s="15"/>
      <c r="B17" s="18" t="s">
        <v>67</v>
      </c>
      <c r="C17" s="24" t="s">
        <v>29</v>
      </c>
      <c r="D17" s="24" t="s">
        <v>37</v>
      </c>
      <c r="E17" s="532" t="s">
        <v>1407</v>
      </c>
      <c r="F17" s="26" t="s">
        <v>1414</v>
      </c>
      <c r="G17" s="4"/>
      <c r="H17" s="4"/>
      <c r="I17" s="4"/>
    </row>
    <row r="18" spans="1:9" s="9" customFormat="1" ht="13">
      <c r="A18" s="15"/>
      <c r="B18" s="18" t="s">
        <v>629</v>
      </c>
      <c r="C18" s="22" t="s">
        <v>0</v>
      </c>
      <c r="D18" s="22" t="s">
        <v>7</v>
      </c>
      <c r="E18" s="532" t="s">
        <v>959</v>
      </c>
      <c r="F18" s="26" t="s">
        <v>422</v>
      </c>
      <c r="G18" s="4"/>
      <c r="H18" s="4"/>
      <c r="I18" s="4"/>
    </row>
    <row r="19" spans="1:9" s="9" customFormat="1" ht="13">
      <c r="A19" s="15"/>
      <c r="B19" s="18" t="s">
        <v>629</v>
      </c>
      <c r="C19" s="532" t="s">
        <v>46</v>
      </c>
      <c r="D19" s="22" t="s">
        <v>30</v>
      </c>
      <c r="E19" s="22" t="s">
        <v>15</v>
      </c>
      <c r="F19" s="23"/>
      <c r="G19" s="4"/>
      <c r="H19" s="4"/>
      <c r="I19" s="4"/>
    </row>
    <row r="20" spans="1:9" s="9" customFormat="1" ht="13">
      <c r="A20" s="15"/>
      <c r="B20" s="18" t="s">
        <v>629</v>
      </c>
      <c r="C20" s="18" t="s">
        <v>46</v>
      </c>
      <c r="D20" s="22" t="s">
        <v>8</v>
      </c>
      <c r="E20" s="22" t="s">
        <v>1</v>
      </c>
      <c r="F20" s="23"/>
      <c r="G20" s="4"/>
      <c r="H20" s="4"/>
      <c r="I20" s="4"/>
    </row>
    <row r="21" spans="1:9" s="9" customFormat="1" ht="13">
      <c r="A21" s="15"/>
      <c r="B21" s="18" t="s">
        <v>629</v>
      </c>
      <c r="C21" s="18" t="s">
        <v>46</v>
      </c>
      <c r="D21" s="22" t="s">
        <v>9</v>
      </c>
      <c r="E21" s="22" t="s">
        <v>64</v>
      </c>
      <c r="F21" s="23"/>
      <c r="G21" s="4"/>
      <c r="H21" s="4"/>
      <c r="I21" s="4"/>
    </row>
    <row r="22" spans="1:9" s="9" customFormat="1" ht="13">
      <c r="A22" s="15"/>
      <c r="B22" s="532" t="s">
        <v>629</v>
      </c>
      <c r="C22" s="532" t="s">
        <v>46</v>
      </c>
      <c r="D22" s="22" t="s">
        <v>10</v>
      </c>
      <c r="E22" s="22" t="s">
        <v>2</v>
      </c>
      <c r="F22" s="23"/>
      <c r="G22" s="4"/>
      <c r="H22" s="4"/>
      <c r="I22" s="4"/>
    </row>
    <row r="23" spans="1:9" s="9" customFormat="1" ht="13">
      <c r="A23" s="15"/>
      <c r="B23" s="532" t="s">
        <v>629</v>
      </c>
      <c r="C23" s="532" t="s">
        <v>46</v>
      </c>
      <c r="D23" s="532" t="s">
        <v>11</v>
      </c>
      <c r="E23" s="22" t="s">
        <v>3</v>
      </c>
      <c r="F23" s="23"/>
      <c r="G23" s="4"/>
      <c r="H23" s="4"/>
      <c r="I23" s="4"/>
    </row>
    <row r="24" spans="1:9" s="9" customFormat="1" ht="13">
      <c r="A24" s="15"/>
      <c r="B24" s="532" t="s">
        <v>629</v>
      </c>
      <c r="C24" s="532" t="s">
        <v>46</v>
      </c>
      <c r="D24" s="532" t="s">
        <v>12</v>
      </c>
      <c r="E24" s="22" t="s">
        <v>19</v>
      </c>
      <c r="F24" s="23"/>
      <c r="G24" s="4"/>
      <c r="H24" s="4"/>
      <c r="I24" s="4"/>
    </row>
    <row r="25" spans="1:9" s="9" customFormat="1" ht="16.5" customHeight="1">
      <c r="A25" s="15"/>
      <c r="B25" s="532" t="s">
        <v>629</v>
      </c>
      <c r="C25" s="532" t="s">
        <v>46</v>
      </c>
      <c r="D25" s="532" t="s">
        <v>98</v>
      </c>
      <c r="E25" s="532" t="s">
        <v>1227</v>
      </c>
      <c r="F25" s="26" t="s">
        <v>419</v>
      </c>
      <c r="G25" s="4"/>
      <c r="H25" s="4"/>
      <c r="I25" s="4"/>
    </row>
    <row r="26" spans="1:9" s="9" customFormat="1" ht="13">
      <c r="A26" s="15"/>
      <c r="B26" s="18" t="s">
        <v>629</v>
      </c>
      <c r="C26" s="18" t="s">
        <v>46</v>
      </c>
      <c r="D26" s="532" t="s">
        <v>784</v>
      </c>
      <c r="E26" s="532" t="s">
        <v>172</v>
      </c>
      <c r="F26" s="26" t="s">
        <v>785</v>
      </c>
      <c r="G26" s="4"/>
      <c r="H26" s="4"/>
      <c r="I26" s="4"/>
    </row>
    <row r="27" spans="1:9" s="9" customFormat="1" ht="13">
      <c r="A27" s="15"/>
      <c r="B27" s="18" t="s">
        <v>629</v>
      </c>
      <c r="C27" s="22" t="s">
        <v>48</v>
      </c>
      <c r="D27" s="22" t="s">
        <v>49</v>
      </c>
      <c r="E27" s="532" t="s">
        <v>48</v>
      </c>
      <c r="F27" s="26" t="s">
        <v>1015</v>
      </c>
      <c r="G27" s="4"/>
      <c r="H27" s="4"/>
      <c r="I27" s="4"/>
    </row>
    <row r="28" spans="1:9" s="9" customFormat="1" ht="13">
      <c r="A28" s="15"/>
      <c r="B28" s="18" t="s">
        <v>629</v>
      </c>
      <c r="C28" s="121" t="s">
        <v>43</v>
      </c>
      <c r="D28" s="24" t="s">
        <v>53</v>
      </c>
      <c r="E28" s="532" t="s">
        <v>1589</v>
      </c>
      <c r="F28" s="26" t="s">
        <v>531</v>
      </c>
      <c r="G28" s="4"/>
      <c r="H28" s="4"/>
      <c r="I28" s="4"/>
    </row>
    <row r="29" spans="1:9" s="9" customFormat="1" ht="13">
      <c r="A29" s="15"/>
      <c r="B29" s="18" t="s">
        <v>629</v>
      </c>
      <c r="C29" s="24" t="s">
        <v>43</v>
      </c>
      <c r="D29" s="24" t="s">
        <v>54</v>
      </c>
      <c r="E29" s="532" t="s">
        <v>1590</v>
      </c>
      <c r="F29" s="23"/>
      <c r="G29" s="4"/>
      <c r="H29" s="4"/>
      <c r="I29" s="4"/>
    </row>
    <row r="30" spans="1:9" s="9" customFormat="1" ht="13">
      <c r="A30" s="15"/>
      <c r="B30" s="18" t="s">
        <v>629</v>
      </c>
      <c r="C30" s="121" t="s">
        <v>43</v>
      </c>
      <c r="D30" s="121" t="s">
        <v>648</v>
      </c>
      <c r="E30" s="532" t="s">
        <v>1591</v>
      </c>
      <c r="F30" s="26" t="s">
        <v>1223</v>
      </c>
      <c r="G30" s="4"/>
      <c r="H30" s="4"/>
      <c r="I30" s="4"/>
    </row>
    <row r="31" spans="1:9" s="9" customFormat="1" ht="13">
      <c r="A31" s="15"/>
      <c r="B31" s="18" t="s">
        <v>629</v>
      </c>
      <c r="C31" s="121" t="s">
        <v>43</v>
      </c>
      <c r="D31" s="121" t="s">
        <v>749</v>
      </c>
      <c r="E31" s="532" t="s">
        <v>1592</v>
      </c>
      <c r="F31" s="23"/>
      <c r="G31" s="4"/>
      <c r="H31" s="4"/>
      <c r="I31" s="4"/>
    </row>
    <row r="32" spans="1:9" s="9" customFormat="1" ht="13">
      <c r="A32" s="15"/>
      <c r="B32" s="532" t="s">
        <v>629</v>
      </c>
      <c r="C32" s="121" t="s">
        <v>43</v>
      </c>
      <c r="D32" s="121" t="s">
        <v>750</v>
      </c>
      <c r="E32" s="532" t="s">
        <v>1593</v>
      </c>
      <c r="F32" s="26" t="s">
        <v>1035</v>
      </c>
      <c r="G32" s="4"/>
      <c r="H32" s="4"/>
      <c r="I32" s="4"/>
    </row>
    <row r="33" spans="1:9" s="9" customFormat="1" ht="13">
      <c r="A33" s="15"/>
      <c r="B33" s="532" t="s">
        <v>629</v>
      </c>
      <c r="C33" s="121" t="s">
        <v>43</v>
      </c>
      <c r="D33" s="121" t="s">
        <v>751</v>
      </c>
      <c r="E33" s="532" t="s">
        <v>1588</v>
      </c>
      <c r="F33" s="23"/>
      <c r="G33" s="4"/>
      <c r="H33" s="4"/>
      <c r="I33" s="4"/>
    </row>
    <row r="34" spans="1:9" s="9" customFormat="1" ht="13">
      <c r="A34" s="15"/>
      <c r="B34" s="18" t="s">
        <v>629</v>
      </c>
      <c r="C34" s="121" t="s">
        <v>756</v>
      </c>
      <c r="D34" s="121" t="s">
        <v>757</v>
      </c>
      <c r="E34" s="532" t="s">
        <v>760</v>
      </c>
      <c r="F34" s="26"/>
      <c r="G34" s="4"/>
      <c r="H34" s="4"/>
      <c r="I34" s="4"/>
    </row>
    <row r="35" spans="1:9" s="9" customFormat="1" ht="13">
      <c r="A35" s="15"/>
      <c r="B35" s="18" t="s">
        <v>629</v>
      </c>
      <c r="C35" s="121" t="s">
        <v>756</v>
      </c>
      <c r="D35" s="121" t="s">
        <v>758</v>
      </c>
      <c r="E35" s="532" t="s">
        <v>761</v>
      </c>
      <c r="F35" s="26"/>
      <c r="G35" s="4"/>
      <c r="H35" s="4"/>
      <c r="I35" s="4"/>
    </row>
    <row r="36" spans="1:9" s="2" customFormat="1" ht="13">
      <c r="A36" s="11"/>
      <c r="B36" s="18" t="s">
        <v>629</v>
      </c>
      <c r="C36" s="121" t="s">
        <v>756</v>
      </c>
      <c r="D36" s="121" t="s">
        <v>759</v>
      </c>
      <c r="E36" s="532" t="s">
        <v>782</v>
      </c>
      <c r="F36" s="26"/>
      <c r="G36" s="4"/>
      <c r="H36" s="4"/>
      <c r="I36" s="4"/>
    </row>
    <row r="37" spans="1:9" s="2" customFormat="1" ht="13">
      <c r="A37" s="11"/>
      <c r="B37" s="18" t="s">
        <v>72</v>
      </c>
      <c r="C37" s="532" t="s">
        <v>630</v>
      </c>
      <c r="D37" s="22" t="s">
        <v>58</v>
      </c>
      <c r="E37" s="532" t="s">
        <v>1224</v>
      </c>
      <c r="F37" s="26" t="s">
        <v>1034</v>
      </c>
      <c r="G37" s="4"/>
      <c r="H37" s="4"/>
      <c r="I37" s="4"/>
    </row>
    <row r="38" spans="1:9" s="2" customFormat="1" ht="13">
      <c r="A38" s="11"/>
      <c r="B38" s="532" t="s">
        <v>72</v>
      </c>
      <c r="C38" s="532" t="s">
        <v>630</v>
      </c>
      <c r="D38" s="22" t="s">
        <v>59</v>
      </c>
      <c r="E38" s="532" t="s">
        <v>1004</v>
      </c>
      <c r="F38" s="26" t="s">
        <v>1034</v>
      </c>
      <c r="G38" s="4"/>
      <c r="H38" s="4"/>
      <c r="I38" s="4"/>
    </row>
    <row r="39" spans="1:9" s="2" customFormat="1" ht="13">
      <c r="A39" s="11"/>
      <c r="B39" s="532" t="s">
        <v>72</v>
      </c>
      <c r="C39" s="532" t="s">
        <v>630</v>
      </c>
      <c r="D39" s="22" t="s">
        <v>60</v>
      </c>
      <c r="E39" s="532" t="s">
        <v>259</v>
      </c>
      <c r="F39" s="26" t="s">
        <v>1034</v>
      </c>
      <c r="G39" s="4"/>
      <c r="H39" s="4"/>
      <c r="I39" s="4"/>
    </row>
    <row r="40" spans="1:9" s="2" customFormat="1" ht="13">
      <c r="A40" s="11"/>
      <c r="B40" s="532" t="s">
        <v>72</v>
      </c>
      <c r="C40" s="532" t="s">
        <v>5</v>
      </c>
      <c r="D40" s="22" t="s">
        <v>40</v>
      </c>
      <c r="E40" s="22" t="s">
        <v>61</v>
      </c>
      <c r="F40" s="532"/>
      <c r="G40" s="4"/>
      <c r="H40" s="4"/>
      <c r="I40" s="4"/>
    </row>
    <row r="41" spans="1:9" s="2" customFormat="1" ht="13">
      <c r="A41" s="11"/>
      <c r="B41" s="532" t="s">
        <v>72</v>
      </c>
      <c r="C41" s="532" t="s">
        <v>5</v>
      </c>
      <c r="D41" s="22" t="s">
        <v>41</v>
      </c>
      <c r="E41" s="532" t="s">
        <v>416</v>
      </c>
      <c r="F41" s="23"/>
      <c r="G41" s="4"/>
      <c r="H41" s="4"/>
      <c r="I41" s="4"/>
    </row>
    <row r="42" spans="1:9" s="2" customFormat="1" ht="13">
      <c r="A42" s="11"/>
      <c r="B42" s="532" t="s">
        <v>72</v>
      </c>
      <c r="C42" s="532" t="s">
        <v>251</v>
      </c>
      <c r="D42" s="532" t="s">
        <v>42</v>
      </c>
      <c r="E42" s="22" t="s">
        <v>56</v>
      </c>
      <c r="F42" s="26" t="s">
        <v>417</v>
      </c>
      <c r="G42" s="4"/>
      <c r="H42" s="4"/>
      <c r="I42" s="4"/>
    </row>
    <row r="43" spans="1:9" s="2" customFormat="1" ht="13">
      <c r="A43" s="11"/>
      <c r="B43" s="532" t="s">
        <v>72</v>
      </c>
      <c r="C43" s="532" t="s">
        <v>251</v>
      </c>
      <c r="D43" s="532" t="s">
        <v>44</v>
      </c>
      <c r="E43" s="22" t="s">
        <v>57</v>
      </c>
      <c r="F43" s="26" t="s">
        <v>418</v>
      </c>
      <c r="G43" s="4"/>
      <c r="H43" s="4"/>
      <c r="I43" s="4"/>
    </row>
    <row r="44" spans="1:9" s="2" customFormat="1" ht="13">
      <c r="A44" s="11"/>
      <c r="B44" s="532" t="s">
        <v>72</v>
      </c>
      <c r="C44" s="532" t="s">
        <v>251</v>
      </c>
      <c r="D44" s="532" t="s">
        <v>45</v>
      </c>
      <c r="E44" s="532" t="s">
        <v>532</v>
      </c>
      <c r="F44" s="26" t="s">
        <v>250</v>
      </c>
      <c r="G44" s="4"/>
      <c r="H44" s="4"/>
      <c r="I44" s="4"/>
    </row>
    <row r="45" spans="1:9" s="2" customFormat="1" ht="13">
      <c r="A45" s="11"/>
      <c r="B45" s="532" t="s">
        <v>72</v>
      </c>
      <c r="C45" s="532" t="s">
        <v>251</v>
      </c>
      <c r="D45" s="532" t="s">
        <v>101</v>
      </c>
      <c r="E45" s="532" t="s">
        <v>252</v>
      </c>
      <c r="F45" s="26"/>
      <c r="G45" s="4"/>
      <c r="H45" s="4"/>
      <c r="I45" s="4"/>
    </row>
    <row r="46" spans="1:9" s="2" customFormat="1" ht="13">
      <c r="A46" s="11"/>
      <c r="B46" s="532" t="s">
        <v>72</v>
      </c>
      <c r="C46" s="532" t="s">
        <v>16</v>
      </c>
      <c r="D46" s="532" t="s">
        <v>632</v>
      </c>
      <c r="E46" s="532" t="s">
        <v>676</v>
      </c>
      <c r="F46" s="26" t="s">
        <v>530</v>
      </c>
      <c r="G46" s="4"/>
      <c r="H46" s="4"/>
      <c r="I46" s="4"/>
    </row>
    <row r="47" spans="1:9" s="2" customFormat="1" ht="13">
      <c r="A47" s="11"/>
      <c r="B47" s="532" t="s">
        <v>72</v>
      </c>
      <c r="C47" s="532" t="s">
        <v>99</v>
      </c>
      <c r="D47" s="532" t="s">
        <v>633</v>
      </c>
      <c r="E47" s="532" t="s">
        <v>1585</v>
      </c>
      <c r="F47" s="26" t="s">
        <v>707</v>
      </c>
      <c r="G47" s="4"/>
      <c r="H47" s="4"/>
      <c r="I47" s="4"/>
    </row>
    <row r="48" spans="1:9" s="2" customFormat="1" ht="13">
      <c r="A48" s="11"/>
      <c r="B48" s="532" t="s">
        <v>72</v>
      </c>
      <c r="C48" s="532" t="s">
        <v>99</v>
      </c>
      <c r="D48" s="532" t="s">
        <v>634</v>
      </c>
      <c r="E48" s="532" t="s">
        <v>1586</v>
      </c>
      <c r="F48" s="26" t="s">
        <v>1137</v>
      </c>
      <c r="G48" s="4"/>
      <c r="H48" s="4"/>
      <c r="I48" s="4"/>
    </row>
    <row r="49" spans="1:11" s="2" customFormat="1" ht="13">
      <c r="A49" s="11"/>
      <c r="B49" s="532" t="s">
        <v>72</v>
      </c>
      <c r="C49" s="532" t="s">
        <v>100</v>
      </c>
      <c r="D49" s="532" t="s">
        <v>711</v>
      </c>
      <c r="E49" s="532" t="s">
        <v>1587</v>
      </c>
      <c r="F49" s="26" t="s">
        <v>709</v>
      </c>
      <c r="G49" s="4"/>
      <c r="H49" s="4"/>
      <c r="I49" s="4"/>
    </row>
    <row r="50" spans="1:11" s="2" customFormat="1" ht="13">
      <c r="A50" s="11"/>
      <c r="B50" s="1429" t="s">
        <v>72</v>
      </c>
      <c r="C50" s="40" t="s">
        <v>1507</v>
      </c>
      <c r="D50" s="1429" t="s">
        <v>1232</v>
      </c>
      <c r="E50" s="1430" t="s">
        <v>122</v>
      </c>
      <c r="F50" s="1431" t="s">
        <v>1233</v>
      </c>
      <c r="G50" s="4"/>
      <c r="H50" s="4"/>
      <c r="I50" s="4"/>
    </row>
    <row r="51" spans="1:11" s="2" customFormat="1" ht="13">
      <c r="A51" s="11"/>
      <c r="B51" s="1117" t="s">
        <v>72</v>
      </c>
      <c r="C51" s="40" t="s">
        <v>22</v>
      </c>
      <c r="D51" s="40" t="s">
        <v>975</v>
      </c>
      <c r="E51" s="30" t="s">
        <v>974</v>
      </c>
      <c r="F51" s="1118" t="s">
        <v>976</v>
      </c>
      <c r="G51" s="4"/>
      <c r="H51" s="4"/>
      <c r="I51" s="4"/>
    </row>
    <row r="52" spans="1:11" s="2" customFormat="1" ht="17">
      <c r="A52" s="11"/>
      <c r="B52" s="1117" t="s">
        <v>72</v>
      </c>
      <c r="C52" s="532" t="s">
        <v>100</v>
      </c>
      <c r="D52" s="532" t="s">
        <v>1016</v>
      </c>
      <c r="E52" s="22" t="s">
        <v>18</v>
      </c>
      <c r="F52" s="1132"/>
      <c r="G52" s="4"/>
      <c r="H52" s="4"/>
      <c r="I52" s="4"/>
    </row>
    <row r="53" spans="1:11" s="2" customFormat="1" ht="13">
      <c r="A53" s="11"/>
      <c r="B53" s="1117" t="s">
        <v>72</v>
      </c>
      <c r="C53" s="40" t="s">
        <v>1507</v>
      </c>
      <c r="D53" s="40" t="s">
        <v>1136</v>
      </c>
      <c r="E53" s="30" t="s">
        <v>1228</v>
      </c>
      <c r="F53" s="1118" t="s">
        <v>1230</v>
      </c>
      <c r="G53" s="4"/>
      <c r="H53" s="4"/>
      <c r="I53" s="4"/>
    </row>
    <row r="54" spans="1:11" s="2" customFormat="1" ht="13">
      <c r="A54" s="11"/>
      <c r="B54" s="1429" t="s">
        <v>72</v>
      </c>
      <c r="C54" s="40" t="s">
        <v>1507</v>
      </c>
      <c r="D54" s="1429" t="s">
        <v>1229</v>
      </c>
      <c r="E54" s="30" t="s">
        <v>1234</v>
      </c>
      <c r="F54" s="1118" t="s">
        <v>1231</v>
      </c>
      <c r="G54" s="4"/>
      <c r="H54" s="4"/>
      <c r="I54" s="4"/>
    </row>
    <row r="55" spans="1:11" s="2" customFormat="1" ht="13">
      <c r="A55" s="15"/>
      <c r="B55" s="1620" t="s">
        <v>1561</v>
      </c>
      <c r="C55" s="40" t="s">
        <v>1645</v>
      </c>
      <c r="D55" s="1620" t="s">
        <v>1563</v>
      </c>
      <c r="E55" s="30" t="s">
        <v>1646</v>
      </c>
      <c r="F55" s="1622"/>
      <c r="G55" s="4"/>
      <c r="H55" s="4"/>
      <c r="I55" s="4"/>
    </row>
    <row r="56" spans="1:11">
      <c r="A56" s="15"/>
      <c r="B56" s="1620" t="s">
        <v>1561</v>
      </c>
      <c r="C56" s="40" t="s">
        <v>1645</v>
      </c>
      <c r="D56" s="1661" t="s">
        <v>1575</v>
      </c>
      <c r="E56" s="1662" t="s">
        <v>1647</v>
      </c>
      <c r="F56" s="1663"/>
      <c r="G56" s="4"/>
      <c r="H56" s="4"/>
      <c r="I56" s="4"/>
      <c r="J56" s="2"/>
      <c r="K56" s="2"/>
    </row>
    <row r="57" spans="1:11" s="2" customFormat="1" ht="13">
      <c r="A57" s="15"/>
      <c r="B57" s="1661" t="s">
        <v>1561</v>
      </c>
      <c r="C57" s="1661" t="s">
        <v>1645</v>
      </c>
      <c r="D57" s="1661" t="s">
        <v>1648</v>
      </c>
      <c r="E57" s="1662" t="s">
        <v>1649</v>
      </c>
      <c r="F57" s="1663"/>
      <c r="G57" s="4"/>
      <c r="H57" s="4"/>
      <c r="I57" s="4"/>
    </row>
    <row r="58" spans="1:11" s="2" customFormat="1" ht="13">
      <c r="A58" s="15"/>
      <c r="B58" s="1661" t="s">
        <v>1561</v>
      </c>
      <c r="C58" s="40" t="s">
        <v>1651</v>
      </c>
      <c r="D58" s="40" t="s">
        <v>1650</v>
      </c>
      <c r="E58" s="30" t="s">
        <v>1652</v>
      </c>
      <c r="F58" s="1132"/>
      <c r="G58" s="4"/>
      <c r="H58" s="4"/>
      <c r="I58" s="4"/>
    </row>
    <row r="59" spans="1:11" s="2" customFormat="1" ht="13">
      <c r="A59" s="15"/>
      <c r="B59" s="1620" t="s">
        <v>1561</v>
      </c>
      <c r="C59" s="1620" t="s">
        <v>1564</v>
      </c>
      <c r="D59" s="1620" t="s">
        <v>1568</v>
      </c>
      <c r="E59" s="1621" t="s">
        <v>1567</v>
      </c>
      <c r="F59" s="1622"/>
      <c r="G59" s="4"/>
      <c r="H59" s="4"/>
      <c r="I59" s="4"/>
    </row>
    <row r="60" spans="1:11" s="2" customFormat="1" ht="13">
      <c r="A60" s="15"/>
      <c r="B60" s="40" t="s">
        <v>1561</v>
      </c>
      <c r="C60" s="40" t="s">
        <v>1564</v>
      </c>
      <c r="D60" s="40" t="s">
        <v>2110</v>
      </c>
      <c r="E60" s="30" t="s">
        <v>638</v>
      </c>
      <c r="F60" s="1132"/>
      <c r="G60" s="4"/>
      <c r="H60" s="4"/>
      <c r="I60" s="4"/>
    </row>
    <row r="61" spans="1:11" s="2" customFormat="1" ht="13">
      <c r="A61" s="15"/>
      <c r="B61" s="1620" t="s">
        <v>1561</v>
      </c>
      <c r="C61" s="40" t="s">
        <v>1564</v>
      </c>
      <c r="D61" s="1620" t="s">
        <v>1569</v>
      </c>
      <c r="E61" s="1621" t="s">
        <v>1565</v>
      </c>
      <c r="F61" s="1622"/>
      <c r="G61" s="4"/>
      <c r="H61" s="4"/>
      <c r="I61" s="4"/>
    </row>
    <row r="62" spans="1:11" s="2" customFormat="1" ht="13">
      <c r="A62" s="15"/>
      <c r="B62" s="40" t="s">
        <v>1561</v>
      </c>
      <c r="C62" s="40" t="s">
        <v>25</v>
      </c>
      <c r="D62" s="40" t="s">
        <v>2113</v>
      </c>
      <c r="E62" s="30" t="s">
        <v>2114</v>
      </c>
      <c r="F62" s="1118" t="s">
        <v>2117</v>
      </c>
      <c r="G62" s="4"/>
      <c r="H62" s="4"/>
      <c r="I62" s="4"/>
    </row>
    <row r="63" spans="1:11" s="2" customFormat="1" ht="13">
      <c r="A63" s="15"/>
      <c r="B63" s="40" t="s">
        <v>1561</v>
      </c>
      <c r="C63" s="40" t="s">
        <v>25</v>
      </c>
      <c r="D63" s="40" t="s">
        <v>2115</v>
      </c>
      <c r="E63" s="30" t="s">
        <v>2116</v>
      </c>
      <c r="F63" s="1118" t="s">
        <v>2117</v>
      </c>
      <c r="G63" s="4"/>
      <c r="H63" s="4"/>
      <c r="I63" s="4"/>
    </row>
    <row r="64" spans="1:11" s="2" customFormat="1" ht="13">
      <c r="A64" s="15"/>
      <c r="B64" s="40" t="s">
        <v>1561</v>
      </c>
      <c r="C64" s="40" t="s">
        <v>25</v>
      </c>
      <c r="D64" s="40" t="s">
        <v>2118</v>
      </c>
      <c r="E64" s="30" t="s">
        <v>2119</v>
      </c>
      <c r="F64" s="1118" t="s">
        <v>2117</v>
      </c>
      <c r="G64" s="4"/>
      <c r="H64" s="4"/>
      <c r="I64" s="4"/>
    </row>
    <row r="65" spans="1:9" s="2" customFormat="1" ht="13">
      <c r="A65" s="15"/>
      <c r="B65" s="40" t="s">
        <v>1561</v>
      </c>
      <c r="C65" s="40" t="s">
        <v>25</v>
      </c>
      <c r="D65" s="40" t="s">
        <v>2129</v>
      </c>
      <c r="E65" s="30" t="s">
        <v>2130</v>
      </c>
      <c r="F65" s="1118" t="s">
        <v>2117</v>
      </c>
      <c r="G65" s="4"/>
      <c r="H65" s="4"/>
      <c r="I65" s="4"/>
    </row>
    <row r="66" spans="1:9" s="2" customFormat="1" ht="13">
      <c r="A66" s="15"/>
      <c r="C66" s="12"/>
      <c r="F66" s="16"/>
      <c r="G66" s="4"/>
      <c r="H66" s="4"/>
      <c r="I66" s="4"/>
    </row>
    <row r="67" spans="1:9" s="2" customFormat="1" ht="13">
      <c r="A67" s="15"/>
      <c r="C67" s="12"/>
      <c r="F67" s="16"/>
      <c r="G67" s="4"/>
      <c r="H67" s="4"/>
      <c r="I67" s="4"/>
    </row>
    <row r="68" spans="1:9" s="2" customFormat="1" ht="13">
      <c r="C68" s="12"/>
      <c r="F68" s="16"/>
      <c r="G68" s="4"/>
      <c r="H68" s="4"/>
      <c r="I68" s="4"/>
    </row>
    <row r="69" spans="1:9" s="2" customFormat="1" ht="13">
      <c r="C69" s="12"/>
      <c r="F69" s="16"/>
      <c r="G69" s="4"/>
      <c r="H69" s="4"/>
      <c r="I69" s="4"/>
    </row>
    <row r="70" spans="1:9" s="2" customFormat="1" ht="13">
      <c r="C70" s="12"/>
      <c r="F70" s="16"/>
      <c r="G70" s="4"/>
      <c r="H70" s="4"/>
      <c r="I70" s="4"/>
    </row>
    <row r="71" spans="1:9" s="2" customFormat="1" ht="13">
      <c r="C71" s="12"/>
      <c r="F71" s="16"/>
      <c r="G71" s="4"/>
      <c r="H71" s="4"/>
      <c r="I71" s="4"/>
    </row>
    <row r="72" spans="1:9" s="2" customFormat="1" ht="13">
      <c r="C72" s="12"/>
      <c r="F72" s="16"/>
      <c r="G72" s="4"/>
      <c r="H72" s="4"/>
      <c r="I72" s="4"/>
    </row>
    <row r="73" spans="1:9" s="2" customFormat="1" ht="13">
      <c r="C73" s="12"/>
      <c r="F73" s="16"/>
      <c r="G73" s="4"/>
      <c r="H73" s="4"/>
      <c r="I73" s="4"/>
    </row>
    <row r="74" spans="1:9" s="2" customFormat="1" ht="13">
      <c r="C74" s="12"/>
      <c r="F74" s="16"/>
      <c r="G74" s="4"/>
      <c r="H74" s="4"/>
      <c r="I74" s="4"/>
    </row>
    <row r="75" spans="1:9" s="2" customFormat="1" ht="13">
      <c r="C75" s="12"/>
      <c r="F75" s="16"/>
      <c r="G75" s="4"/>
      <c r="H75" s="4"/>
      <c r="I75" s="4"/>
    </row>
    <row r="76" spans="1:9" s="2" customFormat="1" ht="13">
      <c r="C76" s="12"/>
      <c r="F76" s="16"/>
      <c r="G76" s="4"/>
      <c r="H76" s="4"/>
      <c r="I76" s="4"/>
    </row>
    <row r="77" spans="1:9" s="2" customFormat="1" ht="13">
      <c r="C77" s="12"/>
      <c r="F77" s="16"/>
      <c r="G77" s="4"/>
      <c r="H77" s="4"/>
      <c r="I77" s="4"/>
    </row>
  </sheetData>
  <pageMargins left="0.70866141732283472" right="0.70866141732283472" top="0.74803149606299213" bottom="0.74803149606299213" header="0.31496062992125984" footer="0.31496062992125984"/>
  <tableParts count="1">
    <tablePart r:id="rId1"/>
  </tableParts>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pageSetUpPr autoPageBreaks="0"/>
  </sheetPr>
  <dimension ref="A1:E36"/>
  <sheetViews>
    <sheetView workbookViewId="0"/>
  </sheetViews>
  <sheetFormatPr baseColWidth="10" defaultColWidth="8.83203125" defaultRowHeight="13" x14ac:dyDescent="0"/>
  <cols>
    <col min="1" max="1" width="1" customWidth="1"/>
    <col min="2" max="2" width="14.5" customWidth="1"/>
    <col min="3" max="3" width="35.6640625" bestFit="1" customWidth="1"/>
    <col min="4" max="4" width="61" bestFit="1" customWidth="1"/>
  </cols>
  <sheetData>
    <row r="1" spans="1:4" ht="15">
      <c r="A1" s="3"/>
    </row>
    <row r="2" spans="1:4" ht="15">
      <c r="A2" s="3"/>
      <c r="B2" s="575" t="s">
        <v>805</v>
      </c>
    </row>
    <row r="3" spans="1:4" ht="15">
      <c r="A3" s="3"/>
    </row>
    <row r="4" spans="1:4" ht="17.25" customHeight="1">
      <c r="A4" s="549"/>
      <c r="B4" s="532" t="s">
        <v>803</v>
      </c>
      <c r="C4" s="532" t="s">
        <v>804</v>
      </c>
      <c r="D4" s="532" t="s">
        <v>74</v>
      </c>
    </row>
    <row r="5" spans="1:4" ht="15">
      <c r="A5" s="537"/>
      <c r="B5" s="825" t="s">
        <v>821</v>
      </c>
      <c r="C5" s="532" t="s">
        <v>799</v>
      </c>
      <c r="D5" s="532" t="s">
        <v>998</v>
      </c>
    </row>
    <row r="6" spans="1:4" s="121" customFormat="1" ht="15">
      <c r="A6" s="537"/>
      <c r="B6" s="825" t="s">
        <v>820</v>
      </c>
      <c r="C6" s="532" t="s">
        <v>822</v>
      </c>
      <c r="D6" s="532"/>
    </row>
    <row r="7" spans="1:4" ht="15">
      <c r="A7" s="537"/>
      <c r="B7" s="532">
        <v>2</v>
      </c>
      <c r="C7" s="532" t="s">
        <v>800</v>
      </c>
      <c r="D7" s="532"/>
    </row>
    <row r="8" spans="1:4" ht="15">
      <c r="A8" s="537"/>
      <c r="B8" s="532">
        <v>3</v>
      </c>
      <c r="C8" s="532" t="s">
        <v>801</v>
      </c>
      <c r="D8" s="532" t="s">
        <v>900</v>
      </c>
    </row>
    <row r="9" spans="1:4" ht="15">
      <c r="A9" s="537"/>
      <c r="B9" s="532">
        <v>4</v>
      </c>
      <c r="C9" s="532" t="s">
        <v>172</v>
      </c>
      <c r="D9" s="532" t="s">
        <v>999</v>
      </c>
    </row>
    <row r="10" spans="1:4" ht="15">
      <c r="A10" s="537"/>
      <c r="B10" s="532">
        <v>5</v>
      </c>
      <c r="C10" s="532" t="s">
        <v>802</v>
      </c>
      <c r="D10" s="532"/>
    </row>
    <row r="11" spans="1:4" ht="15">
      <c r="A11" s="537"/>
      <c r="B11" s="532">
        <v>6</v>
      </c>
      <c r="C11" s="532" t="s">
        <v>48</v>
      </c>
      <c r="D11" s="532"/>
    </row>
    <row r="12" spans="1:4" ht="15">
      <c r="A12" s="537"/>
      <c r="B12" s="532">
        <v>7</v>
      </c>
      <c r="C12" s="532" t="s">
        <v>113</v>
      </c>
      <c r="D12" s="532"/>
    </row>
    <row r="13" spans="1:4" ht="15">
      <c r="A13" s="3"/>
      <c r="B13" s="521" t="s">
        <v>806</v>
      </c>
      <c r="C13" s="30" t="s">
        <v>1143</v>
      </c>
      <c r="D13" s="30" t="s">
        <v>1000</v>
      </c>
    </row>
    <row r="14" spans="1:4" ht="15">
      <c r="A14" s="3"/>
      <c r="B14" s="521" t="s">
        <v>807</v>
      </c>
      <c r="C14" s="30" t="s">
        <v>1167</v>
      </c>
      <c r="D14" s="30" t="s">
        <v>1020</v>
      </c>
    </row>
    <row r="15" spans="1:4" ht="15">
      <c r="A15" s="3"/>
      <c r="B15" s="521" t="s">
        <v>833</v>
      </c>
      <c r="C15" s="30" t="s">
        <v>1166</v>
      </c>
      <c r="D15" s="30" t="s">
        <v>1164</v>
      </c>
    </row>
    <row r="16" spans="1:4" s="121" customFormat="1"/>
    <row r="18" spans="1:5" ht="15">
      <c r="B18" s="575" t="s">
        <v>808</v>
      </c>
    </row>
    <row r="20" spans="1:5" ht="15">
      <c r="A20" s="537"/>
      <c r="B20" s="532" t="s">
        <v>809</v>
      </c>
      <c r="C20" s="532" t="s">
        <v>810</v>
      </c>
      <c r="D20" s="532" t="s">
        <v>74</v>
      </c>
    </row>
    <row r="21" spans="1:5" ht="15">
      <c r="A21" s="537"/>
      <c r="B21" s="532" t="s">
        <v>811</v>
      </c>
      <c r="C21" s="532" t="s">
        <v>815</v>
      </c>
      <c r="D21" s="532"/>
    </row>
    <row r="22" spans="1:5" ht="15">
      <c r="A22" s="537"/>
      <c r="B22" s="532" t="s">
        <v>812</v>
      </c>
      <c r="C22" s="532" t="s">
        <v>816</v>
      </c>
      <c r="D22" s="532"/>
    </row>
    <row r="23" spans="1:5" ht="15">
      <c r="A23" s="537"/>
      <c r="B23" s="532" t="s">
        <v>813</v>
      </c>
      <c r="C23" s="532" t="s">
        <v>817</v>
      </c>
      <c r="D23" s="532"/>
    </row>
    <row r="24" spans="1:5" ht="15">
      <c r="A24" s="537"/>
      <c r="B24" s="532" t="s">
        <v>814</v>
      </c>
      <c r="C24" s="532" t="s">
        <v>818</v>
      </c>
      <c r="D24" s="532"/>
    </row>
    <row r="26" spans="1:5">
      <c r="B26" s="121" t="s">
        <v>905</v>
      </c>
    </row>
    <row r="28" spans="1:5">
      <c r="B28" s="121" t="s">
        <v>906</v>
      </c>
    </row>
    <row r="30" spans="1:5" s="121" customFormat="1">
      <c r="B30" s="121" t="s">
        <v>910</v>
      </c>
      <c r="C30" s="121" t="s">
        <v>911</v>
      </c>
      <c r="D30" s="121" t="s">
        <v>918</v>
      </c>
      <c r="E30" s="121" t="s">
        <v>922</v>
      </c>
    </row>
    <row r="31" spans="1:5" s="121" customFormat="1">
      <c r="B31" s="121" t="s">
        <v>912</v>
      </c>
      <c r="C31" s="121" t="s">
        <v>913</v>
      </c>
      <c r="D31" s="121" t="s">
        <v>919</v>
      </c>
    </row>
    <row r="32" spans="1:5" s="121" customFormat="1">
      <c r="B32" s="121" t="s">
        <v>914</v>
      </c>
      <c r="C32" s="121" t="s">
        <v>113</v>
      </c>
      <c r="D32" s="121" t="s">
        <v>713</v>
      </c>
    </row>
    <row r="33" spans="2:5">
      <c r="B33" s="121" t="s">
        <v>907</v>
      </c>
      <c r="C33" s="121" t="s">
        <v>186</v>
      </c>
      <c r="D33" s="121" t="s">
        <v>920</v>
      </c>
    </row>
    <row r="34" spans="2:5">
      <c r="B34" s="121" t="s">
        <v>908</v>
      </c>
      <c r="C34" s="121" t="s">
        <v>909</v>
      </c>
      <c r="D34" s="121" t="s">
        <v>924</v>
      </c>
      <c r="E34" s="121" t="s">
        <v>925</v>
      </c>
    </row>
    <row r="35" spans="2:5">
      <c r="B35" s="121" t="s">
        <v>915</v>
      </c>
      <c r="C35" s="121" t="s">
        <v>917</v>
      </c>
      <c r="D35" s="121" t="s">
        <v>921</v>
      </c>
      <c r="E35" s="121" t="s">
        <v>923</v>
      </c>
    </row>
    <row r="36" spans="2:5">
      <c r="B36" s="121" t="s">
        <v>916</v>
      </c>
      <c r="C36" s="121" t="s">
        <v>113</v>
      </c>
      <c r="D36" s="121" t="s">
        <v>713</v>
      </c>
    </row>
  </sheetData>
  <pageMargins left="0.7" right="0.7" top="0.75" bottom="0.75" header="0.3" footer="0.3"/>
  <tableParts count="2">
    <tablePart r:id="rId1"/>
    <tablePart r:id="rId2"/>
  </tableParts>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theme="9"/>
    <outlinePr summaryBelow="0"/>
    <pageSetUpPr autoPageBreaks="0"/>
  </sheetPr>
  <dimension ref="A1:AA317"/>
  <sheetViews>
    <sheetView tabSelected="1" workbookViewId="0"/>
  </sheetViews>
  <sheetFormatPr baseColWidth="10" defaultColWidth="8.83203125" defaultRowHeight="13" x14ac:dyDescent="0"/>
  <cols>
    <col min="1" max="1" width="5.83203125" style="1824" customWidth="1"/>
    <col min="2" max="2" width="2.5" style="1824" customWidth="1"/>
    <col min="3" max="3" width="8.83203125" style="1824"/>
    <col min="4" max="4" width="28.1640625" style="1824" bestFit="1" customWidth="1"/>
    <col min="5" max="5" width="8.1640625" style="1824" customWidth="1"/>
    <col min="6" max="6" width="18" style="1824" customWidth="1"/>
    <col min="7" max="7" width="14.1640625" style="1824" customWidth="1"/>
    <col min="8" max="8" width="12.6640625" style="1824" customWidth="1"/>
    <col min="9" max="14" width="11.5" style="1824" customWidth="1"/>
    <col min="15" max="15" width="14.1640625" style="1824" customWidth="1"/>
    <col min="16" max="16" width="2" style="1824" customWidth="1"/>
    <col min="17" max="17" width="9" style="1824" customWidth="1"/>
    <col min="18" max="27" width="13.33203125" style="1824" customWidth="1"/>
    <col min="28" max="16384" width="8.83203125" style="1824"/>
  </cols>
  <sheetData>
    <row r="1" spans="1:27" ht="20">
      <c r="A1" s="568" t="s">
        <v>68</v>
      </c>
      <c r="B1" s="568" t="str">
        <f>INDEX(Workstreams[Workstream], MATCH($A1, Workstreams[Code], 0))</f>
        <v>Hydrocarbon fuel power generation</v>
      </c>
      <c r="C1" s="568"/>
    </row>
    <row r="2" spans="1:27" s="532" customFormat="1" ht="19.5" customHeight="1">
      <c r="A2" s="10" t="s">
        <v>623</v>
      </c>
      <c r="B2" s="10" t="str">
        <f>INDEX(Modules[Module], MATCH($A2, Modules[Code], 0))</f>
        <v>Biomass/Coal power stations</v>
      </c>
      <c r="C2" s="10"/>
      <c r="E2" s="1801" t="s">
        <v>2091</v>
      </c>
    </row>
    <row r="3" spans="1:27" s="532" customFormat="1" ht="19.5" customHeight="1">
      <c r="A3" s="10"/>
      <c r="B3" s="10"/>
      <c r="C3" s="10"/>
    </row>
    <row r="4" spans="1:27" ht="22" collapsed="1">
      <c r="A4" s="851"/>
      <c r="B4" s="899" t="s">
        <v>995</v>
      </c>
      <c r="C4" s="862"/>
      <c r="D4" s="863"/>
      <c r="E4" s="864"/>
      <c r="F4" s="863"/>
      <c r="G4" s="863"/>
      <c r="H4" s="863"/>
      <c r="I4" s="863"/>
      <c r="J4" s="863"/>
      <c r="K4" s="863"/>
      <c r="L4" s="863"/>
      <c r="M4" s="863"/>
      <c r="N4" s="863"/>
      <c r="O4" s="863"/>
      <c r="P4" s="865"/>
    </row>
    <row r="5" spans="1:27">
      <c r="B5" s="900"/>
      <c r="C5" s="853"/>
      <c r="D5" s="854"/>
      <c r="E5" s="855"/>
      <c r="F5" s="854"/>
      <c r="G5" s="854"/>
      <c r="H5" s="854"/>
      <c r="I5" s="854"/>
      <c r="J5" s="854"/>
      <c r="K5" s="854"/>
      <c r="L5" s="854"/>
      <c r="M5" s="854"/>
      <c r="N5" s="854"/>
      <c r="O5" s="854"/>
      <c r="P5" s="856"/>
    </row>
    <row r="6" spans="1:27" ht="15">
      <c r="B6" s="905"/>
      <c r="C6" s="854"/>
      <c r="D6" s="642" t="s">
        <v>669</v>
      </c>
      <c r="E6" s="642" t="s">
        <v>992</v>
      </c>
      <c r="F6" s="854"/>
      <c r="G6" s="854"/>
      <c r="H6" s="854"/>
      <c r="I6" s="854"/>
      <c r="J6" s="854"/>
      <c r="K6" s="854"/>
      <c r="L6" s="854"/>
      <c r="M6" s="854"/>
      <c r="N6" s="854"/>
      <c r="O6" s="854"/>
      <c r="P6" s="856"/>
    </row>
    <row r="7" spans="1:27" ht="15">
      <c r="B7" s="905"/>
      <c r="C7" s="854"/>
      <c r="D7" s="649" t="s">
        <v>992</v>
      </c>
      <c r="E7" s="649">
        <f>I.a.scenario</f>
        <v>1</v>
      </c>
      <c r="F7" s="854"/>
      <c r="G7" s="854"/>
      <c r="H7" s="854"/>
      <c r="I7" s="854"/>
      <c r="J7" s="854"/>
      <c r="K7" s="854"/>
      <c r="L7" s="854"/>
      <c r="M7" s="854"/>
      <c r="N7" s="854"/>
      <c r="O7" s="854"/>
      <c r="P7" s="856"/>
    </row>
    <row r="8" spans="1:27" ht="15">
      <c r="B8" s="906"/>
      <c r="C8" s="859"/>
      <c r="D8" s="859"/>
      <c r="E8" s="859"/>
      <c r="F8" s="860"/>
      <c r="G8" s="860"/>
      <c r="H8" s="860"/>
      <c r="I8" s="860"/>
      <c r="J8" s="860"/>
      <c r="K8" s="860"/>
      <c r="L8" s="860"/>
      <c r="M8" s="860"/>
      <c r="N8" s="860"/>
      <c r="O8" s="860"/>
      <c r="P8" s="861"/>
    </row>
    <row r="10" spans="1:27" ht="22">
      <c r="A10" s="851"/>
      <c r="B10" s="899" t="s">
        <v>571</v>
      </c>
      <c r="C10" s="863"/>
      <c r="D10" s="863"/>
      <c r="E10" s="863"/>
      <c r="F10" s="863"/>
      <c r="G10" s="863"/>
      <c r="H10" s="863"/>
      <c r="I10" s="863"/>
      <c r="J10" s="863"/>
      <c r="K10" s="863"/>
      <c r="L10" s="863"/>
      <c r="M10" s="863"/>
      <c r="N10" s="863"/>
      <c r="O10" s="863"/>
      <c r="P10" s="865"/>
    </row>
    <row r="11" spans="1:27">
      <c r="B11" s="852"/>
      <c r="C11" s="854"/>
      <c r="D11" s="854"/>
      <c r="E11" s="854"/>
      <c r="F11" s="854"/>
      <c r="G11" s="854"/>
      <c r="H11" s="854"/>
      <c r="I11" s="854"/>
      <c r="J11" s="854"/>
      <c r="K11" s="854"/>
      <c r="L11" s="854"/>
      <c r="M11" s="854"/>
      <c r="N11" s="854"/>
      <c r="O11" s="854"/>
      <c r="P11" s="856"/>
    </row>
    <row r="12" spans="1:27">
      <c r="B12" s="852"/>
      <c r="C12" s="866" t="s">
        <v>628</v>
      </c>
      <c r="D12" s="854"/>
      <c r="E12" s="855" t="str">
        <f>Preferences.EnergyUnits</f>
        <v>TWh</v>
      </c>
      <c r="F12" s="854"/>
      <c r="G12" s="854"/>
      <c r="H12" s="854"/>
      <c r="I12" s="854"/>
      <c r="J12" s="854"/>
      <c r="K12" s="854"/>
      <c r="L12" s="854"/>
      <c r="M12" s="854"/>
      <c r="N12" s="854"/>
      <c r="O12" s="854"/>
      <c r="P12" s="856"/>
    </row>
    <row r="13" spans="1:27" ht="6" customHeight="1">
      <c r="B13" s="852"/>
      <c r="C13" s="853"/>
      <c r="D13" s="854"/>
      <c r="E13" s="855"/>
      <c r="F13" s="854"/>
      <c r="G13" s="854"/>
      <c r="H13" s="854"/>
      <c r="I13" s="854"/>
      <c r="J13" s="854"/>
      <c r="K13" s="854"/>
      <c r="L13" s="854"/>
      <c r="M13" s="854"/>
      <c r="N13" s="854"/>
      <c r="O13" s="854"/>
      <c r="P13" s="856"/>
    </row>
    <row r="14" spans="1:27" s="532" customFormat="1" ht="15">
      <c r="A14" s="537"/>
      <c r="B14" s="867"/>
      <c r="C14" s="868" t="s">
        <v>72</v>
      </c>
      <c r="D14" s="868" t="s">
        <v>399</v>
      </c>
      <c r="E14" s="868" t="s">
        <v>421</v>
      </c>
      <c r="F14" s="868" t="s">
        <v>576</v>
      </c>
      <c r="G14" s="868" t="s">
        <v>577</v>
      </c>
      <c r="H14" s="868" t="s">
        <v>604</v>
      </c>
      <c r="I14" s="868" t="s">
        <v>605</v>
      </c>
      <c r="J14" s="868" t="s">
        <v>606</v>
      </c>
      <c r="K14" s="868" t="s">
        <v>607</v>
      </c>
      <c r="L14" s="868" t="s">
        <v>608</v>
      </c>
      <c r="M14" s="868" t="s">
        <v>609</v>
      </c>
      <c r="N14" s="868" t="s">
        <v>610</v>
      </c>
      <c r="O14" s="868" t="s">
        <v>611</v>
      </c>
      <c r="P14" s="920"/>
    </row>
    <row r="15" spans="1:27" s="532" customFormat="1" ht="15">
      <c r="A15" s="537"/>
      <c r="B15" s="867"/>
      <c r="C15" s="868" t="s">
        <v>40</v>
      </c>
      <c r="D15" s="868" t="str">
        <f>INDEX(Vectors[Description], MATCH(I.a.Inputs[Vector], Vectors[Code], 0))</f>
        <v>Electricity (delivered to end user)</v>
      </c>
      <c r="E15" s="868"/>
      <c r="F15" s="914" t="e">
        <f ca="1">INDEX(INDIRECT("'"&amp;I.a.Inputs[#Headers]&amp;"'!Year.Matrix"), MATCH("Subtotal."&amp;$A$2, INDIRECT("'"&amp;I.a.Inputs[#Headers]&amp;"'!Year.Modules"), 0), MATCH(I.a.Inputs[Vector], INDIRECT("'"&amp;I.a.Inputs[#Headers]&amp;"'!Year.Vectors"), 0))</f>
        <v>#REF!</v>
      </c>
      <c r="G15" s="914" t="e">
        <f ca="1">INDEX(INDIRECT("'"&amp;I.a.Inputs[#Headers]&amp;"'!Year.Matrix"), MATCH("Subtotal."&amp;$A$2, INDIRECT("'"&amp;I.a.Inputs[#Headers]&amp;"'!Year.Modules"), 0), MATCH(I.a.Inputs[Vector], INDIRECT("'"&amp;I.a.Inputs[#Headers]&amp;"'!Year.Vectors"), 0))</f>
        <v>#REF!</v>
      </c>
      <c r="H15" s="914" t="e">
        <f ca="1">INDEX(INDIRECT("'"&amp;I.a.Inputs[#Headers]&amp;"'!Year.Matrix"), MATCH("Subtotal."&amp;$A$2, INDIRECT("'"&amp;I.a.Inputs[#Headers]&amp;"'!Year.Modules"), 0), MATCH(I.a.Inputs[Vector], INDIRECT("'"&amp;I.a.Inputs[#Headers]&amp;"'!Year.Vectors"), 0))</f>
        <v>#REF!</v>
      </c>
      <c r="I15" s="914" t="e">
        <f ca="1">INDEX(INDIRECT("'"&amp;I.a.Inputs[#Headers]&amp;"'!Year.Matrix"), MATCH("Subtotal."&amp;$A$2, INDIRECT("'"&amp;I.a.Inputs[#Headers]&amp;"'!Year.Modules"), 0), MATCH(I.a.Inputs[Vector], INDIRECT("'"&amp;I.a.Inputs[#Headers]&amp;"'!Year.Vectors"), 0))</f>
        <v>#REF!</v>
      </c>
      <c r="J15" s="914" t="e">
        <f ca="1">INDEX(INDIRECT("'"&amp;I.a.Inputs[#Headers]&amp;"'!Year.Matrix"), MATCH("Subtotal."&amp;$A$2, INDIRECT("'"&amp;I.a.Inputs[#Headers]&amp;"'!Year.Modules"), 0), MATCH(I.a.Inputs[Vector], INDIRECT("'"&amp;I.a.Inputs[#Headers]&amp;"'!Year.Vectors"), 0))</f>
        <v>#REF!</v>
      </c>
      <c r="K15" s="914" t="e">
        <f ca="1">INDEX(INDIRECT("'"&amp;I.a.Inputs[#Headers]&amp;"'!Year.Matrix"), MATCH("Subtotal."&amp;$A$2, INDIRECT("'"&amp;I.a.Inputs[#Headers]&amp;"'!Year.Modules"), 0), MATCH(I.a.Inputs[Vector], INDIRECT("'"&amp;I.a.Inputs[#Headers]&amp;"'!Year.Vectors"), 0))</f>
        <v>#REF!</v>
      </c>
      <c r="L15" s="914" t="e">
        <f ca="1">INDEX(INDIRECT("'"&amp;I.a.Inputs[#Headers]&amp;"'!Year.Matrix"), MATCH("Subtotal."&amp;$A$2, INDIRECT("'"&amp;I.a.Inputs[#Headers]&amp;"'!Year.Modules"), 0), MATCH(I.a.Inputs[Vector], INDIRECT("'"&amp;I.a.Inputs[#Headers]&amp;"'!Year.Vectors"), 0))</f>
        <v>#REF!</v>
      </c>
      <c r="M15" s="914" t="e">
        <f ca="1">INDEX(INDIRECT("'"&amp;I.a.Inputs[#Headers]&amp;"'!Year.Matrix"), MATCH("Subtotal."&amp;$A$2, INDIRECT("'"&amp;I.a.Inputs[#Headers]&amp;"'!Year.Modules"), 0), MATCH(I.a.Inputs[Vector], INDIRECT("'"&amp;I.a.Inputs[#Headers]&amp;"'!Year.Vectors"), 0))</f>
        <v>#REF!</v>
      </c>
      <c r="N15" s="914" t="e">
        <f ca="1">INDEX(INDIRECT("'"&amp;I.a.Inputs[#Headers]&amp;"'!Year.Matrix"), MATCH("Subtotal."&amp;$A$2, INDIRECT("'"&amp;I.a.Inputs[#Headers]&amp;"'!Year.Modules"), 0), MATCH(I.a.Inputs[Vector], INDIRECT("'"&amp;I.a.Inputs[#Headers]&amp;"'!Year.Vectors"), 0))</f>
        <v>#REF!</v>
      </c>
      <c r="O15" s="914">
        <f ca="1">INDEX(INDIRECT("'"&amp;I.a.Inputs[#Headers]&amp;"'!Year.Matrix"), MATCH("Subtotal."&amp;$A$2, INDIRECT("'"&amp;I.a.Inputs[#Headers]&amp;"'!Year.Modules"), 0), MATCH(I.a.Inputs[Vector], INDIRECT("'"&amp;I.a.Inputs[#Headers]&amp;"'!Year.Vectors"), 0))</f>
        <v>0</v>
      </c>
      <c r="P15" s="920"/>
      <c r="R15" s="27"/>
      <c r="S15" s="27"/>
      <c r="T15" s="27"/>
      <c r="U15" s="27"/>
      <c r="V15" s="27"/>
      <c r="W15" s="27"/>
      <c r="X15" s="27"/>
      <c r="Y15" s="27"/>
      <c r="Z15" s="27"/>
      <c r="AA15" s="27"/>
    </row>
    <row r="16" spans="1:27" s="532" customFormat="1" ht="15">
      <c r="A16" s="537"/>
      <c r="B16" s="867"/>
      <c r="C16" s="546" t="s">
        <v>41</v>
      </c>
      <c r="D16" s="546" t="str">
        <f>INDEX(Vectors[Description], MATCH(I.a.Inputs[Vector], Vectors[Code], 0))</f>
        <v>Electricity (supplied to grid)</v>
      </c>
      <c r="E16" s="546"/>
      <c r="F16" s="914" t="e">
        <f ca="1">INDEX(INDIRECT("'"&amp;I.a.Inputs[#Headers]&amp;"'!Year.Matrix"), MATCH("Subtotal."&amp;$A$2, INDIRECT("'"&amp;I.a.Inputs[#Headers]&amp;"'!Year.Modules"), 0), MATCH(I.a.Inputs[Vector], INDIRECT("'"&amp;I.a.Inputs[#Headers]&amp;"'!Year.Vectors"), 0))</f>
        <v>#REF!</v>
      </c>
      <c r="G16" s="914" t="e">
        <f ca="1">INDEX(INDIRECT("'"&amp;I.a.Inputs[#Headers]&amp;"'!Year.Matrix"), MATCH("Subtotal."&amp;$A$2, INDIRECT("'"&amp;I.a.Inputs[#Headers]&amp;"'!Year.Modules"), 0), MATCH(I.a.Inputs[Vector], INDIRECT("'"&amp;I.a.Inputs[#Headers]&amp;"'!Year.Vectors"), 0))</f>
        <v>#REF!</v>
      </c>
      <c r="H16" s="914" t="e">
        <f ca="1">INDEX(INDIRECT("'"&amp;I.a.Inputs[#Headers]&amp;"'!Year.Matrix"), MATCH("Subtotal."&amp;$A$2, INDIRECT("'"&amp;I.a.Inputs[#Headers]&amp;"'!Year.Modules"), 0), MATCH(I.a.Inputs[Vector], INDIRECT("'"&amp;I.a.Inputs[#Headers]&amp;"'!Year.Vectors"), 0))</f>
        <v>#REF!</v>
      </c>
      <c r="I16" s="914" t="e">
        <f ca="1">INDEX(INDIRECT("'"&amp;I.a.Inputs[#Headers]&amp;"'!Year.Matrix"), MATCH("Subtotal."&amp;$A$2, INDIRECT("'"&amp;I.a.Inputs[#Headers]&amp;"'!Year.Modules"), 0), MATCH(I.a.Inputs[Vector], INDIRECT("'"&amp;I.a.Inputs[#Headers]&amp;"'!Year.Vectors"), 0))</f>
        <v>#REF!</v>
      </c>
      <c r="J16" s="914" t="e">
        <f ca="1">INDEX(INDIRECT("'"&amp;I.a.Inputs[#Headers]&amp;"'!Year.Matrix"), MATCH("Subtotal."&amp;$A$2, INDIRECT("'"&amp;I.a.Inputs[#Headers]&amp;"'!Year.Modules"), 0), MATCH(I.a.Inputs[Vector], INDIRECT("'"&amp;I.a.Inputs[#Headers]&amp;"'!Year.Vectors"), 0))</f>
        <v>#REF!</v>
      </c>
      <c r="K16" s="914" t="e">
        <f ca="1">INDEX(INDIRECT("'"&amp;I.a.Inputs[#Headers]&amp;"'!Year.Matrix"), MATCH("Subtotal."&amp;$A$2, INDIRECT("'"&amp;I.a.Inputs[#Headers]&amp;"'!Year.Modules"), 0), MATCH(I.a.Inputs[Vector], INDIRECT("'"&amp;I.a.Inputs[#Headers]&amp;"'!Year.Vectors"), 0))</f>
        <v>#REF!</v>
      </c>
      <c r="L16" s="914" t="e">
        <f ca="1">INDEX(INDIRECT("'"&amp;I.a.Inputs[#Headers]&amp;"'!Year.Matrix"), MATCH("Subtotal."&amp;$A$2, INDIRECT("'"&amp;I.a.Inputs[#Headers]&amp;"'!Year.Modules"), 0), MATCH(I.a.Inputs[Vector], INDIRECT("'"&amp;I.a.Inputs[#Headers]&amp;"'!Year.Vectors"), 0))</f>
        <v>#REF!</v>
      </c>
      <c r="M16" s="914" t="e">
        <f ca="1">INDEX(INDIRECT("'"&amp;I.a.Inputs[#Headers]&amp;"'!Year.Matrix"), MATCH("Subtotal."&amp;$A$2, INDIRECT("'"&amp;I.a.Inputs[#Headers]&amp;"'!Year.Modules"), 0), MATCH(I.a.Inputs[Vector], INDIRECT("'"&amp;I.a.Inputs[#Headers]&amp;"'!Year.Vectors"), 0))</f>
        <v>#REF!</v>
      </c>
      <c r="N16" s="914" t="e">
        <f ca="1">INDEX(INDIRECT("'"&amp;I.a.Inputs[#Headers]&amp;"'!Year.Matrix"), MATCH("Subtotal."&amp;$A$2, INDIRECT("'"&amp;I.a.Inputs[#Headers]&amp;"'!Year.Modules"), 0), MATCH(I.a.Inputs[Vector], INDIRECT("'"&amp;I.a.Inputs[#Headers]&amp;"'!Year.Vectors"), 0))</f>
        <v>#REF!</v>
      </c>
      <c r="O16" s="914">
        <f ca="1">INDEX(INDIRECT("'"&amp;I.a.Inputs[#Headers]&amp;"'!Year.Matrix"), MATCH("Subtotal."&amp;$A$2, INDIRECT("'"&amp;I.a.Inputs[#Headers]&amp;"'!Year.Modules"), 0), MATCH(I.a.Inputs[Vector], INDIRECT("'"&amp;I.a.Inputs[#Headers]&amp;"'!Year.Vectors"), 0))</f>
        <v>261.96211411772401</v>
      </c>
      <c r="P16" s="870"/>
      <c r="R16" s="27"/>
      <c r="S16" s="27"/>
      <c r="T16" s="27"/>
      <c r="U16" s="27"/>
      <c r="V16" s="27"/>
      <c r="W16" s="27"/>
      <c r="X16" s="27"/>
      <c r="Y16" s="27"/>
      <c r="Z16" s="27"/>
      <c r="AA16" s="27"/>
    </row>
    <row r="17" spans="1:16">
      <c r="B17" s="871"/>
      <c r="C17" s="860"/>
      <c r="D17" s="860"/>
      <c r="E17" s="860"/>
      <c r="F17" s="860"/>
      <c r="G17" s="860"/>
      <c r="H17" s="860"/>
      <c r="I17" s="860"/>
      <c r="J17" s="860"/>
      <c r="K17" s="860"/>
      <c r="L17" s="860"/>
      <c r="M17" s="860"/>
      <c r="N17" s="860"/>
      <c r="O17" s="860"/>
      <c r="P17" s="861"/>
    </row>
    <row r="19" spans="1:16" s="532" customFormat="1" ht="22">
      <c r="A19" s="850"/>
      <c r="B19" s="902" t="s">
        <v>993</v>
      </c>
      <c r="C19" s="849"/>
      <c r="D19" s="847"/>
      <c r="E19" s="847"/>
      <c r="F19" s="847"/>
      <c r="G19" s="847"/>
      <c r="H19" s="847"/>
      <c r="I19" s="847"/>
      <c r="J19" s="847"/>
      <c r="K19" s="847"/>
      <c r="L19" s="847"/>
      <c r="M19" s="847"/>
      <c r="N19" s="847"/>
      <c r="O19" s="847"/>
      <c r="P19" s="848"/>
    </row>
    <row r="20" spans="1:16">
      <c r="B20" s="903"/>
      <c r="C20" s="610"/>
      <c r="D20" s="610"/>
      <c r="E20" s="610"/>
      <c r="F20" s="610"/>
      <c r="G20" s="610"/>
      <c r="H20" s="610"/>
      <c r="I20" s="610"/>
      <c r="J20" s="610"/>
      <c r="K20" s="610"/>
      <c r="L20" s="610"/>
      <c r="M20" s="610"/>
      <c r="N20" s="610"/>
      <c r="O20" s="610"/>
      <c r="P20" s="838"/>
    </row>
    <row r="21" spans="1:16">
      <c r="B21" s="903"/>
      <c r="C21" s="612" t="s">
        <v>1546</v>
      </c>
      <c r="D21" s="610"/>
      <c r="E21" s="613"/>
      <c r="F21" s="610"/>
      <c r="G21" s="610"/>
      <c r="H21" s="610"/>
      <c r="I21" s="610"/>
      <c r="J21" s="610"/>
      <c r="K21" s="610"/>
      <c r="L21" s="610"/>
      <c r="M21" s="610"/>
      <c r="N21" s="610"/>
      <c r="O21" s="613"/>
      <c r="P21" s="838"/>
    </row>
    <row r="22" spans="1:16" ht="5.25" customHeight="1">
      <c r="B22" s="903"/>
      <c r="C22" s="610"/>
      <c r="D22" s="610"/>
      <c r="E22" s="610"/>
      <c r="F22" s="610"/>
      <c r="G22" s="610"/>
      <c r="H22" s="610"/>
      <c r="I22" s="610"/>
      <c r="J22" s="610"/>
      <c r="K22" s="610"/>
      <c r="L22" s="610"/>
      <c r="M22" s="610"/>
      <c r="N22" s="610"/>
      <c r="O22" s="610"/>
      <c r="P22" s="838"/>
    </row>
    <row r="23" spans="1:16" ht="15">
      <c r="B23" s="904"/>
      <c r="C23" s="547" t="s">
        <v>992</v>
      </c>
      <c r="D23" s="547" t="s">
        <v>73</v>
      </c>
      <c r="E23" s="547" t="s">
        <v>421</v>
      </c>
      <c r="F23" s="1108">
        <v>2007</v>
      </c>
      <c r="G23" s="1564">
        <v>2010</v>
      </c>
      <c r="H23" s="1564">
        <v>2015</v>
      </c>
      <c r="I23" s="1564">
        <v>2020</v>
      </c>
      <c r="J23" s="1564">
        <v>2025</v>
      </c>
      <c r="K23" s="1564">
        <v>2030</v>
      </c>
      <c r="L23" s="1564">
        <v>2035</v>
      </c>
      <c r="M23" s="1564">
        <v>2040</v>
      </c>
      <c r="N23" s="1564">
        <v>2045</v>
      </c>
      <c r="O23" s="1564">
        <v>2050</v>
      </c>
      <c r="P23" s="838"/>
    </row>
    <row r="24" spans="1:16" ht="15">
      <c r="B24" s="904"/>
      <c r="C24" s="583">
        <v>1</v>
      </c>
      <c r="D24" s="584"/>
      <c r="E24" s="585"/>
      <c r="F24" s="1110">
        <f t="shared" ref="F24:O24" si="0">(Unit.GW)*0.6</f>
        <v>0.6</v>
      </c>
      <c r="G24" s="599">
        <f t="shared" si="0"/>
        <v>0.6</v>
      </c>
      <c r="H24" s="599">
        <f t="shared" si="0"/>
        <v>0.6</v>
      </c>
      <c r="I24" s="599">
        <f t="shared" si="0"/>
        <v>0.6</v>
      </c>
      <c r="J24" s="599">
        <f t="shared" si="0"/>
        <v>0.6</v>
      </c>
      <c r="K24" s="599">
        <f t="shared" si="0"/>
        <v>0.6</v>
      </c>
      <c r="L24" s="599">
        <f t="shared" si="0"/>
        <v>0.6</v>
      </c>
      <c r="M24" s="599">
        <f t="shared" si="0"/>
        <v>0.6</v>
      </c>
      <c r="N24" s="599">
        <f t="shared" si="0"/>
        <v>0.6</v>
      </c>
      <c r="O24" s="599">
        <f t="shared" si="0"/>
        <v>0.6</v>
      </c>
      <c r="P24" s="838"/>
    </row>
    <row r="25" spans="1:16" ht="15">
      <c r="B25" s="904"/>
      <c r="C25" s="583">
        <v>2</v>
      </c>
      <c r="D25" s="584"/>
      <c r="E25" s="584"/>
      <c r="F25" s="1110">
        <f t="shared" ref="F25:G27" si="1">(Unit.GW)*0.6</f>
        <v>0.6</v>
      </c>
      <c r="G25" s="599">
        <f t="shared" si="1"/>
        <v>0.6</v>
      </c>
      <c r="H25" s="599">
        <f>(Unit.GW)*1.5</f>
        <v>1.5</v>
      </c>
      <c r="I25" s="599">
        <f>(Unit.GW)*2.4</f>
        <v>2.4</v>
      </c>
      <c r="J25" s="599">
        <f>(Unit.GW)*3.3</f>
        <v>3.3</v>
      </c>
      <c r="K25" s="599">
        <f>(Unit.GW)*4.2</f>
        <v>4.2</v>
      </c>
      <c r="L25" s="599">
        <f>(Unit.GW)*5.1</f>
        <v>5.0999999999999996</v>
      </c>
      <c r="M25" s="599">
        <f>(Unit.GW)*6</f>
        <v>6</v>
      </c>
      <c r="N25" s="599">
        <f>(Unit.GW)*6.9</f>
        <v>6.9</v>
      </c>
      <c r="O25" s="599">
        <f>(Unit.GW)*7.8</f>
        <v>7.8</v>
      </c>
      <c r="P25" s="838"/>
    </row>
    <row r="26" spans="1:16" ht="15">
      <c r="B26" s="904"/>
      <c r="C26" s="583">
        <v>3</v>
      </c>
      <c r="D26" s="584"/>
      <c r="E26" s="584"/>
      <c r="F26" s="1110">
        <f t="shared" si="1"/>
        <v>0.6</v>
      </c>
      <c r="G26" s="599">
        <f t="shared" si="1"/>
        <v>0.6</v>
      </c>
      <c r="H26" s="599">
        <f>(Unit.GW)*2.1</f>
        <v>2.1</v>
      </c>
      <c r="I26" s="599">
        <f>(Unit.GW)*3.6</f>
        <v>3.6</v>
      </c>
      <c r="J26" s="599">
        <f>(Unit.GW)*5.1</f>
        <v>5.0999999999999996</v>
      </c>
      <c r="K26" s="599">
        <f>(Unit.GW)*6.6</f>
        <v>6.6</v>
      </c>
      <c r="L26" s="599">
        <f>(Unit.GW)*8.1</f>
        <v>8.1</v>
      </c>
      <c r="M26" s="599">
        <f>(Unit.GW)*9.6</f>
        <v>9.6</v>
      </c>
      <c r="N26" s="599">
        <f>(Unit.GW)*11.1</f>
        <v>11.1</v>
      </c>
      <c r="O26" s="599">
        <f>(Unit.GW)*12.6</f>
        <v>12.6</v>
      </c>
      <c r="P26" s="838"/>
    </row>
    <row r="27" spans="1:16" ht="15">
      <c r="B27" s="904"/>
      <c r="C27" s="550">
        <v>4</v>
      </c>
      <c r="D27" s="551"/>
      <c r="E27" s="551"/>
      <c r="F27" s="1111">
        <f t="shared" si="1"/>
        <v>0.6</v>
      </c>
      <c r="G27" s="626">
        <f t="shared" si="1"/>
        <v>0.6</v>
      </c>
      <c r="H27" s="626">
        <f>(Unit.GW)*3.35</f>
        <v>3.35</v>
      </c>
      <c r="I27" s="626">
        <f>(Unit.GW)*6.1</f>
        <v>6.1</v>
      </c>
      <c r="J27" s="626">
        <f>(Unit.GW)*8.85</f>
        <v>8.85</v>
      </c>
      <c r="K27" s="626">
        <f>(Unit.GW)*11.6</f>
        <v>11.6</v>
      </c>
      <c r="L27" s="626">
        <f>(Unit.GW)*14.35</f>
        <v>14.35</v>
      </c>
      <c r="M27" s="626">
        <f>(Unit.GW)*17.1</f>
        <v>17.100000000000001</v>
      </c>
      <c r="N27" s="626">
        <f>(Unit.GW)*19.85</f>
        <v>19.850000000000001</v>
      </c>
      <c r="O27" s="626">
        <f>(Unit.GW)*22.6</f>
        <v>22.6</v>
      </c>
      <c r="P27" s="838"/>
    </row>
    <row r="28" spans="1:16" ht="15">
      <c r="B28" s="839"/>
      <c r="C28" s="1812" t="s">
        <v>971</v>
      </c>
      <c r="D28" s="1813"/>
      <c r="E28" s="1813"/>
      <c r="F28" s="1814">
        <f>(INDEX(F$24:F$27,ROUNDDOWN($E$7,0))*(1-MOD($E$7,1)))+(INDEX(F$24:F$27,ROUNDUP($E$7,0))*MOD($E$7,1))</f>
        <v>0.6</v>
      </c>
      <c r="G28" s="1814">
        <f t="shared" ref="G28:O28" si="2">(INDEX(G$24:G$27,ROUNDDOWN($E$7,0))*(1-MOD($E$7,1)))+(INDEX(G$24:G$27,ROUNDUP($E$7,0))*MOD($E$7,1))</f>
        <v>0.6</v>
      </c>
      <c r="H28" s="1814">
        <f t="shared" si="2"/>
        <v>0.6</v>
      </c>
      <c r="I28" s="1814">
        <f t="shared" si="2"/>
        <v>0.6</v>
      </c>
      <c r="J28" s="1814">
        <f t="shared" si="2"/>
        <v>0.6</v>
      </c>
      <c r="K28" s="1814">
        <f t="shared" si="2"/>
        <v>0.6</v>
      </c>
      <c r="L28" s="1814">
        <f t="shared" si="2"/>
        <v>0.6</v>
      </c>
      <c r="M28" s="1814">
        <f t="shared" si="2"/>
        <v>0.6</v>
      </c>
      <c r="N28" s="1814">
        <f t="shared" si="2"/>
        <v>0.6</v>
      </c>
      <c r="O28" s="1815">
        <f t="shared" si="2"/>
        <v>0.6</v>
      </c>
      <c r="P28" s="838"/>
    </row>
    <row r="29" spans="1:16">
      <c r="B29" s="903"/>
      <c r="C29" s="610"/>
      <c r="D29" s="610"/>
      <c r="E29" s="610"/>
      <c r="F29" s="610"/>
      <c r="G29" s="610"/>
      <c r="H29" s="610"/>
      <c r="I29" s="610"/>
      <c r="J29" s="610"/>
      <c r="K29" s="610"/>
      <c r="L29" s="610"/>
      <c r="M29" s="610"/>
      <c r="N29" s="610"/>
      <c r="O29" s="610"/>
      <c r="P29" s="838"/>
    </row>
    <row r="30" spans="1:16">
      <c r="B30" s="903"/>
      <c r="C30" s="612" t="s">
        <v>1549</v>
      </c>
      <c r="D30" s="610"/>
      <c r="E30" s="610"/>
      <c r="F30" s="610"/>
      <c r="G30" s="610"/>
      <c r="H30" s="610"/>
      <c r="I30" s="610"/>
      <c r="J30" s="610"/>
      <c r="K30" s="610"/>
      <c r="L30" s="610"/>
      <c r="M30" s="610"/>
      <c r="N30" s="610"/>
      <c r="O30" s="610"/>
      <c r="P30" s="838"/>
    </row>
    <row r="31" spans="1:16" ht="4.5" customHeight="1">
      <c r="B31" s="903"/>
      <c r="C31" s="610"/>
      <c r="D31" s="610"/>
      <c r="E31" s="610"/>
      <c r="F31" s="610"/>
      <c r="G31" s="610"/>
      <c r="H31" s="610"/>
      <c r="I31" s="610"/>
      <c r="J31" s="610"/>
      <c r="K31" s="610"/>
      <c r="L31" s="610"/>
      <c r="M31" s="610"/>
      <c r="N31" s="610"/>
      <c r="O31" s="610"/>
      <c r="P31" s="838"/>
    </row>
    <row r="32" spans="1:16" ht="14">
      <c r="B32" s="903"/>
      <c r="C32" s="547" t="s">
        <v>992</v>
      </c>
      <c r="D32" s="547" t="s">
        <v>73</v>
      </c>
      <c r="E32" s="547" t="s">
        <v>421</v>
      </c>
      <c r="F32" s="1108">
        <v>2007</v>
      </c>
      <c r="G32" s="1564">
        <v>2010</v>
      </c>
      <c r="H32" s="1564">
        <v>2015</v>
      </c>
      <c r="I32" s="1564">
        <v>2020</v>
      </c>
      <c r="J32" s="1564">
        <v>2025</v>
      </c>
      <c r="K32" s="1564">
        <v>2030</v>
      </c>
      <c r="L32" s="1564">
        <v>2035</v>
      </c>
      <c r="M32" s="1564">
        <v>2040</v>
      </c>
      <c r="N32" s="1564">
        <v>2045</v>
      </c>
      <c r="O32" s="1564">
        <v>2050</v>
      </c>
      <c r="P32" s="838"/>
    </row>
    <row r="33" spans="1:16">
      <c r="B33" s="903"/>
      <c r="C33" s="583">
        <v>1</v>
      </c>
      <c r="D33" s="584"/>
      <c r="E33" s="585"/>
      <c r="F33" s="1110">
        <v>0</v>
      </c>
      <c r="G33" s="599">
        <v>0</v>
      </c>
      <c r="H33" s="599">
        <v>0</v>
      </c>
      <c r="I33" s="599">
        <v>0</v>
      </c>
      <c r="J33" s="599">
        <v>0</v>
      </c>
      <c r="K33" s="599">
        <v>0</v>
      </c>
      <c r="L33" s="599">
        <v>0</v>
      </c>
      <c r="M33" s="599">
        <v>0</v>
      </c>
      <c r="N33" s="599">
        <v>0</v>
      </c>
      <c r="O33" s="599">
        <v>0</v>
      </c>
      <c r="P33" s="838"/>
    </row>
    <row r="34" spans="1:16">
      <c r="B34" s="903"/>
      <c r="C34" s="583">
        <v>2</v>
      </c>
      <c r="D34" s="584"/>
      <c r="E34" s="584"/>
      <c r="F34" s="1110">
        <v>0</v>
      </c>
      <c r="G34" s="778">
        <v>0</v>
      </c>
      <c r="H34" s="778">
        <f t="shared" ref="H34:O34" si="3">(Unit.GW)*-0.5</f>
        <v>-0.5</v>
      </c>
      <c r="I34" s="778">
        <f t="shared" si="3"/>
        <v>-0.5</v>
      </c>
      <c r="J34" s="778">
        <f t="shared" si="3"/>
        <v>-0.5</v>
      </c>
      <c r="K34" s="778">
        <f t="shared" si="3"/>
        <v>-0.5</v>
      </c>
      <c r="L34" s="778">
        <f t="shared" si="3"/>
        <v>-0.5</v>
      </c>
      <c r="M34" s="778">
        <f t="shared" si="3"/>
        <v>-0.5</v>
      </c>
      <c r="N34" s="778">
        <f t="shared" si="3"/>
        <v>-0.5</v>
      </c>
      <c r="O34" s="778">
        <f t="shared" si="3"/>
        <v>-0.5</v>
      </c>
      <c r="P34" s="838"/>
    </row>
    <row r="35" spans="1:16">
      <c r="B35" s="903"/>
      <c r="C35" s="583">
        <v>3</v>
      </c>
      <c r="D35" s="584"/>
      <c r="E35" s="584"/>
      <c r="F35" s="1110">
        <v>0</v>
      </c>
      <c r="G35" s="778">
        <v>0</v>
      </c>
      <c r="H35" s="778">
        <f>(Unit.GW)*-0.5</f>
        <v>-0.5</v>
      </c>
      <c r="I35" s="778">
        <f t="shared" ref="I35:O35" si="4">(Unit.GW)*-1</f>
        <v>-1</v>
      </c>
      <c r="J35" s="778">
        <f t="shared" si="4"/>
        <v>-1</v>
      </c>
      <c r="K35" s="778">
        <f t="shared" si="4"/>
        <v>-1</v>
      </c>
      <c r="L35" s="778">
        <f t="shared" si="4"/>
        <v>-1</v>
      </c>
      <c r="M35" s="778">
        <f t="shared" si="4"/>
        <v>-1</v>
      </c>
      <c r="N35" s="778">
        <f t="shared" si="4"/>
        <v>-1</v>
      </c>
      <c r="O35" s="778">
        <f t="shared" si="4"/>
        <v>-1</v>
      </c>
      <c r="P35" s="838"/>
    </row>
    <row r="36" spans="1:16">
      <c r="B36" s="903"/>
      <c r="C36" s="550">
        <v>4</v>
      </c>
      <c r="D36" s="551"/>
      <c r="E36" s="551"/>
      <c r="F36" s="1111">
        <v>0</v>
      </c>
      <c r="G36" s="607">
        <v>0</v>
      </c>
      <c r="H36" s="1567">
        <f>(Unit.GW)*-0.5</f>
        <v>-0.5</v>
      </c>
      <c r="I36" s="1567">
        <f>(Unit.GW)*-1</f>
        <v>-1</v>
      </c>
      <c r="J36" s="1567">
        <f t="shared" ref="J36:O36" si="5">(Unit.GW)*-2</f>
        <v>-2</v>
      </c>
      <c r="K36" s="1567">
        <f t="shared" si="5"/>
        <v>-2</v>
      </c>
      <c r="L36" s="1567">
        <f t="shared" si="5"/>
        <v>-2</v>
      </c>
      <c r="M36" s="1567">
        <f t="shared" si="5"/>
        <v>-2</v>
      </c>
      <c r="N36" s="1567">
        <f t="shared" si="5"/>
        <v>-2</v>
      </c>
      <c r="O36" s="1567">
        <f t="shared" si="5"/>
        <v>-2</v>
      </c>
      <c r="P36" s="838"/>
    </row>
    <row r="37" spans="1:16" ht="15">
      <c r="B37" s="839"/>
      <c r="C37" s="1812" t="s">
        <v>971</v>
      </c>
      <c r="D37" s="1813"/>
      <c r="E37" s="1813"/>
      <c r="F37" s="1814">
        <f>(INDEX(F$33:F$36,ROUNDDOWN($E$7,0))*(1-MOD($E$7,1)))+(INDEX(F$33:F$36,ROUNDUP($E$7,0))*MOD($E$7,1))</f>
        <v>0</v>
      </c>
      <c r="G37" s="1814">
        <f t="shared" ref="G37:O37" si="6">(INDEX(G$33:G$36,ROUNDDOWN($E$7,0))*(1-MOD($E$7,1)))+(INDEX(G$33:G$36,ROUNDUP($E$7,0))*MOD($E$7,1))</f>
        <v>0</v>
      </c>
      <c r="H37" s="1814">
        <f t="shared" si="6"/>
        <v>0</v>
      </c>
      <c r="I37" s="1814">
        <f t="shared" si="6"/>
        <v>0</v>
      </c>
      <c r="J37" s="1814">
        <f t="shared" si="6"/>
        <v>0</v>
      </c>
      <c r="K37" s="1814">
        <f t="shared" si="6"/>
        <v>0</v>
      </c>
      <c r="L37" s="1814">
        <f t="shared" si="6"/>
        <v>0</v>
      </c>
      <c r="M37" s="1814">
        <f t="shared" si="6"/>
        <v>0</v>
      </c>
      <c r="N37" s="1814">
        <f t="shared" si="6"/>
        <v>0</v>
      </c>
      <c r="O37" s="1815">
        <f t="shared" si="6"/>
        <v>0</v>
      </c>
      <c r="P37" s="838"/>
    </row>
    <row r="38" spans="1:16">
      <c r="B38" s="903"/>
      <c r="C38" s="610"/>
      <c r="D38" s="610"/>
      <c r="E38" s="610"/>
      <c r="F38" s="610"/>
      <c r="G38" s="610"/>
      <c r="H38" s="610"/>
      <c r="I38" s="610"/>
      <c r="J38" s="610"/>
      <c r="K38" s="610"/>
      <c r="L38" s="610"/>
      <c r="M38" s="610"/>
      <c r="N38" s="610"/>
      <c r="O38" s="610"/>
      <c r="P38" s="838"/>
    </row>
    <row r="39" spans="1:16">
      <c r="B39" s="903"/>
      <c r="C39" s="610" t="s">
        <v>601</v>
      </c>
      <c r="D39" s="610"/>
      <c r="E39" s="610"/>
      <c r="F39" s="610"/>
      <c r="G39" s="610"/>
      <c r="H39" s="610"/>
      <c r="I39" s="610"/>
      <c r="J39" s="610"/>
      <c r="K39" s="610"/>
      <c r="L39" s="610"/>
      <c r="M39" s="610"/>
      <c r="N39" s="610"/>
      <c r="O39" s="610"/>
      <c r="P39" s="838"/>
    </row>
    <row r="40" spans="1:16">
      <c r="B40" s="903"/>
      <c r="C40" s="909" t="s">
        <v>102</v>
      </c>
      <c r="D40" s="897" t="s">
        <v>1547</v>
      </c>
      <c r="E40" s="610"/>
      <c r="F40" s="610"/>
      <c r="G40" s="610"/>
      <c r="H40" s="610"/>
      <c r="I40" s="610"/>
      <c r="J40" s="610"/>
      <c r="K40" s="610"/>
      <c r="L40" s="610"/>
      <c r="M40" s="610"/>
      <c r="N40" s="610"/>
      <c r="O40" s="610"/>
      <c r="P40" s="838"/>
    </row>
    <row r="41" spans="1:16">
      <c r="B41" s="903"/>
      <c r="C41" s="909" t="s">
        <v>108</v>
      </c>
      <c r="D41" s="897" t="s">
        <v>1548</v>
      </c>
      <c r="E41" s="610"/>
      <c r="F41" s="610"/>
      <c r="G41" s="610"/>
      <c r="H41" s="610"/>
      <c r="I41" s="610"/>
      <c r="J41" s="610"/>
      <c r="K41" s="610"/>
      <c r="L41" s="610"/>
      <c r="M41" s="610"/>
      <c r="N41" s="610"/>
      <c r="O41" s="610"/>
      <c r="P41" s="838"/>
    </row>
    <row r="42" spans="1:16">
      <c r="B42" s="903"/>
      <c r="C42" s="909"/>
      <c r="D42" s="1606" t="s">
        <v>1550</v>
      </c>
      <c r="E42" s="610"/>
      <c r="F42" s="610"/>
      <c r="G42" s="610"/>
      <c r="H42" s="610"/>
      <c r="I42" s="610"/>
      <c r="J42" s="610"/>
      <c r="K42" s="610"/>
      <c r="L42" s="610"/>
      <c r="M42" s="610"/>
      <c r="N42" s="610"/>
      <c r="O42" s="610"/>
      <c r="P42" s="838"/>
    </row>
    <row r="43" spans="1:16">
      <c r="B43" s="903"/>
      <c r="C43" s="610"/>
      <c r="D43" s="610"/>
      <c r="E43" s="610"/>
      <c r="F43" s="610"/>
      <c r="G43" s="610"/>
      <c r="H43" s="610"/>
      <c r="I43" s="610"/>
      <c r="J43" s="610"/>
      <c r="K43" s="610"/>
      <c r="L43" s="610"/>
      <c r="M43" s="610"/>
      <c r="N43" s="610"/>
      <c r="O43" s="610"/>
      <c r="P43" s="838"/>
    </row>
    <row r="46" spans="1:16" s="532" customFormat="1" ht="22">
      <c r="A46" s="850"/>
      <c r="B46" s="902" t="s">
        <v>643</v>
      </c>
      <c r="C46" s="847"/>
      <c r="D46" s="847"/>
      <c r="E46" s="847"/>
      <c r="F46" s="847"/>
      <c r="G46" s="847"/>
      <c r="H46" s="847"/>
      <c r="I46" s="847"/>
      <c r="J46" s="847"/>
      <c r="K46" s="847"/>
      <c r="L46" s="847"/>
      <c r="M46" s="847"/>
      <c r="N46" s="847"/>
      <c r="O46" s="847"/>
      <c r="P46" s="848"/>
    </row>
    <row r="47" spans="1:16" ht="5.25" customHeight="1">
      <c r="B47" s="891"/>
      <c r="C47" s="892"/>
      <c r="D47" s="892"/>
      <c r="E47" s="892"/>
      <c r="F47" s="892"/>
      <c r="G47" s="892"/>
      <c r="H47" s="892"/>
      <c r="I47" s="892"/>
      <c r="J47" s="892"/>
      <c r="K47" s="892"/>
      <c r="L47" s="892"/>
      <c r="M47" s="892"/>
      <c r="N47" s="892"/>
      <c r="O47" s="892"/>
      <c r="P47" s="893"/>
    </row>
    <row r="48" spans="1:16">
      <c r="B48" s="837"/>
      <c r="C48" s="612" t="s">
        <v>1139</v>
      </c>
      <c r="D48" s="610"/>
      <c r="E48" s="610"/>
      <c r="F48" s="610"/>
      <c r="G48" s="613"/>
      <c r="H48" s="610"/>
      <c r="I48" s="610"/>
      <c r="J48" s="610"/>
      <c r="K48" s="610"/>
      <c r="L48" s="610"/>
      <c r="M48" s="610"/>
      <c r="N48" s="610"/>
      <c r="O48" s="610"/>
      <c r="P48" s="838"/>
    </row>
    <row r="49" spans="2:18">
      <c r="B49" s="837"/>
      <c r="C49" s="610"/>
      <c r="D49" s="610"/>
      <c r="E49" s="610"/>
      <c r="F49" s="610"/>
      <c r="G49" s="610"/>
      <c r="H49" s="610"/>
      <c r="I49" s="610"/>
      <c r="J49" s="610"/>
      <c r="K49" s="610"/>
      <c r="L49" s="610"/>
      <c r="M49" s="610"/>
      <c r="N49" s="610"/>
      <c r="O49" s="610"/>
      <c r="P49" s="838"/>
    </row>
    <row r="50" spans="2:18" ht="15">
      <c r="B50" s="839"/>
      <c r="C50" s="547" t="s">
        <v>600</v>
      </c>
      <c r="D50" s="547" t="s">
        <v>614</v>
      </c>
      <c r="E50" s="547" t="s">
        <v>421</v>
      </c>
      <c r="F50" s="552" t="s">
        <v>576</v>
      </c>
      <c r="G50" s="553" t="s">
        <v>577</v>
      </c>
      <c r="H50" s="552" t="s">
        <v>604</v>
      </c>
      <c r="I50" s="552" t="s">
        <v>605</v>
      </c>
      <c r="J50" s="552" t="s">
        <v>606</v>
      </c>
      <c r="K50" s="552" t="s">
        <v>607</v>
      </c>
      <c r="L50" s="552" t="s">
        <v>608</v>
      </c>
      <c r="M50" s="552" t="s">
        <v>609</v>
      </c>
      <c r="N50" s="552" t="s">
        <v>610</v>
      </c>
      <c r="O50" s="552" t="s">
        <v>611</v>
      </c>
      <c r="P50" s="838"/>
    </row>
    <row r="51" spans="2:18" ht="15">
      <c r="B51" s="839"/>
      <c r="C51" s="771" t="s">
        <v>42</v>
      </c>
      <c r="D51" s="584" t="s">
        <v>1551</v>
      </c>
      <c r="E51" s="772"/>
      <c r="F51" s="773" t="e">
        <f>#REF!/#REF!</f>
        <v>#REF!</v>
      </c>
      <c r="G51" s="774">
        <v>0.05</v>
      </c>
      <c r="H51" s="775">
        <v>0.05</v>
      </c>
      <c r="I51" s="775">
        <v>0.05</v>
      </c>
      <c r="J51" s="775">
        <v>0.05</v>
      </c>
      <c r="K51" s="775">
        <v>0.05</v>
      </c>
      <c r="L51" s="775">
        <v>0.05</v>
      </c>
      <c r="M51" s="775">
        <v>0.05</v>
      </c>
      <c r="N51" s="775">
        <v>0.05</v>
      </c>
      <c r="O51" s="775">
        <v>0.05</v>
      </c>
      <c r="P51" s="838"/>
    </row>
    <row r="52" spans="2:18" ht="15">
      <c r="B52" s="839"/>
      <c r="C52" s="771" t="s">
        <v>44</v>
      </c>
      <c r="D52" s="771" t="s">
        <v>602</v>
      </c>
      <c r="E52" s="772"/>
      <c r="F52" s="773" t="e">
        <f>#REF!/#REF!</f>
        <v>#REF!</v>
      </c>
      <c r="G52" s="774">
        <v>0.2</v>
      </c>
      <c r="H52" s="775">
        <v>0.2</v>
      </c>
      <c r="I52" s="775">
        <v>0.2</v>
      </c>
      <c r="J52" s="775">
        <v>0.2</v>
      </c>
      <c r="K52" s="775">
        <v>0.2</v>
      </c>
      <c r="L52" s="775">
        <v>0.2</v>
      </c>
      <c r="M52" s="775">
        <v>0.2</v>
      </c>
      <c r="N52" s="775">
        <v>0.2</v>
      </c>
      <c r="O52" s="775">
        <v>0.2</v>
      </c>
      <c r="P52" s="838"/>
    </row>
    <row r="53" spans="2:18" ht="15">
      <c r="B53" s="839"/>
      <c r="C53" s="768" t="s">
        <v>45</v>
      </c>
      <c r="D53" s="769" t="s">
        <v>621</v>
      </c>
      <c r="E53" s="769"/>
      <c r="F53" s="558" t="e">
        <f>#REF!/#REF!</f>
        <v>#REF!</v>
      </c>
      <c r="G53" s="770">
        <v>0.02</v>
      </c>
      <c r="H53" s="598">
        <v>0.02</v>
      </c>
      <c r="I53" s="598">
        <v>0.02</v>
      </c>
      <c r="J53" s="598">
        <v>0.02</v>
      </c>
      <c r="K53" s="598">
        <v>0.02</v>
      </c>
      <c r="L53" s="598">
        <v>0.02</v>
      </c>
      <c r="M53" s="598">
        <v>0.02</v>
      </c>
      <c r="N53" s="598">
        <v>0.02</v>
      </c>
      <c r="O53" s="598">
        <v>0.02</v>
      </c>
      <c r="P53" s="838"/>
    </row>
    <row r="54" spans="2:18" ht="6" customHeight="1">
      <c r="B54" s="837"/>
      <c r="C54" s="610"/>
      <c r="D54" s="610"/>
      <c r="E54" s="610"/>
      <c r="F54" s="610"/>
      <c r="G54" s="610"/>
      <c r="H54" s="610"/>
      <c r="I54" s="610"/>
      <c r="J54" s="610"/>
      <c r="K54" s="610"/>
      <c r="L54" s="610"/>
      <c r="M54" s="610"/>
      <c r="N54" s="610"/>
      <c r="O54" s="610"/>
      <c r="P54" s="838"/>
    </row>
    <row r="55" spans="2:18">
      <c r="B55" s="840"/>
      <c r="C55" s="612" t="s">
        <v>612</v>
      </c>
      <c r="D55" s="610"/>
      <c r="E55" s="610"/>
      <c r="F55" s="610"/>
      <c r="G55" s="613"/>
      <c r="H55" s="610"/>
      <c r="I55" s="610"/>
      <c r="J55" s="610"/>
      <c r="K55" s="610"/>
      <c r="L55" s="610"/>
      <c r="M55" s="610"/>
      <c r="N55" s="610"/>
      <c r="O55" s="610"/>
      <c r="P55" s="838"/>
    </row>
    <row r="56" spans="2:18">
      <c r="B56" s="837"/>
      <c r="C56" s="610"/>
      <c r="D56" s="610"/>
      <c r="E56" s="610"/>
      <c r="F56" s="610"/>
      <c r="G56" s="610"/>
      <c r="H56" s="610"/>
      <c r="I56" s="610"/>
      <c r="J56" s="610"/>
      <c r="K56" s="610"/>
      <c r="L56" s="610"/>
      <c r="M56" s="610"/>
      <c r="N56" s="610"/>
      <c r="O56" s="610"/>
      <c r="P56" s="838"/>
    </row>
    <row r="57" spans="2:18" ht="15">
      <c r="B57" s="839"/>
      <c r="C57" s="547" t="s">
        <v>600</v>
      </c>
      <c r="D57" s="547" t="s">
        <v>614</v>
      </c>
      <c r="E57" s="547" t="s">
        <v>421</v>
      </c>
      <c r="F57" s="552" t="s">
        <v>576</v>
      </c>
      <c r="G57" s="553" t="s">
        <v>577</v>
      </c>
      <c r="H57" s="552" t="s">
        <v>604</v>
      </c>
      <c r="I57" s="552" t="s">
        <v>605</v>
      </c>
      <c r="J57" s="552" t="s">
        <v>606</v>
      </c>
      <c r="K57" s="552" t="s">
        <v>607</v>
      </c>
      <c r="L57" s="552" t="s">
        <v>608</v>
      </c>
      <c r="M57" s="552" t="s">
        <v>609</v>
      </c>
      <c r="N57" s="552" t="s">
        <v>610</v>
      </c>
      <c r="O57" s="552" t="s">
        <v>611</v>
      </c>
      <c r="P57" s="838"/>
    </row>
    <row r="58" spans="2:18" s="532" customFormat="1" ht="15">
      <c r="B58" s="841"/>
      <c r="C58" s="918" t="s">
        <v>42</v>
      </c>
      <c r="D58" s="584" t="s">
        <v>1551</v>
      </c>
      <c r="E58" s="771"/>
      <c r="F58" s="639">
        <v>0.35699999999999998</v>
      </c>
      <c r="G58" s="561">
        <v>0.35</v>
      </c>
      <c r="H58" s="611">
        <v>0.35</v>
      </c>
      <c r="I58" s="611">
        <v>0.35</v>
      </c>
      <c r="J58" s="611">
        <v>0.35</v>
      </c>
      <c r="K58" s="611">
        <v>0.35</v>
      </c>
      <c r="L58" s="611">
        <v>0.35</v>
      </c>
      <c r="M58" s="611">
        <v>0.35</v>
      </c>
      <c r="N58" s="611">
        <v>0.35</v>
      </c>
      <c r="O58" s="611">
        <v>0.35</v>
      </c>
      <c r="P58" s="842"/>
    </row>
    <row r="59" spans="2:18" s="532" customFormat="1" ht="15">
      <c r="B59" s="841"/>
      <c r="C59" s="918" t="s">
        <v>44</v>
      </c>
      <c r="D59" s="771" t="s">
        <v>602</v>
      </c>
      <c r="E59" s="771" t="s">
        <v>102</v>
      </c>
      <c r="F59" s="773">
        <v>0.27500000000000002</v>
      </c>
      <c r="G59" s="561">
        <v>0.3</v>
      </c>
      <c r="H59" s="611">
        <v>0.3</v>
      </c>
      <c r="I59" s="611">
        <v>0.3</v>
      </c>
      <c r="J59" s="611">
        <v>0.3</v>
      </c>
      <c r="K59" s="611">
        <v>0.3</v>
      </c>
      <c r="L59" s="611">
        <v>0.3</v>
      </c>
      <c r="M59" s="611">
        <v>0.3</v>
      </c>
      <c r="N59" s="611">
        <v>0.3</v>
      </c>
      <c r="O59" s="611">
        <v>0.3</v>
      </c>
      <c r="P59" s="842"/>
    </row>
    <row r="60" spans="2:18" s="532" customFormat="1" ht="15">
      <c r="B60" s="841"/>
      <c r="C60" s="768" t="s">
        <v>45</v>
      </c>
      <c r="D60" s="769" t="s">
        <v>509</v>
      </c>
      <c r="E60" s="769" t="s">
        <v>108</v>
      </c>
      <c r="F60" s="558">
        <v>0.48899999999999999</v>
      </c>
      <c r="G60" s="560">
        <v>0.5</v>
      </c>
      <c r="H60" s="557">
        <v>0.5</v>
      </c>
      <c r="I60" s="557">
        <v>0.5</v>
      </c>
      <c r="J60" s="557">
        <v>0.5</v>
      </c>
      <c r="K60" s="557">
        <v>0.5</v>
      </c>
      <c r="L60" s="557">
        <v>0.5</v>
      </c>
      <c r="M60" s="557">
        <v>0.5</v>
      </c>
      <c r="N60" s="557">
        <v>0.5</v>
      </c>
      <c r="O60" s="557">
        <v>0.5</v>
      </c>
      <c r="P60" s="842"/>
      <c r="R60" s="536"/>
    </row>
    <row r="61" spans="2:18" ht="6" customHeight="1">
      <c r="B61" s="837"/>
      <c r="C61" s="610"/>
      <c r="D61" s="610"/>
      <c r="E61" s="610"/>
      <c r="F61" s="610"/>
      <c r="G61" s="610"/>
      <c r="H61" s="610"/>
      <c r="I61" s="610"/>
      <c r="J61" s="610"/>
      <c r="K61" s="610"/>
      <c r="L61" s="610"/>
      <c r="M61" s="610"/>
      <c r="N61" s="610"/>
      <c r="O61" s="610"/>
      <c r="P61" s="838"/>
    </row>
    <row r="62" spans="2:18">
      <c r="B62" s="840"/>
      <c r="C62" s="612" t="s">
        <v>638</v>
      </c>
      <c r="D62" s="610"/>
      <c r="E62" s="610"/>
      <c r="F62" s="610"/>
      <c r="G62" s="613"/>
      <c r="H62" s="610"/>
      <c r="I62" s="610"/>
      <c r="J62" s="610"/>
      <c r="K62" s="610"/>
      <c r="L62" s="610"/>
      <c r="M62" s="610"/>
      <c r="N62" s="610"/>
      <c r="O62" s="610"/>
      <c r="P62" s="838"/>
    </row>
    <row r="63" spans="2:18">
      <c r="B63" s="837"/>
      <c r="C63" s="610"/>
      <c r="D63" s="610"/>
      <c r="E63" s="610"/>
      <c r="F63" s="610"/>
      <c r="G63" s="610"/>
      <c r="H63" s="610"/>
      <c r="I63" s="610"/>
      <c r="J63" s="610"/>
      <c r="K63" s="610"/>
      <c r="L63" s="610"/>
      <c r="M63" s="610"/>
      <c r="N63" s="610"/>
      <c r="O63" s="610"/>
      <c r="P63" s="838"/>
    </row>
    <row r="64" spans="2:18" ht="15">
      <c r="B64" s="839"/>
      <c r="C64" s="547" t="s">
        <v>600</v>
      </c>
      <c r="D64" s="547" t="s">
        <v>614</v>
      </c>
      <c r="E64" s="547" t="s">
        <v>421</v>
      </c>
      <c r="F64" s="552" t="s">
        <v>576</v>
      </c>
      <c r="G64" s="553" t="s">
        <v>577</v>
      </c>
      <c r="H64" s="552" t="s">
        <v>604</v>
      </c>
      <c r="I64" s="552" t="s">
        <v>605</v>
      </c>
      <c r="J64" s="552" t="s">
        <v>606</v>
      </c>
      <c r="K64" s="552" t="s">
        <v>607</v>
      </c>
      <c r="L64" s="552" t="s">
        <v>608</v>
      </c>
      <c r="M64" s="552" t="s">
        <v>609</v>
      </c>
      <c r="N64" s="552" t="s">
        <v>610</v>
      </c>
      <c r="O64" s="552" t="s">
        <v>611</v>
      </c>
      <c r="P64" s="838"/>
    </row>
    <row r="65" spans="2:19" s="532" customFormat="1" ht="15">
      <c r="B65" s="841"/>
      <c r="C65" s="918" t="s">
        <v>44</v>
      </c>
      <c r="D65" s="771" t="s">
        <v>602</v>
      </c>
      <c r="E65" s="771"/>
      <c r="F65" s="639">
        <v>6.0299999999999999E-2</v>
      </c>
      <c r="G65" s="561">
        <v>0.06</v>
      </c>
      <c r="H65" s="611">
        <v>0.06</v>
      </c>
      <c r="I65" s="611">
        <v>0.06</v>
      </c>
      <c r="J65" s="611">
        <v>0.06</v>
      </c>
      <c r="K65" s="611">
        <v>0.06</v>
      </c>
      <c r="L65" s="611">
        <v>0.06</v>
      </c>
      <c r="M65" s="611">
        <v>0.06</v>
      </c>
      <c r="N65" s="611">
        <v>0.06</v>
      </c>
      <c r="O65" s="611">
        <v>0.06</v>
      </c>
      <c r="P65" s="842"/>
    </row>
    <row r="66" spans="2:19" s="532" customFormat="1" ht="15">
      <c r="B66" s="841"/>
      <c r="C66" s="776" t="s">
        <v>45</v>
      </c>
      <c r="D66" s="777" t="s">
        <v>621</v>
      </c>
      <c r="E66" s="777"/>
      <c r="F66" s="640">
        <v>0.63200000000000001</v>
      </c>
      <c r="G66" s="638">
        <v>0.7</v>
      </c>
      <c r="H66" s="637">
        <v>0.7</v>
      </c>
      <c r="I66" s="637">
        <v>0.7</v>
      </c>
      <c r="J66" s="637">
        <v>0.7</v>
      </c>
      <c r="K66" s="637">
        <v>0.7</v>
      </c>
      <c r="L66" s="637">
        <v>0.7</v>
      </c>
      <c r="M66" s="637">
        <v>0.7</v>
      </c>
      <c r="N66" s="637">
        <v>0.7</v>
      </c>
      <c r="O66" s="637">
        <v>0.7</v>
      </c>
      <c r="P66" s="842"/>
    </row>
    <row r="67" spans="2:19" s="532" customFormat="1" ht="5.25" customHeight="1">
      <c r="B67" s="841"/>
      <c r="C67" s="918"/>
      <c r="D67" s="771"/>
      <c r="E67" s="771"/>
      <c r="F67" s="639"/>
      <c r="G67" s="611"/>
      <c r="H67" s="611"/>
      <c r="I67" s="611"/>
      <c r="J67" s="611"/>
      <c r="K67" s="611"/>
      <c r="L67" s="611"/>
      <c r="M67" s="611"/>
      <c r="N67" s="611"/>
      <c r="O67" s="611"/>
      <c r="P67" s="842"/>
    </row>
    <row r="68" spans="2:19" s="532" customFormat="1" ht="15">
      <c r="B68" s="841"/>
      <c r="C68" s="615" t="s">
        <v>1552</v>
      </c>
      <c r="D68" s="771"/>
      <c r="E68" s="771"/>
      <c r="F68" s="639"/>
      <c r="G68" s="611"/>
      <c r="H68" s="611"/>
      <c r="I68" s="611"/>
      <c r="J68" s="611"/>
      <c r="K68" s="611"/>
      <c r="L68" s="611"/>
      <c r="M68" s="611"/>
      <c r="N68" s="611"/>
      <c r="O68" s="611"/>
      <c r="P68" s="842"/>
    </row>
    <row r="69" spans="2:19" s="532" customFormat="1" ht="15">
      <c r="B69" s="841"/>
      <c r="C69" s="615"/>
      <c r="D69" s="771"/>
      <c r="E69" s="771"/>
      <c r="F69" s="639"/>
      <c r="G69" s="611"/>
      <c r="H69" s="611"/>
      <c r="I69" s="611"/>
      <c r="J69" s="611"/>
      <c r="K69" s="611"/>
      <c r="L69" s="611"/>
      <c r="M69" s="611"/>
      <c r="N69" s="611"/>
      <c r="O69" s="611"/>
      <c r="P69" s="842"/>
    </row>
    <row r="70" spans="2:19" s="532" customFormat="1" ht="15">
      <c r="B70" s="841"/>
      <c r="C70" s="1435" t="s">
        <v>125</v>
      </c>
      <c r="D70" s="1825">
        <v>0.6</v>
      </c>
      <c r="E70" s="771"/>
      <c r="F70" s="639"/>
      <c r="G70" s="611"/>
      <c r="H70" s="611"/>
      <c r="I70" s="611"/>
      <c r="J70" s="611"/>
      <c r="K70" s="611"/>
      <c r="L70" s="611"/>
      <c r="M70" s="611"/>
      <c r="N70" s="611"/>
      <c r="O70" s="611"/>
      <c r="P70" s="842"/>
    </row>
    <row r="71" spans="2:19">
      <c r="B71" s="837"/>
      <c r="C71" s="624" t="s">
        <v>1507</v>
      </c>
      <c r="D71" s="637">
        <v>0.9</v>
      </c>
      <c r="E71" s="610"/>
      <c r="F71" s="610"/>
      <c r="G71" s="610"/>
      <c r="H71" s="610"/>
      <c r="I71" s="610"/>
      <c r="J71" s="610"/>
      <c r="K71" s="610"/>
      <c r="L71" s="610"/>
      <c r="M71" s="610"/>
      <c r="N71" s="610"/>
      <c r="O71" s="610"/>
      <c r="P71" s="838"/>
    </row>
    <row r="72" spans="2:19" ht="5.25" customHeight="1">
      <c r="B72" s="837"/>
      <c r="C72" s="583"/>
      <c r="D72" s="771"/>
      <c r="E72" s="610"/>
      <c r="F72" s="610"/>
      <c r="G72" s="610"/>
      <c r="H72" s="610"/>
      <c r="I72" s="610"/>
      <c r="J72" s="610"/>
      <c r="K72" s="610"/>
      <c r="L72" s="610"/>
      <c r="M72" s="610"/>
      <c r="N72" s="610"/>
      <c r="O72" s="610"/>
      <c r="P72" s="838"/>
    </row>
    <row r="73" spans="2:19">
      <c r="B73" s="837"/>
      <c r="C73" s="612" t="s">
        <v>1556</v>
      </c>
      <c r="D73" s="610"/>
      <c r="E73" s="613"/>
      <c r="F73" s="610"/>
      <c r="G73" s="610"/>
      <c r="H73" s="610"/>
      <c r="I73" s="610"/>
      <c r="J73" s="610"/>
      <c r="K73" s="610"/>
      <c r="L73" s="610"/>
      <c r="M73" s="610"/>
      <c r="N73" s="610"/>
      <c r="O73" s="613"/>
      <c r="P73" s="838"/>
    </row>
    <row r="74" spans="2:19">
      <c r="B74" s="837"/>
      <c r="C74" s="610"/>
      <c r="D74" s="610"/>
      <c r="E74" s="610"/>
      <c r="F74" s="610"/>
      <c r="G74" s="610"/>
      <c r="H74" s="610"/>
      <c r="I74" s="610"/>
      <c r="J74" s="610"/>
      <c r="K74" s="610"/>
      <c r="L74" s="610"/>
      <c r="M74" s="610"/>
      <c r="N74" s="610"/>
      <c r="O74" s="610"/>
      <c r="P74" s="838"/>
    </row>
    <row r="75" spans="2:19" ht="15">
      <c r="B75" s="839"/>
      <c r="C75" s="547"/>
      <c r="D75" s="547" t="s">
        <v>614</v>
      </c>
      <c r="E75" s="547" t="s">
        <v>421</v>
      </c>
      <c r="F75" s="552" t="s">
        <v>576</v>
      </c>
      <c r="G75" s="553" t="s">
        <v>577</v>
      </c>
      <c r="H75" s="552" t="s">
        <v>604</v>
      </c>
      <c r="I75" s="552" t="s">
        <v>605</v>
      </c>
      <c r="J75" s="552" t="s">
        <v>606</v>
      </c>
      <c r="K75" s="552" t="s">
        <v>607</v>
      </c>
      <c r="L75" s="552" t="s">
        <v>608</v>
      </c>
      <c r="M75" s="552" t="s">
        <v>609</v>
      </c>
      <c r="N75" s="552" t="s">
        <v>610</v>
      </c>
      <c r="O75" s="552" t="s">
        <v>611</v>
      </c>
      <c r="P75" s="838"/>
    </row>
    <row r="76" spans="2:19" ht="15">
      <c r="B76" s="839"/>
      <c r="C76" s="918"/>
      <c r="D76" s="771" t="s">
        <v>125</v>
      </c>
      <c r="E76" s="771" t="s">
        <v>109</v>
      </c>
      <c r="F76" s="599">
        <v>28.137999999999998</v>
      </c>
      <c r="G76" s="1134">
        <f>F76</f>
        <v>28.137999999999998</v>
      </c>
      <c r="H76" s="635">
        <v>22.821999999999999</v>
      </c>
      <c r="I76" s="635">
        <v>16.455000000000002</v>
      </c>
      <c r="J76" s="635">
        <v>8.0120000000000005</v>
      </c>
      <c r="K76" s="635">
        <v>1.2</v>
      </c>
      <c r="L76" s="919">
        <v>0</v>
      </c>
      <c r="M76" s="919">
        <v>0</v>
      </c>
      <c r="N76" s="919">
        <v>0</v>
      </c>
      <c r="O76" s="919">
        <v>0</v>
      </c>
      <c r="P76" s="838"/>
      <c r="S76" s="1116"/>
    </row>
    <row r="77" spans="2:19" ht="15">
      <c r="B77" s="839"/>
      <c r="C77" s="776"/>
      <c r="D77" s="777" t="s">
        <v>602</v>
      </c>
      <c r="E77" s="777" t="s">
        <v>109</v>
      </c>
      <c r="F77" s="626">
        <v>4.0999999999999996</v>
      </c>
      <c r="G77" s="1420">
        <v>4.0568</v>
      </c>
      <c r="H77" s="632">
        <v>0</v>
      </c>
      <c r="I77" s="632">
        <v>0</v>
      </c>
      <c r="J77" s="632">
        <v>0</v>
      </c>
      <c r="K77" s="632">
        <v>0</v>
      </c>
      <c r="L77" s="632">
        <v>0</v>
      </c>
      <c r="M77" s="632">
        <v>0</v>
      </c>
      <c r="N77" s="632">
        <v>0</v>
      </c>
      <c r="O77" s="632">
        <v>0</v>
      </c>
      <c r="P77" s="838"/>
    </row>
    <row r="78" spans="2:19" ht="5.25" customHeight="1">
      <c r="B78" s="837"/>
      <c r="C78" s="610"/>
      <c r="D78" s="610"/>
      <c r="E78" s="610"/>
      <c r="F78" s="610"/>
      <c r="G78" s="610"/>
      <c r="H78" s="610"/>
      <c r="I78" s="610"/>
      <c r="J78" s="610"/>
      <c r="K78" s="610"/>
      <c r="L78" s="610"/>
      <c r="M78" s="610"/>
      <c r="N78" s="610"/>
      <c r="O78" s="610"/>
      <c r="P78" s="838"/>
    </row>
    <row r="79" spans="2:19">
      <c r="B79" s="837"/>
      <c r="C79" s="612" t="s">
        <v>680</v>
      </c>
      <c r="D79" s="610"/>
      <c r="E79" s="610"/>
      <c r="F79" s="610"/>
      <c r="G79" s="610"/>
      <c r="H79" s="610"/>
      <c r="I79" s="610"/>
      <c r="J79" s="610"/>
      <c r="K79" s="610"/>
      <c r="L79" s="610"/>
      <c r="M79" s="610"/>
      <c r="N79" s="610"/>
      <c r="O79" s="610"/>
      <c r="P79" s="838"/>
    </row>
    <row r="80" spans="2:19">
      <c r="B80" s="837"/>
      <c r="C80" s="610"/>
      <c r="D80" s="610"/>
      <c r="E80" s="610"/>
      <c r="F80" s="610"/>
      <c r="G80" s="610"/>
      <c r="H80" s="610"/>
      <c r="I80" s="610"/>
      <c r="J80" s="610"/>
      <c r="K80" s="610"/>
      <c r="L80" s="610"/>
      <c r="M80" s="610"/>
      <c r="N80" s="610"/>
      <c r="O80" s="610"/>
      <c r="P80" s="838"/>
    </row>
    <row r="81" spans="2:20" ht="14">
      <c r="B81" s="837"/>
      <c r="C81" s="547"/>
      <c r="D81" s="547" t="s">
        <v>614</v>
      </c>
      <c r="E81" s="547" t="s">
        <v>421</v>
      </c>
      <c r="F81" s="552" t="s">
        <v>576</v>
      </c>
      <c r="G81" s="553" t="s">
        <v>577</v>
      </c>
      <c r="H81" s="552" t="s">
        <v>604</v>
      </c>
      <c r="I81" s="552" t="s">
        <v>605</v>
      </c>
      <c r="J81" s="552" t="s">
        <v>606</v>
      </c>
      <c r="K81" s="552" t="s">
        <v>607</v>
      </c>
      <c r="L81" s="552" t="s">
        <v>608</v>
      </c>
      <c r="M81" s="552" t="s">
        <v>609</v>
      </c>
      <c r="N81" s="552" t="s">
        <v>610</v>
      </c>
      <c r="O81" s="552" t="s">
        <v>611</v>
      </c>
      <c r="P81" s="838"/>
    </row>
    <row r="82" spans="2:20" ht="15">
      <c r="B82" s="839"/>
      <c r="C82" s="1343"/>
      <c r="D82" s="1344" t="s">
        <v>681</v>
      </c>
      <c r="E82" s="1344" t="s">
        <v>420</v>
      </c>
      <c r="F82" s="1345" t="e">
        <f>#REF!/#REF!</f>
        <v>#REF!</v>
      </c>
      <c r="G82" s="1346">
        <v>0.85992712381740988</v>
      </c>
      <c r="H82" s="1345">
        <v>0.85992712381740988</v>
      </c>
      <c r="I82" s="1345">
        <v>0.85992712381740988</v>
      </c>
      <c r="J82" s="1345">
        <v>0.85992712381740988</v>
      </c>
      <c r="K82" s="1345">
        <v>0.85992712381740988</v>
      </c>
      <c r="L82" s="1345">
        <v>0.85992712381740988</v>
      </c>
      <c r="M82" s="1345">
        <v>0.85992712381740988</v>
      </c>
      <c r="N82" s="1345">
        <v>0.85992712381740988</v>
      </c>
      <c r="O82" s="1345">
        <v>0.85992712381740988</v>
      </c>
      <c r="P82" s="838"/>
    </row>
    <row r="83" spans="2:20" ht="4.5" customHeight="1">
      <c r="B83" s="837"/>
      <c r="C83" s="610"/>
      <c r="D83" s="610"/>
      <c r="E83" s="610"/>
      <c r="F83" s="610"/>
      <c r="G83" s="610"/>
      <c r="H83" s="610"/>
      <c r="I83" s="610"/>
      <c r="J83" s="610"/>
      <c r="K83" s="610"/>
      <c r="L83" s="610"/>
      <c r="M83" s="610"/>
      <c r="N83" s="610"/>
      <c r="O83" s="610"/>
      <c r="P83" s="838"/>
    </row>
    <row r="84" spans="2:20" ht="15">
      <c r="B84" s="839"/>
      <c r="C84" s="612" t="s">
        <v>1620</v>
      </c>
      <c r="D84" s="610"/>
      <c r="E84" s="610"/>
      <c r="F84" s="610"/>
      <c r="G84" s="613"/>
      <c r="H84" s="610"/>
      <c r="I84" s="610"/>
      <c r="J84" s="610"/>
      <c r="K84" s="610"/>
      <c r="L84" s="610"/>
      <c r="M84" s="610"/>
      <c r="N84" s="610"/>
      <c r="O84" s="610"/>
      <c r="P84" s="838"/>
    </row>
    <row r="85" spans="2:20" ht="15">
      <c r="B85" s="839"/>
      <c r="C85" s="610"/>
      <c r="D85" s="610"/>
      <c r="E85" s="610"/>
      <c r="F85" s="610"/>
      <c r="G85" s="610"/>
      <c r="H85" s="610"/>
      <c r="I85" s="610"/>
      <c r="J85" s="610"/>
      <c r="K85" s="610"/>
      <c r="L85" s="610"/>
      <c r="M85" s="610"/>
      <c r="N85" s="610"/>
      <c r="O85" s="610"/>
      <c r="P85" s="838"/>
    </row>
    <row r="86" spans="2:20" ht="15">
      <c r="B86" s="839"/>
      <c r="C86" s="547"/>
      <c r="D86" s="547"/>
      <c r="E86" s="547"/>
      <c r="F86" s="643"/>
      <c r="G86" s="1638" t="s">
        <v>79</v>
      </c>
      <c r="H86" s="1638"/>
      <c r="I86" s="610"/>
      <c r="J86" s="932"/>
      <c r="K86" s="932"/>
      <c r="L86" s="932"/>
      <c r="M86" s="932"/>
      <c r="N86" s="932"/>
      <c r="O86" s="932"/>
      <c r="P86" s="838"/>
    </row>
    <row r="87" spans="2:20" ht="15">
      <c r="B87" s="839"/>
      <c r="C87" s="624"/>
      <c r="D87" s="625" t="s">
        <v>1653</v>
      </c>
      <c r="E87" s="625"/>
      <c r="F87" s="1139">
        <f>2*Unit.GW</f>
        <v>2</v>
      </c>
      <c r="G87" s="1640" t="str">
        <f>Preferences.PowerUnits&amp;"peak"</f>
        <v>GWpeak</v>
      </c>
      <c r="H87" s="1640"/>
      <c r="I87" s="610"/>
      <c r="J87" s="635"/>
      <c r="K87" s="635"/>
      <c r="L87" s="635"/>
      <c r="M87" s="635"/>
      <c r="N87" s="635"/>
      <c r="O87" s="635"/>
      <c r="P87" s="838"/>
    </row>
    <row r="88" spans="2:20">
      <c r="B88" s="837"/>
      <c r="C88" s="610"/>
      <c r="D88" s="610"/>
      <c r="E88" s="610"/>
      <c r="F88" s="610"/>
      <c r="G88" s="610"/>
      <c r="H88" s="610"/>
      <c r="I88" s="610"/>
      <c r="J88" s="610"/>
      <c r="K88" s="610"/>
      <c r="L88" s="610"/>
      <c r="M88" s="610"/>
      <c r="N88" s="610"/>
      <c r="O88" s="610"/>
      <c r="P88" s="838"/>
    </row>
    <row r="89" spans="2:20">
      <c r="B89" s="843"/>
      <c r="C89" s="610" t="s">
        <v>636</v>
      </c>
      <c r="D89" s="614"/>
      <c r="E89" s="610"/>
      <c r="F89" s="610"/>
      <c r="G89" s="610"/>
      <c r="H89" s="610"/>
      <c r="I89" s="610"/>
      <c r="J89" s="610"/>
      <c r="K89" s="610"/>
      <c r="L89" s="610"/>
      <c r="M89" s="610"/>
      <c r="N89" s="610"/>
      <c r="O89" s="610"/>
      <c r="P89" s="838"/>
    </row>
    <row r="90" spans="2:20">
      <c r="B90" s="843"/>
      <c r="C90" s="610" t="s">
        <v>601</v>
      </c>
      <c r="D90" s="614"/>
      <c r="E90" s="610"/>
      <c r="F90" s="610"/>
      <c r="G90" s="610"/>
      <c r="H90" s="610"/>
      <c r="I90" s="610"/>
      <c r="J90" s="610"/>
      <c r="K90" s="610"/>
      <c r="L90" s="610"/>
      <c r="M90" s="610"/>
      <c r="N90" s="610"/>
      <c r="O90" s="610"/>
      <c r="P90" s="838"/>
    </row>
    <row r="91" spans="2:20" s="529" customFormat="1">
      <c r="B91" s="894"/>
      <c r="C91" s="909" t="s">
        <v>102</v>
      </c>
      <c r="D91" s="897" t="s">
        <v>656</v>
      </c>
      <c r="E91" s="897"/>
      <c r="F91" s="897"/>
      <c r="G91" s="897"/>
      <c r="H91" s="897"/>
      <c r="I91" s="897"/>
      <c r="J91" s="897"/>
      <c r="K91" s="897"/>
      <c r="L91" s="897"/>
      <c r="M91" s="897"/>
      <c r="N91" s="897"/>
      <c r="O91" s="897"/>
      <c r="P91" s="898"/>
      <c r="T91" s="1824"/>
    </row>
    <row r="92" spans="2:20" s="529" customFormat="1">
      <c r="B92" s="894"/>
      <c r="C92" s="909" t="s">
        <v>108</v>
      </c>
      <c r="D92" s="897" t="s">
        <v>625</v>
      </c>
      <c r="E92" s="897"/>
      <c r="F92" s="897"/>
      <c r="G92" s="897"/>
      <c r="H92" s="897"/>
      <c r="I92" s="897"/>
      <c r="J92" s="897"/>
      <c r="K92" s="897"/>
      <c r="L92" s="897"/>
      <c r="M92" s="897"/>
      <c r="N92" s="897"/>
      <c r="O92" s="897"/>
      <c r="P92" s="898"/>
      <c r="T92" s="1824"/>
    </row>
    <row r="93" spans="2:20" s="529" customFormat="1">
      <c r="B93" s="894"/>
      <c r="C93" s="909" t="s">
        <v>109</v>
      </c>
      <c r="D93" s="897" t="s">
        <v>1245</v>
      </c>
      <c r="E93" s="897"/>
      <c r="F93" s="897"/>
      <c r="G93" s="897"/>
      <c r="H93" s="897"/>
      <c r="I93" s="897"/>
      <c r="J93" s="897"/>
      <c r="K93" s="897"/>
      <c r="L93" s="897"/>
      <c r="M93" s="897"/>
      <c r="N93" s="897"/>
      <c r="O93" s="897"/>
      <c r="P93" s="898"/>
      <c r="T93" s="1824"/>
    </row>
    <row r="94" spans="2:20" s="529" customFormat="1">
      <c r="B94" s="894"/>
      <c r="C94" s="909"/>
      <c r="D94" s="897" t="s">
        <v>1555</v>
      </c>
      <c r="E94" s="897"/>
      <c r="F94" s="897"/>
      <c r="G94" s="897"/>
      <c r="H94" s="897"/>
      <c r="I94" s="897"/>
      <c r="J94" s="897"/>
      <c r="K94" s="897"/>
      <c r="L94" s="897"/>
      <c r="M94" s="897"/>
      <c r="N94" s="897"/>
      <c r="O94" s="897"/>
      <c r="P94" s="898"/>
      <c r="R94" s="1560"/>
      <c r="T94" s="1824"/>
    </row>
    <row r="95" spans="2:20" s="529" customFormat="1">
      <c r="B95" s="894"/>
      <c r="C95" s="909"/>
      <c r="D95" s="897" t="s">
        <v>1560</v>
      </c>
      <c r="E95" s="897"/>
      <c r="F95" s="897"/>
      <c r="G95" s="897"/>
      <c r="H95" s="897"/>
      <c r="I95" s="897"/>
      <c r="J95" s="897"/>
      <c r="K95" s="897"/>
      <c r="L95" s="897"/>
      <c r="M95" s="897"/>
      <c r="N95" s="897"/>
      <c r="O95" s="897"/>
      <c r="P95" s="898"/>
      <c r="R95" s="1560"/>
      <c r="T95" s="1824"/>
    </row>
    <row r="96" spans="2:20" s="529" customFormat="1">
      <c r="B96" s="894"/>
      <c r="C96" s="909" t="s">
        <v>420</v>
      </c>
      <c r="D96" s="897" t="s">
        <v>682</v>
      </c>
      <c r="E96" s="897"/>
      <c r="F96" s="897"/>
      <c r="G96" s="897"/>
      <c r="H96" s="897"/>
      <c r="I96" s="897"/>
      <c r="J96" s="897"/>
      <c r="K96" s="897"/>
      <c r="L96" s="897"/>
      <c r="M96" s="897"/>
      <c r="N96" s="897"/>
      <c r="O96" s="897"/>
      <c r="P96" s="898"/>
      <c r="R96" s="627"/>
      <c r="T96" s="1824"/>
    </row>
    <row r="97" spans="1:18">
      <c r="B97" s="844"/>
      <c r="C97" s="845"/>
      <c r="D97" s="845"/>
      <c r="E97" s="845"/>
      <c r="F97" s="845"/>
      <c r="G97" s="845"/>
      <c r="H97" s="845"/>
      <c r="I97" s="845"/>
      <c r="J97" s="845"/>
      <c r="K97" s="845"/>
      <c r="L97" s="845"/>
      <c r="M97" s="845"/>
      <c r="N97" s="845"/>
      <c r="O97" s="845"/>
      <c r="P97" s="846"/>
      <c r="R97" s="1562"/>
    </row>
    <row r="98" spans="1:18">
      <c r="B98" s="901"/>
    </row>
    <row r="99" spans="1:18" s="532" customFormat="1" ht="22">
      <c r="A99" s="850"/>
      <c r="B99" s="902" t="s">
        <v>1983</v>
      </c>
      <c r="C99" s="847"/>
      <c r="D99" s="847"/>
      <c r="E99" s="847"/>
      <c r="F99" s="847"/>
      <c r="G99" s="847"/>
      <c r="H99" s="847"/>
      <c r="I99" s="847"/>
      <c r="J99" s="847"/>
      <c r="K99" s="847"/>
      <c r="L99" s="847"/>
      <c r="M99" s="847"/>
      <c r="N99" s="847"/>
      <c r="O99" s="847"/>
      <c r="P99" s="848"/>
    </row>
    <row r="100" spans="1:18" s="1937" customFormat="1">
      <c r="B100" s="1872"/>
      <c r="C100" s="1863"/>
      <c r="D100" s="1977" t="s">
        <v>1156</v>
      </c>
      <c r="E100" s="1977"/>
      <c r="F100" s="1977" t="s">
        <v>1155</v>
      </c>
      <c r="G100" s="1977"/>
      <c r="H100" s="1863"/>
      <c r="I100" s="1870"/>
      <c r="J100" s="1870"/>
      <c r="K100" s="1870"/>
      <c r="L100" s="1870"/>
      <c r="M100" s="1870"/>
      <c r="N100" s="1870"/>
      <c r="O100" s="1870"/>
      <c r="P100" s="1873"/>
    </row>
    <row r="101" spans="1:18" s="1937" customFormat="1">
      <c r="B101" s="1872"/>
      <c r="C101" s="1863"/>
      <c r="D101" s="1871" t="s">
        <v>2151</v>
      </c>
      <c r="E101" s="1871" t="s">
        <v>2067</v>
      </c>
      <c r="F101" s="1871" t="s">
        <v>2151</v>
      </c>
      <c r="G101" s="1871" t="s">
        <v>2067</v>
      </c>
      <c r="H101" s="1863"/>
      <c r="I101" s="1870"/>
      <c r="J101" s="1870"/>
      <c r="K101" s="1870"/>
      <c r="L101" s="1870"/>
      <c r="M101" s="1870"/>
      <c r="N101" s="1870"/>
      <c r="O101" s="1870"/>
      <c r="P101" s="1873"/>
    </row>
    <row r="102" spans="1:18" s="1937" customFormat="1">
      <c r="B102" s="1872"/>
      <c r="C102" s="1863"/>
      <c r="D102" s="1942" t="s">
        <v>2061</v>
      </c>
      <c r="E102" s="1942" t="s">
        <v>2152</v>
      </c>
      <c r="F102" s="1942" t="s">
        <v>2061</v>
      </c>
      <c r="G102" s="1942" t="s">
        <v>2152</v>
      </c>
      <c r="H102" s="1863"/>
      <c r="I102" s="1870"/>
      <c r="J102" s="1870"/>
      <c r="K102" s="1870"/>
      <c r="L102" s="1870"/>
      <c r="M102" s="1870"/>
      <c r="N102" s="1870"/>
      <c r="O102" s="1870"/>
      <c r="P102" s="1873"/>
    </row>
    <row r="103" spans="1:18" s="1937" customFormat="1">
      <c r="B103" s="1872"/>
      <c r="C103" s="1863" t="s">
        <v>186</v>
      </c>
      <c r="D103" s="1870">
        <v>920</v>
      </c>
      <c r="E103" s="1863">
        <v>40</v>
      </c>
      <c r="F103" s="1938">
        <v>500</v>
      </c>
      <c r="G103" s="1939">
        <v>16</v>
      </c>
      <c r="H103" s="1939"/>
      <c r="I103" s="1939"/>
      <c r="J103" s="1938"/>
      <c r="K103" s="1870"/>
      <c r="L103" s="1870"/>
      <c r="M103" s="1870"/>
      <c r="N103" s="1870"/>
      <c r="O103" s="1870"/>
      <c r="P103" s="1873"/>
    </row>
    <row r="104" spans="1:18" s="1937" customFormat="1">
      <c r="B104" s="1872"/>
      <c r="C104" s="1863" t="s">
        <v>125</v>
      </c>
      <c r="D104" s="1870">
        <v>3014.7</v>
      </c>
      <c r="E104" s="1863">
        <v>88</v>
      </c>
      <c r="F104" s="1938">
        <v>949.36500000000001</v>
      </c>
      <c r="G104" s="1939">
        <v>18</v>
      </c>
      <c r="H104" s="1939"/>
      <c r="I104" s="1939"/>
      <c r="J104" s="1938"/>
      <c r="K104" s="1870"/>
      <c r="L104" s="1870"/>
      <c r="M104" s="1870"/>
      <c r="N104" s="1870"/>
      <c r="O104" s="1870"/>
      <c r="P104" s="1873"/>
    </row>
    <row r="105" spans="1:18" s="1937" customFormat="1">
      <c r="B105" s="1872"/>
      <c r="C105" s="1863" t="s">
        <v>14</v>
      </c>
      <c r="D105" s="1870">
        <v>864.3</v>
      </c>
      <c r="E105" s="1863">
        <v>39.024999999999999</v>
      </c>
      <c r="F105" s="1938">
        <v>403.20574162679429</v>
      </c>
      <c r="G105" s="1940">
        <v>0.6216972334473112</v>
      </c>
      <c r="H105" s="1939"/>
      <c r="I105" s="1939"/>
      <c r="J105" s="1938"/>
      <c r="K105" s="1870"/>
      <c r="L105" s="1870"/>
      <c r="M105" s="1870"/>
      <c r="N105" s="1870"/>
      <c r="O105" s="1870"/>
      <c r="P105" s="1873"/>
    </row>
    <row r="106" spans="1:18" s="1937" customFormat="1">
      <c r="B106" s="1872"/>
      <c r="C106" s="1863" t="s">
        <v>2154</v>
      </c>
      <c r="D106" s="1870">
        <v>3210</v>
      </c>
      <c r="E106" s="1863">
        <v>85.483369599005286</v>
      </c>
      <c r="F106" s="1938">
        <v>1053.1904</v>
      </c>
      <c r="G106" s="1939">
        <v>68.8</v>
      </c>
      <c r="H106" s="1939"/>
      <c r="I106" s="1939"/>
      <c r="J106" s="1938"/>
      <c r="K106" s="1870"/>
      <c r="L106" s="1870"/>
      <c r="M106" s="1870"/>
      <c r="N106" s="1870"/>
      <c r="O106" s="1870"/>
      <c r="P106" s="1873"/>
    </row>
    <row r="107" spans="1:18" s="1862" customFormat="1">
      <c r="B107" s="837"/>
      <c r="C107" s="612"/>
      <c r="D107" s="610"/>
      <c r="E107" s="613"/>
      <c r="F107" s="1939"/>
      <c r="G107" s="1939"/>
      <c r="H107" s="1941"/>
      <c r="I107" s="1939"/>
      <c r="J107" s="1939"/>
      <c r="K107" s="610"/>
      <c r="L107" s="610"/>
      <c r="M107" s="610"/>
      <c r="N107" s="610"/>
      <c r="O107" s="610"/>
      <c r="P107" s="838"/>
    </row>
    <row r="108" spans="1:18">
      <c r="B108" s="837"/>
      <c r="C108" s="1789" t="str">
        <f>"Cost of a "&amp;$F$87/Unit.GW&amp;" GW plant"</f>
        <v>Cost of a 2 GW plant</v>
      </c>
      <c r="D108" s="610"/>
      <c r="E108" s="613"/>
      <c r="F108" s="610"/>
      <c r="G108" s="610"/>
      <c r="H108" s="613"/>
      <c r="I108" s="610"/>
      <c r="J108" s="610"/>
      <c r="K108" s="610"/>
      <c r="L108" s="610"/>
      <c r="M108" s="610"/>
      <c r="N108" s="610"/>
      <c r="O108" s="610"/>
      <c r="P108" s="838"/>
    </row>
    <row r="109" spans="1:18" ht="6" customHeight="1">
      <c r="B109" s="837"/>
      <c r="C109" s="610"/>
      <c r="D109" s="610"/>
      <c r="E109" s="610"/>
      <c r="F109" s="610"/>
      <c r="G109" s="610"/>
      <c r="H109" s="610"/>
      <c r="I109" s="610"/>
      <c r="J109" s="610"/>
      <c r="K109" s="610"/>
      <c r="L109" s="610"/>
      <c r="M109" s="610"/>
      <c r="N109" s="610"/>
      <c r="O109" s="610"/>
      <c r="P109" s="838"/>
    </row>
    <row r="110" spans="1:18" s="1937" customFormat="1" ht="12.75" customHeight="1">
      <c r="B110" s="1872"/>
      <c r="C110" s="1871" t="s">
        <v>2180</v>
      </c>
      <c r="D110" s="1870"/>
      <c r="E110" s="613"/>
      <c r="F110" s="1870"/>
      <c r="G110" s="1870"/>
      <c r="H110" s="613" t="str">
        <f>Preferences.moneyunits&amp;"/ 2 GW capacity"</f>
        <v>£m/ 2 GW capacity</v>
      </c>
      <c r="I110" s="1870"/>
      <c r="J110" s="1870"/>
      <c r="K110" s="1870"/>
      <c r="L110" s="1870"/>
      <c r="M110" s="1870"/>
      <c r="N110" s="1870"/>
      <c r="O110" s="1870"/>
      <c r="P110" s="1873"/>
    </row>
    <row r="111" spans="1:18" s="1937" customFormat="1" ht="6" customHeight="1">
      <c r="B111" s="1872"/>
      <c r="C111" s="1870"/>
      <c r="D111" s="1870"/>
      <c r="E111" s="1870"/>
      <c r="F111" s="1870"/>
      <c r="G111" s="1870"/>
      <c r="H111" s="1870"/>
      <c r="I111" s="1870"/>
      <c r="J111" s="1870"/>
      <c r="K111" s="1870"/>
      <c r="L111" s="1870"/>
      <c r="M111" s="1870"/>
      <c r="N111" s="1870"/>
      <c r="O111" s="1870"/>
      <c r="P111" s="1873"/>
    </row>
    <row r="112" spans="1:18" s="1937" customFormat="1" ht="10.5" customHeight="1">
      <c r="B112" s="1872"/>
      <c r="C112" s="547"/>
      <c r="D112" s="547"/>
      <c r="E112" s="552"/>
      <c r="F112" s="643" t="s">
        <v>1156</v>
      </c>
      <c r="G112" s="643" t="s">
        <v>1155</v>
      </c>
      <c r="H112" s="1638"/>
      <c r="I112" s="1870"/>
      <c r="J112" s="1870"/>
      <c r="K112" s="1870"/>
      <c r="L112" s="1870"/>
      <c r="M112" s="1870"/>
      <c r="N112" s="1870"/>
      <c r="O112" s="1870"/>
      <c r="P112" s="1873"/>
    </row>
    <row r="113" spans="2:16" s="1937" customFormat="1" ht="12" customHeight="1">
      <c r="B113" s="1872"/>
      <c r="C113" s="1867"/>
      <c r="D113" s="556" t="s">
        <v>1985</v>
      </c>
      <c r="E113" s="1427" t="s">
        <v>102</v>
      </c>
      <c r="F113" s="1820">
        <f>D103*GBP*plantsize.I.a/Unit.kW</f>
        <v>1840</v>
      </c>
      <c r="G113" s="1820">
        <f>F103*GBP*plantsize.I.a/Unit.kW</f>
        <v>1000.0000000000001</v>
      </c>
      <c r="H113" s="1641"/>
      <c r="I113" s="1870"/>
      <c r="J113" s="1870"/>
      <c r="K113" s="1870"/>
      <c r="L113" s="1870"/>
      <c r="M113" s="1870"/>
      <c r="N113" s="1870"/>
      <c r="O113" s="1870"/>
      <c r="P113" s="1873"/>
    </row>
    <row r="114" spans="2:16" s="1937" customFormat="1" ht="12" customHeight="1">
      <c r="B114" s="1872"/>
      <c r="C114" s="624"/>
      <c r="D114" s="622" t="s">
        <v>1986</v>
      </c>
      <c r="E114" s="1779"/>
      <c r="F114" s="1423">
        <f>E103*GBP*plantsize.I.a/Unit.kW</f>
        <v>80</v>
      </c>
      <c r="G114" s="1423">
        <f>G103*GBP*plantsize.I.a/Unit.kW</f>
        <v>32</v>
      </c>
      <c r="H114" s="1640"/>
      <c r="I114" s="1870"/>
      <c r="J114" s="1870"/>
      <c r="K114" s="1870"/>
      <c r="L114" s="1870"/>
      <c r="M114" s="1870"/>
      <c r="N114" s="1870"/>
      <c r="O114" s="1870"/>
      <c r="P114" s="1873"/>
    </row>
    <row r="115" spans="2:16" s="1937" customFormat="1" ht="12" customHeight="1">
      <c r="B115" s="1872"/>
      <c r="C115" s="1868"/>
      <c r="D115" s="1869"/>
      <c r="E115" s="600"/>
      <c r="F115" s="634"/>
      <c r="G115" s="634"/>
      <c r="H115" s="1147"/>
      <c r="I115" s="1870"/>
      <c r="J115" s="1870"/>
      <c r="K115" s="1870"/>
      <c r="L115" s="1870"/>
      <c r="M115" s="1870"/>
      <c r="N115" s="1870"/>
      <c r="O115" s="1870"/>
      <c r="P115" s="1873"/>
    </row>
    <row r="116" spans="2:16" s="1937" customFormat="1" ht="12" customHeight="1">
      <c r="B116" s="1872"/>
      <c r="C116" s="1870"/>
      <c r="D116" s="1870"/>
      <c r="E116" s="1870"/>
      <c r="F116" s="1870"/>
      <c r="G116" s="1870"/>
      <c r="H116" s="1870"/>
      <c r="I116" s="1870"/>
      <c r="J116" s="1870"/>
      <c r="K116" s="1870"/>
      <c r="L116" s="1870"/>
      <c r="M116" s="1870"/>
      <c r="N116" s="1870"/>
      <c r="O116" s="1870"/>
      <c r="P116" s="1873"/>
    </row>
    <row r="117" spans="2:16">
      <c r="B117" s="837"/>
      <c r="C117" s="1871" t="s">
        <v>2153</v>
      </c>
      <c r="D117" s="610"/>
      <c r="E117" s="613"/>
      <c r="F117" s="610"/>
      <c r="G117" s="610"/>
      <c r="H117" s="613" t="str">
        <f>Preferences.moneyunits&amp;"/ 2 GW capacity"</f>
        <v>£m/ 2 GW capacity</v>
      </c>
      <c r="I117" s="610"/>
      <c r="J117" s="610"/>
      <c r="K117" s="610"/>
      <c r="L117" s="610"/>
      <c r="M117" s="610"/>
      <c r="N117" s="610"/>
      <c r="O117" s="613"/>
      <c r="P117" s="838"/>
    </row>
    <row r="118" spans="2:16">
      <c r="B118" s="837"/>
      <c r="C118" s="610"/>
      <c r="D118" s="610"/>
      <c r="E118" s="610"/>
      <c r="F118" s="610"/>
      <c r="G118" s="610"/>
      <c r="H118" s="610"/>
      <c r="I118" s="610"/>
      <c r="J118" s="610"/>
      <c r="K118" s="610"/>
      <c r="L118" s="610"/>
      <c r="M118" s="610"/>
      <c r="N118" s="610"/>
      <c r="O118" s="610"/>
      <c r="P118" s="838"/>
    </row>
    <row r="119" spans="2:16" ht="15">
      <c r="B119" s="839"/>
      <c r="C119" s="547"/>
      <c r="D119" s="547"/>
      <c r="E119" s="552"/>
      <c r="F119" s="643" t="s">
        <v>1156</v>
      </c>
      <c r="G119" s="643" t="s">
        <v>1155</v>
      </c>
      <c r="H119" s="1638"/>
      <c r="I119" s="932"/>
      <c r="J119" s="932"/>
      <c r="K119" s="932"/>
      <c r="L119" s="932"/>
      <c r="M119" s="932"/>
      <c r="N119" s="932"/>
      <c r="O119" s="932"/>
      <c r="P119" s="838"/>
    </row>
    <row r="120" spans="2:16" s="532" customFormat="1" ht="15">
      <c r="B120" s="841"/>
      <c r="C120" s="555"/>
      <c r="D120" s="556" t="s">
        <v>1985</v>
      </c>
      <c r="E120" s="1427" t="s">
        <v>102</v>
      </c>
      <c r="F120" s="1820">
        <f>D104*GBP*plantsize.I.a/Unit.kW</f>
        <v>6029.4</v>
      </c>
      <c r="G120" s="1820">
        <f>F104*GBP*plantsize.I.a/Unit.kW</f>
        <v>1898.73</v>
      </c>
      <c r="H120" s="1641"/>
      <c r="I120" s="635"/>
      <c r="J120" s="635"/>
      <c r="K120" s="635"/>
      <c r="L120" s="635"/>
      <c r="M120" s="635"/>
      <c r="N120" s="635"/>
      <c r="O120" s="635"/>
      <c r="P120" s="842"/>
    </row>
    <row r="121" spans="2:16" ht="14">
      <c r="B121" s="843"/>
      <c r="C121" s="624"/>
      <c r="D121" s="622" t="s">
        <v>1986</v>
      </c>
      <c r="E121" s="1779"/>
      <c r="F121" s="1423">
        <f>E104*GBP*plantsize.I.a/Unit.kW</f>
        <v>176</v>
      </c>
      <c r="G121" s="1423">
        <f>G104*GBP*plantsize.I.a/Unit.kW</f>
        <v>36</v>
      </c>
      <c r="H121" s="1640"/>
      <c r="I121" s="610"/>
      <c r="J121" s="610"/>
      <c r="K121" s="635"/>
      <c r="L121" s="635"/>
      <c r="M121" s="610"/>
      <c r="N121" s="610"/>
      <c r="O121" s="610"/>
      <c r="P121" s="838"/>
    </row>
    <row r="122" spans="2:16">
      <c r="B122" s="843"/>
      <c r="C122" s="583"/>
      <c r="D122" s="584"/>
      <c r="E122" s="600"/>
      <c r="F122" s="634"/>
      <c r="G122" s="634"/>
      <c r="H122" s="1147"/>
      <c r="I122" s="610"/>
      <c r="J122" s="610"/>
      <c r="K122" s="610"/>
      <c r="L122" s="610"/>
      <c r="M122" s="610"/>
      <c r="N122" s="610"/>
      <c r="O122" s="610"/>
      <c r="P122" s="838"/>
    </row>
    <row r="123" spans="2:16">
      <c r="B123" s="837"/>
      <c r="C123" s="1871" t="s">
        <v>2179</v>
      </c>
      <c r="D123" s="610"/>
      <c r="E123" s="613"/>
      <c r="F123" s="610"/>
      <c r="G123" s="610"/>
      <c r="H123" s="613" t="str">
        <f>Preferences.moneyunits&amp;"/ 2 GW capacity"</f>
        <v>£m/ 2 GW capacity</v>
      </c>
      <c r="I123" s="610"/>
      <c r="J123" s="610"/>
      <c r="K123" s="610"/>
      <c r="L123" s="610"/>
      <c r="M123" s="610"/>
      <c r="N123" s="610"/>
      <c r="O123" s="610"/>
      <c r="P123" s="838"/>
    </row>
    <row r="124" spans="2:16">
      <c r="B124" s="837"/>
      <c r="C124" s="610"/>
      <c r="D124" s="610"/>
      <c r="E124" s="610"/>
      <c r="F124" s="610"/>
      <c r="G124" s="610"/>
      <c r="H124" s="610"/>
      <c r="I124" s="610"/>
      <c r="J124" s="610"/>
      <c r="K124" s="610"/>
      <c r="L124" s="610"/>
      <c r="M124" s="610"/>
      <c r="N124" s="610"/>
      <c r="O124" s="610"/>
      <c r="P124" s="838"/>
    </row>
    <row r="125" spans="2:16" ht="14">
      <c r="B125" s="837"/>
      <c r="C125" s="547"/>
      <c r="D125" s="547"/>
      <c r="E125" s="552"/>
      <c r="F125" s="643" t="s">
        <v>1156</v>
      </c>
      <c r="G125" s="643" t="s">
        <v>1155</v>
      </c>
      <c r="H125" s="1638"/>
      <c r="I125" s="610"/>
      <c r="J125" s="610"/>
      <c r="K125" s="610"/>
      <c r="L125" s="610"/>
      <c r="M125" s="610"/>
      <c r="N125" s="610"/>
      <c r="O125" s="610"/>
      <c r="P125" s="838"/>
    </row>
    <row r="126" spans="2:16" ht="14">
      <c r="B126" s="837"/>
      <c r="C126" s="555"/>
      <c r="D126" s="556" t="s">
        <v>1985</v>
      </c>
      <c r="E126" s="1427" t="s">
        <v>102</v>
      </c>
      <c r="F126" s="1820">
        <f>D105*GBP*plantsize.I.a/Unit.kW</f>
        <v>1728.6</v>
      </c>
      <c r="G126" s="1820">
        <f>F105*GBP*plantsize.I.a/Unit.kW</f>
        <v>806.41148325358859</v>
      </c>
      <c r="H126" s="1641"/>
      <c r="I126" s="610"/>
      <c r="J126" s="610"/>
      <c r="K126" s="610"/>
      <c r="L126" s="610"/>
      <c r="M126" s="610"/>
      <c r="N126" s="610"/>
      <c r="O126" s="610"/>
      <c r="P126" s="838"/>
    </row>
    <row r="127" spans="2:16" ht="14">
      <c r="B127" s="837"/>
      <c r="C127" s="624"/>
      <c r="D127" s="622" t="s">
        <v>1986</v>
      </c>
      <c r="E127" s="1779"/>
      <c r="F127" s="1423">
        <f>E105*GBP*plantsize.I.a/Unit.kW</f>
        <v>78.05</v>
      </c>
      <c r="G127" s="1423">
        <f>G105*GBP*plantsize.I.a/Unit.kW</f>
        <v>1.2433944668946224</v>
      </c>
      <c r="H127" s="1640"/>
      <c r="I127" s="610"/>
      <c r="J127" s="610"/>
      <c r="K127" s="610"/>
      <c r="L127" s="610"/>
      <c r="M127" s="610"/>
      <c r="N127" s="610"/>
      <c r="O127" s="610"/>
      <c r="P127" s="838"/>
    </row>
    <row r="128" spans="2:16" s="1862" customFormat="1" ht="14">
      <c r="B128" s="837"/>
      <c r="C128" s="583"/>
      <c r="D128" s="556"/>
      <c r="E128" s="1427"/>
      <c r="F128" s="1422"/>
      <c r="G128" s="1422"/>
      <c r="H128" s="1147"/>
      <c r="I128" s="610"/>
      <c r="J128" s="610"/>
      <c r="K128" s="610"/>
      <c r="L128" s="610"/>
      <c r="M128" s="610"/>
      <c r="N128" s="610"/>
      <c r="O128" s="610"/>
      <c r="P128" s="838"/>
    </row>
    <row r="129" spans="1:16" s="1862" customFormat="1" ht="14">
      <c r="B129" s="837"/>
      <c r="C129" s="615" t="s">
        <v>2062</v>
      </c>
      <c r="D129" s="556"/>
      <c r="E129" s="1427"/>
      <c r="F129" s="1422"/>
      <c r="G129" s="1422"/>
      <c r="H129" s="1147"/>
      <c r="I129" s="610"/>
      <c r="J129" s="610"/>
      <c r="K129" s="610"/>
      <c r="L129" s="610"/>
      <c r="M129" s="610"/>
      <c r="N129" s="610"/>
      <c r="O129" s="610"/>
      <c r="P129" s="838"/>
    </row>
    <row r="130" spans="1:16" s="1862" customFormat="1" ht="14">
      <c r="B130" s="837"/>
      <c r="C130" s="583"/>
      <c r="D130" s="556"/>
      <c r="E130" s="1427"/>
      <c r="F130" s="1422"/>
      <c r="G130" s="1422"/>
      <c r="H130" s="1147"/>
      <c r="I130" s="610"/>
      <c r="J130" s="610"/>
      <c r="K130" s="610"/>
      <c r="L130" s="610"/>
      <c r="M130" s="610"/>
      <c r="N130" s="610"/>
      <c r="O130" s="610"/>
      <c r="P130" s="838"/>
    </row>
    <row r="131" spans="1:16" s="1862" customFormat="1" ht="14">
      <c r="B131" s="837"/>
      <c r="C131" s="547"/>
      <c r="D131" s="547"/>
      <c r="E131" s="552"/>
      <c r="F131" s="643" t="s">
        <v>1156</v>
      </c>
      <c r="G131" s="643" t="s">
        <v>1155</v>
      </c>
      <c r="H131" s="1638"/>
      <c r="I131" s="610"/>
      <c r="J131" s="610"/>
      <c r="K131" s="610"/>
      <c r="L131" s="610"/>
      <c r="M131" s="610"/>
      <c r="N131" s="610"/>
      <c r="O131" s="610"/>
      <c r="P131" s="838"/>
    </row>
    <row r="132" spans="1:16" s="1862" customFormat="1" ht="14">
      <c r="B132" s="837"/>
      <c r="C132" s="555"/>
      <c r="D132" s="556" t="s">
        <v>1985</v>
      </c>
      <c r="E132" s="1427" t="s">
        <v>102</v>
      </c>
      <c r="F132" s="1422">
        <f>D106*GBP*50000</f>
        <v>160.5</v>
      </c>
      <c r="G132" s="1422">
        <f>F106*GBP*50000</f>
        <v>52.659520000000001</v>
      </c>
      <c r="H132" s="1641"/>
      <c r="I132" s="610"/>
      <c r="J132" s="610"/>
      <c r="K132" s="1140"/>
      <c r="L132" s="1140"/>
      <c r="M132" s="610"/>
      <c r="N132" s="610"/>
      <c r="O132" s="610"/>
      <c r="P132" s="838"/>
    </row>
    <row r="133" spans="1:16" ht="14">
      <c r="B133" s="837"/>
      <c r="C133" s="624"/>
      <c r="D133" s="622" t="s">
        <v>1986</v>
      </c>
      <c r="E133" s="1779"/>
      <c r="F133" s="1423">
        <f>E106*GBP*50000</f>
        <v>4.2741684799502639</v>
      </c>
      <c r="G133" s="1423">
        <f>G106*GBP*50000</f>
        <v>3.4399999999999995</v>
      </c>
      <c r="H133" s="1640"/>
      <c r="I133" s="610"/>
      <c r="J133" s="610"/>
      <c r="K133" s="1140"/>
      <c r="L133" s="1140"/>
      <c r="M133" s="610"/>
      <c r="N133" s="610"/>
      <c r="O133" s="610"/>
      <c r="P133" s="838"/>
    </row>
    <row r="134" spans="1:16" s="1862" customFormat="1" ht="14">
      <c r="B134" s="837"/>
      <c r="C134" s="583"/>
      <c r="D134" s="556"/>
      <c r="E134" s="1427"/>
      <c r="F134" s="1422"/>
      <c r="G134" s="1422"/>
      <c r="H134" s="1147"/>
      <c r="I134" s="610"/>
      <c r="J134" s="610"/>
      <c r="K134" s="610"/>
      <c r="L134" s="610"/>
      <c r="M134" s="610"/>
      <c r="N134" s="610"/>
      <c r="O134" s="610"/>
      <c r="P134" s="838"/>
    </row>
    <row r="135" spans="1:16">
      <c r="B135" s="837"/>
      <c r="C135" s="610" t="s">
        <v>421</v>
      </c>
      <c r="D135" s="610"/>
      <c r="E135" s="610"/>
      <c r="F135" s="610"/>
      <c r="G135" s="610"/>
      <c r="H135" s="610"/>
      <c r="I135" s="610"/>
      <c r="J135" s="610"/>
      <c r="K135" s="610"/>
      <c r="L135" s="610"/>
      <c r="M135" s="610"/>
      <c r="N135" s="610"/>
      <c r="O135" s="610"/>
      <c r="P135" s="838"/>
    </row>
    <row r="136" spans="1:16">
      <c r="B136" s="843"/>
      <c r="C136" s="908" t="s">
        <v>102</v>
      </c>
      <c r="D136" s="1780" t="s">
        <v>1988</v>
      </c>
      <c r="E136" s="610"/>
      <c r="F136" s="610"/>
      <c r="G136" s="610"/>
      <c r="H136" s="610"/>
      <c r="I136" s="610"/>
      <c r="J136" s="610"/>
      <c r="K136" s="610"/>
      <c r="L136" s="610"/>
      <c r="M136" s="610"/>
      <c r="N136" s="610"/>
      <c r="O136" s="610"/>
      <c r="P136" s="838"/>
    </row>
    <row r="137" spans="1:16">
      <c r="B137" s="844"/>
      <c r="C137" s="845"/>
      <c r="D137" s="845"/>
      <c r="E137" s="845"/>
      <c r="F137" s="845"/>
      <c r="G137" s="845"/>
      <c r="H137" s="845"/>
      <c r="I137" s="845"/>
      <c r="J137" s="845"/>
      <c r="K137" s="845"/>
      <c r="L137" s="845"/>
      <c r="M137" s="845"/>
      <c r="N137" s="845"/>
      <c r="O137" s="845"/>
      <c r="P137" s="846"/>
    </row>
    <row r="138" spans="1:16">
      <c r="B138" s="901"/>
    </row>
    <row r="140" spans="1:16" ht="22">
      <c r="A140" s="851"/>
      <c r="B140" s="902" t="s">
        <v>657</v>
      </c>
      <c r="C140" s="912"/>
      <c r="D140" s="912"/>
      <c r="E140" s="912"/>
      <c r="F140" s="912"/>
      <c r="G140" s="912"/>
      <c r="H140" s="912"/>
      <c r="I140" s="912"/>
      <c r="J140" s="912"/>
      <c r="K140" s="912"/>
      <c r="L140" s="912"/>
      <c r="M140" s="912"/>
      <c r="N140" s="912"/>
      <c r="O140" s="912"/>
      <c r="P140" s="913"/>
    </row>
    <row r="141" spans="1:16" ht="5.25" customHeight="1">
      <c r="B141" s="837"/>
      <c r="C141" s="610"/>
      <c r="D141" s="610"/>
      <c r="E141" s="610"/>
      <c r="F141" s="610"/>
      <c r="G141" s="610"/>
      <c r="H141" s="610"/>
      <c r="I141" s="610"/>
      <c r="J141" s="610"/>
      <c r="K141" s="610"/>
      <c r="L141" s="610"/>
      <c r="M141" s="610"/>
      <c r="N141" s="610"/>
      <c r="O141" s="610"/>
      <c r="P141" s="838"/>
    </row>
    <row r="142" spans="1:16">
      <c r="B142" s="837"/>
      <c r="C142" s="612" t="s">
        <v>1553</v>
      </c>
      <c r="D142" s="610"/>
      <c r="E142" s="610"/>
      <c r="F142" s="610"/>
      <c r="G142" s="610"/>
      <c r="H142" s="610"/>
      <c r="I142" s="610"/>
      <c r="J142" s="610"/>
      <c r="K142" s="610"/>
      <c r="L142" s="610"/>
      <c r="M142" s="610"/>
      <c r="N142" s="610"/>
      <c r="O142" s="610"/>
      <c r="P142" s="838"/>
    </row>
    <row r="143" spans="1:16">
      <c r="B143" s="837"/>
      <c r="C143" s="610"/>
      <c r="D143" s="610"/>
      <c r="E143" s="610"/>
      <c r="F143" s="610"/>
      <c r="G143" s="610"/>
      <c r="H143" s="610"/>
      <c r="I143" s="610"/>
      <c r="J143" s="610"/>
      <c r="K143" s="610"/>
      <c r="L143" s="610"/>
      <c r="M143" s="610"/>
      <c r="N143" s="610"/>
      <c r="O143" s="610"/>
      <c r="P143" s="838"/>
    </row>
    <row r="144" spans="1:16" ht="14">
      <c r="B144" s="837"/>
      <c r="C144" s="547" t="s">
        <v>600</v>
      </c>
      <c r="D144" s="547" t="s">
        <v>614</v>
      </c>
      <c r="E144" s="547" t="s">
        <v>421</v>
      </c>
      <c r="F144" s="643">
        <v>2007</v>
      </c>
      <c r="G144" s="1563">
        <v>2010</v>
      </c>
      <c r="H144" s="1564">
        <v>2015</v>
      </c>
      <c r="I144" s="1564">
        <v>2020</v>
      </c>
      <c r="J144" s="1564">
        <v>2025</v>
      </c>
      <c r="K144" s="1564">
        <v>2030</v>
      </c>
      <c r="L144" s="1564">
        <v>2035</v>
      </c>
      <c r="M144" s="1564">
        <v>2040</v>
      </c>
      <c r="N144" s="1564">
        <v>2045</v>
      </c>
      <c r="O144" s="1564">
        <v>2050</v>
      </c>
      <c r="P144" s="838"/>
    </row>
    <row r="145" spans="2:21">
      <c r="B145" s="837"/>
      <c r="C145" s="583" t="s">
        <v>42</v>
      </c>
      <c r="D145" s="584" t="s">
        <v>125</v>
      </c>
      <c r="E145" s="585"/>
      <c r="F145" s="1561">
        <f>F151-F146</f>
        <v>27.537999999999997</v>
      </c>
      <c r="G145" s="636">
        <f>F145</f>
        <v>27.537999999999997</v>
      </c>
      <c r="H145" s="635">
        <f>H76+G37</f>
        <v>22.821999999999999</v>
      </c>
      <c r="I145" s="635">
        <f t="shared" ref="I145:O145" si="7">I76+H37</f>
        <v>16.455000000000002</v>
      </c>
      <c r="J145" s="635">
        <f t="shared" si="7"/>
        <v>8.0120000000000005</v>
      </c>
      <c r="K145" s="635">
        <f t="shared" si="7"/>
        <v>1.2</v>
      </c>
      <c r="L145" s="635">
        <f t="shared" si="7"/>
        <v>0</v>
      </c>
      <c r="M145" s="635">
        <f t="shared" si="7"/>
        <v>0</v>
      </c>
      <c r="N145" s="635">
        <f t="shared" si="7"/>
        <v>0</v>
      </c>
      <c r="O145" s="635">
        <f t="shared" si="7"/>
        <v>0</v>
      </c>
      <c r="P145" s="838"/>
    </row>
    <row r="146" spans="2:21">
      <c r="B146" s="837"/>
      <c r="C146" s="624" t="s">
        <v>42</v>
      </c>
      <c r="D146" s="625" t="s">
        <v>1507</v>
      </c>
      <c r="E146" s="625"/>
      <c r="F146" s="626">
        <v>0.6</v>
      </c>
      <c r="G146" s="1420">
        <f>G28</f>
        <v>0.6</v>
      </c>
      <c r="H146" s="1607">
        <f t="shared" ref="H146:O146" si="8">H28</f>
        <v>0.6</v>
      </c>
      <c r="I146" s="1607">
        <f t="shared" si="8"/>
        <v>0.6</v>
      </c>
      <c r="J146" s="1607">
        <f t="shared" si="8"/>
        <v>0.6</v>
      </c>
      <c r="K146" s="1607">
        <f t="shared" si="8"/>
        <v>0.6</v>
      </c>
      <c r="L146" s="1607">
        <f t="shared" si="8"/>
        <v>0.6</v>
      </c>
      <c r="M146" s="1607">
        <f t="shared" si="8"/>
        <v>0.6</v>
      </c>
      <c r="N146" s="1607">
        <f t="shared" si="8"/>
        <v>0.6</v>
      </c>
      <c r="O146" s="1607">
        <f t="shared" si="8"/>
        <v>0.6</v>
      </c>
      <c r="P146" s="838"/>
    </row>
    <row r="147" spans="2:21" ht="6" customHeight="1">
      <c r="B147" s="837"/>
      <c r="C147" s="610"/>
      <c r="D147" s="610"/>
      <c r="E147" s="610"/>
      <c r="F147" s="610"/>
      <c r="G147" s="610"/>
      <c r="H147" s="610"/>
      <c r="I147" s="610"/>
      <c r="J147" s="610"/>
      <c r="K147" s="610"/>
      <c r="L147" s="610"/>
      <c r="M147" s="610"/>
      <c r="N147" s="610"/>
      <c r="O147" s="610"/>
      <c r="P147" s="838"/>
    </row>
    <row r="148" spans="2:21">
      <c r="B148" s="837"/>
      <c r="C148" s="612" t="s">
        <v>1554</v>
      </c>
      <c r="D148" s="610"/>
      <c r="E148" s="613"/>
      <c r="F148" s="610"/>
      <c r="G148" s="610"/>
      <c r="H148" s="610"/>
      <c r="I148" s="610"/>
      <c r="J148" s="610"/>
      <c r="K148" s="610"/>
      <c r="L148" s="610"/>
      <c r="M148" s="610"/>
      <c r="N148" s="610"/>
      <c r="O148" s="610"/>
      <c r="P148" s="838"/>
    </row>
    <row r="149" spans="2:21">
      <c r="B149" s="837"/>
      <c r="C149" s="610"/>
      <c r="D149" s="610"/>
      <c r="E149" s="610"/>
      <c r="F149" s="610"/>
      <c r="G149" s="610"/>
      <c r="H149" s="610"/>
      <c r="I149" s="610"/>
      <c r="J149" s="610"/>
      <c r="K149" s="610"/>
      <c r="L149" s="610"/>
      <c r="M149" s="610"/>
      <c r="N149" s="610"/>
      <c r="O149" s="610"/>
      <c r="P149" s="838"/>
    </row>
    <row r="150" spans="2:21" ht="15">
      <c r="B150" s="839"/>
      <c r="C150" s="547" t="s">
        <v>600</v>
      </c>
      <c r="D150" s="547" t="s">
        <v>614</v>
      </c>
      <c r="E150" s="547" t="s">
        <v>421</v>
      </c>
      <c r="F150" s="552" t="s">
        <v>576</v>
      </c>
      <c r="G150" s="1563" t="s">
        <v>577</v>
      </c>
      <c r="H150" s="1564">
        <v>2015</v>
      </c>
      <c r="I150" s="1564">
        <v>2020</v>
      </c>
      <c r="J150" s="1564">
        <v>2025</v>
      </c>
      <c r="K150" s="1564">
        <v>2030</v>
      </c>
      <c r="L150" s="1564">
        <v>2035</v>
      </c>
      <c r="M150" s="1564">
        <v>2040</v>
      </c>
      <c r="N150" s="1564">
        <v>2045</v>
      </c>
      <c r="O150" s="1564">
        <v>2050</v>
      </c>
      <c r="P150" s="838"/>
    </row>
    <row r="151" spans="2:21" s="532" customFormat="1" ht="15">
      <c r="B151" s="841"/>
      <c r="C151" s="583" t="s">
        <v>42</v>
      </c>
      <c r="D151" s="584" t="s">
        <v>1508</v>
      </c>
      <c r="E151" s="585"/>
      <c r="F151" s="1561">
        <v>28.137999999999998</v>
      </c>
      <c r="G151" s="636">
        <f>G76</f>
        <v>28.137999999999998</v>
      </c>
      <c r="H151" s="1133">
        <f t="shared" ref="H151:O151" si="9">H145+H146</f>
        <v>23.422000000000001</v>
      </c>
      <c r="I151" s="1133">
        <f t="shared" si="9"/>
        <v>17.055000000000003</v>
      </c>
      <c r="J151" s="1133">
        <f t="shared" si="9"/>
        <v>8.6120000000000001</v>
      </c>
      <c r="K151" s="1133">
        <f t="shared" si="9"/>
        <v>1.7999999999999998</v>
      </c>
      <c r="L151" s="1133">
        <f t="shared" si="9"/>
        <v>0.6</v>
      </c>
      <c r="M151" s="1133">
        <f t="shared" si="9"/>
        <v>0.6</v>
      </c>
      <c r="N151" s="1133">
        <f t="shared" si="9"/>
        <v>0.6</v>
      </c>
      <c r="O151" s="1133">
        <f t="shared" si="9"/>
        <v>0.6</v>
      </c>
      <c r="P151" s="842"/>
      <c r="Q151" s="1824"/>
      <c r="R151" s="1824"/>
      <c r="S151" s="1824"/>
      <c r="T151" s="1824"/>
      <c r="U151" s="1824"/>
    </row>
    <row r="152" spans="2:21" s="532" customFormat="1" ht="15">
      <c r="B152" s="841"/>
      <c r="C152" s="583" t="s">
        <v>44</v>
      </c>
      <c r="D152" s="584" t="s">
        <v>602</v>
      </c>
      <c r="E152" s="584"/>
      <c r="F152" s="599">
        <v>4.0999999999999996</v>
      </c>
      <c r="G152" s="1135">
        <f>G77</f>
        <v>4.0568</v>
      </c>
      <c r="H152" s="1136">
        <f t="shared" ref="H152:O152" si="10">H77</f>
        <v>0</v>
      </c>
      <c r="I152" s="1136">
        <f t="shared" si="10"/>
        <v>0</v>
      </c>
      <c r="J152" s="1136">
        <f t="shared" si="10"/>
        <v>0</v>
      </c>
      <c r="K152" s="1136">
        <f t="shared" si="10"/>
        <v>0</v>
      </c>
      <c r="L152" s="1136">
        <f t="shared" si="10"/>
        <v>0</v>
      </c>
      <c r="M152" s="1136">
        <f t="shared" si="10"/>
        <v>0</v>
      </c>
      <c r="N152" s="1136">
        <f t="shared" si="10"/>
        <v>0</v>
      </c>
      <c r="O152" s="1136">
        <f t="shared" si="10"/>
        <v>0</v>
      </c>
      <c r="P152" s="842"/>
      <c r="Q152" s="1824"/>
      <c r="R152" s="1824"/>
      <c r="S152" s="1824"/>
      <c r="T152" s="1824"/>
      <c r="U152" s="1824"/>
    </row>
    <row r="153" spans="2:21" s="532" customFormat="1" ht="15">
      <c r="B153" s="841"/>
      <c r="C153" s="550" t="s">
        <v>45</v>
      </c>
      <c r="D153" s="551" t="s">
        <v>603</v>
      </c>
      <c r="E153" s="551"/>
      <c r="F153" s="562">
        <v>27.8</v>
      </c>
      <c r="G153" s="1137" t="s">
        <v>556</v>
      </c>
      <c r="H153" s="1138" t="s">
        <v>556</v>
      </c>
      <c r="I153" s="1138" t="s">
        <v>556</v>
      </c>
      <c r="J153" s="1138" t="s">
        <v>556</v>
      </c>
      <c r="K153" s="1138" t="s">
        <v>556</v>
      </c>
      <c r="L153" s="1138" t="s">
        <v>556</v>
      </c>
      <c r="M153" s="1138" t="s">
        <v>556</v>
      </c>
      <c r="N153" s="1138" t="s">
        <v>556</v>
      </c>
      <c r="O153" s="1138" t="s">
        <v>556</v>
      </c>
      <c r="P153" s="842"/>
      <c r="Q153" s="1824"/>
      <c r="R153" s="1976"/>
      <c r="S153" s="1976"/>
      <c r="T153" s="1824"/>
      <c r="U153" s="1824"/>
    </row>
    <row r="154" spans="2:21">
      <c r="B154" s="843"/>
      <c r="C154" s="610"/>
      <c r="D154" s="614"/>
      <c r="E154" s="610"/>
      <c r="F154" s="610"/>
      <c r="G154" s="610"/>
      <c r="H154" s="610"/>
      <c r="I154" s="610"/>
      <c r="J154" s="610"/>
      <c r="K154" s="610"/>
      <c r="L154" s="610"/>
      <c r="M154" s="610"/>
      <c r="N154" s="610"/>
      <c r="O154" s="610"/>
      <c r="P154" s="838"/>
    </row>
    <row r="155" spans="2:21">
      <c r="B155" s="843"/>
      <c r="C155" s="1128" t="s">
        <v>1509</v>
      </c>
      <c r="D155" s="610"/>
      <c r="E155" s="610"/>
      <c r="F155" s="610"/>
      <c r="G155" s="610"/>
      <c r="H155" s="610"/>
      <c r="I155" s="610"/>
      <c r="J155" s="610"/>
      <c r="K155" s="610"/>
      <c r="L155" s="610"/>
      <c r="M155" s="610"/>
      <c r="N155" s="610"/>
      <c r="O155" s="610"/>
      <c r="P155" s="838"/>
    </row>
    <row r="156" spans="2:21">
      <c r="B156" s="843"/>
      <c r="C156" s="614"/>
      <c r="D156" s="614"/>
      <c r="E156" s="610"/>
      <c r="F156" s="610"/>
      <c r="G156" s="610"/>
      <c r="H156" s="610"/>
      <c r="I156" s="610"/>
      <c r="J156" s="610"/>
      <c r="K156" s="610"/>
      <c r="L156" s="610"/>
      <c r="M156" s="610"/>
      <c r="N156" s="610"/>
      <c r="O156" s="610"/>
      <c r="P156" s="838"/>
    </row>
    <row r="157" spans="2:21" ht="14">
      <c r="B157" s="843"/>
      <c r="C157" s="547" t="s">
        <v>600</v>
      </c>
      <c r="D157" s="547" t="s">
        <v>614</v>
      </c>
      <c r="E157" s="547" t="s">
        <v>421</v>
      </c>
      <c r="F157" s="552" t="s">
        <v>576</v>
      </c>
      <c r="G157" s="553">
        <v>2010</v>
      </c>
      <c r="H157" s="552">
        <v>2015</v>
      </c>
      <c r="I157" s="552">
        <v>2020</v>
      </c>
      <c r="J157" s="552">
        <v>2025</v>
      </c>
      <c r="K157" s="552">
        <v>2030</v>
      </c>
      <c r="L157" s="552">
        <v>2035</v>
      </c>
      <c r="M157" s="552">
        <v>2040</v>
      </c>
      <c r="N157" s="552">
        <v>2045</v>
      </c>
      <c r="O157" s="552">
        <v>2050</v>
      </c>
      <c r="P157" s="838"/>
    </row>
    <row r="158" spans="2:21">
      <c r="B158" s="843"/>
      <c r="C158" s="569" t="s">
        <v>42</v>
      </c>
      <c r="D158" s="570" t="s">
        <v>1508</v>
      </c>
      <c r="E158" s="570"/>
      <c r="F158" s="1826">
        <f t="shared" ref="F158:O158" si="11">((F146*$D$71)+(F145*$D$70))/F151</f>
        <v>0.60639704314450193</v>
      </c>
      <c r="G158" s="1269">
        <f t="shared" si="11"/>
        <v>0.60639704314450193</v>
      </c>
      <c r="H158" s="1419">
        <f t="shared" si="11"/>
        <v>0.60768508240116126</v>
      </c>
      <c r="I158" s="1419">
        <f t="shared" si="11"/>
        <v>0.61055408970976244</v>
      </c>
      <c r="J158" s="1419">
        <f t="shared" si="11"/>
        <v>0.62090106827682301</v>
      </c>
      <c r="K158" s="1419">
        <f t="shared" si="11"/>
        <v>0.70000000000000007</v>
      </c>
      <c r="L158" s="1419">
        <f t="shared" si="11"/>
        <v>0.90000000000000013</v>
      </c>
      <c r="M158" s="1419">
        <f t="shared" si="11"/>
        <v>0.90000000000000013</v>
      </c>
      <c r="N158" s="1419">
        <f t="shared" si="11"/>
        <v>0.90000000000000013</v>
      </c>
      <c r="O158" s="1419">
        <f t="shared" si="11"/>
        <v>0.90000000000000013</v>
      </c>
      <c r="P158" s="838"/>
    </row>
    <row r="159" spans="2:21">
      <c r="B159" s="843"/>
      <c r="C159" s="610"/>
      <c r="D159" s="614"/>
      <c r="E159" s="610"/>
      <c r="F159" s="610"/>
      <c r="G159" s="610"/>
      <c r="H159" s="610"/>
      <c r="I159" s="610"/>
      <c r="J159" s="610"/>
      <c r="K159" s="610"/>
      <c r="L159" s="610"/>
      <c r="M159" s="610"/>
      <c r="N159" s="610"/>
      <c r="O159" s="610"/>
      <c r="P159" s="838"/>
    </row>
    <row r="160" spans="2:21">
      <c r="G160" s="1566"/>
    </row>
    <row r="161" spans="2:20" ht="15">
      <c r="B161" s="575" t="s">
        <v>615</v>
      </c>
    </row>
    <row r="163" spans="2:20">
      <c r="B163" s="530">
        <v>1</v>
      </c>
      <c r="C163" s="1824" t="s">
        <v>678</v>
      </c>
      <c r="T163" s="529"/>
    </row>
    <row r="164" spans="2:20">
      <c r="B164" s="530">
        <v>2</v>
      </c>
      <c r="C164" s="1824" t="s">
        <v>1529</v>
      </c>
      <c r="T164" s="529"/>
    </row>
    <row r="165" spans="2:20">
      <c r="B165" s="530">
        <v>3</v>
      </c>
      <c r="C165" s="1824" t="s">
        <v>1564</v>
      </c>
      <c r="T165" s="529"/>
    </row>
    <row r="166" spans="2:20">
      <c r="B166" s="530">
        <v>4</v>
      </c>
      <c r="C166" s="1824" t="s">
        <v>1570</v>
      </c>
      <c r="T166" s="529"/>
    </row>
    <row r="167" spans="2:20">
      <c r="B167" s="530">
        <v>5</v>
      </c>
      <c r="C167" s="1824" t="s">
        <v>1571</v>
      </c>
      <c r="T167" s="529"/>
    </row>
    <row r="168" spans="2:20" s="532" customFormat="1">
      <c r="B168" s="586"/>
      <c r="T168" s="529"/>
    </row>
    <row r="169" spans="2:20" s="532" customFormat="1" ht="14">
      <c r="B169" s="586"/>
      <c r="F169" s="1109">
        <v>2007</v>
      </c>
      <c r="G169" s="1109">
        <v>2010</v>
      </c>
      <c r="H169" s="1109">
        <v>2015</v>
      </c>
      <c r="I169" s="1109">
        <v>2020</v>
      </c>
      <c r="J169" s="1109">
        <v>2025</v>
      </c>
      <c r="K169" s="1109">
        <v>2030</v>
      </c>
      <c r="L169" s="1109">
        <v>2035</v>
      </c>
      <c r="M169" s="1109">
        <v>2040</v>
      </c>
      <c r="N169" s="1109">
        <v>2045</v>
      </c>
      <c r="O169" s="1109">
        <v>2050</v>
      </c>
      <c r="T169" s="529"/>
    </row>
    <row r="170" spans="2:20" s="532" customFormat="1">
      <c r="B170" s="586" t="s">
        <v>186</v>
      </c>
      <c r="T170" s="529"/>
    </row>
    <row r="171" spans="2:20" s="532" customFormat="1">
      <c r="C171" s="586" t="s">
        <v>655</v>
      </c>
      <c r="E171" s="532" t="str">
        <f>Preferences.PowerUnits</f>
        <v>GW</v>
      </c>
      <c r="F171" s="587">
        <f t="shared" ref="F171:O171" si="12">F$152</f>
        <v>4.0999999999999996</v>
      </c>
      <c r="G171" s="587">
        <f t="shared" si="12"/>
        <v>4.0568</v>
      </c>
      <c r="H171" s="587">
        <f t="shared" si="12"/>
        <v>0</v>
      </c>
      <c r="I171" s="587">
        <f t="shared" si="12"/>
        <v>0</v>
      </c>
      <c r="J171" s="587">
        <f t="shared" si="12"/>
        <v>0</v>
      </c>
      <c r="K171" s="587">
        <f t="shared" si="12"/>
        <v>0</v>
      </c>
      <c r="L171" s="587">
        <f t="shared" si="12"/>
        <v>0</v>
      </c>
      <c r="M171" s="587">
        <f t="shared" si="12"/>
        <v>0</v>
      </c>
      <c r="N171" s="587">
        <f t="shared" si="12"/>
        <v>0</v>
      </c>
      <c r="O171" s="587">
        <f t="shared" si="12"/>
        <v>0</v>
      </c>
      <c r="T171" s="1824"/>
    </row>
    <row r="172" spans="2:20" s="532" customFormat="1">
      <c r="B172" s="532" t="s">
        <v>672</v>
      </c>
      <c r="C172" s="532" t="s">
        <v>638</v>
      </c>
      <c r="F172" s="588">
        <f>F$65</f>
        <v>6.0299999999999999E-2</v>
      </c>
      <c r="G172" s="588">
        <f t="shared" ref="G172:O172" si="13">G$65</f>
        <v>0.06</v>
      </c>
      <c r="H172" s="588">
        <f t="shared" si="13"/>
        <v>0.06</v>
      </c>
      <c r="I172" s="588">
        <f t="shared" si="13"/>
        <v>0.06</v>
      </c>
      <c r="J172" s="588">
        <f t="shared" si="13"/>
        <v>0.06</v>
      </c>
      <c r="K172" s="588">
        <f t="shared" si="13"/>
        <v>0.06</v>
      </c>
      <c r="L172" s="588">
        <f t="shared" si="13"/>
        <v>0.06</v>
      </c>
      <c r="M172" s="588">
        <f t="shared" si="13"/>
        <v>0.06</v>
      </c>
      <c r="N172" s="588">
        <f t="shared" si="13"/>
        <v>0.06</v>
      </c>
      <c r="O172" s="588">
        <f t="shared" si="13"/>
        <v>0.06</v>
      </c>
      <c r="T172" s="1824"/>
    </row>
    <row r="173" spans="2:20" s="532" customFormat="1">
      <c r="B173" s="589" t="s">
        <v>673</v>
      </c>
      <c r="C173" s="532" t="s">
        <v>968</v>
      </c>
      <c r="F173" s="631">
        <f t="shared" ref="F173:O173" si="14">F171*F172</f>
        <v>0.24722999999999998</v>
      </c>
      <c r="G173" s="631">
        <f t="shared" si="14"/>
        <v>0.24340799999999999</v>
      </c>
      <c r="H173" s="631">
        <f t="shared" si="14"/>
        <v>0</v>
      </c>
      <c r="I173" s="631">
        <f t="shared" si="14"/>
        <v>0</v>
      </c>
      <c r="J173" s="631">
        <f t="shared" si="14"/>
        <v>0</v>
      </c>
      <c r="K173" s="631">
        <f t="shared" si="14"/>
        <v>0</v>
      </c>
      <c r="L173" s="631">
        <f t="shared" si="14"/>
        <v>0</v>
      </c>
      <c r="M173" s="631">
        <f t="shared" si="14"/>
        <v>0</v>
      </c>
      <c r="N173" s="631">
        <f t="shared" si="14"/>
        <v>0</v>
      </c>
      <c r="O173" s="631">
        <f t="shared" si="14"/>
        <v>0</v>
      </c>
      <c r="T173" s="1824"/>
    </row>
    <row r="174" spans="2:20" s="532" customFormat="1">
      <c r="B174" s="586"/>
      <c r="C174" s="586" t="s">
        <v>683</v>
      </c>
      <c r="E174" s="532" t="str">
        <f>Preferences.EnergyUnits</f>
        <v>TWh</v>
      </c>
      <c r="F174" s="524">
        <f t="shared" ref="F174:O174" si="15">F173*Preferences.Unit.Power*Unit.year/Preferences.Unit.Energy</f>
        <v>2.1672181799999999</v>
      </c>
      <c r="G174" s="524">
        <f t="shared" si="15"/>
        <v>2.1337145280000001</v>
      </c>
      <c r="H174" s="524">
        <f t="shared" si="15"/>
        <v>0</v>
      </c>
      <c r="I174" s="524">
        <f t="shared" si="15"/>
        <v>0</v>
      </c>
      <c r="J174" s="524">
        <f t="shared" si="15"/>
        <v>0</v>
      </c>
      <c r="K174" s="524">
        <f t="shared" si="15"/>
        <v>0</v>
      </c>
      <c r="L174" s="524">
        <f t="shared" si="15"/>
        <v>0</v>
      </c>
      <c r="M174" s="524">
        <f t="shared" si="15"/>
        <v>0</v>
      </c>
      <c r="N174" s="524">
        <f t="shared" si="15"/>
        <v>0</v>
      </c>
      <c r="O174" s="524">
        <f t="shared" si="15"/>
        <v>0</v>
      </c>
      <c r="T174" s="1824"/>
    </row>
    <row r="175" spans="2:20" s="532" customFormat="1">
      <c r="B175" s="589" t="s">
        <v>943</v>
      </c>
      <c r="C175" s="532" t="s">
        <v>1132</v>
      </c>
      <c r="F175" s="592" t="e">
        <f t="shared" ref="F175:O175" si="16">F$52*F174</f>
        <v>#REF!</v>
      </c>
      <c r="G175" s="592">
        <f t="shared" si="16"/>
        <v>0.42674290560000006</v>
      </c>
      <c r="H175" s="592">
        <f t="shared" si="16"/>
        <v>0</v>
      </c>
      <c r="I175" s="592">
        <f t="shared" si="16"/>
        <v>0</v>
      </c>
      <c r="J175" s="592">
        <f t="shared" si="16"/>
        <v>0</v>
      </c>
      <c r="K175" s="592">
        <f t="shared" si="16"/>
        <v>0</v>
      </c>
      <c r="L175" s="592">
        <f t="shared" si="16"/>
        <v>0</v>
      </c>
      <c r="M175" s="592">
        <f t="shared" si="16"/>
        <v>0</v>
      </c>
      <c r="N175" s="592">
        <f t="shared" si="16"/>
        <v>0</v>
      </c>
      <c r="O175" s="592">
        <f t="shared" si="16"/>
        <v>0</v>
      </c>
      <c r="T175" s="1824"/>
    </row>
    <row r="176" spans="2:20" s="532" customFormat="1">
      <c r="B176" s="593" t="s">
        <v>673</v>
      </c>
      <c r="C176" s="586" t="s">
        <v>686</v>
      </c>
      <c r="F176" s="591" t="e">
        <f t="shared" ref="F176:O176" si="17">F174+F175</f>
        <v>#REF!</v>
      </c>
      <c r="G176" s="591">
        <f t="shared" si="17"/>
        <v>2.5604574335999999</v>
      </c>
      <c r="H176" s="591">
        <f t="shared" si="17"/>
        <v>0</v>
      </c>
      <c r="I176" s="591">
        <f t="shared" si="17"/>
        <v>0</v>
      </c>
      <c r="J176" s="591">
        <f t="shared" si="17"/>
        <v>0</v>
      </c>
      <c r="K176" s="591">
        <f t="shared" si="17"/>
        <v>0</v>
      </c>
      <c r="L176" s="591">
        <f t="shared" si="17"/>
        <v>0</v>
      </c>
      <c r="M176" s="591">
        <f t="shared" si="17"/>
        <v>0</v>
      </c>
      <c r="N176" s="591">
        <f t="shared" si="17"/>
        <v>0</v>
      </c>
      <c r="O176" s="591">
        <f t="shared" si="17"/>
        <v>0</v>
      </c>
      <c r="T176" s="1824"/>
    </row>
    <row r="177" spans="2:27" s="532" customFormat="1">
      <c r="B177" s="1379" t="s">
        <v>1217</v>
      </c>
      <c r="C177" s="532" t="s">
        <v>1133</v>
      </c>
      <c r="F177" s="594">
        <f t="shared" ref="F177:O177" si="18">F$59</f>
        <v>0.27500000000000002</v>
      </c>
      <c r="G177" s="594">
        <f t="shared" si="18"/>
        <v>0.3</v>
      </c>
      <c r="H177" s="594">
        <f t="shared" si="18"/>
        <v>0.3</v>
      </c>
      <c r="I177" s="594">
        <f t="shared" si="18"/>
        <v>0.3</v>
      </c>
      <c r="J177" s="594">
        <f t="shared" si="18"/>
        <v>0.3</v>
      </c>
      <c r="K177" s="594">
        <f t="shared" si="18"/>
        <v>0.3</v>
      </c>
      <c r="L177" s="594">
        <f t="shared" si="18"/>
        <v>0.3</v>
      </c>
      <c r="M177" s="594">
        <f t="shared" si="18"/>
        <v>0.3</v>
      </c>
      <c r="N177" s="594">
        <f t="shared" si="18"/>
        <v>0.3</v>
      </c>
      <c r="O177" s="594">
        <f t="shared" si="18"/>
        <v>0.3</v>
      </c>
      <c r="T177" s="1824"/>
    </row>
    <row r="178" spans="2:27" s="532" customFormat="1">
      <c r="B178" s="593" t="s">
        <v>673</v>
      </c>
      <c r="C178" s="586" t="s">
        <v>1241</v>
      </c>
      <c r="F178" s="595" t="e">
        <f t="shared" ref="F178:O178" si="19">F176/F177</f>
        <v>#REF!</v>
      </c>
      <c r="G178" s="595">
        <f t="shared" si="19"/>
        <v>8.5348581120000002</v>
      </c>
      <c r="H178" s="595">
        <f t="shared" si="19"/>
        <v>0</v>
      </c>
      <c r="I178" s="595">
        <f t="shared" si="19"/>
        <v>0</v>
      </c>
      <c r="J178" s="595">
        <f t="shared" si="19"/>
        <v>0</v>
      </c>
      <c r="K178" s="595">
        <f t="shared" si="19"/>
        <v>0</v>
      </c>
      <c r="L178" s="595">
        <f t="shared" si="19"/>
        <v>0</v>
      </c>
      <c r="M178" s="595">
        <f t="shared" si="19"/>
        <v>0</v>
      </c>
      <c r="N178" s="595">
        <f t="shared" si="19"/>
        <v>0</v>
      </c>
      <c r="O178" s="595">
        <f t="shared" si="19"/>
        <v>0</v>
      </c>
      <c r="T178" s="1824"/>
    </row>
    <row r="179" spans="2:27" s="532" customFormat="1">
      <c r="B179" s="593"/>
      <c r="C179" s="586"/>
      <c r="F179" s="524"/>
      <c r="G179" s="524"/>
      <c r="H179" s="524"/>
      <c r="I179" s="524"/>
      <c r="J179" s="524"/>
      <c r="K179" s="524"/>
      <c r="L179" s="524"/>
      <c r="M179" s="524"/>
      <c r="N179" s="524"/>
      <c r="O179" s="524"/>
      <c r="T179" s="1824"/>
    </row>
    <row r="180" spans="2:27" s="532" customFormat="1">
      <c r="C180" s="628" t="s">
        <v>1557</v>
      </c>
      <c r="F180" s="592"/>
      <c r="T180" s="1824"/>
    </row>
    <row r="181" spans="2:27" s="628" customFormat="1">
      <c r="E181" s="628" t="str">
        <f>Preferences.EnergyUnits</f>
        <v>TWh</v>
      </c>
      <c r="F181" s="629" t="e">
        <f ca="1">MAX(-SUM(I.a.Inputs[2007])-F$174,0)</f>
        <v>#REF!</v>
      </c>
      <c r="G181" s="629" t="e">
        <f ca="1">MAX(-SUM(I.a.Inputs[2010])-G$174,0)</f>
        <v>#REF!</v>
      </c>
      <c r="H181" s="629" t="e">
        <f ca="1">MAX(-SUM(I.a.Inputs[2015])-H$174,0)</f>
        <v>#REF!</v>
      </c>
      <c r="I181" s="629" t="e">
        <f ca="1">MAX(-SUM(I.a.Inputs[2020])-I$174,0)</f>
        <v>#REF!</v>
      </c>
      <c r="J181" s="629" t="e">
        <f ca="1">MAX(-SUM(I.a.Inputs[2025])-J$174,0)</f>
        <v>#REF!</v>
      </c>
      <c r="K181" s="629" t="e">
        <f ca="1">MAX(-SUM(I.a.Inputs[2030])-K$174,0)</f>
        <v>#REF!</v>
      </c>
      <c r="L181" s="629" t="e">
        <f ca="1">MAX(-SUM(I.a.Inputs[2035])-L$174,0)</f>
        <v>#REF!</v>
      </c>
      <c r="M181" s="629" t="e">
        <f ca="1">MAX(-SUM(I.a.Inputs[2040])-M$174,0)</f>
        <v>#REF!</v>
      </c>
      <c r="N181" s="629" t="e">
        <f ca="1">MAX(-SUM(I.a.Inputs[2045])-N$174,0)</f>
        <v>#REF!</v>
      </c>
      <c r="O181" s="629">
        <f ca="1">MAX(-SUM(I.a.Inputs[2050])-O$174,0)</f>
        <v>0</v>
      </c>
      <c r="P181" s="532"/>
      <c r="R181" s="532"/>
      <c r="S181" s="532"/>
      <c r="T181" s="1824"/>
      <c r="U181" s="532"/>
      <c r="V181" s="532"/>
      <c r="W181" s="532"/>
      <c r="X181" s="532"/>
      <c r="Y181" s="532"/>
      <c r="Z181" s="532"/>
      <c r="AA181" s="532"/>
    </row>
    <row r="182" spans="2:27" s="532" customFormat="1">
      <c r="T182" s="1824"/>
    </row>
    <row r="183" spans="2:27" s="532" customFormat="1">
      <c r="B183" s="586" t="s">
        <v>1512</v>
      </c>
      <c r="T183" s="1824"/>
    </row>
    <row r="184" spans="2:27" s="532" customFormat="1">
      <c r="C184" s="586" t="s">
        <v>1530</v>
      </c>
      <c r="E184" s="532" t="str">
        <f>Preferences.PowerUnits</f>
        <v>GW</v>
      </c>
      <c r="F184" s="587" t="e">
        <f t="shared" ref="F184:O184" ca="1" si="20">IF(AND(F181=0,$E$7=1),0,F$151)</f>
        <v>#REF!</v>
      </c>
      <c r="G184" s="587" t="e">
        <f t="shared" ca="1" si="20"/>
        <v>#REF!</v>
      </c>
      <c r="H184" s="587" t="e">
        <f t="shared" ca="1" si="20"/>
        <v>#REF!</v>
      </c>
      <c r="I184" s="587" t="e">
        <f t="shared" ca="1" si="20"/>
        <v>#REF!</v>
      </c>
      <c r="J184" s="587" t="e">
        <f t="shared" ca="1" si="20"/>
        <v>#REF!</v>
      </c>
      <c r="K184" s="587" t="e">
        <f t="shared" ca="1" si="20"/>
        <v>#REF!</v>
      </c>
      <c r="L184" s="587" t="e">
        <f t="shared" ca="1" si="20"/>
        <v>#REF!</v>
      </c>
      <c r="M184" s="587" t="e">
        <f t="shared" ca="1" si="20"/>
        <v>#REF!</v>
      </c>
      <c r="N184" s="587" t="e">
        <f t="shared" ca="1" si="20"/>
        <v>#REF!</v>
      </c>
      <c r="O184" s="587">
        <f t="shared" ca="1" si="20"/>
        <v>0</v>
      </c>
      <c r="T184" s="1824"/>
    </row>
    <row r="185" spans="2:27" s="532" customFormat="1">
      <c r="B185" s="532" t="s">
        <v>672</v>
      </c>
      <c r="C185" s="532" t="s">
        <v>638</v>
      </c>
      <c r="F185" s="588">
        <f>F158</f>
        <v>0.60639704314450193</v>
      </c>
      <c r="G185" s="588">
        <f t="shared" ref="G185:O185" si="21">G158</f>
        <v>0.60639704314450193</v>
      </c>
      <c r="H185" s="588">
        <f t="shared" si="21"/>
        <v>0.60768508240116126</v>
      </c>
      <c r="I185" s="588">
        <f t="shared" si="21"/>
        <v>0.61055408970976244</v>
      </c>
      <c r="J185" s="588">
        <f t="shared" si="21"/>
        <v>0.62090106827682301</v>
      </c>
      <c r="K185" s="588">
        <f t="shared" si="21"/>
        <v>0.70000000000000007</v>
      </c>
      <c r="L185" s="588">
        <f t="shared" si="21"/>
        <v>0.90000000000000013</v>
      </c>
      <c r="M185" s="588">
        <f t="shared" si="21"/>
        <v>0.90000000000000013</v>
      </c>
      <c r="N185" s="588">
        <f t="shared" si="21"/>
        <v>0.90000000000000013</v>
      </c>
      <c r="O185" s="588">
        <f t="shared" si="21"/>
        <v>0.90000000000000013</v>
      </c>
      <c r="T185" s="1824"/>
    </row>
    <row r="186" spans="2:27" s="532" customFormat="1">
      <c r="B186" s="589" t="s">
        <v>673</v>
      </c>
      <c r="C186" s="532" t="s">
        <v>645</v>
      </c>
      <c r="F186" s="631" t="e">
        <f t="shared" ref="F186:N186" ca="1" si="22">F184*F185</f>
        <v>#REF!</v>
      </c>
      <c r="G186" s="631" t="e">
        <f t="shared" ca="1" si="22"/>
        <v>#REF!</v>
      </c>
      <c r="H186" s="631" t="e">
        <f t="shared" ca="1" si="22"/>
        <v>#REF!</v>
      </c>
      <c r="I186" s="631" t="e">
        <f t="shared" ca="1" si="22"/>
        <v>#REF!</v>
      </c>
      <c r="J186" s="631" t="e">
        <f t="shared" ca="1" si="22"/>
        <v>#REF!</v>
      </c>
      <c r="K186" s="631" t="e">
        <f t="shared" ca="1" si="22"/>
        <v>#REF!</v>
      </c>
      <c r="L186" s="631" t="e">
        <f t="shared" ca="1" si="22"/>
        <v>#REF!</v>
      </c>
      <c r="M186" s="631" t="e">
        <f t="shared" ca="1" si="22"/>
        <v>#REF!</v>
      </c>
      <c r="N186" s="631" t="e">
        <f t="shared" ca="1" si="22"/>
        <v>#REF!</v>
      </c>
      <c r="O186" s="631">
        <f ca="1">O184*O185</f>
        <v>0</v>
      </c>
      <c r="T186" s="1824"/>
    </row>
    <row r="187" spans="2:27" s="532" customFormat="1">
      <c r="B187" s="589" t="s">
        <v>677</v>
      </c>
      <c r="C187" s="1379" t="s">
        <v>1132</v>
      </c>
      <c r="F187" s="1347"/>
      <c r="G187" s="1347"/>
      <c r="H187" s="1347"/>
      <c r="I187" s="1347"/>
      <c r="J187" s="1347"/>
      <c r="K187" s="1347"/>
      <c r="L187" s="1347"/>
      <c r="M187" s="1347"/>
      <c r="N187" s="1347"/>
      <c r="O187" s="1347"/>
      <c r="T187" s="1824"/>
    </row>
    <row r="188" spans="2:27" s="532" customFormat="1">
      <c r="B188" s="589" t="s">
        <v>673</v>
      </c>
      <c r="C188" s="586" t="s">
        <v>645</v>
      </c>
      <c r="E188" s="532" t="str">
        <f>Preferences.EnergyUnits</f>
        <v>TWh</v>
      </c>
      <c r="F188" s="524" t="e">
        <f t="shared" ref="F188:O188" ca="1" si="23">F186*Preferences.Unit.Power*Unit.year/Preferences.Unit.Energy</f>
        <v>#REF!</v>
      </c>
      <c r="G188" s="524" t="e">
        <f t="shared" ca="1" si="23"/>
        <v>#REF!</v>
      </c>
      <c r="H188" s="524" t="e">
        <f t="shared" ca="1" si="23"/>
        <v>#REF!</v>
      </c>
      <c r="I188" s="524" t="e">
        <f t="shared" ca="1" si="23"/>
        <v>#REF!</v>
      </c>
      <c r="J188" s="524" t="e">
        <f ca="1">J186*Preferences.Unit.Power*Unit.year/Preferences.Unit.Energy</f>
        <v>#REF!</v>
      </c>
      <c r="K188" s="524" t="e">
        <f t="shared" ca="1" si="23"/>
        <v>#REF!</v>
      </c>
      <c r="L188" s="524" t="e">
        <f t="shared" ca="1" si="23"/>
        <v>#REF!</v>
      </c>
      <c r="M188" s="524" t="e">
        <f t="shared" ca="1" si="23"/>
        <v>#REF!</v>
      </c>
      <c r="N188" s="524" t="e">
        <f t="shared" ca="1" si="23"/>
        <v>#REF!</v>
      </c>
      <c r="O188" s="524">
        <f t="shared" ca="1" si="23"/>
        <v>0</v>
      </c>
      <c r="T188" s="1824"/>
    </row>
    <row r="189" spans="2:27" s="532" customFormat="1">
      <c r="B189" s="589"/>
      <c r="C189" s="586"/>
      <c r="F189" s="524"/>
      <c r="G189" s="524"/>
      <c r="H189" s="524"/>
      <c r="I189" s="524"/>
      <c r="J189" s="524"/>
      <c r="K189" s="524"/>
      <c r="L189" s="524"/>
      <c r="M189" s="524"/>
      <c r="N189" s="524"/>
      <c r="O189" s="524"/>
      <c r="T189" s="1824"/>
    </row>
    <row r="190" spans="2:27" s="532" customFormat="1">
      <c r="C190" s="628" t="s">
        <v>1557</v>
      </c>
      <c r="T190" s="1824"/>
    </row>
    <row r="191" spans="2:27" s="628" customFormat="1">
      <c r="F191" s="629" t="e">
        <f t="shared" ref="F191:O191" ca="1" si="24">F$181*F$82/(1+F$82)</f>
        <v>#REF!</v>
      </c>
      <c r="G191" s="629" t="e">
        <f t="shared" ca="1" si="24"/>
        <v>#REF!</v>
      </c>
      <c r="H191" s="629" t="e">
        <f t="shared" ca="1" si="24"/>
        <v>#REF!</v>
      </c>
      <c r="I191" s="629" t="e">
        <f t="shared" ca="1" si="24"/>
        <v>#REF!</v>
      </c>
      <c r="J191" s="629" t="e">
        <f t="shared" ca="1" si="24"/>
        <v>#REF!</v>
      </c>
      <c r="K191" s="629" t="e">
        <f t="shared" ca="1" si="24"/>
        <v>#REF!</v>
      </c>
      <c r="L191" s="629" t="e">
        <f t="shared" ca="1" si="24"/>
        <v>#REF!</v>
      </c>
      <c r="M191" s="629" t="e">
        <f t="shared" ca="1" si="24"/>
        <v>#REF!</v>
      </c>
      <c r="N191" s="629" t="e">
        <f t="shared" ca="1" si="24"/>
        <v>#REF!</v>
      </c>
      <c r="O191" s="629">
        <f t="shared" ca="1" si="24"/>
        <v>0</v>
      </c>
      <c r="T191" s="1824"/>
    </row>
    <row r="192" spans="2:27" s="532" customFormat="1">
      <c r="T192" s="1824"/>
    </row>
    <row r="193" spans="2:27" s="532" customFormat="1">
      <c r="C193" s="586" t="s">
        <v>644</v>
      </c>
      <c r="D193" s="586"/>
      <c r="E193" s="586"/>
      <c r="F193" s="591" t="e">
        <f ca="1">IF(MIN(F188,F191)=0,(F$146*$D$71*Preferences.Unit.Power*Unit.year/Preferences.Unit.Energy),MIN(F188,F191))</f>
        <v>#REF!</v>
      </c>
      <c r="G193" s="591" t="e">
        <f ca="1">IF(MIN(G188,G191)=0,(G$146*$D$71*Preferences.Unit.Power*Unit.year/Preferences.Unit.Energy),MIN(G188,G191))</f>
        <v>#REF!</v>
      </c>
      <c r="H193" s="591" t="e">
        <f ca="1">IF(MIN(H188,H191)=0,(H$146*$D$71*Preferences.Unit.Power*Unit.year/Preferences.Unit.Energy),MIN(H188,H191))</f>
        <v>#REF!</v>
      </c>
      <c r="I193" s="591" t="e">
        <f ca="1">IF(MIN(I188,I191)=0,(I$146*$D$71*Preferences.Unit.Power*Unit.year/Preferences.Unit.Energy),MIN(I188,I191))</f>
        <v>#REF!</v>
      </c>
      <c r="J193" s="591" t="e">
        <f ca="1">IF(MIN(J188,J191)=0,(J$146*$D$71*Preferences.Unit.Power*Unit.year/Preferences.Unit.Energy),MIN(J188,J191))</f>
        <v>#REF!</v>
      </c>
      <c r="K193" s="591" t="e">
        <f ca="1">K188</f>
        <v>#REF!</v>
      </c>
      <c r="L193" s="591" t="e">
        <f ca="1">L188</f>
        <v>#REF!</v>
      </c>
      <c r="M193" s="591" t="e">
        <f ca="1">M188</f>
        <v>#REF!</v>
      </c>
      <c r="N193" s="591" t="e">
        <f ca="1">N188</f>
        <v>#REF!</v>
      </c>
      <c r="O193" s="591">
        <f ca="1">O188</f>
        <v>0</v>
      </c>
      <c r="T193" s="1824"/>
    </row>
    <row r="194" spans="2:27" s="532" customFormat="1">
      <c r="B194" s="589" t="s">
        <v>943</v>
      </c>
      <c r="C194" s="532" t="s">
        <v>1132</v>
      </c>
      <c r="F194" s="592" t="e">
        <f t="shared" ref="F194:O194" ca="1" si="25">F$51*F193</f>
        <v>#REF!</v>
      </c>
      <c r="G194" s="592" t="e">
        <f t="shared" ca="1" si="25"/>
        <v>#REF!</v>
      </c>
      <c r="H194" s="592" t="e">
        <f t="shared" ca="1" si="25"/>
        <v>#REF!</v>
      </c>
      <c r="I194" s="592" t="e">
        <f t="shared" ca="1" si="25"/>
        <v>#REF!</v>
      </c>
      <c r="J194" s="592" t="e">
        <f t="shared" ca="1" si="25"/>
        <v>#REF!</v>
      </c>
      <c r="K194" s="592" t="e">
        <f t="shared" ca="1" si="25"/>
        <v>#REF!</v>
      </c>
      <c r="L194" s="592" t="e">
        <f t="shared" ca="1" si="25"/>
        <v>#REF!</v>
      </c>
      <c r="M194" s="592" t="e">
        <f t="shared" ca="1" si="25"/>
        <v>#REF!</v>
      </c>
      <c r="N194" s="592" t="e">
        <f t="shared" ca="1" si="25"/>
        <v>#REF!</v>
      </c>
      <c r="O194" s="592">
        <f t="shared" ca="1" si="25"/>
        <v>0</v>
      </c>
      <c r="T194" s="1824"/>
    </row>
    <row r="195" spans="2:27" s="532" customFormat="1">
      <c r="B195" s="589" t="s">
        <v>673</v>
      </c>
      <c r="C195" s="586" t="s">
        <v>686</v>
      </c>
      <c r="F195" s="591" t="e">
        <f t="shared" ref="F195:O195" ca="1" si="26">F193+F194</f>
        <v>#REF!</v>
      </c>
      <c r="G195" s="591" t="e">
        <f t="shared" ca="1" si="26"/>
        <v>#REF!</v>
      </c>
      <c r="H195" s="591" t="e">
        <f t="shared" ca="1" si="26"/>
        <v>#REF!</v>
      </c>
      <c r="I195" s="591" t="e">
        <f t="shared" ca="1" si="26"/>
        <v>#REF!</v>
      </c>
      <c r="J195" s="591" t="e">
        <f t="shared" ca="1" si="26"/>
        <v>#REF!</v>
      </c>
      <c r="K195" s="591" t="e">
        <f t="shared" ca="1" si="26"/>
        <v>#REF!</v>
      </c>
      <c r="L195" s="591" t="e">
        <f t="shared" ca="1" si="26"/>
        <v>#REF!</v>
      </c>
      <c r="M195" s="591" t="e">
        <f t="shared" ca="1" si="26"/>
        <v>#REF!</v>
      </c>
      <c r="N195" s="591" t="e">
        <f t="shared" ca="1" si="26"/>
        <v>#REF!</v>
      </c>
      <c r="O195" s="591">
        <f t="shared" ca="1" si="26"/>
        <v>0</v>
      </c>
      <c r="T195" s="1824"/>
    </row>
    <row r="196" spans="2:27" s="532" customFormat="1">
      <c r="B196" s="1379" t="s">
        <v>1217</v>
      </c>
      <c r="C196" s="532" t="s">
        <v>1133</v>
      </c>
      <c r="F196" s="594">
        <f t="shared" ref="F196:O196" si="27">F$58</f>
        <v>0.35699999999999998</v>
      </c>
      <c r="G196" s="594">
        <f t="shared" si="27"/>
        <v>0.35</v>
      </c>
      <c r="H196" s="594">
        <f t="shared" si="27"/>
        <v>0.35</v>
      </c>
      <c r="I196" s="594">
        <f t="shared" si="27"/>
        <v>0.35</v>
      </c>
      <c r="J196" s="594">
        <f t="shared" si="27"/>
        <v>0.35</v>
      </c>
      <c r="K196" s="594">
        <f t="shared" si="27"/>
        <v>0.35</v>
      </c>
      <c r="L196" s="594">
        <f t="shared" si="27"/>
        <v>0.35</v>
      </c>
      <c r="M196" s="594">
        <f t="shared" si="27"/>
        <v>0.35</v>
      </c>
      <c r="N196" s="594">
        <f t="shared" si="27"/>
        <v>0.35</v>
      </c>
      <c r="O196" s="594">
        <f t="shared" si="27"/>
        <v>0.35</v>
      </c>
      <c r="T196" s="1824"/>
    </row>
    <row r="197" spans="2:27" s="532" customFormat="1">
      <c r="B197" s="589" t="s">
        <v>673</v>
      </c>
      <c r="C197" s="586" t="s">
        <v>1242</v>
      </c>
      <c r="F197" s="595" t="e">
        <f t="shared" ref="F197:O197" ca="1" si="28">F195/F196</f>
        <v>#REF!</v>
      </c>
      <c r="G197" s="595" t="e">
        <f t="shared" ca="1" si="28"/>
        <v>#REF!</v>
      </c>
      <c r="H197" s="595" t="e">
        <f t="shared" ca="1" si="28"/>
        <v>#REF!</v>
      </c>
      <c r="I197" s="595" t="e">
        <f t="shared" ca="1" si="28"/>
        <v>#REF!</v>
      </c>
      <c r="J197" s="595" t="e">
        <f t="shared" ca="1" si="28"/>
        <v>#REF!</v>
      </c>
      <c r="K197" s="595" t="e">
        <f t="shared" ca="1" si="28"/>
        <v>#REF!</v>
      </c>
      <c r="L197" s="595" t="e">
        <f t="shared" ca="1" si="28"/>
        <v>#REF!</v>
      </c>
      <c r="M197" s="595" t="e">
        <f t="shared" ca="1" si="28"/>
        <v>#REF!</v>
      </c>
      <c r="N197" s="595" t="e">
        <f t="shared" ca="1" si="28"/>
        <v>#REF!</v>
      </c>
      <c r="O197" s="595">
        <f t="shared" ca="1" si="28"/>
        <v>0</v>
      </c>
      <c r="T197" s="1824"/>
    </row>
    <row r="198" spans="2:27" s="532" customFormat="1">
      <c r="F198" s="592"/>
      <c r="O198" s="592">
        <f ca="1">O$197*INDEX(EF[CO2], MATCH("V.03", EF[Vector], 0))</f>
        <v>0</v>
      </c>
      <c r="T198" s="1824"/>
    </row>
    <row r="199" spans="2:27" s="532" customFormat="1">
      <c r="B199" s="586" t="s">
        <v>1513</v>
      </c>
      <c r="T199" s="1824"/>
    </row>
    <row r="200" spans="2:27" s="532" customFormat="1">
      <c r="B200" s="586"/>
      <c r="C200" s="628" t="s">
        <v>1557</v>
      </c>
      <c r="T200" s="1824"/>
    </row>
    <row r="201" spans="2:27" s="628" customFormat="1">
      <c r="E201" s="628" t="str">
        <f>Preferences.EnergyUnits</f>
        <v>TWh</v>
      </c>
      <c r="F201" s="630" t="e">
        <f t="shared" ref="F201:O201" ca="1" si="29">F$181-F$193</f>
        <v>#REF!</v>
      </c>
      <c r="G201" s="630" t="e">
        <f t="shared" ca="1" si="29"/>
        <v>#REF!</v>
      </c>
      <c r="H201" s="630" t="e">
        <f t="shared" ca="1" si="29"/>
        <v>#REF!</v>
      </c>
      <c r="I201" s="630" t="e">
        <f t="shared" ca="1" si="29"/>
        <v>#REF!</v>
      </c>
      <c r="J201" s="630" t="e">
        <f t="shared" ca="1" si="29"/>
        <v>#REF!</v>
      </c>
      <c r="K201" s="630" t="e">
        <f t="shared" ca="1" si="29"/>
        <v>#REF!</v>
      </c>
      <c r="L201" s="630" t="e">
        <f t="shared" ca="1" si="29"/>
        <v>#REF!</v>
      </c>
      <c r="M201" s="630" t="e">
        <f t="shared" ca="1" si="29"/>
        <v>#REF!</v>
      </c>
      <c r="N201" s="630" t="e">
        <f t="shared" ca="1" si="29"/>
        <v>#REF!</v>
      </c>
      <c r="O201" s="630">
        <f t="shared" ca="1" si="29"/>
        <v>0</v>
      </c>
      <c r="R201" s="586"/>
      <c r="S201" s="586"/>
      <c r="T201" s="1824"/>
      <c r="U201" s="586"/>
      <c r="V201" s="586"/>
      <c r="W201" s="586"/>
      <c r="X201" s="586"/>
      <c r="Y201" s="586"/>
      <c r="Z201" s="586"/>
      <c r="AA201" s="586"/>
    </row>
    <row r="202" spans="2:27" s="532" customFormat="1">
      <c r="F202" s="596"/>
      <c r="G202" s="596"/>
      <c r="H202" s="596"/>
      <c r="I202" s="596"/>
      <c r="J202" s="596"/>
      <c r="K202" s="596"/>
      <c r="L202" s="596"/>
      <c r="M202" s="596"/>
      <c r="N202" s="596"/>
      <c r="O202" s="596"/>
    </row>
    <row r="203" spans="2:27" s="586" customFormat="1">
      <c r="C203" s="586" t="s">
        <v>624</v>
      </c>
      <c r="F203" s="597" t="e">
        <f ca="1">IF(F201&gt;0,F201,0)</f>
        <v>#REF!</v>
      </c>
      <c r="G203" s="597" t="e">
        <f t="shared" ref="G203:O203" ca="1" si="30">IF(G201&gt;0,G201,0)</f>
        <v>#REF!</v>
      </c>
      <c r="H203" s="597" t="e">
        <f t="shared" ca="1" si="30"/>
        <v>#REF!</v>
      </c>
      <c r="I203" s="597" t="e">
        <f t="shared" ca="1" si="30"/>
        <v>#REF!</v>
      </c>
      <c r="J203" s="597" t="e">
        <f t="shared" ca="1" si="30"/>
        <v>#REF!</v>
      </c>
      <c r="K203" s="597" t="e">
        <f t="shared" ca="1" si="30"/>
        <v>#REF!</v>
      </c>
      <c r="L203" s="597" t="e">
        <f t="shared" ca="1" si="30"/>
        <v>#REF!</v>
      </c>
      <c r="M203" s="597" t="e">
        <f t="shared" ca="1" si="30"/>
        <v>#REF!</v>
      </c>
      <c r="N203" s="597" t="e">
        <f t="shared" ca="1" si="30"/>
        <v>#REF!</v>
      </c>
      <c r="O203" s="597">
        <f t="shared" ca="1" si="30"/>
        <v>0</v>
      </c>
      <c r="T203" s="532"/>
    </row>
    <row r="204" spans="2:27" s="532" customFormat="1">
      <c r="B204" s="589" t="s">
        <v>943</v>
      </c>
      <c r="C204" s="532" t="s">
        <v>1132</v>
      </c>
      <c r="F204" s="592" t="e">
        <f ca="1">F$53*F203</f>
        <v>#REF!</v>
      </c>
      <c r="G204" s="592" t="e">
        <f t="shared" ref="G204:O204" ca="1" si="31">G$53*G203</f>
        <v>#REF!</v>
      </c>
      <c r="H204" s="592" t="e">
        <f t="shared" ca="1" si="31"/>
        <v>#REF!</v>
      </c>
      <c r="I204" s="592" t="e">
        <f t="shared" ca="1" si="31"/>
        <v>#REF!</v>
      </c>
      <c r="J204" s="592" t="e">
        <f t="shared" ca="1" si="31"/>
        <v>#REF!</v>
      </c>
      <c r="K204" s="592" t="e">
        <f t="shared" ca="1" si="31"/>
        <v>#REF!</v>
      </c>
      <c r="L204" s="592" t="e">
        <f t="shared" ca="1" si="31"/>
        <v>#REF!</v>
      </c>
      <c r="M204" s="592" t="e">
        <f t="shared" ca="1" si="31"/>
        <v>#REF!</v>
      </c>
      <c r="N204" s="592" t="e">
        <f t="shared" ca="1" si="31"/>
        <v>#REF!</v>
      </c>
      <c r="O204" s="592">
        <f t="shared" ca="1" si="31"/>
        <v>0</v>
      </c>
    </row>
    <row r="205" spans="2:27" s="532" customFormat="1">
      <c r="B205" s="589" t="s">
        <v>673</v>
      </c>
      <c r="C205" s="586" t="s">
        <v>686</v>
      </c>
      <c r="F205" s="591" t="e">
        <f ca="1">F203+F204</f>
        <v>#REF!</v>
      </c>
      <c r="G205" s="591" t="e">
        <f t="shared" ref="G205:O205" ca="1" si="32">G203+G204</f>
        <v>#REF!</v>
      </c>
      <c r="H205" s="591" t="e">
        <f t="shared" ca="1" si="32"/>
        <v>#REF!</v>
      </c>
      <c r="I205" s="591" t="e">
        <f t="shared" ca="1" si="32"/>
        <v>#REF!</v>
      </c>
      <c r="J205" s="591" t="e">
        <f t="shared" ca="1" si="32"/>
        <v>#REF!</v>
      </c>
      <c r="K205" s="591" t="e">
        <f t="shared" ca="1" si="32"/>
        <v>#REF!</v>
      </c>
      <c r="L205" s="591" t="e">
        <f t="shared" ca="1" si="32"/>
        <v>#REF!</v>
      </c>
      <c r="M205" s="591" t="e">
        <f t="shared" ca="1" si="32"/>
        <v>#REF!</v>
      </c>
      <c r="N205" s="591" t="e">
        <f t="shared" ca="1" si="32"/>
        <v>#REF!</v>
      </c>
      <c r="O205" s="591">
        <f t="shared" ca="1" si="32"/>
        <v>0</v>
      </c>
    </row>
    <row r="206" spans="2:27" s="532" customFormat="1">
      <c r="B206" s="1379" t="s">
        <v>1217</v>
      </c>
      <c r="C206" s="532" t="s">
        <v>1243</v>
      </c>
      <c r="F206" s="594">
        <f>F$60</f>
        <v>0.48899999999999999</v>
      </c>
      <c r="G206" s="594">
        <f t="shared" ref="G206:O206" si="33">G$60</f>
        <v>0.5</v>
      </c>
      <c r="H206" s="594">
        <f t="shared" si="33"/>
        <v>0.5</v>
      </c>
      <c r="I206" s="594">
        <f t="shared" si="33"/>
        <v>0.5</v>
      </c>
      <c r="J206" s="594">
        <f t="shared" si="33"/>
        <v>0.5</v>
      </c>
      <c r="K206" s="594">
        <f t="shared" si="33"/>
        <v>0.5</v>
      </c>
      <c r="L206" s="594">
        <f t="shared" si="33"/>
        <v>0.5</v>
      </c>
      <c r="M206" s="594">
        <f t="shared" si="33"/>
        <v>0.5</v>
      </c>
      <c r="N206" s="594">
        <f t="shared" si="33"/>
        <v>0.5</v>
      </c>
      <c r="O206" s="594">
        <f t="shared" si="33"/>
        <v>0.5</v>
      </c>
    </row>
    <row r="207" spans="2:27" s="532" customFormat="1">
      <c r="B207" s="589" t="s">
        <v>673</v>
      </c>
      <c r="C207" s="586" t="s">
        <v>1244</v>
      </c>
      <c r="F207" s="595" t="e">
        <f ca="1">F205/F206</f>
        <v>#REF!</v>
      </c>
      <c r="G207" s="595" t="e">
        <f t="shared" ref="G207:O207" ca="1" si="34">G205/G206</f>
        <v>#REF!</v>
      </c>
      <c r="H207" s="595" t="e">
        <f t="shared" ca="1" si="34"/>
        <v>#REF!</v>
      </c>
      <c r="I207" s="595" t="e">
        <f t="shared" ca="1" si="34"/>
        <v>#REF!</v>
      </c>
      <c r="J207" s="595" t="e">
        <f t="shared" ca="1" si="34"/>
        <v>#REF!</v>
      </c>
      <c r="K207" s="595" t="e">
        <f t="shared" ca="1" si="34"/>
        <v>#REF!</v>
      </c>
      <c r="L207" s="595" t="e">
        <f t="shared" ca="1" si="34"/>
        <v>#REF!</v>
      </c>
      <c r="M207" s="595" t="e">
        <f t="shared" ca="1" si="34"/>
        <v>#REF!</v>
      </c>
      <c r="N207" s="595" t="e">
        <f t="shared" ca="1" si="34"/>
        <v>#REF!</v>
      </c>
      <c r="O207" s="595">
        <f t="shared" ca="1" si="34"/>
        <v>0</v>
      </c>
    </row>
    <row r="208" spans="2:27" s="532" customFormat="1">
      <c r="C208" s="593"/>
      <c r="F208" s="524"/>
      <c r="G208" s="524"/>
      <c r="H208" s="524"/>
      <c r="I208" s="524"/>
      <c r="J208" s="524"/>
      <c r="K208" s="524"/>
      <c r="L208" s="524"/>
      <c r="M208" s="524"/>
      <c r="N208" s="524"/>
      <c r="O208" s="524"/>
    </row>
    <row r="209" spans="2:19" s="532" customFormat="1">
      <c r="B209" s="586" t="s">
        <v>690</v>
      </c>
    </row>
    <row r="210" spans="2:19" s="532" customFormat="1">
      <c r="C210" s="532" t="s">
        <v>811</v>
      </c>
      <c r="E210" s="532" t="s">
        <v>831</v>
      </c>
      <c r="F210" s="592" t="e">
        <f ca="1">F$178*INDEX(EF[CO2], MATCH("V.04", EF[Vector], 0))+F$197*INDEX(EF[CO2], MATCH("V.03", EF[Vector], 0))+F$207*INDEX(EF[CO2], MATCH("V.05", EF[Vector], 0))</f>
        <v>#REF!</v>
      </c>
      <c r="G210" s="592" t="e">
        <f ca="1">G$178*INDEX(EF[CO2], MATCH("V.04", EF[Vector], 0))+G$197*INDEX(EF[CO2], MATCH("V.03", EF[Vector], 0))+G$207*INDEX(EF[CO2], MATCH("V.05", EF[Vector], 0))</f>
        <v>#REF!</v>
      </c>
      <c r="H210" s="592" t="e">
        <f ca="1">H$178*INDEX(EF[CO2], MATCH("V.04", EF[Vector], 0))+H$197*INDEX(EF[CO2], MATCH("V.03", EF[Vector], 0))+H$207*INDEX(EF[CO2], MATCH("V.05", EF[Vector], 0))</f>
        <v>#REF!</v>
      </c>
      <c r="I210" s="592" t="e">
        <f ca="1">I$178*INDEX(EF[CO2], MATCH("V.04", EF[Vector], 0))+I$197*INDEX(EF[CO2], MATCH("V.03", EF[Vector], 0))+I$207*INDEX(EF[CO2], MATCH("V.05", EF[Vector], 0))</f>
        <v>#REF!</v>
      </c>
      <c r="J210" s="592" t="e">
        <f ca="1">J$178*INDEX(EF[CO2], MATCH("V.04", EF[Vector], 0))+J$197*INDEX(EF[CO2], MATCH("V.03", EF[Vector], 0))+J$207*INDEX(EF[CO2], MATCH("V.05", EF[Vector], 0))</f>
        <v>#REF!</v>
      </c>
      <c r="K210" s="592" t="e">
        <f ca="1">K$178*INDEX(EF[CO2], MATCH("V.04", EF[Vector], 0))+K$197*INDEX(EF[CO2], MATCH("V.03", EF[Vector], 0))+K$207*INDEX(EF[CO2], MATCH("V.05", EF[Vector], 0))</f>
        <v>#REF!</v>
      </c>
      <c r="L210" s="592" t="e">
        <f ca="1">L$178*INDEX(EF[CO2], MATCH("V.04", EF[Vector], 0))+L$197*INDEX(EF[CO2], MATCH("V.03", EF[Vector], 0))+L$207*INDEX(EF[CO2], MATCH("V.05", EF[Vector], 0))</f>
        <v>#REF!</v>
      </c>
      <c r="M210" s="592" t="e">
        <f ca="1">M$178*INDEX(EF[CO2], MATCH("V.04", EF[Vector], 0))+M$197*INDEX(EF[CO2], MATCH("V.03", EF[Vector], 0))+M$207*INDEX(EF[CO2], MATCH("V.05", EF[Vector], 0))</f>
        <v>#REF!</v>
      </c>
      <c r="N210" s="592" t="e">
        <f ca="1">N$178*INDEX(EF[CO2], MATCH("V.04", EF[Vector], 0))+N$197*INDEX(EF[CO2], MATCH("V.03", EF[Vector], 0))+N$207*INDEX(EF[CO2], MATCH("V.05", EF[Vector], 0))</f>
        <v>#REF!</v>
      </c>
      <c r="O210" s="592">
        <f ca="1">O$178*INDEX(EF[CO2], MATCH("V.04", EF[Vector], 0))+O$197*INDEX(EF[CO2], MATCH("V.03", EF[Vector], 0))+O$207*INDEX(EF[CO2], MATCH("V.05", EF[Vector], 0))</f>
        <v>0</v>
      </c>
    </row>
    <row r="211" spans="2:19" s="532" customFormat="1">
      <c r="C211" s="532" t="s">
        <v>812</v>
      </c>
      <c r="F211" s="592" t="e">
        <f ca="1">F$178*INDEX(EF[CH4], MATCH("V.04", EF[Vector], 0))+F$197*INDEX(EF[CH4], MATCH("V.03", EF[Vector], 0))+F$207*INDEX(EF[CH4], MATCH("V.05", EF[Vector], 0))</f>
        <v>#REF!</v>
      </c>
      <c r="G211" s="592" t="e">
        <f ca="1">G$178*INDEX(EF[CH4], MATCH("V.04", EF[Vector], 0))+G$197*INDEX(EF[CH4], MATCH("V.03", EF[Vector], 0))+G$207*INDEX(EF[CH4], MATCH("V.05", EF[Vector], 0))</f>
        <v>#REF!</v>
      </c>
      <c r="H211" s="592" t="e">
        <f ca="1">H$178*INDEX(EF[CH4], MATCH("V.04", EF[Vector], 0))+H$197*INDEX(EF[CH4], MATCH("V.03", EF[Vector], 0))+H$207*INDEX(EF[CH4], MATCH("V.05", EF[Vector], 0))</f>
        <v>#REF!</v>
      </c>
      <c r="I211" s="592" t="e">
        <f ca="1">I$178*INDEX(EF[CH4], MATCH("V.04", EF[Vector], 0))+I$197*INDEX(EF[CH4], MATCH("V.03", EF[Vector], 0))+I$207*INDEX(EF[CH4], MATCH("V.05", EF[Vector], 0))</f>
        <v>#REF!</v>
      </c>
      <c r="J211" s="592" t="e">
        <f ca="1">J$178*INDEX(EF[CH4], MATCH("V.04", EF[Vector], 0))+J$197*INDEX(EF[CH4], MATCH("V.03", EF[Vector], 0))+J$207*INDEX(EF[CH4], MATCH("V.05", EF[Vector], 0))</f>
        <v>#REF!</v>
      </c>
      <c r="K211" s="592" t="e">
        <f ca="1">K$178*INDEX(EF[CH4], MATCH("V.04", EF[Vector], 0))+K$197*INDEX(EF[CH4], MATCH("V.03", EF[Vector], 0))+K$207*INDEX(EF[CH4], MATCH("V.05", EF[Vector], 0))</f>
        <v>#REF!</v>
      </c>
      <c r="L211" s="592" t="e">
        <f ca="1">L$178*INDEX(EF[CH4], MATCH("V.04", EF[Vector], 0))+L$197*INDEX(EF[CH4], MATCH("V.03", EF[Vector], 0))+L$207*INDEX(EF[CH4], MATCH("V.05", EF[Vector], 0))</f>
        <v>#REF!</v>
      </c>
      <c r="M211" s="592" t="e">
        <f ca="1">M$178*INDEX(EF[CH4], MATCH("V.04", EF[Vector], 0))+M$197*INDEX(EF[CH4], MATCH("V.03", EF[Vector], 0))+M$207*INDEX(EF[CH4], MATCH("V.05", EF[Vector], 0))</f>
        <v>#REF!</v>
      </c>
      <c r="N211" s="592" t="e">
        <f ca="1">N$178*INDEX(EF[CH4], MATCH("V.04", EF[Vector], 0))+N$197*INDEX(EF[CH4], MATCH("V.03", EF[Vector], 0))+N$207*INDEX(EF[CH4], MATCH("V.05", EF[Vector], 0))</f>
        <v>#REF!</v>
      </c>
      <c r="O211" s="592">
        <f ca="1">O$178*INDEX(EF[CH4], MATCH("V.04", EF[Vector], 0))+O$197*INDEX(EF[CH4], MATCH("V.03", EF[Vector], 0))+O$207*INDEX(EF[CH4], MATCH("V.05", EF[Vector], 0))</f>
        <v>0</v>
      </c>
    </row>
    <row r="212" spans="2:19" s="532" customFormat="1">
      <c r="C212" s="532" t="s">
        <v>813</v>
      </c>
      <c r="F212" s="592" t="e">
        <f ca="1">F$178*INDEX(EF[N2O], MATCH("V.04", EF[Vector], 0))+F$197*INDEX(EF[N2O], MATCH("V.03", EF[Vector], 0))+F$207*INDEX(EF[N2O], MATCH("V.05", EF[Vector], 0))</f>
        <v>#REF!</v>
      </c>
      <c r="G212" s="592" t="e">
        <f ca="1">G$178*INDEX(EF[N2O], MATCH("V.04", EF[Vector], 0))+G$197*INDEX(EF[N2O], MATCH("V.03", EF[Vector], 0))+G$207*INDEX(EF[N2O], MATCH("V.05", EF[Vector], 0))</f>
        <v>#REF!</v>
      </c>
      <c r="H212" s="592" t="e">
        <f ca="1">H$178*INDEX(EF[N2O], MATCH("V.04", EF[Vector], 0))+H$197*INDEX(EF[N2O], MATCH("V.03", EF[Vector], 0))+H$207*INDEX(EF[N2O], MATCH("V.05", EF[Vector], 0))</f>
        <v>#REF!</v>
      </c>
      <c r="I212" s="592" t="e">
        <f ca="1">I$178*INDEX(EF[N2O], MATCH("V.04", EF[Vector], 0))+I$197*INDEX(EF[N2O], MATCH("V.03", EF[Vector], 0))+I$207*INDEX(EF[N2O], MATCH("V.05", EF[Vector], 0))</f>
        <v>#REF!</v>
      </c>
      <c r="J212" s="592" t="e">
        <f ca="1">J$178*INDEX(EF[N2O], MATCH("V.04", EF[Vector], 0))+J$197*INDEX(EF[N2O], MATCH("V.03", EF[Vector], 0))+J$207*INDEX(EF[N2O], MATCH("V.05", EF[Vector], 0))</f>
        <v>#REF!</v>
      </c>
      <c r="K212" s="592" t="e">
        <f ca="1">K$178*INDEX(EF[N2O], MATCH("V.04", EF[Vector], 0))+K$197*INDEX(EF[N2O], MATCH("V.03", EF[Vector], 0))+K$207*INDEX(EF[N2O], MATCH("V.05", EF[Vector], 0))</f>
        <v>#REF!</v>
      </c>
      <c r="L212" s="592" t="e">
        <f ca="1">L$178*INDEX(EF[N2O], MATCH("V.04", EF[Vector], 0))+L$197*INDEX(EF[N2O], MATCH("V.03", EF[Vector], 0))+L$207*INDEX(EF[N2O], MATCH("V.05", EF[Vector], 0))</f>
        <v>#REF!</v>
      </c>
      <c r="M212" s="592" t="e">
        <f ca="1">M$178*INDEX(EF[N2O], MATCH("V.04", EF[Vector], 0))+M$197*INDEX(EF[N2O], MATCH("V.03", EF[Vector], 0))+M$207*INDEX(EF[N2O], MATCH("V.05", EF[Vector], 0))</f>
        <v>#REF!</v>
      </c>
      <c r="N212" s="592" t="e">
        <f ca="1">N$178*INDEX(EF[N2O], MATCH("V.04", EF[Vector], 0))+N$197*INDEX(EF[N2O], MATCH("V.03", EF[Vector], 0))+N$207*INDEX(EF[N2O], MATCH("V.05", EF[Vector], 0))</f>
        <v>#REF!</v>
      </c>
      <c r="O212" s="592">
        <f ca="1">O$178*INDEX(EF[N2O], MATCH("V.04", EF[Vector], 0))+O$197*INDEX(EF[N2O], MATCH("V.03", EF[Vector], 0))+O$207*INDEX(EF[N2O], MATCH("V.05", EF[Vector], 0))</f>
        <v>0</v>
      </c>
    </row>
    <row r="213" spans="2:19" s="532" customFormat="1" ht="5.25" customHeight="1">
      <c r="F213" s="592"/>
      <c r="G213" s="592"/>
      <c r="H213" s="592"/>
      <c r="I213" s="592"/>
      <c r="J213" s="592"/>
      <c r="K213" s="592"/>
      <c r="L213" s="592"/>
      <c r="M213" s="592"/>
      <c r="N213" s="592"/>
      <c r="O213" s="592"/>
    </row>
    <row r="214" spans="2:19" s="532" customFormat="1">
      <c r="B214" s="586" t="s">
        <v>1572</v>
      </c>
      <c r="C214" s="593"/>
      <c r="F214" s="524"/>
      <c r="G214" s="524"/>
      <c r="H214" s="524"/>
      <c r="I214" s="524"/>
      <c r="J214" s="524"/>
      <c r="K214" s="524"/>
      <c r="L214" s="524"/>
      <c r="M214" s="524"/>
      <c r="N214" s="524"/>
      <c r="O214" s="524"/>
    </row>
    <row r="215" spans="2:19" s="532" customFormat="1">
      <c r="C215" s="593"/>
      <c r="F215" s="524"/>
      <c r="G215" s="524"/>
      <c r="H215" s="524"/>
      <c r="I215" s="524"/>
      <c r="J215" s="524"/>
      <c r="K215" s="524"/>
      <c r="L215" s="524"/>
      <c r="M215" s="524"/>
      <c r="N215" s="524"/>
      <c r="O215" s="524"/>
    </row>
    <row r="216" spans="2:19" s="532" customFormat="1">
      <c r="C216" s="628" t="s">
        <v>186</v>
      </c>
      <c r="D216" s="628"/>
      <c r="E216" s="628" t="str">
        <f>Preferences.PowerUnits</f>
        <v>GW</v>
      </c>
      <c r="F216" s="1348">
        <f t="shared" ref="F216:O216" si="35">F$171</f>
        <v>4.0999999999999996</v>
      </c>
      <c r="G216" s="1348">
        <f t="shared" si="35"/>
        <v>4.0568</v>
      </c>
      <c r="H216" s="1348">
        <f t="shared" si="35"/>
        <v>0</v>
      </c>
      <c r="I216" s="1348">
        <f t="shared" si="35"/>
        <v>0</v>
      </c>
      <c r="J216" s="1348">
        <f t="shared" si="35"/>
        <v>0</v>
      </c>
      <c r="K216" s="1348">
        <f t="shared" si="35"/>
        <v>0</v>
      </c>
      <c r="L216" s="1348">
        <f t="shared" si="35"/>
        <v>0</v>
      </c>
      <c r="M216" s="1348">
        <f t="shared" si="35"/>
        <v>0</v>
      </c>
      <c r="N216" s="1348">
        <f t="shared" si="35"/>
        <v>0</v>
      </c>
      <c r="O216" s="1348">
        <f t="shared" si="35"/>
        <v>0</v>
      </c>
    </row>
    <row r="217" spans="2:19" s="532" customFormat="1">
      <c r="C217" s="628" t="s">
        <v>1558</v>
      </c>
      <c r="D217" s="628"/>
      <c r="E217" s="628" t="str">
        <f>Preferences.PowerUnits</f>
        <v>GW</v>
      </c>
      <c r="F217" s="1348" t="e">
        <f t="shared" ref="F217:O217" ca="1" si="36">F184</f>
        <v>#REF!</v>
      </c>
      <c r="G217" s="1348" t="e">
        <f t="shared" ca="1" si="36"/>
        <v>#REF!</v>
      </c>
      <c r="H217" s="1348" t="e">
        <f t="shared" ca="1" si="36"/>
        <v>#REF!</v>
      </c>
      <c r="I217" s="1348" t="e">
        <f t="shared" ca="1" si="36"/>
        <v>#REF!</v>
      </c>
      <c r="J217" s="1348" t="e">
        <f t="shared" ca="1" si="36"/>
        <v>#REF!</v>
      </c>
      <c r="K217" s="1348" t="e">
        <f t="shared" ca="1" si="36"/>
        <v>#REF!</v>
      </c>
      <c r="L217" s="1348" t="e">
        <f t="shared" ca="1" si="36"/>
        <v>#REF!</v>
      </c>
      <c r="M217" s="1348" t="e">
        <f t="shared" ca="1" si="36"/>
        <v>#REF!</v>
      </c>
      <c r="N217" s="1348" t="e">
        <f t="shared" ca="1" si="36"/>
        <v>#REF!</v>
      </c>
      <c r="O217" s="1348">
        <f t="shared" ca="1" si="36"/>
        <v>0</v>
      </c>
      <c r="Q217" s="1403" t="s">
        <v>1193</v>
      </c>
      <c r="R217" s="1403"/>
      <c r="S217" s="1403"/>
    </row>
    <row r="218" spans="2:19" s="532" customFormat="1">
      <c r="C218" s="628" t="s">
        <v>14</v>
      </c>
      <c r="D218" s="628"/>
      <c r="E218" s="628" t="str">
        <f>Preferences.PowerUnits</f>
        <v>GW</v>
      </c>
      <c r="F218" s="1348" t="e">
        <f t="shared" ref="F218:O218" ca="1" si="37">F203*Preferences.Unit.Energy/(Preferences.Unit.Power*Unit.year*F$66)</f>
        <v>#REF!</v>
      </c>
      <c r="G218" s="1348" t="e">
        <f t="shared" ca="1" si="37"/>
        <v>#REF!</v>
      </c>
      <c r="H218" s="1348" t="e">
        <f t="shared" ca="1" si="37"/>
        <v>#REF!</v>
      </c>
      <c r="I218" s="1348" t="e">
        <f t="shared" ca="1" si="37"/>
        <v>#REF!</v>
      </c>
      <c r="J218" s="1348" t="e">
        <f t="shared" ca="1" si="37"/>
        <v>#REF!</v>
      </c>
      <c r="K218" s="1348" t="e">
        <f t="shared" ca="1" si="37"/>
        <v>#REF!</v>
      </c>
      <c r="L218" s="1348" t="e">
        <f t="shared" ca="1" si="37"/>
        <v>#REF!</v>
      </c>
      <c r="M218" s="1348" t="e">
        <f t="shared" ca="1" si="37"/>
        <v>#REF!</v>
      </c>
      <c r="N218" s="1348" t="e">
        <f t="shared" ca="1" si="37"/>
        <v>#REF!</v>
      </c>
      <c r="O218" s="1348">
        <f t="shared" ca="1" si="37"/>
        <v>0</v>
      </c>
      <c r="Q218" s="1403" t="s">
        <v>1193</v>
      </c>
      <c r="R218" s="1403"/>
      <c r="S218" s="1403"/>
    </row>
    <row r="219" spans="2:19" s="532" customFormat="1">
      <c r="C219" s="628"/>
      <c r="D219" s="628"/>
      <c r="E219" s="628"/>
      <c r="F219" s="1348"/>
      <c r="G219" s="1348"/>
      <c r="H219" s="1348"/>
      <c r="I219" s="1348"/>
      <c r="J219" s="1348"/>
      <c r="K219" s="1348"/>
      <c r="L219" s="1348"/>
      <c r="M219" s="1348"/>
      <c r="N219" s="1348"/>
      <c r="O219" s="1348"/>
      <c r="Q219" s="1403"/>
      <c r="R219" s="1403"/>
      <c r="S219" s="1403"/>
    </row>
    <row r="220" spans="2:19" ht="14">
      <c r="B220" s="1824" t="s">
        <v>1621</v>
      </c>
      <c r="C220" s="530"/>
      <c r="F220" s="1109">
        <v>2007</v>
      </c>
      <c r="G220" s="1109">
        <v>2010</v>
      </c>
      <c r="H220" s="1109">
        <v>2015</v>
      </c>
      <c r="I220" s="1109">
        <v>2020</v>
      </c>
      <c r="J220" s="1109">
        <v>2025</v>
      </c>
      <c r="K220" s="1109">
        <v>2030</v>
      </c>
      <c r="L220" s="1109">
        <v>2035</v>
      </c>
      <c r="M220" s="1109">
        <v>2040</v>
      </c>
      <c r="N220" s="1109">
        <v>2045</v>
      </c>
      <c r="O220" s="1109">
        <v>2050</v>
      </c>
    </row>
    <row r="221" spans="2:19">
      <c r="C221" s="1824" t="s">
        <v>2059</v>
      </c>
      <c r="E221" s="1950" t="s">
        <v>1622</v>
      </c>
      <c r="F221" s="577"/>
      <c r="G221" s="577" t="e">
        <f ca="1">(G218-F218)/2</f>
        <v>#REF!</v>
      </c>
      <c r="H221" s="577" t="e">
        <f t="shared" ref="H221:O221" ca="1" si="38">(H218-G218)/2</f>
        <v>#REF!</v>
      </c>
      <c r="I221" s="577" t="e">
        <f t="shared" ca="1" si="38"/>
        <v>#REF!</v>
      </c>
      <c r="J221" s="577" t="e">
        <f t="shared" ca="1" si="38"/>
        <v>#REF!</v>
      </c>
      <c r="K221" s="577" t="e">
        <f t="shared" ca="1" si="38"/>
        <v>#REF!</v>
      </c>
      <c r="L221" s="577" t="e">
        <f t="shared" ca="1" si="38"/>
        <v>#REF!</v>
      </c>
      <c r="M221" s="577" t="e">
        <f t="shared" ca="1" si="38"/>
        <v>#REF!</v>
      </c>
      <c r="N221" s="577" t="e">
        <f t="shared" ca="1" si="38"/>
        <v>#REF!</v>
      </c>
      <c r="O221" s="577" t="e">
        <f t="shared" ca="1" si="38"/>
        <v>#REF!</v>
      </c>
    </row>
    <row r="222" spans="2:19">
      <c r="C222" s="1824" t="str">
        <f>"Approximate total "&amp;$F$87/Unit.GW&amp;" GW locations"</f>
        <v>Approximate total 2 GW locations</v>
      </c>
      <c r="E222" s="1824" t="s">
        <v>1622</v>
      </c>
      <c r="F222" s="1639" t="e">
        <f t="shared" ref="F222:O222" ca="1" si="39">F218/plantsize.I.a</f>
        <v>#REF!</v>
      </c>
      <c r="G222" s="1639" t="e">
        <f ca="1">G218/plantsize.I.a</f>
        <v>#REF!</v>
      </c>
      <c r="H222" s="1639" t="e">
        <f t="shared" ca="1" si="39"/>
        <v>#REF!</v>
      </c>
      <c r="I222" s="1639" t="e">
        <f t="shared" ca="1" si="39"/>
        <v>#REF!</v>
      </c>
      <c r="J222" s="1639" t="e">
        <f t="shared" ca="1" si="39"/>
        <v>#REF!</v>
      </c>
      <c r="K222" s="1639" t="e">
        <f t="shared" ca="1" si="39"/>
        <v>#REF!</v>
      </c>
      <c r="L222" s="1639" t="e">
        <f t="shared" ca="1" si="39"/>
        <v>#REF!</v>
      </c>
      <c r="M222" s="1639" t="e">
        <f t="shared" ca="1" si="39"/>
        <v>#REF!</v>
      </c>
      <c r="N222" s="1639" t="e">
        <f t="shared" ca="1" si="39"/>
        <v>#REF!</v>
      </c>
      <c r="O222" s="1639">
        <f t="shared" ca="1" si="39"/>
        <v>0</v>
      </c>
    </row>
    <row r="223" spans="2:19" s="1950" customFormat="1">
      <c r="C223" s="1950" t="s">
        <v>2191</v>
      </c>
      <c r="F223" s="1639"/>
      <c r="G223" s="1639">
        <v>5</v>
      </c>
      <c r="H223" s="1639">
        <v>5</v>
      </c>
      <c r="I223" s="1639">
        <v>5</v>
      </c>
      <c r="J223" s="1639"/>
      <c r="K223" s="1639" t="e">
        <f ca="1">G222</f>
        <v>#REF!</v>
      </c>
      <c r="L223" s="1639" t="e">
        <f t="shared" ref="L223:O223" ca="1" si="40">H222</f>
        <v>#REF!</v>
      </c>
      <c r="M223" s="1639" t="e">
        <f t="shared" ca="1" si="40"/>
        <v>#REF!</v>
      </c>
      <c r="N223" s="1639" t="e">
        <f t="shared" ca="1" si="40"/>
        <v>#REF!</v>
      </c>
      <c r="O223" s="1639" t="e">
        <f t="shared" ca="1" si="40"/>
        <v>#REF!</v>
      </c>
    </row>
    <row r="224" spans="2:19" s="1950" customFormat="1">
      <c r="C224" s="1950" t="s">
        <v>2192</v>
      </c>
      <c r="F224" s="1639"/>
      <c r="G224" s="1639" t="e">
        <f t="shared" ref="G224:O224" ca="1" si="41">G221+G223</f>
        <v>#REF!</v>
      </c>
      <c r="H224" s="1639" t="e">
        <f t="shared" ca="1" si="41"/>
        <v>#REF!</v>
      </c>
      <c r="I224" s="1639" t="e">
        <f t="shared" ca="1" si="41"/>
        <v>#REF!</v>
      </c>
      <c r="J224" s="1639" t="e">
        <f t="shared" ca="1" si="41"/>
        <v>#REF!</v>
      </c>
      <c r="K224" s="1639" t="e">
        <f t="shared" ca="1" si="41"/>
        <v>#REF!</v>
      </c>
      <c r="L224" s="1639" t="e">
        <f t="shared" ca="1" si="41"/>
        <v>#REF!</v>
      </c>
      <c r="M224" s="1639" t="e">
        <f t="shared" ca="1" si="41"/>
        <v>#REF!</v>
      </c>
      <c r="N224" s="1639" t="e">
        <f t="shared" ca="1" si="41"/>
        <v>#REF!</v>
      </c>
      <c r="O224" s="1639" t="e">
        <f t="shared" ca="1" si="41"/>
        <v>#REF!</v>
      </c>
    </row>
    <row r="225" spans="2:19">
      <c r="C225" s="1824" t="str">
        <f>"Approximate build rate of "&amp;$F$87/Unit.GW&amp;" GW locations"</f>
        <v>Approximate build rate of 2 GW locations</v>
      </c>
      <c r="E225" s="1824" t="s">
        <v>1623</v>
      </c>
      <c r="F225" s="1410"/>
      <c r="G225" s="1410" t="e">
        <f ca="1">IF((G224/(G$169-F$169))&gt;0,G224/(G$169-F$169),0)</f>
        <v>#REF!</v>
      </c>
      <c r="H225" s="1410" t="e">
        <f t="shared" ref="H225:O225" ca="1" si="42">IF((H224/(H$169-G$169))&gt;0,H224/(H$169-G$169),0)</f>
        <v>#REF!</v>
      </c>
      <c r="I225" s="1410" t="e">
        <f t="shared" ca="1" si="42"/>
        <v>#REF!</v>
      </c>
      <c r="J225" s="1410" t="e">
        <f t="shared" ca="1" si="42"/>
        <v>#REF!</v>
      </c>
      <c r="K225" s="1410" t="e">
        <f t="shared" ca="1" si="42"/>
        <v>#REF!</v>
      </c>
      <c r="L225" s="1410" t="e">
        <f t="shared" ca="1" si="42"/>
        <v>#REF!</v>
      </c>
      <c r="M225" s="1410" t="e">
        <f t="shared" ca="1" si="42"/>
        <v>#REF!</v>
      </c>
      <c r="N225" s="1410" t="e">
        <f t="shared" ca="1" si="42"/>
        <v>#REF!</v>
      </c>
      <c r="O225" s="1410" t="e">
        <f t="shared" ca="1" si="42"/>
        <v>#REF!</v>
      </c>
    </row>
    <row r="226" spans="2:19">
      <c r="F226" s="1410"/>
      <c r="G226" s="1410"/>
      <c r="H226" s="1410"/>
      <c r="I226" s="1410"/>
      <c r="J226" s="1410"/>
      <c r="K226" s="1410"/>
      <c r="L226" s="1410"/>
      <c r="M226" s="1410"/>
      <c r="N226" s="1410"/>
      <c r="O226" s="1410"/>
    </row>
    <row r="227" spans="2:19">
      <c r="B227" s="1824" t="s">
        <v>1621</v>
      </c>
      <c r="C227" s="530"/>
      <c r="F227" s="563"/>
      <c r="G227" s="563"/>
      <c r="H227" s="563"/>
      <c r="I227" s="563"/>
      <c r="J227" s="563"/>
      <c r="K227" s="563"/>
      <c r="L227" s="563"/>
      <c r="M227" s="563"/>
      <c r="N227" s="563"/>
      <c r="O227" s="563"/>
    </row>
    <row r="228" spans="2:19">
      <c r="C228" s="1824" t="s">
        <v>2060</v>
      </c>
      <c r="F228" s="563"/>
      <c r="G228" s="563"/>
      <c r="H228" s="563"/>
      <c r="I228" s="563"/>
      <c r="J228" s="563"/>
      <c r="K228" s="563"/>
      <c r="L228" s="563"/>
      <c r="M228" s="563"/>
      <c r="N228" s="563"/>
      <c r="O228" s="563"/>
    </row>
    <row r="229" spans="2:19">
      <c r="C229" s="1824" t="str">
        <f>"Approximate total "&amp;$F$87/Unit.GW&amp;" GW locations"</f>
        <v>Approximate total 2 GW locations</v>
      </c>
      <c r="E229" s="1824" t="s">
        <v>1622</v>
      </c>
      <c r="F229" s="1639">
        <f t="shared" ref="F229:O229" si="43">IF((F145/plantsize.I.a)&gt;0,F145/plantsize.I.a,0)</f>
        <v>13.768999999999998</v>
      </c>
      <c r="G229" s="1639">
        <f t="shared" si="43"/>
        <v>13.768999999999998</v>
      </c>
      <c r="H229" s="1639">
        <f t="shared" si="43"/>
        <v>11.411</v>
      </c>
      <c r="I229" s="1639">
        <f t="shared" si="43"/>
        <v>8.2275000000000009</v>
      </c>
      <c r="J229" s="1639">
        <f t="shared" si="43"/>
        <v>4.0060000000000002</v>
      </c>
      <c r="K229" s="1639">
        <f t="shared" si="43"/>
        <v>0.6</v>
      </c>
      <c r="L229" s="1639">
        <f t="shared" si="43"/>
        <v>0</v>
      </c>
      <c r="M229" s="1639">
        <f t="shared" si="43"/>
        <v>0</v>
      </c>
      <c r="N229" s="1639">
        <f t="shared" si="43"/>
        <v>0</v>
      </c>
      <c r="O229" s="1639">
        <f t="shared" si="43"/>
        <v>0</v>
      </c>
    </row>
    <row r="230" spans="2:19" s="532" customFormat="1">
      <c r="B230" s="1824"/>
      <c r="C230" s="1824" t="str">
        <f>"Approximate build rate of "&amp;$F$87/Unit.GW&amp;" GW locations"</f>
        <v>Approximate build rate of 2 GW locations</v>
      </c>
      <c r="D230" s="1824"/>
      <c r="E230" s="1824" t="s">
        <v>1623</v>
      </c>
      <c r="F230" s="1410"/>
      <c r="G230" s="1410"/>
      <c r="H230" s="1410"/>
      <c r="I230" s="1410"/>
      <c r="J230" s="1410"/>
      <c r="K230" s="1410"/>
      <c r="L230" s="1410"/>
      <c r="M230" s="1410"/>
      <c r="N230" s="1410"/>
      <c r="O230" s="1410"/>
      <c r="Q230" s="1824"/>
      <c r="R230" s="1824"/>
      <c r="S230" s="1824"/>
    </row>
    <row r="231" spans="2:19" s="532" customFormat="1">
      <c r="B231" s="1862"/>
      <c r="C231" s="1862"/>
      <c r="D231" s="1862"/>
      <c r="E231" s="1862"/>
      <c r="F231" s="1410"/>
      <c r="G231" s="1410"/>
      <c r="H231" s="1410"/>
      <c r="I231" s="1410"/>
      <c r="J231" s="1410"/>
      <c r="K231" s="1410"/>
      <c r="L231" s="1410"/>
      <c r="M231" s="1410"/>
      <c r="N231" s="1410"/>
      <c r="O231" s="1410"/>
      <c r="Q231" s="1862"/>
      <c r="R231" s="1862"/>
      <c r="S231" s="1862"/>
    </row>
    <row r="232" spans="2:19" s="532" customFormat="1">
      <c r="B232" s="1862" t="s">
        <v>1621</v>
      </c>
      <c r="C232" s="530"/>
      <c r="D232" s="1862"/>
      <c r="E232" s="1862"/>
      <c r="F232" s="563"/>
      <c r="G232" s="563"/>
      <c r="H232" s="563"/>
      <c r="I232" s="563"/>
      <c r="J232" s="563"/>
      <c r="K232" s="563"/>
      <c r="L232" s="563"/>
      <c r="M232" s="563"/>
      <c r="N232" s="563"/>
      <c r="O232" s="563"/>
      <c r="Q232" s="1862"/>
      <c r="R232" s="1862"/>
      <c r="S232" s="1862"/>
    </row>
    <row r="233" spans="2:19" s="532" customFormat="1">
      <c r="B233" s="1862"/>
      <c r="C233" s="1862" t="s">
        <v>2063</v>
      </c>
      <c r="D233" s="1862"/>
      <c r="E233" s="1862"/>
      <c r="F233" s="563"/>
      <c r="G233" s="563">
        <f t="shared" ref="G233:O233" si="44">G146-F146</f>
        <v>0</v>
      </c>
      <c r="H233" s="563">
        <f t="shared" si="44"/>
        <v>0</v>
      </c>
      <c r="I233" s="563">
        <f t="shared" si="44"/>
        <v>0</v>
      </c>
      <c r="J233" s="1864">
        <f t="shared" si="44"/>
        <v>0</v>
      </c>
      <c r="K233" s="563">
        <f t="shared" si="44"/>
        <v>0</v>
      </c>
      <c r="L233" s="563">
        <f t="shared" si="44"/>
        <v>0</v>
      </c>
      <c r="M233" s="563">
        <f t="shared" si="44"/>
        <v>0</v>
      </c>
      <c r="N233" s="563">
        <f t="shared" si="44"/>
        <v>0</v>
      </c>
      <c r="O233" s="563">
        <f t="shared" si="44"/>
        <v>0</v>
      </c>
      <c r="Q233" s="1862"/>
      <c r="R233" s="1862"/>
      <c r="S233" s="1862"/>
    </row>
    <row r="234" spans="2:19" s="532" customFormat="1">
      <c r="B234" s="1862"/>
      <c r="C234" s="1862" t="s">
        <v>2064</v>
      </c>
      <c r="D234" s="1862"/>
      <c r="E234" s="1862" t="s">
        <v>1622</v>
      </c>
      <c r="F234" s="1639" t="e">
        <f ca="1">IF(F184&gt;0,F146/0.05,0)</f>
        <v>#REF!</v>
      </c>
      <c r="G234" s="1639" t="e">
        <f t="shared" ref="G234:O234" ca="1" si="45">IF(G184&gt;0,G146/0.05,0)</f>
        <v>#REF!</v>
      </c>
      <c r="H234" s="1639" t="e">
        <f t="shared" ca="1" si="45"/>
        <v>#REF!</v>
      </c>
      <c r="I234" s="1639" t="e">
        <f t="shared" ca="1" si="45"/>
        <v>#REF!</v>
      </c>
      <c r="J234" s="1639" t="e">
        <f t="shared" ca="1" si="45"/>
        <v>#REF!</v>
      </c>
      <c r="K234" s="1639" t="e">
        <f t="shared" ca="1" si="45"/>
        <v>#REF!</v>
      </c>
      <c r="L234" s="1639" t="e">
        <f t="shared" ca="1" si="45"/>
        <v>#REF!</v>
      </c>
      <c r="M234" s="1639" t="e">
        <f t="shared" ca="1" si="45"/>
        <v>#REF!</v>
      </c>
      <c r="N234" s="1639" t="e">
        <f t="shared" ca="1" si="45"/>
        <v>#REF!</v>
      </c>
      <c r="O234" s="1639">
        <f t="shared" ca="1" si="45"/>
        <v>0</v>
      </c>
      <c r="Q234" s="1862"/>
      <c r="R234" s="1862"/>
      <c r="S234" s="1862"/>
    </row>
    <row r="235" spans="2:19" s="532" customFormat="1">
      <c r="B235" s="1950"/>
      <c r="C235" s="1950" t="s">
        <v>2193</v>
      </c>
      <c r="D235" s="1950"/>
      <c r="E235" s="1950"/>
      <c r="F235" s="1639"/>
      <c r="G235" s="1639"/>
      <c r="H235" s="1639"/>
      <c r="I235" s="1639"/>
      <c r="J235" s="1639"/>
      <c r="K235" s="1639"/>
      <c r="L235" s="1639" t="e">
        <f ca="1">G234</f>
        <v>#REF!</v>
      </c>
      <c r="M235" s="1639" t="e">
        <f t="shared" ref="M235:O235" ca="1" si="46">H234</f>
        <v>#REF!</v>
      </c>
      <c r="N235" s="1639" t="e">
        <f t="shared" ca="1" si="46"/>
        <v>#REF!</v>
      </c>
      <c r="O235" s="1639" t="e">
        <f t="shared" ca="1" si="46"/>
        <v>#REF!</v>
      </c>
      <c r="Q235" s="1950"/>
      <c r="R235" s="1950"/>
      <c r="S235" s="1950"/>
    </row>
    <row r="236" spans="2:19" s="532" customFormat="1">
      <c r="B236" s="1950"/>
      <c r="C236" s="1950" t="s">
        <v>2192</v>
      </c>
      <c r="D236" s="1950"/>
      <c r="E236" s="1950"/>
      <c r="F236" s="1639"/>
      <c r="G236" s="1639"/>
      <c r="H236" s="1639" t="e">
        <f t="shared" ref="H236:N236" ca="1" si="47">IF(H234-G234+H235&gt;H234,0,H234-G234+H235)</f>
        <v>#REF!</v>
      </c>
      <c r="I236" s="1639" t="e">
        <f t="shared" ca="1" si="47"/>
        <v>#REF!</v>
      </c>
      <c r="J236" s="1639" t="e">
        <f t="shared" ca="1" si="47"/>
        <v>#REF!</v>
      </c>
      <c r="K236" s="1639" t="e">
        <f t="shared" ca="1" si="47"/>
        <v>#REF!</v>
      </c>
      <c r="L236" s="1639" t="e">
        <f t="shared" ca="1" si="47"/>
        <v>#REF!</v>
      </c>
      <c r="M236" s="1639" t="e">
        <f t="shared" ca="1" si="47"/>
        <v>#REF!</v>
      </c>
      <c r="N236" s="1639" t="e">
        <f t="shared" ca="1" si="47"/>
        <v>#REF!</v>
      </c>
      <c r="O236" s="1639" t="e">
        <f ca="1">IF(O234-N234+O235&gt;O234,0,O234-N234+O235)</f>
        <v>#REF!</v>
      </c>
      <c r="Q236" s="1950"/>
      <c r="R236" s="1950"/>
      <c r="S236" s="1950"/>
    </row>
    <row r="237" spans="2:19" s="532" customFormat="1">
      <c r="B237" s="1862"/>
      <c r="C237" s="1862" t="s">
        <v>2065</v>
      </c>
      <c r="D237" s="1862"/>
      <c r="E237" s="1862" t="s">
        <v>1623</v>
      </c>
      <c r="F237" s="1410">
        <f t="shared" ref="F237" si="48">F236/(F$169-E$169)</f>
        <v>0</v>
      </c>
      <c r="G237" s="1410">
        <f t="shared" ref="G237" si="49">G236/(G$169-F$169)</f>
        <v>0</v>
      </c>
      <c r="H237" s="1410" t="e">
        <f ca="1">H236/(H$169-G$169)</f>
        <v>#REF!</v>
      </c>
      <c r="I237" s="1410" t="e">
        <f t="shared" ref="I237:O237" ca="1" si="50">I236/(I$169-H$169)</f>
        <v>#REF!</v>
      </c>
      <c r="J237" s="1410" t="e">
        <f t="shared" ca="1" si="50"/>
        <v>#REF!</v>
      </c>
      <c r="K237" s="1410" t="e">
        <f t="shared" ca="1" si="50"/>
        <v>#REF!</v>
      </c>
      <c r="L237" s="1410" t="e">
        <f t="shared" ca="1" si="50"/>
        <v>#REF!</v>
      </c>
      <c r="M237" s="1410" t="e">
        <f t="shared" ca="1" si="50"/>
        <v>#REF!</v>
      </c>
      <c r="N237" s="1410" t="e">
        <f ca="1">N236/(N$169-M$169)</f>
        <v>#REF!</v>
      </c>
      <c r="O237" s="1410" t="e">
        <f t="shared" ca="1" si="50"/>
        <v>#REF!</v>
      </c>
      <c r="Q237" s="1824"/>
      <c r="R237" s="1824"/>
      <c r="S237" s="1824"/>
    </row>
    <row r="238" spans="2:19" s="532" customFormat="1">
      <c r="B238" s="1862"/>
      <c r="D238" s="1862"/>
      <c r="E238" s="1862"/>
      <c r="F238" s="1410"/>
      <c r="G238" s="1410"/>
      <c r="H238" s="1410"/>
      <c r="I238" s="1410"/>
      <c r="J238" s="1410"/>
      <c r="K238" s="1410"/>
      <c r="L238" s="1410"/>
      <c r="M238" s="1410"/>
      <c r="N238" s="1410"/>
      <c r="O238" s="1410"/>
      <c r="Q238" s="1862"/>
      <c r="R238" s="1862"/>
      <c r="S238" s="1862"/>
    </row>
    <row r="239" spans="2:19" s="532" customFormat="1">
      <c r="B239" s="1824" t="s">
        <v>1992</v>
      </c>
      <c r="C239" s="1824"/>
      <c r="D239" s="1824"/>
      <c r="E239" s="1824"/>
      <c r="F239" s="1639"/>
      <c r="G239" s="1639"/>
      <c r="H239" s="1639"/>
      <c r="I239" s="1639"/>
      <c r="J239" s="1639"/>
      <c r="K239" s="1639"/>
      <c r="L239" s="1639"/>
      <c r="M239" s="1639"/>
      <c r="N239" s="1639"/>
      <c r="O239" s="1639"/>
      <c r="Q239" s="1876" t="s">
        <v>2200</v>
      </c>
      <c r="R239" s="1956"/>
      <c r="S239" s="1824"/>
    </row>
    <row r="240" spans="2:19" s="532" customFormat="1">
      <c r="B240" s="1824"/>
      <c r="C240" s="1824" t="s">
        <v>1985</v>
      </c>
      <c r="D240" s="1824"/>
      <c r="E240" s="1824" t="str">
        <f>Preferences.moneyunits</f>
        <v>£m</v>
      </c>
      <c r="F240" s="1639">
        <f t="shared" ref="F240:O240" si="51">(IF(F221&gt;0,F225*$G$126,0))+(F237*$G$132)</f>
        <v>0</v>
      </c>
      <c r="G240" s="1639" t="e">
        <f t="shared" ca="1" si="51"/>
        <v>#REF!</v>
      </c>
      <c r="H240" s="1639" t="e">
        <f t="shared" ca="1" si="51"/>
        <v>#REF!</v>
      </c>
      <c r="I240" s="1639" t="e">
        <f t="shared" ca="1" si="51"/>
        <v>#REF!</v>
      </c>
      <c r="J240" s="1639" t="e">
        <f t="shared" ca="1" si="51"/>
        <v>#REF!</v>
      </c>
      <c r="K240" s="1639" t="e">
        <f t="shared" ca="1" si="51"/>
        <v>#REF!</v>
      </c>
      <c r="L240" s="1639" t="e">
        <f ca="1">(IF(L221&gt;0,L225*$G$126,0))+(L237*$G$132)</f>
        <v>#REF!</v>
      </c>
      <c r="M240" s="1639" t="e">
        <f t="shared" ca="1" si="51"/>
        <v>#REF!</v>
      </c>
      <c r="N240" s="1639" t="e">
        <f ca="1">(IF(N221&gt;0,N225*$G$126,0))+(N237*$G$132)</f>
        <v>#REF!</v>
      </c>
      <c r="O240" s="1639" t="e">
        <f t="shared" ca="1" si="51"/>
        <v>#REF!</v>
      </c>
      <c r="Q240" s="1639">
        <f ca="1">($O$222*$G$126/40)+($O$229*$G$120/40)+($O$234*$G$132/40)</f>
        <v>0</v>
      </c>
      <c r="R240" s="1956"/>
      <c r="S240" s="1824"/>
    </row>
    <row r="241" spans="1:20" s="532" customFormat="1">
      <c r="B241" s="1824"/>
      <c r="C241" s="1824" t="s">
        <v>1986</v>
      </c>
      <c r="D241" s="1824"/>
      <c r="E241" s="1824" t="str">
        <f>Preferences.moneyunits</f>
        <v>£m</v>
      </c>
      <c r="F241" s="1639" t="e">
        <f t="shared" ref="F241:O241" ca="1" si="52">(F222*$G$127)+(F229*$G$121)+(F234*$G$133)+(F171*$G$114/2)</f>
        <v>#REF!</v>
      </c>
      <c r="G241" s="1639" t="e">
        <f t="shared" ca="1" si="52"/>
        <v>#REF!</v>
      </c>
      <c r="H241" s="1639" t="e">
        <f t="shared" ca="1" si="52"/>
        <v>#REF!</v>
      </c>
      <c r="I241" s="1639" t="e">
        <f t="shared" ca="1" si="52"/>
        <v>#REF!</v>
      </c>
      <c r="J241" s="1639" t="e">
        <f t="shared" ca="1" si="52"/>
        <v>#REF!</v>
      </c>
      <c r="K241" s="1639" t="e">
        <f t="shared" ca="1" si="52"/>
        <v>#REF!</v>
      </c>
      <c r="L241" s="1639" t="e">
        <f t="shared" ca="1" si="52"/>
        <v>#REF!</v>
      </c>
      <c r="M241" s="1639" t="e">
        <f t="shared" ca="1" si="52"/>
        <v>#REF!</v>
      </c>
      <c r="N241" s="1639" t="e">
        <f t="shared" ca="1" si="52"/>
        <v>#REF!</v>
      </c>
      <c r="O241" s="1639">
        <f t="shared" ca="1" si="52"/>
        <v>0</v>
      </c>
      <c r="Q241" s="1624">
        <f ca="1">O241</f>
        <v>0</v>
      </c>
      <c r="R241" s="1956"/>
      <c r="S241" s="1824"/>
    </row>
    <row r="242" spans="1:20" s="532" customFormat="1">
      <c r="B242" s="1824"/>
      <c r="C242" s="1824" t="s">
        <v>1993</v>
      </c>
      <c r="D242" s="1824"/>
      <c r="E242" s="1824" t="str">
        <f>Preferences.moneyunits</f>
        <v>£m</v>
      </c>
      <c r="F242" s="1639" t="e">
        <f ca="1">SUM(F240:F241)</f>
        <v>#REF!</v>
      </c>
      <c r="G242" s="1639" t="e">
        <f t="shared" ref="G242:O242" ca="1" si="53">SUM(G240:G241)</f>
        <v>#REF!</v>
      </c>
      <c r="H242" s="1639" t="e">
        <f t="shared" ca="1" si="53"/>
        <v>#REF!</v>
      </c>
      <c r="I242" s="1639" t="e">
        <f t="shared" ca="1" si="53"/>
        <v>#REF!</v>
      </c>
      <c r="J242" s="1639" t="e">
        <f t="shared" ca="1" si="53"/>
        <v>#REF!</v>
      </c>
      <c r="K242" s="1639" t="e">
        <f t="shared" ca="1" si="53"/>
        <v>#REF!</v>
      </c>
      <c r="L242" s="1639" t="e">
        <f t="shared" ca="1" si="53"/>
        <v>#REF!</v>
      </c>
      <c r="M242" s="1639" t="e">
        <f t="shared" ca="1" si="53"/>
        <v>#REF!</v>
      </c>
      <c r="N242" s="1639" t="e">
        <f t="shared" ca="1" si="53"/>
        <v>#REF!</v>
      </c>
      <c r="O242" s="1639" t="e">
        <f t="shared" ca="1" si="53"/>
        <v>#REF!</v>
      </c>
      <c r="Q242" s="1624">
        <f ca="1">SUM(Q240:Q241)</f>
        <v>0</v>
      </c>
      <c r="R242" s="1956"/>
      <c r="S242" s="1824"/>
    </row>
    <row r="243" spans="1:20" s="532" customFormat="1">
      <c r="B243" s="1824"/>
      <c r="C243" s="1824"/>
      <c r="D243" s="1824"/>
      <c r="E243" s="1824"/>
      <c r="F243" s="1639"/>
      <c r="G243" s="1639"/>
      <c r="H243" s="1639"/>
      <c r="I243" s="1639"/>
      <c r="J243" s="1639"/>
      <c r="K243" s="1639"/>
      <c r="L243" s="1639"/>
      <c r="M243" s="1639"/>
      <c r="N243" s="1639"/>
      <c r="O243" s="1639"/>
      <c r="Q243" s="1131">
        <f ca="1">Q242/'Global cost assumptions'!$P$5</f>
        <v>0</v>
      </c>
      <c r="R243" s="1131">
        <f ca="1">Q243*'Global cost assumptions'!$P$6</f>
        <v>0</v>
      </c>
      <c r="S243" s="1824" t="e">
        <f ca="1">R243/SUM(O216:O218)</f>
        <v>#DIV/0!</v>
      </c>
    </row>
    <row r="244" spans="1:20" s="532" customFormat="1">
      <c r="B244" s="1824" t="s">
        <v>1994</v>
      </c>
      <c r="C244" s="1824"/>
      <c r="D244" s="1824"/>
      <c r="E244" s="1824"/>
      <c r="F244" s="1639"/>
      <c r="G244" s="1639"/>
      <c r="H244" s="1639"/>
      <c r="I244" s="1639"/>
      <c r="J244" s="1639"/>
      <c r="K244" s="1639"/>
      <c r="L244" s="1639"/>
      <c r="M244" s="1639"/>
      <c r="N244" s="1639"/>
      <c r="O244" s="1639"/>
      <c r="S244" s="1824"/>
    </row>
    <row r="245" spans="1:20" s="532" customFormat="1">
      <c r="B245" s="1824"/>
      <c r="C245" s="1824" t="s">
        <v>1985</v>
      </c>
      <c r="D245" s="1824"/>
      <c r="E245" s="1824" t="str">
        <f>Preferences.moneyunits</f>
        <v>£m</v>
      </c>
      <c r="F245" s="1639">
        <f t="shared" ref="F245:O245" si="54">(IF(F221&gt;0,F225*$F$126,0))+(F237*$F$132)</f>
        <v>0</v>
      </c>
      <c r="G245" s="1639" t="e">
        <f t="shared" ca="1" si="54"/>
        <v>#REF!</v>
      </c>
      <c r="H245" s="1639" t="e">
        <f t="shared" ca="1" si="54"/>
        <v>#REF!</v>
      </c>
      <c r="I245" s="1639" t="e">
        <f t="shared" ca="1" si="54"/>
        <v>#REF!</v>
      </c>
      <c r="J245" s="1639" t="e">
        <f t="shared" ca="1" si="54"/>
        <v>#REF!</v>
      </c>
      <c r="K245" s="1639" t="e">
        <f t="shared" ca="1" si="54"/>
        <v>#REF!</v>
      </c>
      <c r="L245" s="1639" t="e">
        <f t="shared" ca="1" si="54"/>
        <v>#REF!</v>
      </c>
      <c r="M245" s="1639" t="e">
        <f t="shared" ca="1" si="54"/>
        <v>#REF!</v>
      </c>
      <c r="N245" s="1639" t="e">
        <f t="shared" ca="1" si="54"/>
        <v>#REF!</v>
      </c>
      <c r="O245" s="1639" t="e">
        <f t="shared" ca="1" si="54"/>
        <v>#REF!</v>
      </c>
      <c r="Q245" s="1639">
        <f ca="1">($O$222*$F$126/40)+($O$229*$F$120/40)+($O$234*$F$132/40)</f>
        <v>0</v>
      </c>
      <c r="R245" s="1956"/>
      <c r="S245" s="1824"/>
    </row>
    <row r="246" spans="1:20" s="532" customFormat="1">
      <c r="B246" s="1824"/>
      <c r="C246" s="1824" t="s">
        <v>1986</v>
      </c>
      <c r="D246" s="1824"/>
      <c r="E246" s="1824" t="str">
        <f>Preferences.moneyunits</f>
        <v>£m</v>
      </c>
      <c r="F246" s="1639" t="e">
        <f t="shared" ref="F246:O246" ca="1" si="55">(F222*$F$127)+(F229*$F$121)+(F234*$F$133)+(F171*$F$114/2)</f>
        <v>#REF!</v>
      </c>
      <c r="G246" s="1639" t="e">
        <f t="shared" ca="1" si="55"/>
        <v>#REF!</v>
      </c>
      <c r="H246" s="1639" t="e">
        <f t="shared" ca="1" si="55"/>
        <v>#REF!</v>
      </c>
      <c r="I246" s="1639" t="e">
        <f t="shared" ca="1" si="55"/>
        <v>#REF!</v>
      </c>
      <c r="J246" s="1639" t="e">
        <f t="shared" ca="1" si="55"/>
        <v>#REF!</v>
      </c>
      <c r="K246" s="1639" t="e">
        <f t="shared" ca="1" si="55"/>
        <v>#REF!</v>
      </c>
      <c r="L246" s="1639" t="e">
        <f t="shared" ca="1" si="55"/>
        <v>#REF!</v>
      </c>
      <c r="M246" s="1639" t="e">
        <f t="shared" ca="1" si="55"/>
        <v>#REF!</v>
      </c>
      <c r="N246" s="1639" t="e">
        <f t="shared" ca="1" si="55"/>
        <v>#REF!</v>
      </c>
      <c r="O246" s="1639">
        <f t="shared" ca="1" si="55"/>
        <v>0</v>
      </c>
      <c r="Q246" s="1624">
        <f ca="1">O246</f>
        <v>0</v>
      </c>
      <c r="R246" s="1956"/>
      <c r="S246" s="1824"/>
    </row>
    <row r="247" spans="1:20" s="532" customFormat="1">
      <c r="B247" s="1824"/>
      <c r="C247" s="1824" t="s">
        <v>1993</v>
      </c>
      <c r="D247" s="1824"/>
      <c r="E247" s="1824" t="str">
        <f>Preferences.moneyunits</f>
        <v>£m</v>
      </c>
      <c r="F247" s="1639" t="e">
        <f ca="1">SUM(F245:F246)</f>
        <v>#REF!</v>
      </c>
      <c r="G247" s="1639" t="e">
        <f t="shared" ref="G247:O247" ca="1" si="56">SUM(G245:G246)</f>
        <v>#REF!</v>
      </c>
      <c r="H247" s="1639" t="e">
        <f t="shared" ca="1" si="56"/>
        <v>#REF!</v>
      </c>
      <c r="I247" s="1639" t="e">
        <f t="shared" ca="1" si="56"/>
        <v>#REF!</v>
      </c>
      <c r="J247" s="1639" t="e">
        <f t="shared" ca="1" si="56"/>
        <v>#REF!</v>
      </c>
      <c r="K247" s="1639" t="e">
        <f t="shared" ca="1" si="56"/>
        <v>#REF!</v>
      </c>
      <c r="L247" s="1639" t="e">
        <f t="shared" ca="1" si="56"/>
        <v>#REF!</v>
      </c>
      <c r="M247" s="1639" t="e">
        <f t="shared" ca="1" si="56"/>
        <v>#REF!</v>
      </c>
      <c r="N247" s="1639" t="e">
        <f t="shared" ca="1" si="56"/>
        <v>#REF!</v>
      </c>
      <c r="O247" s="1639" t="e">
        <f t="shared" ca="1" si="56"/>
        <v>#REF!</v>
      </c>
      <c r="Q247" s="1624">
        <f ca="1">SUM(Q245:Q246)</f>
        <v>0</v>
      </c>
      <c r="R247" s="1956"/>
      <c r="S247" s="1824"/>
    </row>
    <row r="248" spans="1:20" s="532" customFormat="1">
      <c r="C248" s="628"/>
      <c r="D248" s="628"/>
      <c r="E248" s="628"/>
      <c r="F248" s="1348"/>
      <c r="G248" s="1348"/>
      <c r="H248" s="1348"/>
      <c r="I248" s="1348"/>
      <c r="J248" s="1348"/>
      <c r="K248" s="1348"/>
      <c r="L248" s="1348"/>
      <c r="M248" s="1348"/>
      <c r="N248" s="1348"/>
      <c r="O248" s="1348"/>
      <c r="Q248" s="1131">
        <f ca="1">Q247/'Global cost assumptions'!$P$5</f>
        <v>0</v>
      </c>
      <c r="R248" s="1131">
        <f ca="1">Q248*'Global cost assumptions'!$P$6</f>
        <v>0</v>
      </c>
      <c r="S248" s="1824"/>
    </row>
    <row r="249" spans="1:20">
      <c r="T249" s="532"/>
    </row>
    <row r="250" spans="1:20" ht="22">
      <c r="A250" s="851"/>
      <c r="B250" s="899" t="s">
        <v>572</v>
      </c>
      <c r="C250" s="863"/>
      <c r="D250" s="863"/>
      <c r="E250" s="863"/>
      <c r="F250" s="863"/>
      <c r="G250" s="863"/>
      <c r="H250" s="863"/>
      <c r="I250" s="863"/>
      <c r="J250" s="863"/>
      <c r="K250" s="863"/>
      <c r="L250" s="863"/>
      <c r="M250" s="863"/>
      <c r="N250" s="863"/>
      <c r="O250" s="863"/>
      <c r="P250" s="865"/>
      <c r="T250" s="532"/>
    </row>
    <row r="251" spans="1:20" ht="6" customHeight="1">
      <c r="B251" s="852"/>
      <c r="C251" s="854"/>
      <c r="D251" s="854"/>
      <c r="E251" s="854"/>
      <c r="F251" s="854"/>
      <c r="G251" s="854"/>
      <c r="H251" s="854"/>
      <c r="I251" s="854"/>
      <c r="J251" s="854"/>
      <c r="K251" s="854"/>
      <c r="L251" s="854"/>
      <c r="M251" s="854"/>
      <c r="N251" s="854"/>
      <c r="O251" s="854"/>
      <c r="P251" s="856"/>
      <c r="T251" s="532"/>
    </row>
    <row r="252" spans="1:20">
      <c r="B252" s="852"/>
      <c r="C252" s="866" t="s">
        <v>613</v>
      </c>
      <c r="D252" s="854"/>
      <c r="E252" s="855" t="str">
        <f>Preferences.EnergyUnits</f>
        <v>TWh</v>
      </c>
      <c r="F252" s="854"/>
      <c r="G252" s="855"/>
      <c r="H252" s="854"/>
      <c r="I252" s="854"/>
      <c r="J252" s="854"/>
      <c r="K252" s="854"/>
      <c r="L252" s="854"/>
      <c r="M252" s="854"/>
      <c r="N252" s="854"/>
      <c r="O252" s="854"/>
      <c r="P252" s="856"/>
      <c r="T252" s="628"/>
    </row>
    <row r="253" spans="1:20" ht="15" customHeight="1">
      <c r="B253" s="852"/>
      <c r="C253" s="854"/>
      <c r="D253" s="854"/>
      <c r="E253" s="854"/>
      <c r="F253" s="854"/>
      <c r="G253" s="854"/>
      <c r="H253" s="854"/>
      <c r="I253" s="854"/>
      <c r="J253" s="854"/>
      <c r="K253" s="854"/>
      <c r="L253" s="854"/>
      <c r="M253" s="854"/>
      <c r="N253" s="854"/>
      <c r="O253" s="854"/>
      <c r="P253" s="856"/>
      <c r="T253" s="532"/>
    </row>
    <row r="254" spans="1:20" ht="15" customHeight="1">
      <c r="A254" s="3"/>
      <c r="B254" s="857"/>
      <c r="C254" s="868" t="s">
        <v>72</v>
      </c>
      <c r="D254" s="868" t="s">
        <v>399</v>
      </c>
      <c r="E254" s="868" t="s">
        <v>421</v>
      </c>
      <c r="F254" s="868" t="s">
        <v>576</v>
      </c>
      <c r="G254" s="868" t="s">
        <v>577</v>
      </c>
      <c r="H254" s="868" t="s">
        <v>604</v>
      </c>
      <c r="I254" s="868" t="s">
        <v>605</v>
      </c>
      <c r="J254" s="868" t="s">
        <v>606</v>
      </c>
      <c r="K254" s="868" t="s">
        <v>607</v>
      </c>
      <c r="L254" s="868" t="s">
        <v>608</v>
      </c>
      <c r="M254" s="868" t="s">
        <v>609</v>
      </c>
      <c r="N254" s="868" t="s">
        <v>610</v>
      </c>
      <c r="O254" s="868" t="s">
        <v>611</v>
      </c>
      <c r="P254" s="920"/>
      <c r="T254" s="532"/>
    </row>
    <row r="255" spans="1:20" ht="15" customHeight="1">
      <c r="A255" s="3"/>
      <c r="B255" s="921"/>
      <c r="C255" s="651" t="s">
        <v>41</v>
      </c>
      <c r="D255" s="651" t="str">
        <f>INDEX(Vectors[Description], MATCH(I.a.Outputs[Vector], Vectors[Code], 0))</f>
        <v>Electricity (supplied to grid)</v>
      </c>
      <c r="E255" s="651"/>
      <c r="F255" s="652" t="e">
        <f ca="1">F$174+F$193+F$203</f>
        <v>#REF!</v>
      </c>
      <c r="G255" s="652" t="e">
        <f t="shared" ref="G255:O255" ca="1" si="57">G$174+G$193+G$203</f>
        <v>#REF!</v>
      </c>
      <c r="H255" s="652" t="e">
        <f t="shared" ca="1" si="57"/>
        <v>#REF!</v>
      </c>
      <c r="I255" s="652" t="e">
        <f t="shared" ca="1" si="57"/>
        <v>#REF!</v>
      </c>
      <c r="J255" s="652" t="e">
        <f t="shared" ca="1" si="57"/>
        <v>#REF!</v>
      </c>
      <c r="K255" s="652" t="e">
        <f t="shared" ca="1" si="57"/>
        <v>#REF!</v>
      </c>
      <c r="L255" s="652" t="e">
        <f t="shared" ca="1" si="57"/>
        <v>#REF!</v>
      </c>
      <c r="M255" s="652" t="e">
        <f t="shared" ca="1" si="57"/>
        <v>#REF!</v>
      </c>
      <c r="N255" s="652" t="e">
        <f t="shared" ca="1" si="57"/>
        <v>#REF!</v>
      </c>
      <c r="O255" s="652">
        <f t="shared" ca="1" si="57"/>
        <v>0</v>
      </c>
      <c r="P255" s="922"/>
      <c r="T255" s="532"/>
    </row>
    <row r="256" spans="1:20" ht="15" customHeight="1">
      <c r="A256" s="3"/>
      <c r="B256" s="921"/>
      <c r="C256" s="651" t="s">
        <v>42</v>
      </c>
      <c r="D256" s="651" t="str">
        <f>INDEX(Vectors[Description], MATCH(I.a.Outputs[Vector], Vectors[Code], 0))</f>
        <v>Solid hydrocarbons</v>
      </c>
      <c r="E256" s="651"/>
      <c r="F256" s="652" t="e">
        <f ca="1">-F$197</f>
        <v>#REF!</v>
      </c>
      <c r="G256" s="652" t="e">
        <f t="shared" ref="G256:O256" ca="1" si="58">-G$197</f>
        <v>#REF!</v>
      </c>
      <c r="H256" s="652" t="e">
        <f t="shared" ca="1" si="58"/>
        <v>#REF!</v>
      </c>
      <c r="I256" s="652" t="e">
        <f t="shared" ca="1" si="58"/>
        <v>#REF!</v>
      </c>
      <c r="J256" s="652" t="e">
        <f t="shared" ca="1" si="58"/>
        <v>#REF!</v>
      </c>
      <c r="K256" s="652" t="e">
        <f t="shared" ca="1" si="58"/>
        <v>#REF!</v>
      </c>
      <c r="L256" s="652" t="e">
        <f t="shared" ca="1" si="58"/>
        <v>#REF!</v>
      </c>
      <c r="M256" s="652" t="e">
        <f t="shared" ca="1" si="58"/>
        <v>#REF!</v>
      </c>
      <c r="N256" s="652" t="e">
        <f t="shared" ca="1" si="58"/>
        <v>#REF!</v>
      </c>
      <c r="O256" s="652">
        <f t="shared" ca="1" si="58"/>
        <v>0</v>
      </c>
      <c r="P256" s="922"/>
      <c r="T256" s="532"/>
    </row>
    <row r="257" spans="1:22" ht="15" customHeight="1">
      <c r="A257" s="3"/>
      <c r="B257" s="921"/>
      <c r="C257" s="651" t="s">
        <v>44</v>
      </c>
      <c r="D257" s="651" t="str">
        <f>INDEX(Vectors[Description], MATCH(I.a.Outputs[Vector], Vectors[Code], 0))</f>
        <v>Liquid hydrocarbons</v>
      </c>
      <c r="E257" s="651"/>
      <c r="F257" s="652" t="e">
        <f>-F$178</f>
        <v>#REF!</v>
      </c>
      <c r="G257" s="652">
        <f t="shared" ref="G257:O257" si="59">-G$178</f>
        <v>-8.5348581120000002</v>
      </c>
      <c r="H257" s="652">
        <f t="shared" si="59"/>
        <v>0</v>
      </c>
      <c r="I257" s="652">
        <f t="shared" si="59"/>
        <v>0</v>
      </c>
      <c r="J257" s="652">
        <f t="shared" si="59"/>
        <v>0</v>
      </c>
      <c r="K257" s="652">
        <f t="shared" si="59"/>
        <v>0</v>
      </c>
      <c r="L257" s="652">
        <f t="shared" si="59"/>
        <v>0</v>
      </c>
      <c r="M257" s="652">
        <f t="shared" si="59"/>
        <v>0</v>
      </c>
      <c r="N257" s="652">
        <f t="shared" si="59"/>
        <v>0</v>
      </c>
      <c r="O257" s="652">
        <f t="shared" si="59"/>
        <v>0</v>
      </c>
      <c r="P257" s="922"/>
      <c r="T257" s="532"/>
    </row>
    <row r="258" spans="1:22" ht="15" customHeight="1">
      <c r="A258" s="3"/>
      <c r="B258" s="921"/>
      <c r="C258" s="651" t="s">
        <v>45</v>
      </c>
      <c r="D258" s="651" t="str">
        <f>INDEX(Vectors[Description], MATCH(I.a.Outputs[Vector], Vectors[Code], 0))</f>
        <v>Gaseous hydrocarbons</v>
      </c>
      <c r="E258" s="651"/>
      <c r="F258" s="652" t="e">
        <f ca="1">-F$207</f>
        <v>#REF!</v>
      </c>
      <c r="G258" s="652" t="e">
        <f t="shared" ref="G258:O258" ca="1" si="60">-G$207</f>
        <v>#REF!</v>
      </c>
      <c r="H258" s="652" t="e">
        <f t="shared" ca="1" si="60"/>
        <v>#REF!</v>
      </c>
      <c r="I258" s="652" t="e">
        <f t="shared" ca="1" si="60"/>
        <v>#REF!</v>
      </c>
      <c r="J258" s="652" t="e">
        <f t="shared" ca="1" si="60"/>
        <v>#REF!</v>
      </c>
      <c r="K258" s="652" t="e">
        <f t="shared" ca="1" si="60"/>
        <v>#REF!</v>
      </c>
      <c r="L258" s="652" t="e">
        <f t="shared" ca="1" si="60"/>
        <v>#REF!</v>
      </c>
      <c r="M258" s="652" t="e">
        <f t="shared" ca="1" si="60"/>
        <v>#REF!</v>
      </c>
      <c r="N258" s="652" t="e">
        <f t="shared" ca="1" si="60"/>
        <v>#REF!</v>
      </c>
      <c r="O258" s="652">
        <f t="shared" ca="1" si="60"/>
        <v>0</v>
      </c>
      <c r="P258" s="922"/>
      <c r="T258" s="532"/>
    </row>
    <row r="259" spans="1:22" ht="15" customHeight="1">
      <c r="A259" s="3"/>
      <c r="B259" s="921"/>
      <c r="C259" s="651" t="s">
        <v>31</v>
      </c>
      <c r="D259" s="651" t="str">
        <f>INDEX(Vectors[Description], MATCH(I.a.Outputs[Vector], Vectors[Code], 0))</f>
        <v>Conversion losses</v>
      </c>
      <c r="E259" s="651"/>
      <c r="F259" s="652" t="e">
        <f ca="1">(F$197+F$207)-(F$195+F$205)+(F$178-F$176)</f>
        <v>#REF!</v>
      </c>
      <c r="G259" s="652" t="e">
        <f t="shared" ref="G259:O259" ca="1" si="61">(G$197+G$207)-(G$195+G$205)+(G$178-G$176)</f>
        <v>#REF!</v>
      </c>
      <c r="H259" s="652" t="e">
        <f t="shared" ca="1" si="61"/>
        <v>#REF!</v>
      </c>
      <c r="I259" s="652" t="e">
        <f t="shared" ca="1" si="61"/>
        <v>#REF!</v>
      </c>
      <c r="J259" s="652" t="e">
        <f t="shared" ca="1" si="61"/>
        <v>#REF!</v>
      </c>
      <c r="K259" s="652" t="e">
        <f t="shared" ca="1" si="61"/>
        <v>#REF!</v>
      </c>
      <c r="L259" s="652" t="e">
        <f t="shared" ca="1" si="61"/>
        <v>#REF!</v>
      </c>
      <c r="M259" s="652" t="e">
        <f t="shared" ca="1" si="61"/>
        <v>#REF!</v>
      </c>
      <c r="N259" s="652" t="e">
        <f t="shared" ca="1" si="61"/>
        <v>#REF!</v>
      </c>
      <c r="O259" s="652">
        <f t="shared" ca="1" si="61"/>
        <v>0</v>
      </c>
      <c r="P259" s="922"/>
      <c r="T259" s="532"/>
    </row>
    <row r="260" spans="1:22" ht="15" customHeight="1">
      <c r="A260" s="3"/>
      <c r="B260" s="921"/>
      <c r="C260" s="651" t="s">
        <v>32</v>
      </c>
      <c r="D260" s="651" t="str">
        <f>INDEX(Vectors[Description], MATCH(I.a.Outputs[Vector], Vectors[Code], 0))</f>
        <v>Distribution losses and own use</v>
      </c>
      <c r="E260" s="651"/>
      <c r="F260" s="652" t="e">
        <f ca="1">F$175+F$194+F$204</f>
        <v>#REF!</v>
      </c>
      <c r="G260" s="652" t="e">
        <f t="shared" ref="G260:O260" ca="1" si="62">G$175+G$194+G$204</f>
        <v>#REF!</v>
      </c>
      <c r="H260" s="652" t="e">
        <f t="shared" ca="1" si="62"/>
        <v>#REF!</v>
      </c>
      <c r="I260" s="652" t="e">
        <f t="shared" ca="1" si="62"/>
        <v>#REF!</v>
      </c>
      <c r="J260" s="652" t="e">
        <f t="shared" ca="1" si="62"/>
        <v>#REF!</v>
      </c>
      <c r="K260" s="652" t="e">
        <f t="shared" ca="1" si="62"/>
        <v>#REF!</v>
      </c>
      <c r="L260" s="652" t="e">
        <f t="shared" ca="1" si="62"/>
        <v>#REF!</v>
      </c>
      <c r="M260" s="652" t="e">
        <f t="shared" ca="1" si="62"/>
        <v>#REF!</v>
      </c>
      <c r="N260" s="652" t="e">
        <f t="shared" ca="1" si="62"/>
        <v>#REF!</v>
      </c>
      <c r="O260" s="652">
        <f t="shared" ca="1" si="62"/>
        <v>0</v>
      </c>
      <c r="P260" s="922"/>
      <c r="T260" s="532"/>
    </row>
    <row r="261" spans="1:22" ht="15">
      <c r="A261" s="3"/>
      <c r="B261" s="921"/>
      <c r="C261" s="546" t="s">
        <v>132</v>
      </c>
      <c r="D261" s="546"/>
      <c r="E261" s="546"/>
      <c r="F261" s="652" t="e">
        <f ca="1">SUBTOTAL(109,I.a.Outputs[2007])</f>
        <v>#REF!</v>
      </c>
      <c r="G261" s="652" t="e">
        <f ca="1">SUBTOTAL(109,I.a.Outputs[2010])</f>
        <v>#REF!</v>
      </c>
      <c r="H261" s="652" t="e">
        <f ca="1">SUBTOTAL(109,I.a.Outputs[2015])</f>
        <v>#REF!</v>
      </c>
      <c r="I261" s="652" t="e">
        <f ca="1">SUBTOTAL(109,I.a.Outputs[2020])</f>
        <v>#REF!</v>
      </c>
      <c r="J261" s="652" t="e">
        <f ca="1">SUBTOTAL(109,I.a.Outputs[2025])</f>
        <v>#REF!</v>
      </c>
      <c r="K261" s="652" t="e">
        <f ca="1">SUBTOTAL(109,I.a.Outputs[2030])</f>
        <v>#REF!</v>
      </c>
      <c r="L261" s="652" t="e">
        <f ca="1">SUBTOTAL(109,I.a.Outputs[2035])</f>
        <v>#REF!</v>
      </c>
      <c r="M261" s="652" t="e">
        <f ca="1">SUBTOTAL(109,I.a.Outputs[2040])</f>
        <v>#REF!</v>
      </c>
      <c r="N261" s="652" t="e">
        <f ca="1">SUBTOTAL(109,I.a.Outputs[2045])</f>
        <v>#REF!</v>
      </c>
      <c r="O261" s="652">
        <f ca="1">SUBTOTAL(109,I.a.Outputs[2050])</f>
        <v>0</v>
      </c>
      <c r="P261" s="922"/>
      <c r="T261" s="586"/>
    </row>
    <row r="262" spans="1:22" ht="15">
      <c r="A262" s="3"/>
      <c r="B262" s="923"/>
      <c r="C262" s="860"/>
      <c r="D262" s="860"/>
      <c r="E262" s="860"/>
      <c r="F262" s="860"/>
      <c r="G262" s="860"/>
      <c r="H262" s="860"/>
      <c r="I262" s="860"/>
      <c r="J262" s="860"/>
      <c r="K262" s="860"/>
      <c r="L262" s="860"/>
      <c r="M262" s="860"/>
      <c r="N262" s="860"/>
      <c r="O262" s="860"/>
      <c r="P262" s="924">
        <v>0</v>
      </c>
      <c r="T262" s="532"/>
    </row>
    <row r="263" spans="1:22">
      <c r="T263" s="586"/>
    </row>
    <row r="264" spans="1:22" ht="22">
      <c r="A264" s="851"/>
      <c r="B264" s="907" t="s">
        <v>690</v>
      </c>
      <c r="C264" s="872"/>
      <c r="D264" s="873"/>
      <c r="E264" s="873"/>
      <c r="F264" s="873"/>
      <c r="G264" s="873"/>
      <c r="H264" s="873"/>
      <c r="I264" s="873"/>
      <c r="J264" s="873"/>
      <c r="K264" s="873"/>
      <c r="L264" s="873"/>
      <c r="M264" s="873"/>
      <c r="N264" s="873"/>
      <c r="O264" s="873"/>
      <c r="P264" s="874"/>
      <c r="T264" s="532"/>
    </row>
    <row r="265" spans="1:22" ht="5.25" customHeight="1">
      <c r="B265" s="880"/>
      <c r="C265" s="881"/>
      <c r="D265" s="881"/>
      <c r="E265" s="881"/>
      <c r="F265" s="881"/>
      <c r="G265" s="881"/>
      <c r="H265" s="881"/>
      <c r="I265" s="881"/>
      <c r="J265" s="881"/>
      <c r="K265" s="881"/>
      <c r="L265" s="881"/>
      <c r="M265" s="881"/>
      <c r="N265" s="881"/>
      <c r="O265" s="881"/>
      <c r="P265" s="882"/>
      <c r="T265" s="532"/>
    </row>
    <row r="266" spans="1:22" ht="17">
      <c r="B266" s="883"/>
      <c r="C266" s="875" t="s">
        <v>829</v>
      </c>
      <c r="D266" s="876"/>
      <c r="E266" s="877"/>
      <c r="F266" s="876"/>
      <c r="G266" s="877"/>
      <c r="H266" s="876"/>
      <c r="I266" s="876"/>
      <c r="J266" s="876"/>
      <c r="K266" s="876"/>
      <c r="L266" s="876"/>
      <c r="M266" s="876"/>
      <c r="N266" s="876"/>
      <c r="O266" s="877" t="s">
        <v>832</v>
      </c>
      <c r="P266" s="884"/>
      <c r="T266" s="532"/>
    </row>
    <row r="267" spans="1:22">
      <c r="B267" s="883"/>
      <c r="C267" s="876"/>
      <c r="D267" s="876"/>
      <c r="E267" s="876"/>
      <c r="F267" s="876"/>
      <c r="G267" s="876"/>
      <c r="H267" s="876"/>
      <c r="I267" s="876"/>
      <c r="J267" s="876"/>
      <c r="K267" s="876"/>
      <c r="L267" s="876"/>
      <c r="M267" s="876"/>
      <c r="N267" s="876"/>
      <c r="O267" s="876"/>
      <c r="P267" s="884"/>
      <c r="T267" s="532"/>
    </row>
    <row r="268" spans="1:22" ht="15">
      <c r="B268" s="885"/>
      <c r="C268" s="916" t="s">
        <v>828</v>
      </c>
      <c r="D268" s="916" t="s">
        <v>798</v>
      </c>
      <c r="E268" s="916" t="s">
        <v>421</v>
      </c>
      <c r="F268" s="916" t="s">
        <v>576</v>
      </c>
      <c r="G268" s="916" t="s">
        <v>577</v>
      </c>
      <c r="H268" s="916" t="s">
        <v>604</v>
      </c>
      <c r="I268" s="916" t="s">
        <v>605</v>
      </c>
      <c r="J268" s="916" t="s">
        <v>606</v>
      </c>
      <c r="K268" s="916" t="s">
        <v>607</v>
      </c>
      <c r="L268" s="916" t="s">
        <v>608</v>
      </c>
      <c r="M268" s="916" t="s">
        <v>609</v>
      </c>
      <c r="N268" s="916" t="s">
        <v>610</v>
      </c>
      <c r="O268" s="916" t="s">
        <v>611</v>
      </c>
      <c r="P268" s="884"/>
      <c r="T268" s="532"/>
    </row>
    <row r="269" spans="1:22" ht="15">
      <c r="B269" s="885"/>
      <c r="C269" s="879" t="s">
        <v>811</v>
      </c>
      <c r="D269" s="888" t="s">
        <v>821</v>
      </c>
      <c r="E269" s="879"/>
      <c r="F269" s="915" t="e">
        <f ca="1">F$210</f>
        <v>#REF!</v>
      </c>
      <c r="G269" s="915" t="e">
        <f t="shared" ref="G269:O269" ca="1" si="63">G$210</f>
        <v>#REF!</v>
      </c>
      <c r="H269" s="915" t="e">
        <f t="shared" ca="1" si="63"/>
        <v>#REF!</v>
      </c>
      <c r="I269" s="915" t="e">
        <f t="shared" ca="1" si="63"/>
        <v>#REF!</v>
      </c>
      <c r="J269" s="915" t="e">
        <f t="shared" ca="1" si="63"/>
        <v>#REF!</v>
      </c>
      <c r="K269" s="915" t="e">
        <f t="shared" ca="1" si="63"/>
        <v>#REF!</v>
      </c>
      <c r="L269" s="915" t="e">
        <f t="shared" ca="1" si="63"/>
        <v>#REF!</v>
      </c>
      <c r="M269" s="915" t="e">
        <f t="shared" ca="1" si="63"/>
        <v>#REF!</v>
      </c>
      <c r="N269" s="915" t="e">
        <f t="shared" ca="1" si="63"/>
        <v>#REF!</v>
      </c>
      <c r="O269" s="915">
        <f t="shared" ca="1" si="63"/>
        <v>0</v>
      </c>
      <c r="P269" s="884"/>
      <c r="T269" s="532"/>
    </row>
    <row r="270" spans="1:22" ht="15">
      <c r="B270" s="885"/>
      <c r="C270" s="879" t="s">
        <v>812</v>
      </c>
      <c r="D270" s="888" t="s">
        <v>821</v>
      </c>
      <c r="E270" s="879"/>
      <c r="F270" s="915" t="e">
        <f ca="1">F$211</f>
        <v>#REF!</v>
      </c>
      <c r="G270" s="915" t="e">
        <f t="shared" ref="G270:O270" ca="1" si="64">G$211</f>
        <v>#REF!</v>
      </c>
      <c r="H270" s="915" t="e">
        <f t="shared" ca="1" si="64"/>
        <v>#REF!</v>
      </c>
      <c r="I270" s="915" t="e">
        <f t="shared" ca="1" si="64"/>
        <v>#REF!</v>
      </c>
      <c r="J270" s="915" t="e">
        <f t="shared" ca="1" si="64"/>
        <v>#REF!</v>
      </c>
      <c r="K270" s="915" t="e">
        <f t="shared" ca="1" si="64"/>
        <v>#REF!</v>
      </c>
      <c r="L270" s="915" t="e">
        <f t="shared" ca="1" si="64"/>
        <v>#REF!</v>
      </c>
      <c r="M270" s="915" t="e">
        <f t="shared" ca="1" si="64"/>
        <v>#REF!</v>
      </c>
      <c r="N270" s="915" t="e">
        <f t="shared" ca="1" si="64"/>
        <v>#REF!</v>
      </c>
      <c r="O270" s="915">
        <f t="shared" ca="1" si="64"/>
        <v>0</v>
      </c>
      <c r="P270" s="884"/>
      <c r="T270" s="532"/>
    </row>
    <row r="271" spans="1:22" ht="15">
      <c r="B271" s="885"/>
      <c r="C271" s="879" t="s">
        <v>813</v>
      </c>
      <c r="D271" s="888" t="s">
        <v>821</v>
      </c>
      <c r="E271" s="879"/>
      <c r="F271" s="915" t="e">
        <f ca="1">F$212</f>
        <v>#REF!</v>
      </c>
      <c r="G271" s="915" t="e">
        <f t="shared" ref="G271:O271" ca="1" si="65">G$212</f>
        <v>#REF!</v>
      </c>
      <c r="H271" s="915" t="e">
        <f t="shared" ca="1" si="65"/>
        <v>#REF!</v>
      </c>
      <c r="I271" s="915" t="e">
        <f t="shared" ca="1" si="65"/>
        <v>#REF!</v>
      </c>
      <c r="J271" s="915" t="e">
        <f t="shared" ca="1" si="65"/>
        <v>#REF!</v>
      </c>
      <c r="K271" s="915" t="e">
        <f t="shared" ca="1" si="65"/>
        <v>#REF!</v>
      </c>
      <c r="L271" s="915" t="e">
        <f t="shared" ca="1" si="65"/>
        <v>#REF!</v>
      </c>
      <c r="M271" s="915" t="e">
        <f t="shared" ca="1" si="65"/>
        <v>#REF!</v>
      </c>
      <c r="N271" s="915" t="e">
        <f t="shared" ca="1" si="65"/>
        <v>#REF!</v>
      </c>
      <c r="O271" s="915">
        <f t="shared" ca="1" si="65"/>
        <v>0</v>
      </c>
      <c r="P271" s="884"/>
      <c r="S271" s="1601"/>
      <c r="T271" s="1608"/>
      <c r="U271" s="1601"/>
      <c r="V271" s="1601"/>
    </row>
    <row r="272" spans="1:22" ht="15">
      <c r="B272" s="885"/>
      <c r="C272" s="879" t="s">
        <v>132</v>
      </c>
      <c r="D272" s="879"/>
      <c r="E272" s="879"/>
      <c r="F272" s="925" t="e">
        <f ca="1">SUBTOTAL(109,I.a.Emissions[2007])</f>
        <v>#REF!</v>
      </c>
      <c r="G272" s="925" t="e">
        <f ca="1">SUBTOTAL(109,I.a.Emissions[2010])</f>
        <v>#REF!</v>
      </c>
      <c r="H272" s="925" t="e">
        <f ca="1">SUBTOTAL(109,I.a.Emissions[2015])</f>
        <v>#REF!</v>
      </c>
      <c r="I272" s="925" t="e">
        <f ca="1">SUBTOTAL(109,I.a.Emissions[2020])</f>
        <v>#REF!</v>
      </c>
      <c r="J272" s="925" t="e">
        <f ca="1">SUBTOTAL(109,I.a.Emissions[2025])</f>
        <v>#REF!</v>
      </c>
      <c r="K272" s="925" t="e">
        <f ca="1">SUBTOTAL(109,I.a.Emissions[2030])</f>
        <v>#REF!</v>
      </c>
      <c r="L272" s="925" t="e">
        <f ca="1">SUBTOTAL(109,I.a.Emissions[2035])</f>
        <v>#REF!</v>
      </c>
      <c r="M272" s="925" t="e">
        <f ca="1">SUBTOTAL(109,I.a.Emissions[2040])</f>
        <v>#REF!</v>
      </c>
      <c r="N272" s="925" t="e">
        <f ca="1">SUBTOTAL(109,I.a.Emissions[2045])</f>
        <v>#REF!</v>
      </c>
      <c r="O272" s="925">
        <f ca="1">SUBTOTAL(109,I.a.Emissions[2050])</f>
        <v>0</v>
      </c>
      <c r="P272" s="884"/>
      <c r="S272" s="1601"/>
      <c r="T272" s="1608"/>
      <c r="U272" s="1601"/>
      <c r="V272" s="1601"/>
    </row>
    <row r="273" spans="2:22" ht="15">
      <c r="B273" s="917"/>
      <c r="C273" s="886"/>
      <c r="D273" s="886"/>
      <c r="E273" s="886"/>
      <c r="F273" s="886"/>
      <c r="G273" s="886"/>
      <c r="H273" s="886"/>
      <c r="I273" s="886"/>
      <c r="J273" s="886"/>
      <c r="K273" s="886"/>
      <c r="L273" s="886"/>
      <c r="M273" s="886"/>
      <c r="N273" s="886"/>
      <c r="O273" s="886"/>
      <c r="P273" s="887"/>
      <c r="S273" s="1601"/>
      <c r="T273" s="1608"/>
      <c r="U273" s="1601"/>
      <c r="V273" s="1601"/>
    </row>
    <row r="274" spans="2:22" ht="21.75" customHeight="1">
      <c r="S274" s="1601"/>
      <c r="T274" s="1608"/>
      <c r="U274" s="1601"/>
      <c r="V274" s="1601"/>
    </row>
    <row r="275" spans="2:22">
      <c r="S275" s="1601"/>
      <c r="T275" s="1608"/>
      <c r="U275" s="1601"/>
      <c r="V275" s="1601"/>
    </row>
    <row r="276" spans="2:22" ht="15">
      <c r="B276" s="1577" t="s">
        <v>1561</v>
      </c>
      <c r="C276" s="1610"/>
      <c r="D276" s="1578"/>
      <c r="E276" s="1578"/>
      <c r="F276" s="1578"/>
      <c r="G276" s="1578"/>
      <c r="H276" s="1578"/>
      <c r="I276" s="1578"/>
      <c r="J276" s="1578"/>
      <c r="K276" s="1578"/>
      <c r="L276" s="1578"/>
      <c r="M276" s="1578"/>
      <c r="N276" s="1578"/>
      <c r="O276" s="1578"/>
      <c r="P276" s="1579"/>
      <c r="S276" s="1601"/>
      <c r="T276" s="1608"/>
      <c r="U276" s="1601"/>
      <c r="V276" s="1601"/>
    </row>
    <row r="277" spans="2:22" ht="6" customHeight="1">
      <c r="B277" s="1611"/>
      <c r="C277" s="1612"/>
      <c r="D277" s="1612"/>
      <c r="E277" s="1612"/>
      <c r="F277" s="1612"/>
      <c r="G277" s="1612"/>
      <c r="H277" s="1612"/>
      <c r="I277" s="1612"/>
      <c r="J277" s="1612"/>
      <c r="K277" s="1612"/>
      <c r="L277" s="1612"/>
      <c r="M277" s="1612"/>
      <c r="N277" s="1612"/>
      <c r="O277" s="1612"/>
      <c r="P277" s="1613"/>
      <c r="T277" s="532"/>
    </row>
    <row r="278" spans="2:22" s="1907" customFormat="1">
      <c r="B278" s="1881"/>
      <c r="C278" s="1614" t="s">
        <v>2104</v>
      </c>
      <c r="D278" s="1882"/>
      <c r="E278" s="1615"/>
      <c r="F278" s="1882"/>
      <c r="G278" s="1615"/>
      <c r="H278" s="1882"/>
      <c r="I278" s="1882"/>
      <c r="J278" s="1882"/>
      <c r="K278" s="1882"/>
      <c r="L278" s="1882"/>
      <c r="M278" s="1882"/>
      <c r="N278" s="1882"/>
      <c r="O278" s="1615"/>
      <c r="P278" s="1883"/>
      <c r="T278" s="532"/>
    </row>
    <row r="279" spans="2:22" s="1907" customFormat="1" ht="4.5" customHeight="1">
      <c r="B279" s="1881"/>
      <c r="C279" s="1882"/>
      <c r="D279" s="1882"/>
      <c r="E279" s="1882"/>
      <c r="F279" s="1882"/>
      <c r="G279" s="1882"/>
      <c r="H279" s="1882"/>
      <c r="I279" s="1882"/>
      <c r="J279" s="1882"/>
      <c r="K279" s="1882"/>
      <c r="L279" s="1882"/>
      <c r="M279" s="1882"/>
      <c r="N279" s="1882"/>
      <c r="O279" s="1882"/>
      <c r="P279" s="1883"/>
      <c r="T279" s="532"/>
    </row>
    <row r="280" spans="2:22" s="1907" customFormat="1" ht="15">
      <c r="B280" s="1884"/>
      <c r="C280" s="1885" t="s">
        <v>72</v>
      </c>
      <c r="D280" s="1885" t="s">
        <v>1562</v>
      </c>
      <c r="E280" s="1885" t="s">
        <v>421</v>
      </c>
      <c r="F280" s="1885" t="s">
        <v>576</v>
      </c>
      <c r="G280" s="1885" t="s">
        <v>577</v>
      </c>
      <c r="H280" s="1885" t="s">
        <v>604</v>
      </c>
      <c r="I280" s="1885" t="s">
        <v>605</v>
      </c>
      <c r="J280" s="1885" t="s">
        <v>606</v>
      </c>
      <c r="K280" s="1885" t="s">
        <v>607</v>
      </c>
      <c r="L280" s="1885" t="s">
        <v>608</v>
      </c>
      <c r="M280" s="1885" t="s">
        <v>609</v>
      </c>
      <c r="N280" s="1885" t="s">
        <v>610</v>
      </c>
      <c r="O280" s="1885" t="s">
        <v>611</v>
      </c>
      <c r="P280" s="1883"/>
    </row>
    <row r="281" spans="2:22" s="1907" customFormat="1" ht="15">
      <c r="B281" s="1884"/>
      <c r="C281" s="1886" t="s">
        <v>1568</v>
      </c>
      <c r="D281" s="1887" t="str">
        <f>INDEX(Vectors[Description], MATCH(I.a.Liquid.Info[Vector], Vectors[Code], 0))</f>
        <v xml:space="preserve">Installed Capacity </v>
      </c>
      <c r="E281" s="1887" t="str">
        <f>Preferences.PowerUnits</f>
        <v>GW</v>
      </c>
      <c r="F281" s="1618">
        <f>F216</f>
        <v>4.0999999999999996</v>
      </c>
      <c r="G281" s="1618">
        <f t="shared" ref="G281:O281" si="66">G216</f>
        <v>4.0568</v>
      </c>
      <c r="H281" s="1618">
        <f t="shared" si="66"/>
        <v>0</v>
      </c>
      <c r="I281" s="1618">
        <f t="shared" si="66"/>
        <v>0</v>
      </c>
      <c r="J281" s="1618">
        <f t="shared" si="66"/>
        <v>0</v>
      </c>
      <c r="K281" s="1618">
        <f t="shared" si="66"/>
        <v>0</v>
      </c>
      <c r="L281" s="1618">
        <f t="shared" si="66"/>
        <v>0</v>
      </c>
      <c r="M281" s="1618">
        <f t="shared" si="66"/>
        <v>0</v>
      </c>
      <c r="N281" s="1618">
        <f t="shared" si="66"/>
        <v>0</v>
      </c>
      <c r="O281" s="1618">
        <f t="shared" si="66"/>
        <v>0</v>
      </c>
      <c r="P281" s="1883"/>
    </row>
    <row r="282" spans="2:22" s="1907" customFormat="1" ht="15">
      <c r="B282" s="1884"/>
      <c r="C282" s="1886" t="s">
        <v>2110</v>
      </c>
      <c r="D282" s="1887" t="str">
        <f>INDEX(Vectors[Description], MATCH(I.a.Liquid.Info[Vector], Vectors[Code], 0))</f>
        <v>Load factor</v>
      </c>
      <c r="E282" s="1886" t="s">
        <v>674</v>
      </c>
      <c r="F282" s="1910">
        <f>F65</f>
        <v>6.0299999999999999E-2</v>
      </c>
      <c r="G282" s="1910">
        <f t="shared" ref="G282:O282" si="67">G65</f>
        <v>0.06</v>
      </c>
      <c r="H282" s="1910">
        <f t="shared" si="67"/>
        <v>0.06</v>
      </c>
      <c r="I282" s="1910">
        <f t="shared" si="67"/>
        <v>0.06</v>
      </c>
      <c r="J282" s="1910">
        <f t="shared" si="67"/>
        <v>0.06</v>
      </c>
      <c r="K282" s="1910">
        <f t="shared" si="67"/>
        <v>0.06</v>
      </c>
      <c r="L282" s="1910">
        <f t="shared" si="67"/>
        <v>0.06</v>
      </c>
      <c r="M282" s="1910">
        <f t="shared" si="67"/>
        <v>0.06</v>
      </c>
      <c r="N282" s="1910">
        <f t="shared" si="67"/>
        <v>0.06</v>
      </c>
      <c r="O282" s="1910">
        <f t="shared" si="67"/>
        <v>0.06</v>
      </c>
      <c r="P282" s="1883"/>
    </row>
    <row r="283" spans="2:22" s="1907" customFormat="1" ht="15" collapsed="1">
      <c r="B283" s="1884"/>
      <c r="C283" s="1886" t="s">
        <v>1569</v>
      </c>
      <c r="D283" s="1887" t="str">
        <f>$F$87&amp;" GW thermal power stations"</f>
        <v>2 GW thermal power stations</v>
      </c>
      <c r="E283" s="1886" t="s">
        <v>1622</v>
      </c>
      <c r="F283" s="1587">
        <f>F281/$F$87</f>
        <v>2.0499999999999998</v>
      </c>
      <c r="G283" s="1587">
        <f t="shared" ref="G283:O283" si="68">G281/$F$87</f>
        <v>2.0284</v>
      </c>
      <c r="H283" s="1587">
        <f t="shared" si="68"/>
        <v>0</v>
      </c>
      <c r="I283" s="1587">
        <f t="shared" si="68"/>
        <v>0</v>
      </c>
      <c r="J283" s="1587">
        <f t="shared" si="68"/>
        <v>0</v>
      </c>
      <c r="K283" s="1587">
        <f t="shared" si="68"/>
        <v>0</v>
      </c>
      <c r="L283" s="1587">
        <f t="shared" si="68"/>
        <v>0</v>
      </c>
      <c r="M283" s="1587">
        <f t="shared" si="68"/>
        <v>0</v>
      </c>
      <c r="N283" s="1587">
        <f t="shared" si="68"/>
        <v>0</v>
      </c>
      <c r="O283" s="1587">
        <f t="shared" si="68"/>
        <v>0</v>
      </c>
      <c r="P283" s="1883"/>
    </row>
    <row r="284" spans="2:22" s="1907" customFormat="1" ht="14.25" customHeight="1">
      <c r="B284" s="1884"/>
      <c r="C284" s="1882"/>
      <c r="D284" s="1882"/>
      <c r="E284" s="1882"/>
      <c r="F284" s="1882"/>
      <c r="G284" s="1882"/>
      <c r="H284" s="1882"/>
      <c r="I284" s="1882"/>
      <c r="J284" s="1882"/>
      <c r="K284" s="1882"/>
      <c r="L284" s="1882"/>
      <c r="M284" s="1882"/>
      <c r="N284" s="1882"/>
      <c r="O284" s="1882"/>
      <c r="P284" s="1883"/>
    </row>
    <row r="285" spans="2:22" s="1907" customFormat="1">
      <c r="B285" s="1881"/>
      <c r="C285" s="1614" t="s">
        <v>2103</v>
      </c>
      <c r="D285" s="1882"/>
      <c r="E285" s="1615"/>
      <c r="F285" s="1882"/>
      <c r="G285" s="1615"/>
      <c r="H285" s="1882"/>
      <c r="I285" s="1882"/>
      <c r="J285" s="1882"/>
      <c r="K285" s="1882"/>
      <c r="L285" s="1882"/>
      <c r="M285" s="1882"/>
      <c r="N285" s="1882"/>
      <c r="O285" s="1615"/>
      <c r="P285" s="1883"/>
      <c r="T285" s="532"/>
    </row>
    <row r="286" spans="2:22" s="1907" customFormat="1" ht="4.5" customHeight="1">
      <c r="B286" s="1881"/>
      <c r="C286" s="1882"/>
      <c r="D286" s="1882"/>
      <c r="E286" s="1882"/>
      <c r="F286" s="1882"/>
      <c r="G286" s="1882"/>
      <c r="H286" s="1882"/>
      <c r="I286" s="1882"/>
      <c r="J286" s="1882"/>
      <c r="K286" s="1882"/>
      <c r="L286" s="1882"/>
      <c r="M286" s="1882"/>
      <c r="N286" s="1882"/>
      <c r="O286" s="1882"/>
      <c r="P286" s="1883"/>
      <c r="T286" s="532"/>
    </row>
    <row r="287" spans="2:22" s="1907" customFormat="1" ht="15">
      <c r="B287" s="1884"/>
      <c r="C287" s="1885" t="s">
        <v>72</v>
      </c>
      <c r="D287" s="1885" t="s">
        <v>1562</v>
      </c>
      <c r="E287" s="1885" t="s">
        <v>421</v>
      </c>
      <c r="F287" s="1885" t="s">
        <v>576</v>
      </c>
      <c r="G287" s="1885" t="s">
        <v>577</v>
      </c>
      <c r="H287" s="1885" t="s">
        <v>604</v>
      </c>
      <c r="I287" s="1885" t="s">
        <v>605</v>
      </c>
      <c r="J287" s="1885" t="s">
        <v>606</v>
      </c>
      <c r="K287" s="1885" t="s">
        <v>607</v>
      </c>
      <c r="L287" s="1885" t="s">
        <v>608</v>
      </c>
      <c r="M287" s="1885" t="s">
        <v>609</v>
      </c>
      <c r="N287" s="1885" t="s">
        <v>610</v>
      </c>
      <c r="O287" s="1885" t="s">
        <v>611</v>
      </c>
      <c r="P287" s="1883"/>
    </row>
    <row r="288" spans="2:22" s="1907" customFormat="1" ht="15">
      <c r="B288" s="1884"/>
      <c r="C288" s="1886" t="s">
        <v>1568</v>
      </c>
      <c r="D288" s="1887" t="str">
        <f>INDEX(Vectors[Description], MATCH(I.a.Solid.Info[Vector], Vectors[Code], 0))</f>
        <v xml:space="preserve">Installed Capacity </v>
      </c>
      <c r="E288" s="1887" t="str">
        <f>Preferences.PowerUnits</f>
        <v>GW</v>
      </c>
      <c r="F288" s="1618" t="e">
        <f ca="1">F217</f>
        <v>#REF!</v>
      </c>
      <c r="G288" s="1618" t="e">
        <f t="shared" ref="G288:O288" ca="1" si="69">G217</f>
        <v>#REF!</v>
      </c>
      <c r="H288" s="1618" t="e">
        <f t="shared" ca="1" si="69"/>
        <v>#REF!</v>
      </c>
      <c r="I288" s="1618" t="e">
        <f t="shared" ca="1" si="69"/>
        <v>#REF!</v>
      </c>
      <c r="J288" s="1618" t="e">
        <f t="shared" ca="1" si="69"/>
        <v>#REF!</v>
      </c>
      <c r="K288" s="1618" t="e">
        <f t="shared" ca="1" si="69"/>
        <v>#REF!</v>
      </c>
      <c r="L288" s="1618" t="e">
        <f t="shared" ca="1" si="69"/>
        <v>#REF!</v>
      </c>
      <c r="M288" s="1618" t="e">
        <f t="shared" ca="1" si="69"/>
        <v>#REF!</v>
      </c>
      <c r="N288" s="1618" t="e">
        <f t="shared" ca="1" si="69"/>
        <v>#REF!</v>
      </c>
      <c r="O288" s="1618">
        <f t="shared" ca="1" si="69"/>
        <v>0</v>
      </c>
      <c r="P288" s="1883"/>
    </row>
    <row r="289" spans="2:20" s="1907" customFormat="1" ht="15">
      <c r="B289" s="1884"/>
      <c r="C289" s="1886" t="s">
        <v>2110</v>
      </c>
      <c r="D289" s="1887" t="str">
        <f>INDEX(Vectors[Description], MATCH(I.a.Solid.Info[Vector], Vectors[Code], 0))</f>
        <v>Load factor</v>
      </c>
      <c r="E289" s="1886" t="s">
        <v>674</v>
      </c>
      <c r="F289" s="1910">
        <f>F158</f>
        <v>0.60639704314450193</v>
      </c>
      <c r="G289" s="1910">
        <f t="shared" ref="G289:O289" si="70">G158</f>
        <v>0.60639704314450193</v>
      </c>
      <c r="H289" s="1910">
        <f t="shared" si="70"/>
        <v>0.60768508240116126</v>
      </c>
      <c r="I289" s="1910">
        <f t="shared" si="70"/>
        <v>0.61055408970976244</v>
      </c>
      <c r="J289" s="1910">
        <f t="shared" si="70"/>
        <v>0.62090106827682301</v>
      </c>
      <c r="K289" s="1910">
        <f t="shared" si="70"/>
        <v>0.70000000000000007</v>
      </c>
      <c r="L289" s="1910">
        <f t="shared" si="70"/>
        <v>0.90000000000000013</v>
      </c>
      <c r="M289" s="1910">
        <f t="shared" si="70"/>
        <v>0.90000000000000013</v>
      </c>
      <c r="N289" s="1910">
        <f t="shared" si="70"/>
        <v>0.90000000000000013</v>
      </c>
      <c r="O289" s="1910">
        <f t="shared" si="70"/>
        <v>0.90000000000000013</v>
      </c>
      <c r="P289" s="1883"/>
    </row>
    <row r="290" spans="2:20" s="1907" customFormat="1" ht="15" collapsed="1">
      <c r="B290" s="1884"/>
      <c r="C290" s="1886" t="s">
        <v>1569</v>
      </c>
      <c r="D290" s="1887" t="str">
        <f>$F$87&amp;" GW thermal power stations"</f>
        <v>2 GW thermal power stations</v>
      </c>
      <c r="E290" s="1886" t="s">
        <v>1622</v>
      </c>
      <c r="F290" s="1587" t="e">
        <f ca="1">F288/$F$87</f>
        <v>#REF!</v>
      </c>
      <c r="G290" s="1587" t="e">
        <f t="shared" ref="G290:O290" ca="1" si="71">G288/$F$87</f>
        <v>#REF!</v>
      </c>
      <c r="H290" s="1587" t="e">
        <f t="shared" ca="1" si="71"/>
        <v>#REF!</v>
      </c>
      <c r="I290" s="1587" t="e">
        <f t="shared" ca="1" si="71"/>
        <v>#REF!</v>
      </c>
      <c r="J290" s="1587" t="e">
        <f t="shared" ca="1" si="71"/>
        <v>#REF!</v>
      </c>
      <c r="K290" s="1587" t="e">
        <f t="shared" ca="1" si="71"/>
        <v>#REF!</v>
      </c>
      <c r="L290" s="1587" t="e">
        <f t="shared" ca="1" si="71"/>
        <v>#REF!</v>
      </c>
      <c r="M290" s="1587" t="e">
        <f t="shared" ca="1" si="71"/>
        <v>#REF!</v>
      </c>
      <c r="N290" s="1587" t="e">
        <f t="shared" ca="1" si="71"/>
        <v>#REF!</v>
      </c>
      <c r="O290" s="1587">
        <f t="shared" ca="1" si="71"/>
        <v>0</v>
      </c>
      <c r="P290" s="1883"/>
    </row>
    <row r="291" spans="2:20" s="1907" customFormat="1" ht="14.25" customHeight="1">
      <c r="B291" s="1884"/>
      <c r="C291" s="1882"/>
      <c r="D291" s="1882"/>
      <c r="E291" s="1882"/>
      <c r="F291" s="1882"/>
      <c r="G291" s="1882"/>
      <c r="H291" s="1882"/>
      <c r="I291" s="1882"/>
      <c r="J291" s="1882"/>
      <c r="K291" s="1882"/>
      <c r="L291" s="1882"/>
      <c r="M291" s="1882"/>
      <c r="N291" s="1882"/>
      <c r="O291" s="1882"/>
      <c r="P291" s="1883"/>
    </row>
    <row r="292" spans="2:20" s="1907" customFormat="1">
      <c r="B292" s="1881"/>
      <c r="C292" s="1614" t="s">
        <v>2105</v>
      </c>
      <c r="D292" s="1882"/>
      <c r="E292" s="1615"/>
      <c r="F292" s="1882"/>
      <c r="G292" s="1615"/>
      <c r="H292" s="1882"/>
      <c r="I292" s="1882"/>
      <c r="J292" s="1882"/>
      <c r="K292" s="1882"/>
      <c r="L292" s="1882"/>
      <c r="M292" s="1882"/>
      <c r="N292" s="1882"/>
      <c r="O292" s="1615"/>
      <c r="P292" s="1883"/>
      <c r="T292" s="532"/>
    </row>
    <row r="293" spans="2:20" s="1907" customFormat="1" ht="4.5" customHeight="1">
      <c r="B293" s="1881"/>
      <c r="C293" s="1882"/>
      <c r="D293" s="1882"/>
      <c r="E293" s="1882"/>
      <c r="F293" s="1882"/>
      <c r="G293" s="1882"/>
      <c r="H293" s="1882"/>
      <c r="I293" s="1882"/>
      <c r="J293" s="1882"/>
      <c r="K293" s="1882"/>
      <c r="L293" s="1882"/>
      <c r="M293" s="1882"/>
      <c r="N293" s="1882"/>
      <c r="O293" s="1882"/>
      <c r="P293" s="1883"/>
      <c r="T293" s="532"/>
    </row>
    <row r="294" spans="2:20" s="1907" customFormat="1" ht="15">
      <c r="B294" s="1884"/>
      <c r="C294" s="1885" t="s">
        <v>72</v>
      </c>
      <c r="D294" s="1885" t="s">
        <v>1562</v>
      </c>
      <c r="E294" s="1885" t="s">
        <v>421</v>
      </c>
      <c r="F294" s="1885" t="s">
        <v>576</v>
      </c>
      <c r="G294" s="1885" t="s">
        <v>577</v>
      </c>
      <c r="H294" s="1885" t="s">
        <v>604</v>
      </c>
      <c r="I294" s="1885" t="s">
        <v>605</v>
      </c>
      <c r="J294" s="1885" t="s">
        <v>606</v>
      </c>
      <c r="K294" s="1885" t="s">
        <v>607</v>
      </c>
      <c r="L294" s="1885" t="s">
        <v>608</v>
      </c>
      <c r="M294" s="1885" t="s">
        <v>609</v>
      </c>
      <c r="N294" s="1885" t="s">
        <v>610</v>
      </c>
      <c r="O294" s="1885" t="s">
        <v>611</v>
      </c>
      <c r="P294" s="1883"/>
    </row>
    <row r="295" spans="2:20" s="1907" customFormat="1" ht="15">
      <c r="B295" s="1884"/>
      <c r="C295" s="1886" t="s">
        <v>1568</v>
      </c>
      <c r="D295" s="1887" t="str">
        <f>INDEX(Vectors[Description], MATCH(I.a.Gas.Info[Vector], Vectors[Code], 0))</f>
        <v xml:space="preserve">Installed Capacity </v>
      </c>
      <c r="E295" s="1887" t="str">
        <f>Preferences.PowerUnits</f>
        <v>GW</v>
      </c>
      <c r="F295" s="1618" t="e">
        <f ca="1">F218</f>
        <v>#REF!</v>
      </c>
      <c r="G295" s="1618" t="e">
        <f t="shared" ref="G295:O295" ca="1" si="72">G218</f>
        <v>#REF!</v>
      </c>
      <c r="H295" s="1618" t="e">
        <f t="shared" ca="1" si="72"/>
        <v>#REF!</v>
      </c>
      <c r="I295" s="1618" t="e">
        <f t="shared" ca="1" si="72"/>
        <v>#REF!</v>
      </c>
      <c r="J295" s="1618" t="e">
        <f t="shared" ca="1" si="72"/>
        <v>#REF!</v>
      </c>
      <c r="K295" s="1618" t="e">
        <f t="shared" ca="1" si="72"/>
        <v>#REF!</v>
      </c>
      <c r="L295" s="1618" t="e">
        <f t="shared" ca="1" si="72"/>
        <v>#REF!</v>
      </c>
      <c r="M295" s="1618" t="e">
        <f t="shared" ca="1" si="72"/>
        <v>#REF!</v>
      </c>
      <c r="N295" s="1618" t="e">
        <f t="shared" ca="1" si="72"/>
        <v>#REF!</v>
      </c>
      <c r="O295" s="1618">
        <f t="shared" ca="1" si="72"/>
        <v>0</v>
      </c>
      <c r="P295" s="1883"/>
    </row>
    <row r="296" spans="2:20" s="1907" customFormat="1" ht="15">
      <c r="B296" s="1884"/>
      <c r="C296" s="1886" t="s">
        <v>2110</v>
      </c>
      <c r="D296" s="1887" t="str">
        <f>INDEX(Vectors[Description], MATCH(I.a.Gas.Info[Vector], Vectors[Code], 0))</f>
        <v>Load factor</v>
      </c>
      <c r="E296" s="1886" t="s">
        <v>674</v>
      </c>
      <c r="F296" s="1910">
        <f>F66</f>
        <v>0.63200000000000001</v>
      </c>
      <c r="G296" s="1910">
        <f t="shared" ref="G296:O296" si="73">G66</f>
        <v>0.7</v>
      </c>
      <c r="H296" s="1910">
        <f t="shared" si="73"/>
        <v>0.7</v>
      </c>
      <c r="I296" s="1910">
        <f t="shared" si="73"/>
        <v>0.7</v>
      </c>
      <c r="J296" s="1910">
        <f t="shared" si="73"/>
        <v>0.7</v>
      </c>
      <c r="K296" s="1910">
        <f t="shared" si="73"/>
        <v>0.7</v>
      </c>
      <c r="L296" s="1910">
        <f t="shared" si="73"/>
        <v>0.7</v>
      </c>
      <c r="M296" s="1910">
        <f t="shared" si="73"/>
        <v>0.7</v>
      </c>
      <c r="N296" s="1910">
        <f t="shared" si="73"/>
        <v>0.7</v>
      </c>
      <c r="O296" s="1910">
        <f t="shared" si="73"/>
        <v>0.7</v>
      </c>
      <c r="P296" s="1883"/>
    </row>
    <row r="297" spans="2:20" s="1907" customFormat="1" ht="15" collapsed="1">
      <c r="B297" s="1884"/>
      <c r="C297" s="1886" t="s">
        <v>1569</v>
      </c>
      <c r="D297" s="1887" t="str">
        <f>$F$87&amp;" GW thermal power stations"</f>
        <v>2 GW thermal power stations</v>
      </c>
      <c r="E297" s="1886" t="s">
        <v>1622</v>
      </c>
      <c r="F297" s="1587" t="e">
        <f ca="1">F295/$F$87</f>
        <v>#REF!</v>
      </c>
      <c r="G297" s="1587" t="e">
        <f t="shared" ref="G297:O297" ca="1" si="74">G295/$F$87</f>
        <v>#REF!</v>
      </c>
      <c r="H297" s="1587" t="e">
        <f t="shared" ca="1" si="74"/>
        <v>#REF!</v>
      </c>
      <c r="I297" s="1587" t="e">
        <f t="shared" ca="1" si="74"/>
        <v>#REF!</v>
      </c>
      <c r="J297" s="1587" t="e">
        <f t="shared" ca="1" si="74"/>
        <v>#REF!</v>
      </c>
      <c r="K297" s="1587" t="e">
        <f t="shared" ca="1" si="74"/>
        <v>#REF!</v>
      </c>
      <c r="L297" s="1587" t="e">
        <f t="shared" ca="1" si="74"/>
        <v>#REF!</v>
      </c>
      <c r="M297" s="1587" t="e">
        <f t="shared" ca="1" si="74"/>
        <v>#REF!</v>
      </c>
      <c r="N297" s="1587" t="e">
        <f t="shared" ca="1" si="74"/>
        <v>#REF!</v>
      </c>
      <c r="O297" s="1587">
        <f t="shared" ca="1" si="74"/>
        <v>0</v>
      </c>
      <c r="P297" s="1883"/>
    </row>
    <row r="298" spans="2:20" s="1907" customFormat="1" ht="14.25" customHeight="1">
      <c r="B298" s="1884"/>
      <c r="C298" s="1882"/>
      <c r="D298" s="1882"/>
      <c r="E298" s="1882"/>
      <c r="F298" s="1882"/>
      <c r="G298" s="1882"/>
      <c r="H298" s="1882"/>
      <c r="I298" s="1882"/>
      <c r="J298" s="1882"/>
      <c r="K298" s="1882"/>
      <c r="L298" s="1882"/>
      <c r="M298" s="1882"/>
      <c r="N298" s="1882"/>
      <c r="O298" s="1882"/>
      <c r="P298" s="1883"/>
    </row>
    <row r="299" spans="2:20">
      <c r="B299" s="1580"/>
      <c r="C299" s="1614" t="s">
        <v>2106</v>
      </c>
      <c r="D299" s="1581"/>
      <c r="E299" s="1615"/>
      <c r="F299" s="1581"/>
      <c r="G299" s="1615"/>
      <c r="H299" s="1581"/>
      <c r="I299" s="1581"/>
      <c r="J299" s="1581"/>
      <c r="K299" s="1581"/>
      <c r="L299" s="1581"/>
      <c r="M299" s="1581"/>
      <c r="N299" s="1581"/>
      <c r="O299" s="1615"/>
      <c r="P299" s="1582"/>
      <c r="T299" s="532"/>
    </row>
    <row r="300" spans="2:20" ht="4.5" customHeight="1">
      <c r="B300" s="1580"/>
      <c r="C300" s="1581"/>
      <c r="D300" s="1581"/>
      <c r="E300" s="1581"/>
      <c r="F300" s="1581"/>
      <c r="G300" s="1581"/>
      <c r="H300" s="1581"/>
      <c r="I300" s="1581"/>
      <c r="J300" s="1581"/>
      <c r="K300" s="1581"/>
      <c r="L300" s="1581"/>
      <c r="M300" s="1581"/>
      <c r="N300" s="1581"/>
      <c r="O300" s="1581"/>
      <c r="P300" s="1582"/>
      <c r="T300" s="532"/>
    </row>
    <row r="301" spans="2:20" ht="15">
      <c r="B301" s="1583"/>
      <c r="C301" s="1584" t="s">
        <v>72</v>
      </c>
      <c r="D301" s="1584" t="s">
        <v>1562</v>
      </c>
      <c r="E301" s="1584" t="s">
        <v>421</v>
      </c>
      <c r="F301" s="1584" t="s">
        <v>576</v>
      </c>
      <c r="G301" s="1584" t="s">
        <v>577</v>
      </c>
      <c r="H301" s="1584" t="s">
        <v>604</v>
      </c>
      <c r="I301" s="1584" t="s">
        <v>605</v>
      </c>
      <c r="J301" s="1584" t="s">
        <v>606</v>
      </c>
      <c r="K301" s="1584" t="s">
        <v>607</v>
      </c>
      <c r="L301" s="1584" t="s">
        <v>608</v>
      </c>
      <c r="M301" s="1584" t="s">
        <v>609</v>
      </c>
      <c r="N301" s="1584" t="s">
        <v>610</v>
      </c>
      <c r="O301" s="1584" t="s">
        <v>611</v>
      </c>
      <c r="P301" s="1582"/>
    </row>
    <row r="302" spans="2:20" ht="15">
      <c r="B302" s="1583"/>
      <c r="C302" s="1585" t="s">
        <v>1568</v>
      </c>
      <c r="D302" s="1586" t="str">
        <f>INDEX(Vectors[Description], MATCH(I.a.Info[Vector], Vectors[Code], 0))</f>
        <v xml:space="preserve">Installed Capacity </v>
      </c>
      <c r="E302" s="1586" t="str">
        <f>Preferences.PowerUnits</f>
        <v>GW</v>
      </c>
      <c r="F302" s="1618" t="e">
        <f t="shared" ref="F302:O302" ca="1" si="75">SUM(F$216:F$218)</f>
        <v>#REF!</v>
      </c>
      <c r="G302" s="1618" t="e">
        <f t="shared" ca="1" si="75"/>
        <v>#REF!</v>
      </c>
      <c r="H302" s="1618" t="e">
        <f t="shared" ca="1" si="75"/>
        <v>#REF!</v>
      </c>
      <c r="I302" s="1618" t="e">
        <f t="shared" ca="1" si="75"/>
        <v>#REF!</v>
      </c>
      <c r="J302" s="1618" t="e">
        <f t="shared" ca="1" si="75"/>
        <v>#REF!</v>
      </c>
      <c r="K302" s="1618" t="e">
        <f t="shared" ca="1" si="75"/>
        <v>#REF!</v>
      </c>
      <c r="L302" s="1618" t="e">
        <f t="shared" ca="1" si="75"/>
        <v>#REF!</v>
      </c>
      <c r="M302" s="1618" t="e">
        <f t="shared" ca="1" si="75"/>
        <v>#REF!</v>
      </c>
      <c r="N302" s="1618" t="e">
        <f t="shared" ca="1" si="75"/>
        <v>#REF!</v>
      </c>
      <c r="O302" s="1618">
        <f t="shared" ca="1" si="75"/>
        <v>0</v>
      </c>
      <c r="P302" s="1582"/>
    </row>
    <row r="303" spans="2:20" ht="15" collapsed="1">
      <c r="B303" s="1583"/>
      <c r="C303" s="1585" t="s">
        <v>1569</v>
      </c>
      <c r="D303" s="1586" t="str">
        <f>$F$87&amp;" GW thermal power stations"</f>
        <v>2 GW thermal power stations</v>
      </c>
      <c r="E303" s="1585" t="s">
        <v>1622</v>
      </c>
      <c r="F303" s="1587" t="e">
        <f ca="1">F302/$F$87</f>
        <v>#REF!</v>
      </c>
      <c r="G303" s="1587" t="e">
        <f t="shared" ref="G303:O303" ca="1" si="76">G302/$F$87</f>
        <v>#REF!</v>
      </c>
      <c r="H303" s="1587" t="e">
        <f t="shared" ca="1" si="76"/>
        <v>#REF!</v>
      </c>
      <c r="I303" s="1587" t="e">
        <f t="shared" ca="1" si="76"/>
        <v>#REF!</v>
      </c>
      <c r="J303" s="1587" t="e">
        <f t="shared" ca="1" si="76"/>
        <v>#REF!</v>
      </c>
      <c r="K303" s="1587" t="e">
        <f t="shared" ca="1" si="76"/>
        <v>#REF!</v>
      </c>
      <c r="L303" s="1587" t="e">
        <f t="shared" ca="1" si="76"/>
        <v>#REF!</v>
      </c>
      <c r="M303" s="1587" t="e">
        <f t="shared" ca="1" si="76"/>
        <v>#REF!</v>
      </c>
      <c r="N303" s="1587" t="e">
        <f t="shared" ca="1" si="76"/>
        <v>#REF!</v>
      </c>
      <c r="O303" s="1587">
        <f t="shared" ca="1" si="76"/>
        <v>0</v>
      </c>
      <c r="P303" s="1582"/>
    </row>
    <row r="304" spans="2:20" ht="14.25" customHeight="1">
      <c r="B304" s="1619"/>
      <c r="C304" s="1588"/>
      <c r="D304" s="1588"/>
      <c r="E304" s="1588"/>
      <c r="F304" s="1588"/>
      <c r="G304" s="1588"/>
      <c r="H304" s="1588"/>
      <c r="I304" s="1588"/>
      <c r="J304" s="1588"/>
      <c r="K304" s="1588"/>
      <c r="L304" s="1588"/>
      <c r="M304" s="1588"/>
      <c r="N304" s="1588"/>
      <c r="O304" s="1588"/>
      <c r="P304" s="1616"/>
    </row>
    <row r="306" spans="2:16" ht="15.75" customHeight="1">
      <c r="B306" s="1577" t="s">
        <v>1998</v>
      </c>
      <c r="C306" s="1578"/>
      <c r="D306" s="1578"/>
      <c r="E306" s="1578"/>
      <c r="F306" s="1578"/>
      <c r="G306" s="1578"/>
      <c r="H306" s="1578"/>
      <c r="I306" s="1578"/>
      <c r="J306" s="1578"/>
      <c r="K306" s="1578"/>
      <c r="L306" s="1578"/>
      <c r="M306" s="1578"/>
      <c r="N306" s="1578"/>
      <c r="O306" s="1578"/>
      <c r="P306" s="1579"/>
    </row>
    <row r="307" spans="2:16" ht="5.25" customHeight="1">
      <c r="B307" s="1580"/>
      <c r="C307" s="1581"/>
      <c r="D307" s="1581"/>
      <c r="E307" s="1581"/>
      <c r="F307" s="1581"/>
      <c r="G307" s="1581"/>
      <c r="H307" s="1581"/>
      <c r="I307" s="1581"/>
      <c r="J307" s="1581"/>
      <c r="K307" s="1581"/>
      <c r="L307" s="1581"/>
      <c r="M307" s="1581"/>
      <c r="N307" s="1581"/>
      <c r="O307" s="1581"/>
      <c r="P307" s="1582"/>
    </row>
    <row r="308" spans="2:16">
      <c r="B308" s="1580"/>
      <c r="C308" s="1781" t="s">
        <v>1999</v>
      </c>
      <c r="D308" s="1782"/>
      <c r="E308" s="1782"/>
      <c r="F308" s="1782"/>
      <c r="G308" s="1782"/>
      <c r="H308" s="1782"/>
      <c r="I308" s="1782"/>
      <c r="J308" s="1782"/>
      <c r="K308" s="1782"/>
      <c r="L308" s="1782"/>
      <c r="M308" s="1782"/>
      <c r="N308" s="1782"/>
      <c r="O308" s="1782"/>
      <c r="P308" s="1582"/>
    </row>
    <row r="309" spans="2:16">
      <c r="B309" s="1580"/>
      <c r="C309" s="1581"/>
      <c r="D309" s="1581"/>
      <c r="E309" s="1581"/>
      <c r="F309" s="1581"/>
      <c r="G309" s="1581"/>
      <c r="H309" s="1581"/>
      <c r="I309" s="1581"/>
      <c r="J309" s="1581"/>
      <c r="K309" s="1581"/>
      <c r="L309" s="1581"/>
      <c r="M309" s="1581"/>
      <c r="N309" s="1581"/>
      <c r="O309" s="1581"/>
      <c r="P309" s="1582"/>
    </row>
    <row r="310" spans="2:16" ht="15">
      <c r="B310" s="1583"/>
      <c r="C310" s="1584" t="s">
        <v>72</v>
      </c>
      <c r="D310" s="1584" t="s">
        <v>399</v>
      </c>
      <c r="E310" s="1584" t="s">
        <v>421</v>
      </c>
      <c r="F310" s="1584" t="s">
        <v>576</v>
      </c>
      <c r="G310" s="1584" t="s">
        <v>577</v>
      </c>
      <c r="H310" s="1584" t="s">
        <v>604</v>
      </c>
      <c r="I310" s="1584" t="s">
        <v>605</v>
      </c>
      <c r="J310" s="1584" t="s">
        <v>606</v>
      </c>
      <c r="K310" s="1584" t="s">
        <v>607</v>
      </c>
      <c r="L310" s="1584" t="s">
        <v>608</v>
      </c>
      <c r="M310" s="1584" t="s">
        <v>609</v>
      </c>
      <c r="N310" s="1584" t="s">
        <v>610</v>
      </c>
      <c r="O310" s="1584" t="s">
        <v>611</v>
      </c>
      <c r="P310" s="1783"/>
    </row>
    <row r="311" spans="2:16" ht="15">
      <c r="B311" s="1583"/>
      <c r="C311" s="1585" t="s">
        <v>1944</v>
      </c>
      <c r="D311" s="1586" t="str">
        <f>INDEX(CostVectors[Description], MATCH(C311,CostVectors[Code], 0))</f>
        <v>Low estimate of capital costs</v>
      </c>
      <c r="E311" s="1586"/>
      <c r="F311" s="1587">
        <f>F240</f>
        <v>0</v>
      </c>
      <c r="G311" s="1587" t="e">
        <f t="shared" ref="G311:O312" ca="1" si="77">G240</f>
        <v>#REF!</v>
      </c>
      <c r="H311" s="1587" t="e">
        <f t="shared" ca="1" si="77"/>
        <v>#REF!</v>
      </c>
      <c r="I311" s="1587" t="e">
        <f t="shared" ca="1" si="77"/>
        <v>#REF!</v>
      </c>
      <c r="J311" s="1587" t="e">
        <f t="shared" ca="1" si="77"/>
        <v>#REF!</v>
      </c>
      <c r="K311" s="1587" t="e">
        <f t="shared" ca="1" si="77"/>
        <v>#REF!</v>
      </c>
      <c r="L311" s="1587" t="e">
        <f t="shared" ca="1" si="77"/>
        <v>#REF!</v>
      </c>
      <c r="M311" s="1587" t="e">
        <f t="shared" ca="1" si="77"/>
        <v>#REF!</v>
      </c>
      <c r="N311" s="1587" t="e">
        <f t="shared" ca="1" si="77"/>
        <v>#REF!</v>
      </c>
      <c r="O311" s="1587" t="e">
        <f t="shared" ca="1" si="77"/>
        <v>#REF!</v>
      </c>
      <c r="P311" s="1783"/>
    </row>
    <row r="312" spans="2:16" ht="15">
      <c r="B312" s="1583"/>
      <c r="C312" s="1585" t="s">
        <v>1946</v>
      </c>
      <c r="D312" s="1586" t="str">
        <f>INDEX(CostVectors[Description], MATCH(C312, CostVectors[Code], 0))</f>
        <v>Low estimate of operating costs</v>
      </c>
      <c r="E312" s="1586"/>
      <c r="F312" s="1587" t="e">
        <f ca="1">F241</f>
        <v>#REF!</v>
      </c>
      <c r="G312" s="1587" t="e">
        <f t="shared" ca="1" si="77"/>
        <v>#REF!</v>
      </c>
      <c r="H312" s="1587" t="e">
        <f t="shared" ca="1" si="77"/>
        <v>#REF!</v>
      </c>
      <c r="I312" s="1587" t="e">
        <f t="shared" ca="1" si="77"/>
        <v>#REF!</v>
      </c>
      <c r="J312" s="1587" t="e">
        <f t="shared" ca="1" si="77"/>
        <v>#REF!</v>
      </c>
      <c r="K312" s="1587" t="e">
        <f t="shared" ca="1" si="77"/>
        <v>#REF!</v>
      </c>
      <c r="L312" s="1587" t="e">
        <f t="shared" ca="1" si="77"/>
        <v>#REF!</v>
      </c>
      <c r="M312" s="1587" t="e">
        <f t="shared" ca="1" si="77"/>
        <v>#REF!</v>
      </c>
      <c r="N312" s="1587" t="e">
        <f t="shared" ca="1" si="77"/>
        <v>#REF!</v>
      </c>
      <c r="O312" s="1587">
        <f t="shared" ca="1" si="77"/>
        <v>0</v>
      </c>
      <c r="P312" s="1783"/>
    </row>
    <row r="313" spans="2:16" ht="15">
      <c r="B313" s="1583"/>
      <c r="C313" s="1585" t="s">
        <v>1948</v>
      </c>
      <c r="D313" s="1586" t="str">
        <f>INDEX(CostVectors[Description], MATCH(C313, CostVectors[Code], 0))</f>
        <v>Low estimate of fuel costs</v>
      </c>
      <c r="E313" s="1586"/>
      <c r="F313" s="1587"/>
      <c r="G313" s="1587"/>
      <c r="H313" s="1587"/>
      <c r="I313" s="1587"/>
      <c r="J313" s="1587"/>
      <c r="K313" s="1587"/>
      <c r="L313" s="1587"/>
      <c r="M313" s="1587"/>
      <c r="N313" s="1587"/>
      <c r="O313" s="1587"/>
      <c r="P313" s="1783"/>
    </row>
    <row r="314" spans="2:16">
      <c r="B314" s="1784"/>
      <c r="C314" s="1585" t="s">
        <v>1953</v>
      </c>
      <c r="D314" s="1586" t="str">
        <f>INDEX(CostVectors[Description], MATCH(C314, CostVectors[Code], 0))</f>
        <v>High estimate of capital costs</v>
      </c>
      <c r="E314" s="1586"/>
      <c r="F314" s="1587">
        <f>F245</f>
        <v>0</v>
      </c>
      <c r="G314" s="1587" t="e">
        <f t="shared" ref="G314:O315" ca="1" si="78">G245</f>
        <v>#REF!</v>
      </c>
      <c r="H314" s="1587" t="e">
        <f t="shared" ca="1" si="78"/>
        <v>#REF!</v>
      </c>
      <c r="I314" s="1587" t="e">
        <f t="shared" ca="1" si="78"/>
        <v>#REF!</v>
      </c>
      <c r="J314" s="1587" t="e">
        <f t="shared" ca="1" si="78"/>
        <v>#REF!</v>
      </c>
      <c r="K314" s="1587" t="e">
        <f t="shared" ca="1" si="78"/>
        <v>#REF!</v>
      </c>
      <c r="L314" s="1587" t="e">
        <f t="shared" ca="1" si="78"/>
        <v>#REF!</v>
      </c>
      <c r="M314" s="1587" t="e">
        <f t="shared" ca="1" si="78"/>
        <v>#REF!</v>
      </c>
      <c r="N314" s="1587" t="e">
        <f t="shared" ca="1" si="78"/>
        <v>#REF!</v>
      </c>
      <c r="O314" s="1587" t="e">
        <f t="shared" ca="1" si="78"/>
        <v>#REF!</v>
      </c>
      <c r="P314" s="1785"/>
    </row>
    <row r="315" spans="2:16">
      <c r="B315" s="1784"/>
      <c r="C315" s="1585" t="s">
        <v>1955</v>
      </c>
      <c r="D315" s="1586" t="str">
        <f>INDEX(CostVectors[Description], MATCH(C315, CostVectors[Code], 0))</f>
        <v>High estimate of operating costs</v>
      </c>
      <c r="E315" s="1586"/>
      <c r="F315" s="1587" t="e">
        <f ca="1">F246</f>
        <v>#REF!</v>
      </c>
      <c r="G315" s="1587" t="e">
        <f t="shared" ca="1" si="78"/>
        <v>#REF!</v>
      </c>
      <c r="H315" s="1587" t="e">
        <f t="shared" ca="1" si="78"/>
        <v>#REF!</v>
      </c>
      <c r="I315" s="1587" t="e">
        <f t="shared" ca="1" si="78"/>
        <v>#REF!</v>
      </c>
      <c r="J315" s="1587" t="e">
        <f t="shared" ca="1" si="78"/>
        <v>#REF!</v>
      </c>
      <c r="K315" s="1587" t="e">
        <f t="shared" ca="1" si="78"/>
        <v>#REF!</v>
      </c>
      <c r="L315" s="1587" t="e">
        <f t="shared" ca="1" si="78"/>
        <v>#REF!</v>
      </c>
      <c r="M315" s="1587" t="e">
        <f t="shared" ca="1" si="78"/>
        <v>#REF!</v>
      </c>
      <c r="N315" s="1587" t="e">
        <f t="shared" ca="1" si="78"/>
        <v>#REF!</v>
      </c>
      <c r="O315" s="1587">
        <f ca="1">O246</f>
        <v>0</v>
      </c>
      <c r="P315" s="1785"/>
    </row>
    <row r="316" spans="2:16">
      <c r="B316" s="1784"/>
      <c r="C316" s="1585" t="s">
        <v>1957</v>
      </c>
      <c r="D316" s="1586" t="str">
        <f>INDEX(CostVectors[Description], MATCH(C316, CostVectors[Code], 0))</f>
        <v>High estimate of fuel costs</v>
      </c>
      <c r="E316" s="1586"/>
      <c r="F316" s="1587"/>
      <c r="G316" s="1587"/>
      <c r="H316" s="1587"/>
      <c r="I316" s="1587"/>
      <c r="J316" s="1587"/>
      <c r="K316" s="1587"/>
      <c r="L316" s="1587"/>
      <c r="M316" s="1587"/>
      <c r="N316" s="1587"/>
      <c r="O316" s="1587"/>
      <c r="P316" s="1785"/>
    </row>
    <row r="317" spans="2:16">
      <c r="B317" s="1786"/>
      <c r="C317" s="1588"/>
      <c r="D317" s="1588"/>
      <c r="E317" s="1588"/>
      <c r="F317" s="1588"/>
      <c r="G317" s="1588"/>
      <c r="H317" s="1588"/>
      <c r="I317" s="1588"/>
      <c r="J317" s="1588"/>
      <c r="K317" s="1588"/>
      <c r="L317" s="1588"/>
      <c r="M317" s="1588"/>
      <c r="N317" s="1588"/>
      <c r="O317" s="1588"/>
      <c r="P317" s="1787"/>
    </row>
  </sheetData>
  <mergeCells count="3">
    <mergeCell ref="R153:S153"/>
    <mergeCell ref="D100:E100"/>
    <mergeCell ref="F100:G100"/>
  </mergeCells>
  <hyperlinks>
    <hyperlink ref="D136" r:id="rId1"/>
    <hyperlink ref="E2" r:id="rId2"/>
  </hyperlinks>
  <pageMargins left="0.70866141732283472" right="0.70866141732283472" top="0.74803149606299213" bottom="0.74803149606299213" header="0.31496062992125984" footer="0.31496062992125984"/>
  <pageSetup paperSize="9" orientation="portrait"/>
  <tableParts count="8">
    <tablePart r:id="rId3"/>
    <tablePart r:id="rId4"/>
    <tablePart r:id="rId5"/>
    <tablePart r:id="rId6"/>
    <tablePart r:id="rId7"/>
    <tablePart r:id="rId8"/>
    <tablePart r:id="rId9"/>
    <tablePart r:id="rId10"/>
  </tableParts>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theme="9"/>
    <outlinePr summaryBelow="0"/>
    <pageSetUpPr autoPageBreaks="0"/>
  </sheetPr>
  <dimension ref="A1:AG293"/>
  <sheetViews>
    <sheetView workbookViewId="0"/>
  </sheetViews>
  <sheetFormatPr baseColWidth="10" defaultColWidth="8.83203125" defaultRowHeight="13" x14ac:dyDescent="0"/>
  <cols>
    <col min="1" max="1" width="5.83203125" style="1824" customWidth="1"/>
    <col min="2" max="2" width="2.5" style="1824" customWidth="1"/>
    <col min="3" max="3" width="8.83203125" style="1824"/>
    <col min="4" max="4" width="28.1640625" style="1824" bestFit="1" customWidth="1"/>
    <col min="5" max="5" width="8.1640625" style="1824" customWidth="1"/>
    <col min="6" max="6" width="17.5" style="1824" customWidth="1"/>
    <col min="7" max="7" width="12.83203125" style="1824" customWidth="1"/>
    <col min="8" max="8" width="15.33203125" style="1824" customWidth="1"/>
    <col min="9" max="9" width="14.33203125" style="1824" customWidth="1"/>
    <col min="10" max="10" width="14" style="1824" customWidth="1"/>
    <col min="11" max="11" width="14.1640625" style="1824" customWidth="1"/>
    <col min="12" max="12" width="13.5" style="1824" customWidth="1"/>
    <col min="13" max="13" width="12.6640625" style="1824" customWidth="1"/>
    <col min="14" max="14" width="13.6640625" style="1824" customWidth="1"/>
    <col min="15" max="15" width="12.83203125" style="1824" customWidth="1"/>
    <col min="16" max="16" width="2.83203125" style="1824" customWidth="1"/>
    <col min="17" max="20" width="8.83203125" style="1824"/>
    <col min="21" max="21" width="9.83203125" style="1824" customWidth="1"/>
    <col min="22" max="16384" width="8.83203125" style="1824"/>
  </cols>
  <sheetData>
    <row r="1" spans="1:17" ht="20">
      <c r="A1" s="568" t="s">
        <v>68</v>
      </c>
      <c r="B1" s="568" t="str">
        <f>INDEX(Workstreams[Workstream], MATCH($A1, Workstreams[Code], 0))</f>
        <v>Hydrocarbon fuel power generation</v>
      </c>
      <c r="C1" s="568"/>
    </row>
    <row r="2" spans="1:17" s="532" customFormat="1" ht="19.5" customHeight="1">
      <c r="A2" s="10" t="s">
        <v>679</v>
      </c>
      <c r="B2" s="10" t="str">
        <f>INDEX(Modules[Module], MATCH($A2, Modules[Code], 0))</f>
        <v>Carbon Capture Storage (CCS)</v>
      </c>
      <c r="C2" s="10"/>
      <c r="E2" s="1903" t="s">
        <v>1988</v>
      </c>
    </row>
    <row r="4" spans="1:17" ht="22" collapsed="1">
      <c r="A4" s="851"/>
      <c r="B4" s="899" t="s">
        <v>995</v>
      </c>
      <c r="C4" s="862"/>
      <c r="D4" s="863"/>
      <c r="E4" s="864"/>
      <c r="F4" s="863"/>
      <c r="G4" s="863"/>
      <c r="H4" s="863"/>
      <c r="I4" s="863"/>
      <c r="J4" s="863"/>
      <c r="K4" s="863"/>
      <c r="L4" s="863"/>
      <c r="M4" s="863"/>
      <c r="N4" s="863"/>
      <c r="O4" s="863"/>
      <c r="P4" s="865"/>
    </row>
    <row r="5" spans="1:17">
      <c r="B5" s="900"/>
      <c r="C5" s="853"/>
      <c r="D5" s="854"/>
      <c r="E5" s="855"/>
      <c r="F5" s="854"/>
      <c r="G5" s="854"/>
      <c r="H5" s="854"/>
      <c r="I5" s="854"/>
      <c r="J5" s="854"/>
      <c r="K5" s="854"/>
      <c r="L5" s="854"/>
      <c r="M5" s="854"/>
      <c r="N5" s="854"/>
      <c r="O5" s="854"/>
      <c r="P5" s="856"/>
    </row>
    <row r="6" spans="1:17" ht="15">
      <c r="B6" s="905"/>
      <c r="C6" s="854"/>
      <c r="D6" s="642" t="s">
        <v>669</v>
      </c>
      <c r="E6" s="642" t="s">
        <v>992</v>
      </c>
      <c r="F6" s="854"/>
      <c r="G6" s="854"/>
      <c r="H6" s="854"/>
      <c r="I6" s="854"/>
      <c r="J6" s="854"/>
      <c r="K6" s="854"/>
      <c r="L6" s="854"/>
      <c r="M6" s="854"/>
      <c r="N6" s="854"/>
      <c r="O6" s="854"/>
      <c r="P6" s="856"/>
    </row>
    <row r="7" spans="1:17" ht="15">
      <c r="B7" s="905"/>
      <c r="C7" s="854"/>
      <c r="D7" s="930" t="s">
        <v>1510</v>
      </c>
      <c r="E7" s="1603">
        <f>I.b.1.Scenario</f>
        <v>2</v>
      </c>
      <c r="F7" s="854"/>
      <c r="G7" s="854"/>
      <c r="H7" s="854"/>
      <c r="I7" s="854"/>
      <c r="J7" s="854"/>
      <c r="K7" s="854"/>
      <c r="L7" s="854"/>
      <c r="M7" s="854"/>
      <c r="N7" s="854"/>
      <c r="O7" s="854"/>
      <c r="P7" s="856"/>
    </row>
    <row r="8" spans="1:17" ht="15">
      <c r="B8" s="905"/>
      <c r="C8" s="854"/>
      <c r="D8" s="931" t="s">
        <v>1511</v>
      </c>
      <c r="E8" s="931">
        <f>I.b.2.Scenario</f>
        <v>2</v>
      </c>
      <c r="F8" s="854"/>
      <c r="G8" s="854"/>
      <c r="H8" s="854"/>
      <c r="I8" s="854"/>
      <c r="J8" s="854"/>
      <c r="K8" s="854"/>
      <c r="L8" s="854"/>
      <c r="M8" s="854"/>
      <c r="N8" s="854"/>
      <c r="O8" s="854"/>
      <c r="P8" s="856"/>
    </row>
    <row r="9" spans="1:17" ht="15">
      <c r="B9" s="906"/>
      <c r="C9" s="859"/>
      <c r="D9" s="859"/>
      <c r="E9" s="859"/>
      <c r="F9" s="860"/>
      <c r="G9" s="860"/>
      <c r="H9" s="860"/>
      <c r="I9" s="860"/>
      <c r="J9" s="860"/>
      <c r="K9" s="860"/>
      <c r="L9" s="860"/>
      <c r="M9" s="860"/>
      <c r="N9" s="860"/>
      <c r="O9" s="860"/>
      <c r="P9" s="861"/>
    </row>
    <row r="10" spans="1:17">
      <c r="B10" s="901"/>
    </row>
    <row r="11" spans="1:17" s="532" customFormat="1" ht="22">
      <c r="A11" s="850"/>
      <c r="B11" s="902" t="s">
        <v>993</v>
      </c>
      <c r="C11" s="849"/>
      <c r="D11" s="847"/>
      <c r="E11" s="847"/>
      <c r="F11" s="847"/>
      <c r="G11" s="847"/>
      <c r="H11" s="847"/>
      <c r="I11" s="847"/>
      <c r="J11" s="847"/>
      <c r="K11" s="847"/>
      <c r="L11" s="847"/>
      <c r="M11" s="847"/>
      <c r="N11" s="847"/>
      <c r="O11" s="847"/>
      <c r="P11" s="848"/>
    </row>
    <row r="12" spans="1:17">
      <c r="B12" s="903"/>
      <c r="C12" s="610"/>
      <c r="D12" s="610"/>
      <c r="E12" s="610"/>
      <c r="F12" s="610"/>
      <c r="G12" s="610"/>
      <c r="H12" s="610"/>
      <c r="I12" s="610"/>
      <c r="J12" s="610"/>
      <c r="K12" s="610"/>
      <c r="L12" s="610"/>
      <c r="M12" s="610"/>
      <c r="N12" s="610"/>
      <c r="O12" s="610"/>
      <c r="P12" s="838"/>
    </row>
    <row r="13" spans="1:17">
      <c r="B13" s="903"/>
      <c r="C13" s="612" t="s">
        <v>1535</v>
      </c>
      <c r="D13" s="610"/>
      <c r="E13" s="613"/>
      <c r="F13" s="610"/>
      <c r="G13" s="610"/>
      <c r="H13" s="610"/>
      <c r="I13" s="610"/>
      <c r="J13" s="610"/>
      <c r="K13" s="610"/>
      <c r="L13" s="610"/>
      <c r="M13" s="610"/>
      <c r="N13" s="610"/>
      <c r="O13" s="613" t="str">
        <f>Preferences.PowerUnits &amp; " per annum, average, following period"</f>
        <v>GW per annum, average, following period</v>
      </c>
      <c r="P13" s="838"/>
    </row>
    <row r="14" spans="1:17" ht="5.25" customHeight="1">
      <c r="B14" s="903"/>
      <c r="C14" s="610"/>
      <c r="D14" s="610"/>
      <c r="E14" s="610"/>
      <c r="F14" s="610"/>
      <c r="G14" s="610"/>
      <c r="H14" s="610"/>
      <c r="I14" s="610"/>
      <c r="J14" s="610"/>
      <c r="K14" s="610"/>
      <c r="L14" s="610"/>
      <c r="M14" s="610"/>
      <c r="N14" s="610"/>
      <c r="O14" s="610"/>
      <c r="P14" s="838"/>
    </row>
    <row r="15" spans="1:17" ht="15">
      <c r="B15" s="904"/>
      <c r="C15" s="547" t="s">
        <v>992</v>
      </c>
      <c r="D15" s="547" t="s">
        <v>73</v>
      </c>
      <c r="E15" s="547" t="s">
        <v>421</v>
      </c>
      <c r="F15" s="1108">
        <v>2007</v>
      </c>
      <c r="G15" s="643">
        <v>2010</v>
      </c>
      <c r="H15" s="643">
        <v>2015</v>
      </c>
      <c r="I15" s="643">
        <v>2020</v>
      </c>
      <c r="J15" s="643">
        <v>2025</v>
      </c>
      <c r="K15" s="643">
        <v>2030</v>
      </c>
      <c r="L15" s="643">
        <v>2035</v>
      </c>
      <c r="M15" s="643">
        <v>2040</v>
      </c>
      <c r="N15" s="643">
        <v>2045</v>
      </c>
      <c r="O15" s="643">
        <v>2050</v>
      </c>
      <c r="P15" s="838"/>
      <c r="Q15" s="1601"/>
    </row>
    <row r="16" spans="1:17" ht="15">
      <c r="B16" s="904"/>
      <c r="C16" s="583">
        <v>1</v>
      </c>
      <c r="D16" s="584"/>
      <c r="E16" s="585" t="s">
        <v>1574</v>
      </c>
      <c r="F16" s="1110">
        <f>(Unit.GW)*0</f>
        <v>0</v>
      </c>
      <c r="G16" s="599">
        <v>0</v>
      </c>
      <c r="H16" s="599">
        <v>0</v>
      </c>
      <c r="I16" s="599">
        <f t="shared" ref="I16:N16" si="0">(Unit.GW)*0</f>
        <v>0</v>
      </c>
      <c r="J16" s="599">
        <f t="shared" si="0"/>
        <v>0</v>
      </c>
      <c r="K16" s="599">
        <f t="shared" si="0"/>
        <v>0</v>
      </c>
      <c r="L16" s="599">
        <f t="shared" si="0"/>
        <v>0</v>
      </c>
      <c r="M16" s="599">
        <f t="shared" si="0"/>
        <v>0</v>
      </c>
      <c r="N16" s="599">
        <f t="shared" si="0"/>
        <v>0</v>
      </c>
      <c r="O16" s="599"/>
      <c r="P16" s="838"/>
      <c r="Q16" s="1602"/>
    </row>
    <row r="17" spans="2:17" ht="15">
      <c r="B17" s="904"/>
      <c r="C17" s="583">
        <v>2</v>
      </c>
      <c r="D17" s="584"/>
      <c r="E17" s="584"/>
      <c r="F17" s="1110">
        <f>(Unit.GW)*0</f>
        <v>0</v>
      </c>
      <c r="G17" s="599">
        <v>0</v>
      </c>
      <c r="H17" s="599">
        <v>0</v>
      </c>
      <c r="I17" s="778">
        <f>(Unit.GW)*0.54</f>
        <v>0.54</v>
      </c>
      <c r="J17" s="778">
        <f>(Unit.GW)*1.14</f>
        <v>1.1399999999999999</v>
      </c>
      <c r="K17" s="778">
        <f>(Unit.GW)*1.5</f>
        <v>1.5</v>
      </c>
      <c r="L17" s="778">
        <f>(Unit.GW)*1.5</f>
        <v>1.5</v>
      </c>
      <c r="M17" s="778">
        <f>(Unit.GW)*1.5</f>
        <v>1.5</v>
      </c>
      <c r="N17" s="778">
        <f>(Unit.GW)*1.5</f>
        <v>1.5</v>
      </c>
      <c r="O17" s="778"/>
      <c r="P17" s="838"/>
      <c r="Q17" s="1602"/>
    </row>
    <row r="18" spans="2:17" ht="15">
      <c r="B18" s="904"/>
      <c r="C18" s="583">
        <v>3</v>
      </c>
      <c r="D18" s="584"/>
      <c r="E18" s="584"/>
      <c r="F18" s="1110">
        <f>(Unit.GW)*0</f>
        <v>0</v>
      </c>
      <c r="G18" s="599">
        <v>0</v>
      </c>
      <c r="H18" s="599">
        <v>0</v>
      </c>
      <c r="I18" s="778">
        <f>(Unit.GW)*0.98</f>
        <v>0.98</v>
      </c>
      <c r="J18" s="778">
        <f>(Unit.GW)*2</f>
        <v>2</v>
      </c>
      <c r="K18" s="778">
        <f>(Unit.GW)*2</f>
        <v>2</v>
      </c>
      <c r="L18" s="778">
        <f>(Unit.GW)*2</f>
        <v>2</v>
      </c>
      <c r="M18" s="778">
        <f>(Unit.GW)*2</f>
        <v>2</v>
      </c>
      <c r="N18" s="778">
        <f>(Unit.GW)*2</f>
        <v>2</v>
      </c>
      <c r="O18" s="778"/>
      <c r="P18" s="838"/>
      <c r="Q18" s="1602"/>
    </row>
    <row r="19" spans="2:17" ht="15">
      <c r="B19" s="904"/>
      <c r="C19" s="550">
        <v>4</v>
      </c>
      <c r="D19" s="625"/>
      <c r="E19" s="625"/>
      <c r="F19" s="1401">
        <f>(Unit.GW)*0</f>
        <v>0</v>
      </c>
      <c r="G19" s="626">
        <v>0</v>
      </c>
      <c r="H19" s="626">
        <v>0</v>
      </c>
      <c r="I19" s="1567">
        <f>(Unit.GW)*2</f>
        <v>2</v>
      </c>
      <c r="J19" s="1567">
        <v>2.8</v>
      </c>
      <c r="K19" s="1567">
        <f>(Unit.GW)*3</f>
        <v>3</v>
      </c>
      <c r="L19" s="1567">
        <f>(Unit.GW)*3</f>
        <v>3</v>
      </c>
      <c r="M19" s="1567">
        <f>(Unit.GW)*3</f>
        <v>3</v>
      </c>
      <c r="N19" s="1567">
        <f>(Unit.GW)*3</f>
        <v>3</v>
      </c>
      <c r="O19" s="1567"/>
      <c r="P19" s="838"/>
      <c r="Q19" s="1601"/>
    </row>
    <row r="20" spans="2:17" ht="15">
      <c r="B20" s="839"/>
      <c r="C20" s="1812" t="s">
        <v>971</v>
      </c>
      <c r="D20" s="1813"/>
      <c r="E20" s="1813"/>
      <c r="F20" s="1814">
        <f t="shared" ref="F20:O20" si="1">(INDEX(F$16:F$19,ROUNDDOWN($E$7,0))*(1-MOD($E$7,1)))+(INDEX(F$16:F$19,ROUNDUP($E$7,0))*MOD($E$7,1))</f>
        <v>0</v>
      </c>
      <c r="G20" s="1814">
        <f t="shared" si="1"/>
        <v>0</v>
      </c>
      <c r="H20" s="1814">
        <f t="shared" si="1"/>
        <v>0</v>
      </c>
      <c r="I20" s="1814">
        <f t="shared" si="1"/>
        <v>0.54</v>
      </c>
      <c r="J20" s="1814">
        <f t="shared" si="1"/>
        <v>1.1399999999999999</v>
      </c>
      <c r="K20" s="1814">
        <f t="shared" si="1"/>
        <v>1.5</v>
      </c>
      <c r="L20" s="1814">
        <f t="shared" si="1"/>
        <v>1.5</v>
      </c>
      <c r="M20" s="1814">
        <f t="shared" si="1"/>
        <v>1.5</v>
      </c>
      <c r="N20" s="1814">
        <f t="shared" si="1"/>
        <v>1.5</v>
      </c>
      <c r="O20" s="1815">
        <f t="shared" si="1"/>
        <v>0</v>
      </c>
      <c r="P20" s="838"/>
    </row>
    <row r="21" spans="2:17">
      <c r="B21" s="903"/>
      <c r="C21" s="610"/>
      <c r="D21" s="610"/>
      <c r="E21" s="610"/>
      <c r="F21" s="610"/>
      <c r="G21" s="610"/>
      <c r="H21" s="610"/>
      <c r="I21" s="610"/>
      <c r="J21" s="610"/>
      <c r="K21" s="610"/>
      <c r="L21" s="610"/>
      <c r="M21" s="610"/>
      <c r="N21" s="610"/>
      <c r="O21" s="610"/>
      <c r="P21" s="838"/>
      <c r="Q21" s="1601"/>
    </row>
    <row r="22" spans="2:17">
      <c r="B22" s="903"/>
      <c r="C22" s="612" t="s">
        <v>1514</v>
      </c>
      <c r="D22" s="610"/>
      <c r="E22" s="610"/>
      <c r="F22" s="610"/>
      <c r="G22" s="610"/>
      <c r="H22" s="610"/>
      <c r="I22" s="610"/>
      <c r="J22" s="610"/>
      <c r="K22" s="610"/>
      <c r="L22" s="610"/>
      <c r="M22" s="610"/>
      <c r="N22" s="610"/>
      <c r="O22" s="613"/>
      <c r="P22" s="838"/>
      <c r="Q22" s="1601"/>
    </row>
    <row r="23" spans="2:17" ht="6.75" customHeight="1">
      <c r="B23" s="903"/>
      <c r="C23" s="612"/>
      <c r="D23" s="610"/>
      <c r="E23" s="610"/>
      <c r="F23" s="610"/>
      <c r="G23" s="610"/>
      <c r="H23" s="610"/>
      <c r="I23" s="610"/>
      <c r="J23" s="610"/>
      <c r="K23" s="610"/>
      <c r="L23" s="610"/>
      <c r="M23" s="610"/>
      <c r="N23" s="610"/>
      <c r="O23" s="613"/>
      <c r="P23" s="838"/>
      <c r="Q23" s="1601"/>
    </row>
    <row r="24" spans="2:17" ht="22">
      <c r="B24" s="903"/>
      <c r="C24" s="1568"/>
      <c r="D24" s="1568"/>
      <c r="E24" s="1568"/>
      <c r="F24" s="618" t="s">
        <v>1512</v>
      </c>
      <c r="G24" s="618" t="s">
        <v>1513</v>
      </c>
      <c r="H24" s="610"/>
      <c r="I24" s="610"/>
      <c r="J24" s="610"/>
      <c r="K24" s="610"/>
      <c r="L24" s="610"/>
      <c r="M24" s="610"/>
      <c r="N24" s="610"/>
      <c r="O24" s="610"/>
      <c r="P24" s="838"/>
    </row>
    <row r="25" spans="2:17" ht="15">
      <c r="B25" s="904"/>
      <c r="C25" s="616" t="s">
        <v>992</v>
      </c>
      <c r="D25" s="616" t="s">
        <v>73</v>
      </c>
      <c r="E25" s="616" t="s">
        <v>421</v>
      </c>
      <c r="F25" s="617" t="s">
        <v>42</v>
      </c>
      <c r="G25" s="617" t="s">
        <v>45</v>
      </c>
      <c r="H25" s="610"/>
      <c r="I25" s="610"/>
      <c r="J25" s="610"/>
      <c r="K25" s="610"/>
      <c r="L25" s="610"/>
      <c r="M25" s="610"/>
      <c r="N25" s="610"/>
      <c r="O25" s="610"/>
      <c r="P25" s="838"/>
    </row>
    <row r="26" spans="2:17" ht="15">
      <c r="B26" s="904"/>
      <c r="C26" s="583">
        <v>1</v>
      </c>
      <c r="D26" s="584"/>
      <c r="E26" s="585"/>
      <c r="F26" s="1143">
        <v>1</v>
      </c>
      <c r="G26" s="611">
        <v>0</v>
      </c>
      <c r="H26" s="610"/>
      <c r="I26" s="610"/>
      <c r="J26" s="610"/>
      <c r="K26" s="610"/>
      <c r="L26" s="610"/>
      <c r="M26" s="610"/>
      <c r="N26" s="610"/>
      <c r="O26" s="610"/>
      <c r="P26" s="838"/>
    </row>
    <row r="27" spans="2:17" ht="15">
      <c r="B27" s="904"/>
      <c r="C27" s="583">
        <v>2</v>
      </c>
      <c r="D27" s="584"/>
      <c r="E27" s="584"/>
      <c r="F27" s="1143">
        <v>0.66666000000000003</v>
      </c>
      <c r="G27" s="619">
        <f>1-F27</f>
        <v>0.33333999999999997</v>
      </c>
      <c r="H27" s="610"/>
      <c r="I27" s="610"/>
      <c r="J27" s="610"/>
      <c r="K27" s="584"/>
      <c r="L27" s="584"/>
      <c r="M27" s="599"/>
      <c r="N27" s="610"/>
      <c r="O27" s="610"/>
      <c r="P27" s="838"/>
    </row>
    <row r="28" spans="2:17" ht="15">
      <c r="B28" s="904"/>
      <c r="C28" s="583">
        <v>3</v>
      </c>
      <c r="D28" s="584"/>
      <c r="E28" s="584"/>
      <c r="F28" s="1143">
        <f>G27</f>
        <v>0.33333999999999997</v>
      </c>
      <c r="G28" s="619">
        <f>F27</f>
        <v>0.66666000000000003</v>
      </c>
      <c r="H28" s="610"/>
      <c r="I28" s="610"/>
      <c r="J28" s="610"/>
      <c r="K28" s="584"/>
      <c r="L28" s="584"/>
      <c r="M28" s="599"/>
      <c r="N28" s="610"/>
      <c r="O28" s="610"/>
      <c r="P28" s="838"/>
    </row>
    <row r="29" spans="2:17" ht="15">
      <c r="B29" s="904"/>
      <c r="C29" s="550">
        <v>4</v>
      </c>
      <c r="D29" s="551"/>
      <c r="E29" s="551"/>
      <c r="F29" s="1144">
        <v>0</v>
      </c>
      <c r="G29" s="620">
        <v>1</v>
      </c>
      <c r="H29" s="610"/>
      <c r="I29" s="610"/>
      <c r="J29" s="610"/>
      <c r="K29" s="610"/>
      <c r="L29" s="610"/>
      <c r="M29" s="610"/>
      <c r="N29" s="610"/>
      <c r="O29" s="610"/>
      <c r="P29" s="838"/>
    </row>
    <row r="30" spans="2:17" ht="15">
      <c r="B30" s="904"/>
      <c r="C30" s="583"/>
      <c r="D30" s="584"/>
      <c r="E30" s="584"/>
      <c r="F30" s="611"/>
      <c r="G30" s="619"/>
      <c r="H30" s="610"/>
      <c r="I30" s="610"/>
      <c r="J30" s="610"/>
      <c r="K30" s="610"/>
      <c r="L30" s="610"/>
      <c r="M30" s="610"/>
      <c r="N30" s="610"/>
      <c r="O30" s="610"/>
      <c r="P30" s="838"/>
    </row>
    <row r="31" spans="2:17" ht="15">
      <c r="B31" s="904"/>
      <c r="C31" s="615" t="s">
        <v>1517</v>
      </c>
      <c r="D31" s="584"/>
      <c r="E31" s="584"/>
      <c r="F31" s="611"/>
      <c r="G31" s="619"/>
      <c r="H31" s="610"/>
      <c r="I31" s="610"/>
      <c r="J31" s="610"/>
      <c r="K31" s="610"/>
      <c r="L31" s="610"/>
      <c r="M31" s="610"/>
      <c r="N31" s="610"/>
      <c r="O31" s="610"/>
      <c r="P31" s="838"/>
    </row>
    <row r="32" spans="2:17" ht="4.5" customHeight="1">
      <c r="B32" s="904"/>
      <c r="C32" s="615"/>
      <c r="D32" s="584"/>
      <c r="E32" s="584"/>
      <c r="F32" s="611"/>
      <c r="G32" s="619"/>
      <c r="H32" s="610"/>
      <c r="I32" s="610"/>
      <c r="J32" s="610"/>
      <c r="K32" s="610"/>
      <c r="L32" s="610"/>
      <c r="M32" s="610"/>
      <c r="N32" s="610"/>
      <c r="O32" s="610"/>
      <c r="P32" s="838"/>
    </row>
    <row r="33" spans="1:16" ht="15">
      <c r="B33" s="904"/>
      <c r="C33" s="547" t="s">
        <v>992</v>
      </c>
      <c r="D33" s="547" t="s">
        <v>73</v>
      </c>
      <c r="E33" s="547" t="s">
        <v>421</v>
      </c>
      <c r="F33" s="1108">
        <v>2007</v>
      </c>
      <c r="G33" s="643">
        <v>2010</v>
      </c>
      <c r="H33" s="643">
        <v>2015</v>
      </c>
      <c r="I33" s="643">
        <v>2020</v>
      </c>
      <c r="J33" s="643">
        <v>2025</v>
      </c>
      <c r="K33" s="643">
        <v>2030</v>
      </c>
      <c r="L33" s="643">
        <v>2035</v>
      </c>
      <c r="M33" s="643">
        <v>2040</v>
      </c>
      <c r="N33" s="643">
        <v>2045</v>
      </c>
      <c r="O33" s="643">
        <v>2050</v>
      </c>
      <c r="P33" s="838"/>
    </row>
    <row r="34" spans="1:16">
      <c r="B34" s="903"/>
      <c r="C34" s="583" t="s">
        <v>1515</v>
      </c>
      <c r="D34" s="1389"/>
      <c r="E34" s="1389"/>
      <c r="F34" s="1378"/>
      <c r="G34" s="611">
        <v>0.7</v>
      </c>
      <c r="H34" s="611">
        <v>0.7</v>
      </c>
      <c r="I34" s="611">
        <v>0.7</v>
      </c>
      <c r="J34" s="611">
        <v>0.7</v>
      </c>
      <c r="K34" s="611">
        <v>0.5</v>
      </c>
      <c r="L34" s="611">
        <v>0.3</v>
      </c>
      <c r="M34" s="611">
        <v>0.3</v>
      </c>
      <c r="N34" s="611">
        <v>0.3</v>
      </c>
      <c r="O34" s="611">
        <v>0.3</v>
      </c>
      <c r="P34" s="838"/>
    </row>
    <row r="35" spans="1:16">
      <c r="B35" s="903"/>
      <c r="C35" s="624" t="s">
        <v>1516</v>
      </c>
      <c r="D35" s="626"/>
      <c r="E35" s="626"/>
      <c r="F35" s="1401"/>
      <c r="G35" s="1099">
        <v>0.3</v>
      </c>
      <c r="H35" s="1099">
        <v>0.3</v>
      </c>
      <c r="I35" s="1099">
        <v>0.3</v>
      </c>
      <c r="J35" s="1099">
        <v>0.3</v>
      </c>
      <c r="K35" s="1099">
        <v>0.5</v>
      </c>
      <c r="L35" s="1099">
        <v>0.7</v>
      </c>
      <c r="M35" s="1099">
        <v>0.7</v>
      </c>
      <c r="N35" s="1099">
        <v>0.7</v>
      </c>
      <c r="O35" s="1099">
        <v>0.7</v>
      </c>
      <c r="P35" s="838"/>
    </row>
    <row r="36" spans="1:16">
      <c r="B36" s="903"/>
      <c r="C36" s="610"/>
      <c r="D36" s="584"/>
      <c r="E36" s="599"/>
      <c r="F36" s="778"/>
      <c r="G36" s="778"/>
      <c r="H36" s="778"/>
      <c r="I36" s="778"/>
      <c r="J36" s="778"/>
      <c r="K36" s="778"/>
      <c r="L36" s="778"/>
      <c r="M36" s="778"/>
      <c r="N36" s="778"/>
      <c r="O36" s="610"/>
      <c r="P36" s="838"/>
    </row>
    <row r="37" spans="1:16">
      <c r="B37" s="903"/>
      <c r="C37" s="610" t="s">
        <v>601</v>
      </c>
      <c r="D37" s="584"/>
      <c r="E37" s="599"/>
      <c r="F37" s="778"/>
      <c r="G37" s="778"/>
      <c r="H37" s="778"/>
      <c r="I37" s="778"/>
      <c r="J37" s="778"/>
      <c r="K37" s="778"/>
      <c r="L37" s="778"/>
      <c r="M37" s="778"/>
      <c r="N37" s="778"/>
      <c r="O37" s="610"/>
      <c r="P37" s="838"/>
    </row>
    <row r="38" spans="1:16">
      <c r="B38" s="903"/>
      <c r="C38" s="613" t="s">
        <v>102</v>
      </c>
      <c r="D38" s="610" t="s">
        <v>1892</v>
      </c>
      <c r="E38" s="610"/>
      <c r="F38" s="610"/>
      <c r="G38" s="610"/>
      <c r="H38" s="610"/>
      <c r="I38" s="610"/>
      <c r="J38" s="610"/>
      <c r="K38" s="610"/>
      <c r="L38" s="610"/>
      <c r="M38" s="610"/>
      <c r="N38" s="610"/>
      <c r="O38" s="610"/>
      <c r="P38" s="838"/>
    </row>
    <row r="39" spans="1:16">
      <c r="B39" s="903"/>
      <c r="C39" s="613"/>
      <c r="D39" s="610" t="s">
        <v>1893</v>
      </c>
      <c r="E39" s="610"/>
      <c r="F39" s="610"/>
      <c r="G39" s="610"/>
      <c r="H39" s="610"/>
      <c r="I39" s="610"/>
      <c r="J39" s="610"/>
      <c r="K39" s="610"/>
      <c r="L39" s="610"/>
      <c r="M39" s="610"/>
      <c r="N39" s="610"/>
      <c r="O39" s="610"/>
      <c r="P39" s="838"/>
    </row>
    <row r="40" spans="1:16">
      <c r="B40" s="901"/>
    </row>
    <row r="41" spans="1:16" s="532" customFormat="1" ht="22">
      <c r="A41" s="850"/>
      <c r="B41" s="902" t="s">
        <v>643</v>
      </c>
      <c r="C41" s="849"/>
      <c r="D41" s="847"/>
      <c r="E41" s="847"/>
      <c r="F41" s="847"/>
      <c r="G41" s="847"/>
      <c r="H41" s="847"/>
      <c r="I41" s="847"/>
      <c r="J41" s="847"/>
      <c r="K41" s="847"/>
      <c r="L41" s="847"/>
      <c r="M41" s="847"/>
      <c r="N41" s="847"/>
      <c r="O41" s="847"/>
      <c r="P41" s="848"/>
    </row>
    <row r="42" spans="1:16">
      <c r="B42" s="837"/>
      <c r="C42" s="610"/>
      <c r="D42" s="610"/>
      <c r="E42" s="610"/>
      <c r="F42" s="773" t="e">
        <f>#REF!/#REF!</f>
        <v>#REF!</v>
      </c>
      <c r="G42" s="610"/>
      <c r="H42" s="610"/>
      <c r="I42" s="610"/>
      <c r="J42" s="610"/>
      <c r="K42" s="610"/>
      <c r="L42" s="610"/>
      <c r="M42" s="610"/>
      <c r="N42" s="610"/>
      <c r="O42" s="610"/>
      <c r="P42" s="838"/>
    </row>
    <row r="43" spans="1:16" ht="8.25" customHeight="1">
      <c r="B43" s="837"/>
      <c r="C43" s="612" t="s">
        <v>1536</v>
      </c>
      <c r="D43" s="610"/>
      <c r="E43" s="610"/>
      <c r="F43" s="773" t="e">
        <f>#REF!/#REF!</f>
        <v>#REF!</v>
      </c>
      <c r="G43" s="610"/>
      <c r="H43" s="610"/>
      <c r="I43" s="610"/>
      <c r="J43" s="610"/>
      <c r="K43" s="610"/>
      <c r="L43" s="610"/>
      <c r="M43" s="610"/>
      <c r="N43" s="610"/>
      <c r="O43" s="610"/>
      <c r="P43" s="838"/>
    </row>
    <row r="44" spans="1:16">
      <c r="B44" s="837"/>
      <c r="C44" s="612"/>
      <c r="D44" s="610"/>
      <c r="E44" s="610"/>
      <c r="F44" s="558" t="e">
        <f>#REF!/#REF!</f>
        <v>#REF!</v>
      </c>
      <c r="G44" s="610"/>
      <c r="H44" s="610"/>
      <c r="I44" s="610"/>
      <c r="J44" s="610"/>
      <c r="K44" s="610"/>
      <c r="L44" s="610"/>
      <c r="M44" s="610"/>
      <c r="N44" s="610"/>
      <c r="O44" s="610"/>
      <c r="P44" s="838"/>
    </row>
    <row r="45" spans="1:16" ht="14">
      <c r="B45" s="837"/>
      <c r="C45" s="1599" t="s">
        <v>600</v>
      </c>
      <c r="D45" s="1600"/>
      <c r="E45" s="1600" t="s">
        <v>421</v>
      </c>
      <c r="F45" s="1600">
        <v>2007</v>
      </c>
      <c r="G45" s="1599">
        <v>2010</v>
      </c>
      <c r="H45" s="1599">
        <v>2015</v>
      </c>
      <c r="I45" s="1599">
        <v>2020</v>
      </c>
      <c r="J45" s="1599">
        <v>2025</v>
      </c>
      <c r="K45" s="1599">
        <v>2030</v>
      </c>
      <c r="L45" s="1599">
        <v>2035</v>
      </c>
      <c r="M45" s="1599">
        <v>2040</v>
      </c>
      <c r="N45" s="1599">
        <v>2045</v>
      </c>
      <c r="O45" s="1599">
        <v>2050</v>
      </c>
      <c r="P45" s="838"/>
    </row>
    <row r="46" spans="1:16" ht="14">
      <c r="B46" s="837"/>
      <c r="C46" s="1569" t="s">
        <v>42</v>
      </c>
      <c r="D46" s="1595" t="s">
        <v>1515</v>
      </c>
      <c r="E46" s="1595"/>
      <c r="F46" s="1595"/>
      <c r="G46" s="1569">
        <v>0</v>
      </c>
      <c r="H46" s="1569">
        <v>0.4</v>
      </c>
      <c r="I46" s="1569">
        <v>0.8</v>
      </c>
      <c r="J46" s="1569">
        <v>0.8</v>
      </c>
      <c r="K46" s="1569">
        <v>0.8</v>
      </c>
      <c r="L46" s="1569">
        <v>0.8</v>
      </c>
      <c r="M46" s="1569">
        <v>0.8</v>
      </c>
      <c r="N46" s="1569">
        <v>0.8</v>
      </c>
      <c r="O46" s="1569">
        <v>0.8</v>
      </c>
      <c r="P46" s="838"/>
    </row>
    <row r="47" spans="1:16" ht="14">
      <c r="B47" s="837"/>
      <c r="C47" s="1569" t="s">
        <v>42</v>
      </c>
      <c r="D47" s="1595" t="s">
        <v>1516</v>
      </c>
      <c r="E47" s="1595"/>
      <c r="F47" s="1595"/>
      <c r="G47" s="1569">
        <v>0</v>
      </c>
      <c r="H47" s="1569">
        <v>0</v>
      </c>
      <c r="I47" s="1569">
        <v>0.45</v>
      </c>
      <c r="J47" s="1569">
        <v>0.45</v>
      </c>
      <c r="K47" s="1569">
        <v>0.45</v>
      </c>
      <c r="L47" s="1569">
        <v>0.45</v>
      </c>
      <c r="M47" s="1569">
        <v>0.45</v>
      </c>
      <c r="N47" s="1569">
        <v>0.45</v>
      </c>
      <c r="O47" s="1569">
        <v>0.45</v>
      </c>
      <c r="P47" s="838"/>
    </row>
    <row r="48" spans="1:16" ht="14">
      <c r="B48" s="837"/>
      <c r="C48" s="1598" t="s">
        <v>1518</v>
      </c>
      <c r="D48" s="1596" t="s">
        <v>14</v>
      </c>
      <c r="E48" s="1596"/>
      <c r="F48" s="1596"/>
      <c r="G48" s="1598">
        <v>0</v>
      </c>
      <c r="H48" s="1598">
        <v>0.45</v>
      </c>
      <c r="I48" s="1598">
        <v>0.45</v>
      </c>
      <c r="J48" s="1598">
        <v>0.45</v>
      </c>
      <c r="K48" s="1598">
        <v>0.45</v>
      </c>
      <c r="L48" s="1598">
        <v>0.45</v>
      </c>
      <c r="M48" s="1598">
        <v>0.45</v>
      </c>
      <c r="N48" s="1598">
        <v>0.45</v>
      </c>
      <c r="O48" s="1598">
        <v>0.45</v>
      </c>
      <c r="P48" s="838"/>
    </row>
    <row r="49" spans="2:30">
      <c r="B49" s="837"/>
      <c r="C49" s="610"/>
      <c r="D49" s="610"/>
      <c r="E49" s="610"/>
      <c r="F49" s="610"/>
      <c r="G49" s="610"/>
      <c r="H49" s="610"/>
      <c r="I49" s="610"/>
      <c r="J49" s="610"/>
      <c r="K49" s="610"/>
      <c r="L49" s="610"/>
      <c r="M49" s="610"/>
      <c r="N49" s="610"/>
      <c r="O49" s="610"/>
      <c r="P49" s="838"/>
    </row>
    <row r="50" spans="2:30">
      <c r="B50" s="840"/>
      <c r="C50" s="612" t="s">
        <v>1537</v>
      </c>
      <c r="D50" s="610"/>
      <c r="E50" s="610"/>
      <c r="F50" s="610"/>
      <c r="G50" s="613"/>
      <c r="H50" s="610"/>
      <c r="I50" s="610"/>
      <c r="J50" s="610"/>
      <c r="K50" s="610"/>
      <c r="L50" s="610"/>
      <c r="M50" s="610"/>
      <c r="N50" s="610"/>
      <c r="O50" s="610"/>
      <c r="P50" s="838"/>
    </row>
    <row r="51" spans="2:30">
      <c r="B51" s="837"/>
      <c r="C51" s="610"/>
      <c r="D51" s="610"/>
      <c r="E51" s="610"/>
      <c r="F51" s="610"/>
      <c r="G51" s="610"/>
      <c r="H51" s="610"/>
      <c r="I51" s="610"/>
      <c r="J51" s="610"/>
      <c r="K51" s="610"/>
      <c r="L51" s="610"/>
      <c r="M51" s="610"/>
      <c r="N51" s="610"/>
      <c r="O51" s="610"/>
      <c r="P51" s="838"/>
    </row>
    <row r="52" spans="2:30" ht="15">
      <c r="B52" s="839"/>
      <c r="C52" s="1827" t="s">
        <v>600</v>
      </c>
      <c r="D52" s="1827" t="s">
        <v>614</v>
      </c>
      <c r="E52" s="1827" t="s">
        <v>421</v>
      </c>
      <c r="F52" s="1828">
        <v>2007</v>
      </c>
      <c r="G52" s="1829">
        <v>2010</v>
      </c>
      <c r="H52" s="1828">
        <v>2015</v>
      </c>
      <c r="I52" s="1828">
        <v>2020</v>
      </c>
      <c r="J52" s="1828">
        <v>2025</v>
      </c>
      <c r="K52" s="1828">
        <v>2030</v>
      </c>
      <c r="L52" s="1828">
        <v>2035</v>
      </c>
      <c r="M52" s="1828">
        <v>2040</v>
      </c>
      <c r="N52" s="1828">
        <v>2045</v>
      </c>
      <c r="O52" s="1828">
        <v>2050</v>
      </c>
      <c r="P52" s="838"/>
    </row>
    <row r="53" spans="2:30" ht="15">
      <c r="B53" s="839"/>
      <c r="C53" s="1830" t="s">
        <v>42</v>
      </c>
      <c r="D53" s="1831" t="s">
        <v>1515</v>
      </c>
      <c r="E53" s="1832"/>
      <c r="F53" s="1833">
        <v>0.44</v>
      </c>
      <c r="G53" s="1833">
        <v>0.44</v>
      </c>
      <c r="H53" s="1833">
        <v>0.44</v>
      </c>
      <c r="I53" s="1833">
        <v>0.45</v>
      </c>
      <c r="J53" s="1833">
        <v>0.46</v>
      </c>
      <c r="K53" s="1833">
        <v>0.47</v>
      </c>
      <c r="L53" s="1833">
        <v>0.48</v>
      </c>
      <c r="M53" s="1833">
        <v>0.48</v>
      </c>
      <c r="N53" s="1833">
        <v>0.49</v>
      </c>
      <c r="O53" s="1833">
        <v>0.5</v>
      </c>
      <c r="P53" s="838"/>
    </row>
    <row r="54" spans="2:30" ht="15">
      <c r="B54" s="839"/>
      <c r="C54" s="1834" t="s">
        <v>42</v>
      </c>
      <c r="D54" s="1835" t="s">
        <v>1516</v>
      </c>
      <c r="E54" s="1836"/>
      <c r="F54" s="1837">
        <v>0.44</v>
      </c>
      <c r="G54" s="1837">
        <v>0.44</v>
      </c>
      <c r="H54" s="1837">
        <v>0.44</v>
      </c>
      <c r="I54" s="1837">
        <v>0.45</v>
      </c>
      <c r="J54" s="1837">
        <v>0.46</v>
      </c>
      <c r="K54" s="1837">
        <v>0.47</v>
      </c>
      <c r="L54" s="1837">
        <v>0.48</v>
      </c>
      <c r="M54" s="1837">
        <v>0.48</v>
      </c>
      <c r="N54" s="1837">
        <v>0.49</v>
      </c>
      <c r="O54" s="1837">
        <v>0.5</v>
      </c>
      <c r="P54" s="838"/>
    </row>
    <row r="55" spans="2:30" s="532" customFormat="1" ht="15">
      <c r="B55" s="841"/>
      <c r="C55" s="1838" t="s">
        <v>45</v>
      </c>
      <c r="D55" s="1839" t="s">
        <v>14</v>
      </c>
      <c r="E55" s="1840"/>
      <c r="F55" s="1841">
        <v>0.56000000000000005</v>
      </c>
      <c r="G55" s="1841">
        <v>0.56000000000000005</v>
      </c>
      <c r="H55" s="1841">
        <v>0.57999999999999996</v>
      </c>
      <c r="I55" s="1841">
        <v>0.59</v>
      </c>
      <c r="J55" s="1841">
        <v>0.6</v>
      </c>
      <c r="K55" s="1841">
        <v>0.61</v>
      </c>
      <c r="L55" s="1841">
        <v>0.62</v>
      </c>
      <c r="M55" s="1841">
        <v>0.63</v>
      </c>
      <c r="N55" s="1841">
        <v>0.64</v>
      </c>
      <c r="O55" s="1841">
        <v>0.65</v>
      </c>
      <c r="P55" s="842"/>
      <c r="R55" s="1824"/>
      <c r="S55" s="1824"/>
      <c r="T55" s="1824"/>
      <c r="U55" s="1824"/>
      <c r="V55" s="1824"/>
      <c r="W55" s="1824"/>
      <c r="X55" s="1824"/>
      <c r="Y55" s="1824"/>
      <c r="Z55" s="1824"/>
      <c r="AA55" s="1824"/>
      <c r="AB55" s="1824"/>
      <c r="AC55" s="1824"/>
      <c r="AD55" s="1824"/>
    </row>
    <row r="56" spans="2:30">
      <c r="B56" s="837"/>
      <c r="C56" s="610"/>
      <c r="D56" s="610"/>
      <c r="E56" s="610"/>
      <c r="F56" s="610"/>
      <c r="G56" s="610"/>
      <c r="H56" s="610"/>
      <c r="I56" s="610"/>
      <c r="J56" s="610"/>
      <c r="K56" s="610"/>
      <c r="L56" s="610"/>
      <c r="M56" s="610"/>
      <c r="N56" s="610"/>
      <c r="O56" s="610"/>
      <c r="P56" s="838"/>
    </row>
    <row r="57" spans="2:30">
      <c r="B57" s="837"/>
      <c r="C57" s="612" t="s">
        <v>1897</v>
      </c>
      <c r="D57" s="610"/>
      <c r="E57" s="610"/>
      <c r="F57" s="610"/>
      <c r="G57" s="613"/>
      <c r="H57" s="610"/>
      <c r="I57" s="610"/>
      <c r="J57" s="610"/>
      <c r="K57" s="610"/>
      <c r="L57" s="610"/>
      <c r="M57" s="610"/>
      <c r="N57" s="610"/>
      <c r="O57" s="610"/>
      <c r="P57" s="838"/>
    </row>
    <row r="58" spans="2:30" ht="3" customHeight="1">
      <c r="B58" s="837"/>
      <c r="C58" s="610"/>
      <c r="D58" s="610"/>
      <c r="E58" s="610"/>
      <c r="F58" s="610"/>
      <c r="G58" s="610"/>
      <c r="H58" s="610"/>
      <c r="I58" s="610"/>
      <c r="J58" s="610"/>
      <c r="K58" s="610"/>
      <c r="L58" s="610"/>
      <c r="M58" s="610"/>
      <c r="N58" s="610"/>
      <c r="O58" s="610"/>
      <c r="P58" s="838"/>
    </row>
    <row r="59" spans="2:30" ht="15">
      <c r="B59" s="839"/>
      <c r="C59" s="1842" t="s">
        <v>1010</v>
      </c>
      <c r="D59" s="1842" t="s">
        <v>614</v>
      </c>
      <c r="E59" s="1842" t="s">
        <v>421</v>
      </c>
      <c r="F59" s="1843">
        <v>2007</v>
      </c>
      <c r="G59" s="1843">
        <v>2010</v>
      </c>
      <c r="H59" s="1843">
        <v>2015</v>
      </c>
      <c r="I59" s="1843">
        <v>2020</v>
      </c>
      <c r="J59" s="1843">
        <v>2025</v>
      </c>
      <c r="K59" s="1843">
        <v>2030</v>
      </c>
      <c r="L59" s="1843">
        <v>2035</v>
      </c>
      <c r="M59" s="1843">
        <v>2040</v>
      </c>
      <c r="N59" s="1843">
        <v>2045</v>
      </c>
      <c r="O59" s="1843">
        <v>2050</v>
      </c>
      <c r="P59" s="838"/>
    </row>
    <row r="60" spans="2:30" ht="15">
      <c r="B60" s="839"/>
      <c r="C60" s="1834" t="s">
        <v>42</v>
      </c>
      <c r="D60" s="1835" t="s">
        <v>1515</v>
      </c>
      <c r="E60" s="1836"/>
      <c r="F60" s="1844"/>
      <c r="G60" s="1844">
        <v>7.0000000000000007E-2</v>
      </c>
      <c r="H60" s="1844">
        <v>7.0000000000000007E-2</v>
      </c>
      <c r="I60" s="1844">
        <v>7.0000000000000007E-2</v>
      </c>
      <c r="J60" s="1844">
        <v>7.0000000000000007E-2</v>
      </c>
      <c r="K60" s="1844">
        <v>7.0000000000000007E-2</v>
      </c>
      <c r="L60" s="1844">
        <v>7.0000000000000007E-2</v>
      </c>
      <c r="M60" s="1844">
        <v>7.0000000000000007E-2</v>
      </c>
      <c r="N60" s="1844">
        <v>7.0000000000000007E-2</v>
      </c>
      <c r="O60" s="1844">
        <v>7.0000000000000007E-2</v>
      </c>
      <c r="P60" s="838"/>
    </row>
    <row r="61" spans="2:30" ht="15">
      <c r="B61" s="839"/>
      <c r="C61" s="1834" t="s">
        <v>42</v>
      </c>
      <c r="D61" s="1835" t="s">
        <v>1516</v>
      </c>
      <c r="E61" s="1836"/>
      <c r="F61" s="1844"/>
      <c r="G61" s="1844">
        <v>0.05</v>
      </c>
      <c r="H61" s="1844">
        <v>0.05</v>
      </c>
      <c r="I61" s="1844">
        <v>0.05</v>
      </c>
      <c r="J61" s="1844">
        <v>0.05</v>
      </c>
      <c r="K61" s="1844">
        <v>0.05</v>
      </c>
      <c r="L61" s="1844">
        <v>0.05</v>
      </c>
      <c r="M61" s="1844">
        <v>0.05</v>
      </c>
      <c r="N61" s="1844">
        <v>0.05</v>
      </c>
      <c r="O61" s="1844">
        <v>0.05</v>
      </c>
      <c r="P61" s="838"/>
    </row>
    <row r="62" spans="2:30" ht="15">
      <c r="B62" s="839"/>
      <c r="C62" s="1845" t="s">
        <v>45</v>
      </c>
      <c r="D62" s="1846" t="s">
        <v>14</v>
      </c>
      <c r="E62" s="1847"/>
      <c r="F62" s="1848"/>
      <c r="G62" s="1848">
        <v>0.02</v>
      </c>
      <c r="H62" s="1848">
        <v>0.02</v>
      </c>
      <c r="I62" s="1848">
        <v>0.02</v>
      </c>
      <c r="J62" s="1848">
        <v>0.02</v>
      </c>
      <c r="K62" s="1848">
        <v>0.02</v>
      </c>
      <c r="L62" s="1848">
        <v>0.02</v>
      </c>
      <c r="M62" s="1848">
        <v>0.02</v>
      </c>
      <c r="N62" s="1848">
        <v>0.02</v>
      </c>
      <c r="O62" s="1848">
        <v>0.02</v>
      </c>
      <c r="P62" s="838"/>
    </row>
    <row r="63" spans="2:30" ht="15">
      <c r="B63" s="839"/>
      <c r="C63" s="583"/>
      <c r="D63" s="584"/>
      <c r="E63" s="584"/>
      <c r="F63" s="611"/>
      <c r="G63" s="619"/>
      <c r="H63" s="1146"/>
      <c r="I63" s="1146"/>
      <c r="J63" s="1146"/>
      <c r="K63" s="1146"/>
      <c r="L63" s="1146"/>
      <c r="M63" s="1146"/>
      <c r="N63" s="1146"/>
      <c r="O63" s="619"/>
      <c r="P63" s="838"/>
    </row>
    <row r="64" spans="2:30" ht="15">
      <c r="B64" s="839"/>
      <c r="C64" s="612" t="s">
        <v>1899</v>
      </c>
      <c r="D64" s="584"/>
      <c r="E64" s="584"/>
      <c r="F64" s="611"/>
      <c r="G64" s="619"/>
      <c r="H64" s="1146"/>
      <c r="I64" s="1146"/>
      <c r="J64" s="1146"/>
      <c r="K64" s="1146"/>
      <c r="L64" s="1146"/>
      <c r="M64" s="1146"/>
      <c r="N64" s="1146"/>
      <c r="O64" s="619"/>
      <c r="P64" s="838"/>
    </row>
    <row r="65" spans="2:27" ht="15">
      <c r="B65" s="839"/>
      <c r="C65" s="1827" t="s">
        <v>600</v>
      </c>
      <c r="D65" s="1827" t="s">
        <v>614</v>
      </c>
      <c r="E65" s="1827" t="s">
        <v>421</v>
      </c>
      <c r="F65" s="1828">
        <v>2007</v>
      </c>
      <c r="G65" s="1829">
        <v>2010</v>
      </c>
      <c r="H65" s="1828">
        <v>2015</v>
      </c>
      <c r="I65" s="1828">
        <v>2020</v>
      </c>
      <c r="J65" s="1828">
        <v>2025</v>
      </c>
      <c r="K65" s="1828">
        <v>2030</v>
      </c>
      <c r="L65" s="1828">
        <v>2035</v>
      </c>
      <c r="M65" s="1828">
        <v>2040</v>
      </c>
      <c r="N65" s="1828">
        <v>2045</v>
      </c>
      <c r="O65" s="1828">
        <v>2050</v>
      </c>
      <c r="P65" s="838"/>
    </row>
    <row r="66" spans="2:27" ht="15">
      <c r="B66" s="839"/>
      <c r="C66" s="1830" t="s">
        <v>42</v>
      </c>
      <c r="D66" s="1831" t="s">
        <v>1515</v>
      </c>
      <c r="E66" s="1832"/>
      <c r="F66" s="1832"/>
      <c r="G66" s="1833">
        <v>0.27100000000000002</v>
      </c>
      <c r="H66" s="1833">
        <v>0.27100000000000002</v>
      </c>
      <c r="I66" s="1833">
        <v>0.16</v>
      </c>
      <c r="J66" s="1833">
        <v>0.158</v>
      </c>
      <c r="K66" s="1833">
        <v>0.155</v>
      </c>
      <c r="L66" s="1833">
        <v>0.153</v>
      </c>
      <c r="M66" s="1833">
        <v>0.151</v>
      </c>
      <c r="N66" s="1833">
        <v>0.14800000000000002</v>
      </c>
      <c r="O66" s="1833">
        <v>0.14600000000000002</v>
      </c>
      <c r="P66" s="838"/>
    </row>
    <row r="67" spans="2:27" ht="15">
      <c r="B67" s="839"/>
      <c r="C67" s="1834" t="s">
        <v>42</v>
      </c>
      <c r="D67" s="1835" t="s">
        <v>1516</v>
      </c>
      <c r="E67" s="1836"/>
      <c r="F67" s="1837"/>
      <c r="G67" s="1837">
        <v>0.23599999999999999</v>
      </c>
      <c r="H67" s="1837">
        <v>0.23599999999999999</v>
      </c>
      <c r="I67" s="1837">
        <v>0.14400000000000002</v>
      </c>
      <c r="J67" s="1837">
        <v>0.14000000000000001</v>
      </c>
      <c r="K67" s="1837">
        <v>0.13500000000000001</v>
      </c>
      <c r="L67" s="1837">
        <v>0.13300000000000001</v>
      </c>
      <c r="M67" s="1837">
        <v>0.13100000000000001</v>
      </c>
      <c r="N67" s="1837">
        <v>0.128</v>
      </c>
      <c r="O67" s="1837">
        <v>0.126</v>
      </c>
      <c r="P67" s="838"/>
    </row>
    <row r="68" spans="2:27">
      <c r="B68" s="837"/>
      <c r="C68" s="1838" t="s">
        <v>45</v>
      </c>
      <c r="D68" s="1839" t="s">
        <v>14</v>
      </c>
      <c r="E68" s="1840"/>
      <c r="F68" s="1841"/>
      <c r="G68" s="1841">
        <v>0.13300000000000001</v>
      </c>
      <c r="H68" s="1841">
        <v>0.13300000000000001</v>
      </c>
      <c r="I68" s="1841">
        <v>0.11799999999999999</v>
      </c>
      <c r="J68" s="1841">
        <v>0.11299999999999999</v>
      </c>
      <c r="K68" s="1841">
        <v>0.10800000000000001</v>
      </c>
      <c r="L68" s="1841">
        <v>0.10700000000000001</v>
      </c>
      <c r="M68" s="1841">
        <v>0.10600000000000001</v>
      </c>
      <c r="N68" s="1841">
        <v>0.10500000000000001</v>
      </c>
      <c r="O68" s="1841">
        <v>0.1</v>
      </c>
      <c r="P68" s="838"/>
    </row>
    <row r="69" spans="2:27" ht="14">
      <c r="B69" s="837"/>
      <c r="C69" s="583"/>
      <c r="D69" s="1570"/>
      <c r="E69" s="584"/>
      <c r="F69" s="911"/>
      <c r="G69" s="1129"/>
      <c r="H69" s="1145"/>
      <c r="I69" s="1571"/>
      <c r="J69" s="1572"/>
      <c r="K69" s="1145"/>
      <c r="L69" s="1145"/>
      <c r="M69" s="1145"/>
      <c r="N69" s="1145"/>
      <c r="O69" s="1129"/>
      <c r="P69" s="838"/>
    </row>
    <row r="70" spans="2:27">
      <c r="B70" s="840"/>
      <c r="C70" s="612" t="s">
        <v>1905</v>
      </c>
      <c r="D70" s="610"/>
      <c r="E70" s="610"/>
      <c r="F70" s="610"/>
      <c r="G70" s="613"/>
      <c r="H70" s="610"/>
      <c r="I70" s="610"/>
      <c r="J70" s="610"/>
      <c r="K70" s="610"/>
      <c r="L70" s="610"/>
      <c r="M70" s="610"/>
      <c r="N70" s="610"/>
      <c r="O70" s="610"/>
      <c r="P70" s="838"/>
    </row>
    <row r="71" spans="2:27" ht="4.5" customHeight="1">
      <c r="B71" s="837"/>
      <c r="C71" s="610"/>
      <c r="D71" s="610"/>
      <c r="E71" s="610"/>
      <c r="F71" s="610"/>
      <c r="G71" s="610"/>
      <c r="H71" s="610"/>
      <c r="I71" s="610"/>
      <c r="J71" s="610"/>
      <c r="K71" s="610"/>
      <c r="L71" s="610"/>
      <c r="M71" s="610"/>
      <c r="N71" s="610"/>
      <c r="O71" s="610"/>
      <c r="P71" s="838"/>
    </row>
    <row r="72" spans="2:27" ht="15">
      <c r="B72" s="839"/>
      <c r="C72" s="1827" t="s">
        <v>600</v>
      </c>
      <c r="D72" s="1827" t="s">
        <v>614</v>
      </c>
      <c r="E72" s="1827" t="s">
        <v>421</v>
      </c>
      <c r="F72" s="1828">
        <v>2007</v>
      </c>
      <c r="G72" s="1829">
        <v>2010</v>
      </c>
      <c r="H72" s="1828">
        <v>2015</v>
      </c>
      <c r="I72" s="1828">
        <v>2020</v>
      </c>
      <c r="J72" s="1828">
        <v>2025</v>
      </c>
      <c r="K72" s="1828">
        <v>2030</v>
      </c>
      <c r="L72" s="1828">
        <v>2035</v>
      </c>
      <c r="M72" s="1828">
        <v>2040</v>
      </c>
      <c r="N72" s="1828">
        <v>2045</v>
      </c>
      <c r="O72" s="1828">
        <v>2050</v>
      </c>
      <c r="P72" s="838"/>
    </row>
    <row r="73" spans="2:27" s="532" customFormat="1" ht="15">
      <c r="B73" s="841"/>
      <c r="C73" s="1830" t="s">
        <v>42</v>
      </c>
      <c r="D73" s="1831" t="s">
        <v>1515</v>
      </c>
      <c r="E73" s="1832"/>
      <c r="F73" s="1911"/>
      <c r="G73" s="1849">
        <v>0.85</v>
      </c>
      <c r="H73" s="1849">
        <v>0.85</v>
      </c>
      <c r="I73" s="1849">
        <v>0.85</v>
      </c>
      <c r="J73" s="1849">
        <v>0.85</v>
      </c>
      <c r="K73" s="1849">
        <v>0.85</v>
      </c>
      <c r="L73" s="1849">
        <v>0.85</v>
      </c>
      <c r="M73" s="1849">
        <v>0.85</v>
      </c>
      <c r="N73" s="1849">
        <v>0.85</v>
      </c>
      <c r="O73" s="1849">
        <v>0.85</v>
      </c>
      <c r="P73" s="842"/>
      <c r="S73" s="1824"/>
      <c r="T73" s="1824"/>
      <c r="U73" s="1824"/>
      <c r="V73" s="1824"/>
      <c r="W73" s="1824"/>
      <c r="X73" s="1824"/>
      <c r="Y73" s="1824"/>
      <c r="Z73" s="1824"/>
      <c r="AA73" s="1824"/>
    </row>
    <row r="74" spans="2:27" s="532" customFormat="1" ht="15">
      <c r="B74" s="841"/>
      <c r="C74" s="1834" t="s">
        <v>42</v>
      </c>
      <c r="D74" s="1835" t="s">
        <v>1516</v>
      </c>
      <c r="E74" s="1836"/>
      <c r="F74" s="1837"/>
      <c r="G74" s="1849">
        <v>0.85</v>
      </c>
      <c r="H74" s="1849">
        <v>0.85</v>
      </c>
      <c r="I74" s="1849">
        <v>0.85</v>
      </c>
      <c r="J74" s="1849">
        <v>0.85</v>
      </c>
      <c r="K74" s="1849">
        <v>0.85</v>
      </c>
      <c r="L74" s="1849">
        <v>0.85</v>
      </c>
      <c r="M74" s="1849">
        <v>0.85</v>
      </c>
      <c r="N74" s="1849">
        <v>0.85</v>
      </c>
      <c r="O74" s="1849">
        <v>0.85</v>
      </c>
      <c r="P74" s="842"/>
      <c r="S74" s="1824"/>
      <c r="T74" s="1824"/>
      <c r="U74" s="1824"/>
      <c r="V74" s="1824"/>
      <c r="W74" s="1824"/>
      <c r="X74" s="1824"/>
      <c r="Y74" s="1824"/>
      <c r="Z74" s="1824"/>
      <c r="AA74" s="1824"/>
    </row>
    <row r="75" spans="2:27" s="532" customFormat="1" ht="15">
      <c r="B75" s="841"/>
      <c r="C75" s="1838" t="s">
        <v>45</v>
      </c>
      <c r="D75" s="1839" t="s">
        <v>14</v>
      </c>
      <c r="E75" s="1840"/>
      <c r="F75" s="1841"/>
      <c r="G75" s="1850">
        <v>0.85</v>
      </c>
      <c r="H75" s="1850">
        <v>0.85</v>
      </c>
      <c r="I75" s="1850">
        <v>0.85</v>
      </c>
      <c r="J75" s="1850">
        <v>0.85</v>
      </c>
      <c r="K75" s="1850">
        <v>0.85</v>
      </c>
      <c r="L75" s="1850">
        <v>0.85</v>
      </c>
      <c r="M75" s="1850">
        <v>0.85</v>
      </c>
      <c r="N75" s="1850">
        <v>0.85</v>
      </c>
      <c r="O75" s="1850">
        <v>0.85</v>
      </c>
      <c r="P75" s="842"/>
      <c r="S75" s="1824"/>
      <c r="T75" s="1824"/>
      <c r="U75" s="1824"/>
      <c r="V75" s="1824"/>
      <c r="W75" s="1824"/>
      <c r="X75" s="1824"/>
      <c r="Y75" s="1824"/>
      <c r="Z75" s="1824"/>
      <c r="AA75" s="1824"/>
    </row>
    <row r="76" spans="2:27">
      <c r="B76" s="837"/>
      <c r="C76" s="610"/>
      <c r="D76" s="610"/>
      <c r="E76" s="610"/>
      <c r="F76" s="610"/>
      <c r="G76" s="610"/>
      <c r="H76" s="610"/>
      <c r="I76" s="610"/>
      <c r="J76" s="610"/>
      <c r="K76" s="610"/>
      <c r="L76" s="610"/>
      <c r="M76" s="610"/>
      <c r="N76" s="610"/>
      <c r="O76" s="610"/>
      <c r="P76" s="838"/>
    </row>
    <row r="77" spans="2:27">
      <c r="B77" s="837"/>
      <c r="C77" s="612" t="s">
        <v>830</v>
      </c>
      <c r="D77" s="610"/>
      <c r="E77" s="610"/>
      <c r="F77" s="610"/>
      <c r="G77" s="613"/>
      <c r="H77" s="610"/>
      <c r="I77" s="610"/>
      <c r="J77" s="610"/>
      <c r="K77" s="610"/>
      <c r="L77" s="610"/>
      <c r="M77" s="610"/>
      <c r="N77" s="610"/>
      <c r="O77" s="610"/>
      <c r="P77" s="838"/>
    </row>
    <row r="78" spans="2:27" ht="4.5" customHeight="1">
      <c r="B78" s="837"/>
      <c r="C78" s="610"/>
      <c r="D78" s="610"/>
      <c r="E78" s="610"/>
      <c r="F78" s="610"/>
      <c r="G78" s="610"/>
      <c r="H78" s="610"/>
      <c r="I78" s="610"/>
      <c r="J78" s="610"/>
      <c r="K78" s="610"/>
      <c r="L78" s="610"/>
      <c r="M78" s="610"/>
      <c r="N78" s="610"/>
      <c r="O78" s="610"/>
      <c r="P78" s="838"/>
    </row>
    <row r="79" spans="2:27" ht="15">
      <c r="B79" s="839"/>
      <c r="C79" s="547" t="s">
        <v>600</v>
      </c>
      <c r="D79" s="547" t="s">
        <v>614</v>
      </c>
      <c r="E79" s="547" t="s">
        <v>421</v>
      </c>
      <c r="F79" s="643">
        <v>2007</v>
      </c>
      <c r="G79" s="644">
        <v>2010</v>
      </c>
      <c r="H79" s="643">
        <v>2015</v>
      </c>
      <c r="I79" s="643">
        <v>2020</v>
      </c>
      <c r="J79" s="643">
        <v>2025</v>
      </c>
      <c r="K79" s="643">
        <v>2030</v>
      </c>
      <c r="L79" s="643">
        <v>2035</v>
      </c>
      <c r="M79" s="643">
        <v>2040</v>
      </c>
      <c r="N79" s="643">
        <v>2045</v>
      </c>
      <c r="O79" s="643">
        <v>2050</v>
      </c>
      <c r="P79" s="838"/>
    </row>
    <row r="80" spans="2:27" ht="15">
      <c r="B80" s="839"/>
      <c r="C80" s="550"/>
      <c r="D80" s="551"/>
      <c r="E80" s="551"/>
      <c r="F80" s="598">
        <v>0.9</v>
      </c>
      <c r="G80" s="560">
        <v>0.9</v>
      </c>
      <c r="H80" s="557">
        <v>0.9</v>
      </c>
      <c r="I80" s="557">
        <v>0.9</v>
      </c>
      <c r="J80" s="557">
        <v>0.9</v>
      </c>
      <c r="K80" s="557">
        <v>0.9</v>
      </c>
      <c r="L80" s="557">
        <v>0.9</v>
      </c>
      <c r="M80" s="557">
        <v>0.9</v>
      </c>
      <c r="N80" s="557">
        <v>0.9</v>
      </c>
      <c r="O80" s="557">
        <v>0.9</v>
      </c>
      <c r="P80" s="838"/>
    </row>
    <row r="81" spans="2:16">
      <c r="B81" s="837"/>
      <c r="C81" s="610"/>
      <c r="D81" s="610"/>
      <c r="E81" s="610"/>
      <c r="F81" s="610"/>
      <c r="G81" s="610"/>
      <c r="H81" s="610"/>
      <c r="I81" s="610"/>
      <c r="J81" s="610"/>
      <c r="K81" s="610"/>
      <c r="L81" s="610"/>
      <c r="M81" s="610"/>
      <c r="N81" s="610"/>
      <c r="O81" s="610"/>
      <c r="P81" s="838"/>
    </row>
    <row r="82" spans="2:16" ht="15">
      <c r="B82" s="839"/>
      <c r="C82" s="612" t="s">
        <v>1620</v>
      </c>
      <c r="D82" s="610"/>
      <c r="E82" s="610"/>
      <c r="F82" s="610"/>
      <c r="G82" s="613"/>
      <c r="H82" s="610"/>
      <c r="I82" s="610"/>
      <c r="J82" s="610"/>
      <c r="K82" s="610"/>
      <c r="L82" s="610"/>
      <c r="M82" s="610"/>
      <c r="N82" s="610"/>
      <c r="O82" s="610"/>
      <c r="P82" s="838"/>
    </row>
    <row r="83" spans="2:16" ht="4.5" customHeight="1">
      <c r="B83" s="839"/>
      <c r="C83" s="610"/>
      <c r="D83" s="610"/>
      <c r="E83" s="610"/>
      <c r="F83" s="610"/>
      <c r="G83" s="610"/>
      <c r="H83" s="610"/>
      <c r="I83" s="610"/>
      <c r="J83" s="610"/>
      <c r="K83" s="610"/>
      <c r="L83" s="610"/>
      <c r="M83" s="610"/>
      <c r="N83" s="610"/>
      <c r="O83" s="610"/>
      <c r="P83" s="838"/>
    </row>
    <row r="84" spans="2:16" ht="15">
      <c r="B84" s="839"/>
      <c r="C84" s="547"/>
      <c r="D84" s="547"/>
      <c r="E84" s="547"/>
      <c r="F84" s="643"/>
      <c r="G84" s="1638" t="s">
        <v>79</v>
      </c>
      <c r="H84" s="1638"/>
      <c r="I84" s="610"/>
      <c r="J84" s="932"/>
      <c r="K84" s="932"/>
      <c r="L84" s="932"/>
      <c r="M84" s="932"/>
      <c r="N84" s="932"/>
      <c r="O84" s="932"/>
      <c r="P84" s="838"/>
    </row>
    <row r="85" spans="2:16" ht="15">
      <c r="B85" s="839"/>
      <c r="C85" s="624"/>
      <c r="D85" s="625" t="s">
        <v>1653</v>
      </c>
      <c r="E85" s="625"/>
      <c r="F85" s="1139">
        <f>1.2*Unit.GW</f>
        <v>1.2</v>
      </c>
      <c r="G85" s="1640" t="str">
        <f>Preferences.PowerUnits&amp;"peak"</f>
        <v>GWpeak</v>
      </c>
      <c r="H85" s="1640"/>
      <c r="I85" s="610"/>
      <c r="J85" s="635"/>
      <c r="K85" s="635"/>
      <c r="L85" s="635"/>
      <c r="M85" s="635"/>
      <c r="N85" s="635"/>
      <c r="O85" s="635"/>
      <c r="P85" s="838"/>
    </row>
    <row r="86" spans="2:16">
      <c r="B86" s="837"/>
      <c r="C86" s="610"/>
      <c r="D86" s="610"/>
      <c r="E86" s="610"/>
      <c r="F86" s="610"/>
      <c r="G86" s="610"/>
      <c r="H86" s="610"/>
      <c r="I86" s="610"/>
      <c r="J86" s="610"/>
      <c r="K86" s="610"/>
      <c r="L86" s="610"/>
      <c r="M86" s="610"/>
      <c r="N86" s="610"/>
      <c r="O86" s="610"/>
      <c r="P86" s="838"/>
    </row>
    <row r="87" spans="2:16">
      <c r="B87" s="843"/>
      <c r="C87" s="610" t="s">
        <v>636</v>
      </c>
      <c r="D87" s="614"/>
      <c r="E87" s="610"/>
      <c r="F87" s="610"/>
      <c r="G87" s="610"/>
      <c r="H87" s="610"/>
      <c r="I87" s="610"/>
      <c r="J87" s="610"/>
      <c r="K87" s="610"/>
      <c r="L87" s="610"/>
      <c r="M87" s="610"/>
      <c r="N87" s="610"/>
      <c r="O87" s="610"/>
      <c r="P87" s="838"/>
    </row>
    <row r="88" spans="2:16">
      <c r="B88" s="843"/>
      <c r="C88" s="610" t="s">
        <v>601</v>
      </c>
      <c r="D88" s="614"/>
      <c r="E88" s="610"/>
      <c r="F88" s="610"/>
      <c r="G88" s="610"/>
      <c r="H88" s="610"/>
      <c r="I88" s="610"/>
      <c r="J88" s="610"/>
      <c r="K88" s="610"/>
      <c r="L88" s="610"/>
      <c r="M88" s="610"/>
      <c r="N88" s="610"/>
      <c r="O88" s="610"/>
      <c r="P88" s="838"/>
    </row>
    <row r="89" spans="2:16">
      <c r="B89" s="843"/>
      <c r="C89" s="613" t="s">
        <v>102</v>
      </c>
      <c r="D89" s="610" t="s">
        <v>1213</v>
      </c>
      <c r="E89" s="610"/>
      <c r="F89" s="610"/>
      <c r="G89" s="610"/>
      <c r="H89" s="610"/>
      <c r="I89" s="610"/>
      <c r="J89" s="610"/>
      <c r="K89" s="610"/>
      <c r="L89" s="610"/>
      <c r="M89" s="610"/>
      <c r="N89" s="610"/>
      <c r="O89" s="610"/>
      <c r="P89" s="838"/>
    </row>
    <row r="90" spans="2:16">
      <c r="B90" s="843"/>
      <c r="C90" s="613" t="s">
        <v>108</v>
      </c>
      <c r="D90" s="1851" t="s">
        <v>1894</v>
      </c>
      <c r="E90" s="610"/>
      <c r="F90" s="610"/>
      <c r="G90" s="610"/>
      <c r="H90" s="610"/>
      <c r="I90" s="610"/>
      <c r="J90" s="610"/>
      <c r="K90" s="610"/>
      <c r="L90" s="610"/>
      <c r="M90" s="610"/>
      <c r="N90" s="610"/>
      <c r="O90" s="610"/>
      <c r="P90" s="838"/>
    </row>
    <row r="91" spans="2:16">
      <c r="B91" s="843"/>
      <c r="C91" s="613"/>
      <c r="D91" s="614" t="s">
        <v>1895</v>
      </c>
      <c r="E91" s="610"/>
      <c r="F91" s="610"/>
      <c r="G91" s="610"/>
      <c r="H91" s="610"/>
      <c r="I91" s="610"/>
      <c r="J91" s="610"/>
      <c r="K91" s="610"/>
      <c r="L91" s="610"/>
      <c r="M91" s="610"/>
      <c r="N91" s="610"/>
      <c r="O91" s="610"/>
      <c r="P91" s="838"/>
    </row>
    <row r="92" spans="2:16">
      <c r="B92" s="843"/>
      <c r="C92" s="613"/>
      <c r="D92" s="614" t="s">
        <v>1896</v>
      </c>
      <c r="E92" s="610"/>
      <c r="F92" s="610"/>
      <c r="G92" s="610"/>
      <c r="H92" s="610"/>
      <c r="I92" s="610"/>
      <c r="J92" s="610"/>
      <c r="K92" s="610"/>
      <c r="L92" s="610"/>
      <c r="M92" s="610"/>
      <c r="N92" s="610"/>
      <c r="O92" s="610"/>
      <c r="P92" s="838"/>
    </row>
    <row r="93" spans="2:16">
      <c r="B93" s="843"/>
      <c r="C93" s="613" t="s">
        <v>109</v>
      </c>
      <c r="D93" s="1851" t="s">
        <v>1898</v>
      </c>
      <c r="E93" s="610"/>
      <c r="F93" s="610"/>
      <c r="G93" s="610"/>
      <c r="H93" s="610"/>
      <c r="I93" s="610"/>
      <c r="J93" s="610"/>
      <c r="K93" s="610"/>
      <c r="L93" s="610"/>
      <c r="M93" s="610"/>
      <c r="N93" s="610"/>
      <c r="O93" s="610"/>
      <c r="P93" s="838"/>
    </row>
    <row r="94" spans="2:16">
      <c r="B94" s="843"/>
      <c r="C94" s="613" t="s">
        <v>420</v>
      </c>
      <c r="D94" s="1851" t="s">
        <v>1900</v>
      </c>
      <c r="E94" s="610"/>
      <c r="F94" s="610"/>
      <c r="G94" s="610"/>
      <c r="H94" s="610"/>
      <c r="I94" s="610"/>
      <c r="J94" s="610"/>
      <c r="K94" s="610"/>
      <c r="L94" s="610"/>
      <c r="M94" s="610"/>
      <c r="N94" s="610"/>
      <c r="O94" s="610"/>
      <c r="P94" s="838"/>
    </row>
    <row r="95" spans="2:16">
      <c r="B95" s="843"/>
      <c r="C95" s="613"/>
      <c r="D95" s="1852" t="s">
        <v>1901</v>
      </c>
      <c r="E95" s="610"/>
      <c r="F95" s="610"/>
      <c r="G95" s="610"/>
      <c r="H95" s="610"/>
      <c r="I95" s="610"/>
      <c r="J95" s="610"/>
      <c r="K95" s="610"/>
      <c r="L95" s="610"/>
      <c r="M95" s="610"/>
      <c r="N95" s="610"/>
      <c r="O95" s="610"/>
      <c r="P95" s="838"/>
    </row>
    <row r="96" spans="2:16">
      <c r="B96" s="843"/>
      <c r="C96" s="613"/>
      <c r="D96" s="1852" t="s">
        <v>1902</v>
      </c>
      <c r="E96" s="610"/>
      <c r="F96" s="610"/>
      <c r="G96" s="610"/>
      <c r="H96" s="610"/>
      <c r="I96" s="610"/>
      <c r="J96" s="610"/>
      <c r="K96" s="610"/>
      <c r="L96" s="610"/>
      <c r="M96" s="610"/>
      <c r="N96" s="610"/>
      <c r="O96" s="610"/>
      <c r="P96" s="838"/>
    </row>
    <row r="97" spans="1:16">
      <c r="B97" s="843"/>
      <c r="C97" s="613"/>
      <c r="D97" s="1852" t="s">
        <v>1903</v>
      </c>
      <c r="E97" s="610"/>
      <c r="F97" s="610"/>
      <c r="G97" s="610"/>
      <c r="H97" s="610"/>
      <c r="I97" s="610"/>
      <c r="J97" s="610"/>
      <c r="K97" s="610"/>
      <c r="L97" s="610"/>
      <c r="M97" s="610"/>
      <c r="N97" s="610"/>
      <c r="O97" s="610"/>
      <c r="P97" s="838"/>
    </row>
    <row r="98" spans="1:16">
      <c r="B98" s="843"/>
      <c r="C98" s="613"/>
      <c r="D98" s="1852" t="s">
        <v>1904</v>
      </c>
      <c r="E98" s="610"/>
      <c r="F98" s="610"/>
      <c r="G98" s="610"/>
      <c r="H98" s="610"/>
      <c r="I98" s="610"/>
      <c r="J98" s="610"/>
      <c r="K98" s="610"/>
      <c r="L98" s="610"/>
      <c r="M98" s="610"/>
      <c r="N98" s="610"/>
      <c r="O98" s="610"/>
      <c r="P98" s="838"/>
    </row>
    <row r="99" spans="1:16">
      <c r="B99" s="843"/>
      <c r="C99" s="1853" t="s">
        <v>424</v>
      </c>
      <c r="D99" s="1851" t="s">
        <v>1906</v>
      </c>
      <c r="E99" s="610"/>
      <c r="F99" s="610"/>
      <c r="G99" s="610"/>
      <c r="H99" s="610"/>
      <c r="I99" s="610"/>
      <c r="J99" s="610"/>
      <c r="K99" s="610"/>
      <c r="L99" s="610"/>
      <c r="M99" s="610"/>
      <c r="N99" s="610"/>
      <c r="O99" s="610"/>
      <c r="P99" s="838"/>
    </row>
    <row r="100" spans="1:16">
      <c r="B100" s="844"/>
      <c r="C100" s="845"/>
      <c r="D100" s="845"/>
      <c r="E100" s="845"/>
      <c r="F100" s="845"/>
      <c r="G100" s="845"/>
      <c r="H100" s="845"/>
      <c r="I100" s="845"/>
      <c r="J100" s="845"/>
      <c r="K100" s="845"/>
      <c r="L100" s="845"/>
      <c r="M100" s="845"/>
      <c r="N100" s="845"/>
      <c r="O100" s="845"/>
      <c r="P100" s="846"/>
    </row>
    <row r="101" spans="1:16">
      <c r="B101" s="901"/>
    </row>
    <row r="102" spans="1:16" s="532" customFormat="1" ht="22">
      <c r="A102" s="850"/>
      <c r="B102" s="902" t="s">
        <v>1983</v>
      </c>
      <c r="C102" s="847"/>
      <c r="D102" s="847"/>
      <c r="E102" s="847"/>
      <c r="F102" s="847"/>
      <c r="G102" s="847"/>
      <c r="H102" s="847"/>
      <c r="I102" s="847"/>
      <c r="J102" s="847"/>
      <c r="K102" s="847"/>
      <c r="L102" s="847"/>
      <c r="M102" s="847"/>
      <c r="N102" s="847"/>
      <c r="O102" s="847"/>
      <c r="P102" s="848"/>
    </row>
    <row r="103" spans="1:16" s="1902" customFormat="1">
      <c r="B103" s="1872"/>
      <c r="C103" s="1870"/>
      <c r="D103" s="1952"/>
      <c r="E103" s="1953"/>
      <c r="F103" s="1953"/>
      <c r="G103" s="1952"/>
      <c r="H103" s="613"/>
      <c r="I103" s="1870"/>
      <c r="J103" s="1870"/>
      <c r="K103" s="1870"/>
      <c r="L103" s="1870"/>
      <c r="M103" s="1870"/>
      <c r="N103" s="1870"/>
      <c r="O103" s="1870"/>
      <c r="P103" s="1873"/>
    </row>
    <row r="104" spans="1:16" s="1943" customFormat="1">
      <c r="B104" s="1872"/>
      <c r="C104" s="1863"/>
      <c r="D104" s="1977" t="s">
        <v>1156</v>
      </c>
      <c r="E104" s="1977"/>
      <c r="F104" s="1977" t="s">
        <v>1155</v>
      </c>
      <c r="G104" s="1977"/>
      <c r="H104" s="1863"/>
      <c r="I104" s="1870"/>
      <c r="J104" s="1870"/>
      <c r="K104" s="1870"/>
      <c r="L104" s="1870"/>
      <c r="M104" s="1870"/>
      <c r="N104" s="1870"/>
      <c r="O104" s="1870"/>
      <c r="P104" s="1873"/>
    </row>
    <row r="105" spans="1:16" s="1943" customFormat="1">
      <c r="B105" s="1872"/>
      <c r="C105" s="1863"/>
      <c r="D105" s="1871" t="s">
        <v>2151</v>
      </c>
      <c r="E105" s="1871" t="s">
        <v>2067</v>
      </c>
      <c r="F105" s="1871" t="s">
        <v>2151</v>
      </c>
      <c r="G105" s="1871" t="s">
        <v>2067</v>
      </c>
      <c r="H105" s="1863"/>
      <c r="I105" s="1870"/>
      <c r="J105" s="1870"/>
      <c r="K105" s="1870"/>
      <c r="L105" s="1870"/>
      <c r="M105" s="1870"/>
      <c r="N105" s="1870"/>
      <c r="O105" s="1870"/>
      <c r="P105" s="1873"/>
    </row>
    <row r="106" spans="1:16" s="1943" customFormat="1">
      <c r="B106" s="1872"/>
      <c r="C106" s="1951"/>
      <c r="D106" s="1942" t="s">
        <v>2061</v>
      </c>
      <c r="E106" s="1942" t="s">
        <v>2152</v>
      </c>
      <c r="F106" s="1942" t="s">
        <v>2061</v>
      </c>
      <c r="G106" s="1942" t="s">
        <v>2152</v>
      </c>
      <c r="H106" s="1863"/>
      <c r="I106" s="1870"/>
      <c r="J106" s="1870"/>
      <c r="K106" s="1870"/>
      <c r="L106" s="1870"/>
      <c r="M106" s="1870"/>
      <c r="N106" s="1870"/>
      <c r="O106" s="1870"/>
      <c r="P106" s="1873"/>
    </row>
    <row r="107" spans="1:16" s="1943" customFormat="1">
      <c r="B107" s="1872"/>
      <c r="C107" s="1863" t="s">
        <v>2182</v>
      </c>
      <c r="D107" s="1944">
        <v>1664</v>
      </c>
      <c r="E107" s="1944">
        <v>62</v>
      </c>
      <c r="F107" s="1944">
        <v>465.87221823402729</v>
      </c>
      <c r="G107" s="1944">
        <v>15.646047041757331</v>
      </c>
      <c r="H107" s="1939"/>
      <c r="I107" s="1939"/>
      <c r="J107" s="1938"/>
      <c r="K107" s="1870"/>
      <c r="L107" s="1870"/>
      <c r="M107" s="1870"/>
      <c r="N107" s="1870"/>
      <c r="O107" s="1870"/>
      <c r="P107" s="1873"/>
    </row>
    <row r="108" spans="1:16" s="1943" customFormat="1">
      <c r="B108" s="1872"/>
      <c r="C108" s="1863" t="s">
        <v>2181</v>
      </c>
      <c r="D108" s="1945">
        <v>4323.2</v>
      </c>
      <c r="E108" s="1945">
        <v>122</v>
      </c>
      <c r="F108" s="1946">
        <v>863.99999999999989</v>
      </c>
      <c r="G108" s="1944">
        <v>33.675266811729358</v>
      </c>
      <c r="H108" s="1939"/>
      <c r="I108" s="1939"/>
      <c r="J108" s="1938"/>
      <c r="K108" s="1870"/>
      <c r="L108" s="1870"/>
      <c r="M108" s="1870"/>
      <c r="N108" s="1870"/>
      <c r="O108" s="1870"/>
      <c r="P108" s="1873"/>
    </row>
    <row r="109" spans="1:16">
      <c r="B109" s="837"/>
      <c r="C109" s="612"/>
      <c r="D109" s="610"/>
      <c r="E109" s="613"/>
      <c r="F109" s="610"/>
      <c r="G109" s="610"/>
      <c r="H109" s="613"/>
      <c r="I109" s="610"/>
      <c r="J109" s="610"/>
      <c r="K109" s="610"/>
      <c r="L109" s="610"/>
      <c r="M109" s="610"/>
      <c r="N109" s="610"/>
      <c r="O109" s="610"/>
      <c r="P109" s="838"/>
    </row>
    <row r="110" spans="1:16">
      <c r="B110" s="837"/>
      <c r="C110" s="612" t="s">
        <v>1984</v>
      </c>
      <c r="D110" s="610"/>
      <c r="E110" s="613"/>
      <c r="F110" s="610"/>
      <c r="G110" s="610"/>
      <c r="H110" s="613" t="str">
        <f>Preferences.moneyunits&amp;"/ 1.2 GW capacity"</f>
        <v>£m/ 1.2 GW capacity</v>
      </c>
      <c r="I110" s="610"/>
      <c r="J110" s="610"/>
      <c r="K110" s="610"/>
      <c r="L110" s="610"/>
      <c r="M110" s="610"/>
      <c r="N110" s="610"/>
      <c r="O110" s="610"/>
      <c r="P110" s="838"/>
    </row>
    <row r="111" spans="1:16">
      <c r="B111" s="837"/>
      <c r="C111" s="610"/>
      <c r="D111" s="610"/>
      <c r="E111" s="610"/>
      <c r="F111" s="610"/>
      <c r="G111" s="610"/>
      <c r="H111" s="610"/>
      <c r="I111" s="610"/>
      <c r="J111" s="610"/>
      <c r="K111" s="610"/>
      <c r="L111" s="610"/>
      <c r="M111" s="610"/>
      <c r="N111" s="610"/>
      <c r="O111" s="610"/>
      <c r="P111" s="838"/>
    </row>
    <row r="112" spans="1:16" ht="14">
      <c r="B112" s="837"/>
      <c r="C112" s="547"/>
      <c r="D112" s="547"/>
      <c r="E112" s="552"/>
      <c r="F112" s="643" t="s">
        <v>1156</v>
      </c>
      <c r="G112" s="643" t="s">
        <v>1155</v>
      </c>
      <c r="H112" s="1638"/>
      <c r="I112" s="610"/>
      <c r="J112" s="610"/>
      <c r="K112" s="610"/>
      <c r="L112" s="610"/>
      <c r="M112" s="610"/>
      <c r="N112" s="610"/>
      <c r="O112" s="610"/>
      <c r="P112" s="838"/>
    </row>
    <row r="113" spans="1:33" ht="14">
      <c r="B113" s="837"/>
      <c r="C113" s="555"/>
      <c r="D113" s="556" t="s">
        <v>1985</v>
      </c>
      <c r="E113" s="1427" t="s">
        <v>102</v>
      </c>
      <c r="F113" s="1422">
        <f>D108*GBP*plantsize.Ib/Unit.kW</f>
        <v>5187.8399999999992</v>
      </c>
      <c r="G113" s="1422">
        <f>F108*GBP*plantsize.Ib*1000000</f>
        <v>1036.7999999999997</v>
      </c>
      <c r="H113" s="1641"/>
      <c r="I113" s="610"/>
      <c r="J113" s="610"/>
      <c r="K113" s="610"/>
      <c r="L113" s="610"/>
      <c r="M113" s="610"/>
      <c r="N113" s="610"/>
      <c r="O113" s="610"/>
      <c r="P113" s="838"/>
    </row>
    <row r="114" spans="1:33" ht="14">
      <c r="B114" s="837"/>
      <c r="C114" s="624"/>
      <c r="D114" s="622" t="s">
        <v>1986</v>
      </c>
      <c r="E114" s="1779"/>
      <c r="F114" s="1423">
        <f>E108*GBP*plantsize.Ib/Unit.kW</f>
        <v>146.39999999999998</v>
      </c>
      <c r="G114" s="1422">
        <f>G108*GBP*plantsize.Ib*1000000</f>
        <v>40.410320174075231</v>
      </c>
      <c r="H114" s="1640"/>
      <c r="I114" s="610"/>
      <c r="J114" s="610"/>
      <c r="K114" s="610"/>
      <c r="L114" s="610"/>
      <c r="M114" s="610"/>
      <c r="N114" s="610"/>
      <c r="O114" s="610"/>
      <c r="P114" s="838"/>
    </row>
    <row r="115" spans="1:33">
      <c r="B115" s="837"/>
      <c r="C115" s="610"/>
      <c r="D115" s="610"/>
      <c r="E115" s="610"/>
      <c r="F115" s="610"/>
      <c r="G115" s="610"/>
      <c r="H115" s="610"/>
      <c r="I115" s="610"/>
      <c r="J115" s="610"/>
      <c r="K115" s="610"/>
      <c r="L115" s="610"/>
      <c r="M115" s="610"/>
      <c r="N115" s="610"/>
      <c r="O115" s="610"/>
      <c r="P115" s="838"/>
    </row>
    <row r="116" spans="1:33">
      <c r="B116" s="837"/>
      <c r="C116" s="612" t="s">
        <v>1987</v>
      </c>
      <c r="D116" s="610"/>
      <c r="E116" s="613"/>
      <c r="F116" s="610"/>
      <c r="G116" s="610"/>
      <c r="H116" s="613" t="str">
        <f>Preferences.moneyunits&amp;"/ 1.2 GW capacity"</f>
        <v>£m/ 1.2 GW capacity</v>
      </c>
      <c r="I116" s="610"/>
      <c r="J116" s="610"/>
      <c r="K116" s="610"/>
      <c r="L116" s="610"/>
      <c r="M116" s="610"/>
      <c r="N116" s="610"/>
      <c r="O116" s="610"/>
      <c r="P116" s="838"/>
    </row>
    <row r="117" spans="1:33">
      <c r="B117" s="837"/>
      <c r="C117" s="610"/>
      <c r="D117" s="610"/>
      <c r="E117" s="610"/>
      <c r="F117" s="610"/>
      <c r="G117" s="610"/>
      <c r="H117" s="610"/>
      <c r="I117" s="610"/>
      <c r="J117" s="610"/>
      <c r="K117" s="610"/>
      <c r="L117" s="610"/>
      <c r="M117" s="610"/>
      <c r="N117" s="610"/>
      <c r="O117" s="610"/>
      <c r="P117" s="838"/>
    </row>
    <row r="118" spans="1:33" ht="14">
      <c r="B118" s="837"/>
      <c r="C118" s="547"/>
      <c r="D118" s="547"/>
      <c r="E118" s="552"/>
      <c r="F118" s="643" t="s">
        <v>1156</v>
      </c>
      <c r="G118" s="643" t="s">
        <v>1155</v>
      </c>
      <c r="H118" s="1638"/>
      <c r="I118" s="610"/>
      <c r="J118" s="610"/>
      <c r="K118" s="610"/>
      <c r="L118" s="610"/>
      <c r="M118" s="610"/>
      <c r="N118" s="610"/>
      <c r="O118" s="610"/>
      <c r="P118" s="838"/>
    </row>
    <row r="119" spans="1:33" ht="14">
      <c r="B119" s="837"/>
      <c r="C119" s="555"/>
      <c r="D119" s="556" t="s">
        <v>1985</v>
      </c>
      <c r="E119" s="1427" t="s">
        <v>102</v>
      </c>
      <c r="F119" s="1422">
        <f>D107*GBP*plantsize.Ib/Unit.kW</f>
        <v>1996.8</v>
      </c>
      <c r="G119" s="1422">
        <f>F107*GBP*plantsize.Ib/Unit.kW</f>
        <v>559.04666188083274</v>
      </c>
      <c r="H119" s="1641"/>
      <c r="I119" s="610"/>
      <c r="J119" s="610"/>
      <c r="K119" s="610"/>
      <c r="L119" s="610"/>
      <c r="M119" s="610"/>
      <c r="N119" s="610"/>
      <c r="O119" s="610"/>
      <c r="P119" s="838"/>
    </row>
    <row r="120" spans="1:33" ht="14">
      <c r="B120" s="837"/>
      <c r="C120" s="624"/>
      <c r="D120" s="622" t="s">
        <v>1986</v>
      </c>
      <c r="E120" s="1779"/>
      <c r="F120" s="1423">
        <f>E107*GBP*plantsize.Ib/Unit.kW</f>
        <v>74.400000000000006</v>
      </c>
      <c r="G120" s="1423">
        <f>G107*GBP*plantsize.Ib/Unit.kW</f>
        <v>18.775256450108795</v>
      </c>
      <c r="H120" s="1640"/>
      <c r="I120" s="610"/>
      <c r="J120" s="610"/>
      <c r="K120" s="610"/>
      <c r="L120" s="610"/>
      <c r="M120" s="610"/>
      <c r="N120" s="610"/>
      <c r="O120" s="610"/>
      <c r="P120" s="838"/>
    </row>
    <row r="121" spans="1:33">
      <c r="B121" s="837"/>
      <c r="C121" s="610" t="s">
        <v>421</v>
      </c>
      <c r="D121" s="610"/>
      <c r="E121" s="610"/>
      <c r="F121" s="610"/>
      <c r="G121" s="610"/>
      <c r="H121" s="610"/>
      <c r="I121" s="610"/>
      <c r="J121" s="610"/>
      <c r="K121" s="610"/>
      <c r="L121" s="610"/>
      <c r="M121" s="610"/>
      <c r="N121" s="610"/>
      <c r="O121" s="610"/>
      <c r="P121" s="838"/>
    </row>
    <row r="122" spans="1:33">
      <c r="B122" s="843"/>
      <c r="C122" s="908" t="s">
        <v>102</v>
      </c>
      <c r="D122" s="1780" t="s">
        <v>1988</v>
      </c>
      <c r="E122" s="610"/>
      <c r="F122" s="610"/>
      <c r="G122" s="610"/>
      <c r="H122" s="610"/>
      <c r="I122" s="610"/>
      <c r="J122" s="610"/>
      <c r="K122" s="610"/>
      <c r="L122" s="610"/>
      <c r="M122" s="610"/>
      <c r="N122" s="610"/>
      <c r="O122" s="610"/>
      <c r="P122" s="838"/>
    </row>
    <row r="123" spans="1:33">
      <c r="B123" s="844"/>
      <c r="C123" s="845"/>
      <c r="D123" s="845"/>
      <c r="E123" s="845"/>
      <c r="F123" s="845"/>
      <c r="G123" s="845"/>
      <c r="H123" s="845"/>
      <c r="I123" s="845"/>
      <c r="J123" s="845"/>
      <c r="K123" s="845"/>
      <c r="L123" s="845"/>
      <c r="M123" s="845"/>
      <c r="N123" s="845"/>
      <c r="O123" s="845"/>
      <c r="P123" s="846"/>
    </row>
    <row r="124" spans="1:33">
      <c r="B124" s="901"/>
    </row>
    <row r="125" spans="1:33">
      <c r="B125" s="901"/>
    </row>
    <row r="126" spans="1:33" s="532" customFormat="1" ht="22">
      <c r="A126" s="850"/>
      <c r="B126" s="1573" t="s">
        <v>657</v>
      </c>
      <c r="C126" s="1574"/>
      <c r="D126" s="1575"/>
      <c r="E126" s="1575"/>
      <c r="F126" s="1575"/>
      <c r="G126" s="1575"/>
      <c r="H126" s="1575"/>
      <c r="I126" s="1575"/>
      <c r="J126" s="1575"/>
      <c r="K126" s="1575"/>
      <c r="L126" s="1575"/>
      <c r="M126" s="1575"/>
      <c r="N126" s="1575"/>
      <c r="O126" s="1575"/>
      <c r="P126" s="1576"/>
      <c r="R126" s="1824"/>
      <c r="S126" s="1824"/>
      <c r="T126" s="1824"/>
      <c r="U126" s="1824"/>
      <c r="V126" s="1824"/>
      <c r="W126" s="1824"/>
      <c r="X126" s="1824"/>
      <c r="Y126" s="1824"/>
      <c r="Z126" s="1824"/>
      <c r="AA126" s="1824"/>
      <c r="AB126" s="1824"/>
      <c r="AC126" s="1824"/>
      <c r="AD126" s="1824"/>
      <c r="AE126" s="1824"/>
      <c r="AF126" s="1824"/>
      <c r="AG126" s="1824"/>
    </row>
    <row r="127" spans="1:33" s="532" customFormat="1" ht="15.75" customHeight="1">
      <c r="A127" s="850"/>
      <c r="B127" s="1854"/>
      <c r="C127" s="1836"/>
      <c r="D127" s="1836"/>
      <c r="E127" s="1836"/>
      <c r="F127" s="1836"/>
      <c r="G127" s="1836"/>
      <c r="H127" s="1836"/>
      <c r="I127" s="1836"/>
      <c r="J127" s="1836"/>
      <c r="K127" s="1836"/>
      <c r="L127" s="1836"/>
      <c r="M127" s="1836"/>
      <c r="N127" s="1836"/>
      <c r="O127" s="1836"/>
      <c r="P127" s="1836"/>
      <c r="R127" s="1824"/>
      <c r="S127" s="1824"/>
      <c r="T127" s="1824"/>
      <c r="U127" s="1824"/>
      <c r="V127" s="1824"/>
      <c r="W127" s="1824"/>
      <c r="X127" s="1824"/>
      <c r="Y127" s="1824"/>
      <c r="Z127" s="1824"/>
      <c r="AA127" s="1824"/>
      <c r="AB127" s="1824"/>
      <c r="AC127" s="1824"/>
      <c r="AD127" s="1824"/>
      <c r="AE127" s="1824"/>
      <c r="AF127" s="1824"/>
      <c r="AG127" s="1824"/>
    </row>
    <row r="128" spans="1:33" ht="15.75" customHeight="1">
      <c r="B128" s="837"/>
      <c r="C128" s="612" t="s">
        <v>1519</v>
      </c>
      <c r="D128" s="610"/>
      <c r="E128" s="610"/>
      <c r="F128" s="610"/>
      <c r="G128" s="610"/>
      <c r="H128" s="610"/>
      <c r="I128" s="610"/>
      <c r="J128" s="610"/>
      <c r="K128" s="610"/>
      <c r="L128" s="610"/>
      <c r="M128" s="610"/>
      <c r="N128" s="610"/>
      <c r="O128" s="610"/>
      <c r="P128" s="838"/>
    </row>
    <row r="129" spans="2:20" ht="7.5" customHeight="1">
      <c r="B129" s="837"/>
      <c r="C129" s="612"/>
      <c r="D129" s="610"/>
      <c r="E129" s="610"/>
      <c r="F129" s="610"/>
      <c r="G129" s="610"/>
      <c r="H129" s="610"/>
      <c r="I129" s="610"/>
      <c r="J129" s="610"/>
      <c r="K129" s="610"/>
      <c r="L129" s="610"/>
      <c r="M129" s="610"/>
      <c r="N129" s="610"/>
      <c r="O129" s="610"/>
      <c r="P129" s="838"/>
    </row>
    <row r="130" spans="2:20" ht="14">
      <c r="B130" s="837"/>
      <c r="C130" s="547" t="s">
        <v>992</v>
      </c>
      <c r="D130" s="547" t="s">
        <v>73</v>
      </c>
      <c r="E130" s="547" t="s">
        <v>421</v>
      </c>
      <c r="F130" s="1108">
        <v>2007</v>
      </c>
      <c r="G130" s="643">
        <v>2010</v>
      </c>
      <c r="H130" s="643">
        <v>2015</v>
      </c>
      <c r="I130" s="643">
        <v>2020</v>
      </c>
      <c r="J130" s="643">
        <v>2025</v>
      </c>
      <c r="K130" s="643">
        <v>2030</v>
      </c>
      <c r="L130" s="643">
        <v>2035</v>
      </c>
      <c r="M130" s="643">
        <v>2040</v>
      </c>
      <c r="N130" s="643">
        <v>2045</v>
      </c>
      <c r="O130" s="643">
        <v>2050</v>
      </c>
      <c r="P130" s="838"/>
    </row>
    <row r="131" spans="2:20" ht="14">
      <c r="B131" s="837"/>
      <c r="C131" s="1097" t="s">
        <v>42</v>
      </c>
      <c r="D131" s="1594" t="s">
        <v>1515</v>
      </c>
      <c r="E131" s="1389"/>
      <c r="F131" s="1389"/>
      <c r="G131" s="1339">
        <f t="shared" ref="G131:O132" si="2">(INDEX($F$26:$G$29,MATCH($E$8,$C$26:$C$29,0),1))*(INDEX($G$34:$O$35,MATCH($D131,$C$34:$C$35,0),MATCH(G$130,$G$33:$O$33,0)))</f>
        <v>0.46666199999999997</v>
      </c>
      <c r="H131" s="1339">
        <f t="shared" si="2"/>
        <v>0.46666199999999997</v>
      </c>
      <c r="I131" s="1339">
        <f t="shared" si="2"/>
        <v>0.46666199999999997</v>
      </c>
      <c r="J131" s="1339">
        <f t="shared" si="2"/>
        <v>0.46666199999999997</v>
      </c>
      <c r="K131" s="1339">
        <f t="shared" si="2"/>
        <v>0.33333000000000002</v>
      </c>
      <c r="L131" s="1339">
        <f t="shared" si="2"/>
        <v>0.19999800000000001</v>
      </c>
      <c r="M131" s="1339">
        <f t="shared" si="2"/>
        <v>0.19999800000000001</v>
      </c>
      <c r="N131" s="1339">
        <f t="shared" si="2"/>
        <v>0.19999800000000001</v>
      </c>
      <c r="O131" s="1339">
        <f t="shared" si="2"/>
        <v>0.19999800000000001</v>
      </c>
      <c r="P131" s="838"/>
    </row>
    <row r="132" spans="2:20" ht="14">
      <c r="B132" s="837"/>
      <c r="C132" s="583" t="s">
        <v>42</v>
      </c>
      <c r="D132" s="1595" t="s">
        <v>1516</v>
      </c>
      <c r="E132" s="599"/>
      <c r="F132" s="599"/>
      <c r="G132" s="1098">
        <f t="shared" si="2"/>
        <v>0.19999800000000001</v>
      </c>
      <c r="H132" s="1098">
        <f t="shared" si="2"/>
        <v>0.19999800000000001</v>
      </c>
      <c r="I132" s="1098">
        <f t="shared" si="2"/>
        <v>0.19999800000000001</v>
      </c>
      <c r="J132" s="1098">
        <f t="shared" si="2"/>
        <v>0.19999800000000001</v>
      </c>
      <c r="K132" s="1098">
        <f t="shared" si="2"/>
        <v>0.33333000000000002</v>
      </c>
      <c r="L132" s="1098">
        <f t="shared" si="2"/>
        <v>0.46666199999999997</v>
      </c>
      <c r="M132" s="1098">
        <f t="shared" si="2"/>
        <v>0.46666199999999997</v>
      </c>
      <c r="N132" s="1098">
        <f t="shared" si="2"/>
        <v>0.46666199999999997</v>
      </c>
      <c r="O132" s="1098">
        <f t="shared" si="2"/>
        <v>0.46666199999999997</v>
      </c>
      <c r="P132" s="838"/>
    </row>
    <row r="133" spans="2:20" ht="14">
      <c r="B133" s="837"/>
      <c r="C133" s="624" t="s">
        <v>45</v>
      </c>
      <c r="D133" s="1596" t="s">
        <v>14</v>
      </c>
      <c r="E133" s="933"/>
      <c r="F133" s="933"/>
      <c r="G133" s="1100">
        <f t="shared" ref="G133:O133" si="3">INDEX($F$26:$G$29,MATCH($E$8,$C$26:$C$29,0),2)</f>
        <v>0.33333999999999997</v>
      </c>
      <c r="H133" s="1100">
        <f t="shared" si="3"/>
        <v>0.33333999999999997</v>
      </c>
      <c r="I133" s="1100">
        <f t="shared" si="3"/>
        <v>0.33333999999999997</v>
      </c>
      <c r="J133" s="1100">
        <f t="shared" si="3"/>
        <v>0.33333999999999997</v>
      </c>
      <c r="K133" s="1100">
        <f t="shared" si="3"/>
        <v>0.33333999999999997</v>
      </c>
      <c r="L133" s="1100">
        <f t="shared" si="3"/>
        <v>0.33333999999999997</v>
      </c>
      <c r="M133" s="1100">
        <f t="shared" si="3"/>
        <v>0.33333999999999997</v>
      </c>
      <c r="N133" s="1100">
        <f t="shared" si="3"/>
        <v>0.33333999999999997</v>
      </c>
      <c r="O133" s="1100">
        <f t="shared" si="3"/>
        <v>0.33333999999999997</v>
      </c>
      <c r="P133" s="838"/>
    </row>
    <row r="134" spans="2:20">
      <c r="B134" s="837"/>
      <c r="C134" s="610"/>
      <c r="D134" s="610"/>
      <c r="E134" s="610"/>
      <c r="F134" s="610"/>
      <c r="G134" s="1421"/>
      <c r="H134" s="1421"/>
      <c r="I134" s="1421"/>
      <c r="J134" s="1421"/>
      <c r="K134" s="1421"/>
      <c r="L134" s="1421"/>
      <c r="M134" s="1421"/>
      <c r="N134" s="1421"/>
      <c r="O134" s="1421"/>
      <c r="P134" s="838"/>
    </row>
    <row r="135" spans="2:20">
      <c r="B135" s="837"/>
      <c r="C135" s="612" t="s">
        <v>1538</v>
      </c>
      <c r="D135" s="610"/>
      <c r="E135" s="610"/>
      <c r="F135" s="610"/>
      <c r="G135" s="613"/>
      <c r="H135" s="610"/>
      <c r="I135" s="610"/>
      <c r="J135" s="610"/>
      <c r="K135" s="610"/>
      <c r="L135" s="610"/>
      <c r="M135" s="610"/>
      <c r="N135" s="610"/>
      <c r="O135" s="613" t="str">
        <f>Preferences.PowerUnits</f>
        <v>GW</v>
      </c>
      <c r="P135" s="838"/>
    </row>
    <row r="136" spans="2:20" ht="5.25" customHeight="1">
      <c r="B136" s="837"/>
      <c r="C136" s="610"/>
      <c r="D136" s="610"/>
      <c r="E136" s="610"/>
      <c r="F136" s="610"/>
      <c r="G136" s="610"/>
      <c r="H136" s="610"/>
      <c r="I136" s="610"/>
      <c r="J136" s="610"/>
      <c r="K136" s="610"/>
      <c r="L136" s="610"/>
      <c r="M136" s="610"/>
      <c r="N136" s="610"/>
      <c r="O136" s="610"/>
      <c r="P136" s="838"/>
    </row>
    <row r="137" spans="2:20" ht="15">
      <c r="B137" s="839"/>
      <c r="C137" s="547" t="s">
        <v>600</v>
      </c>
      <c r="D137" s="547" t="s">
        <v>614</v>
      </c>
      <c r="E137" s="547" t="s">
        <v>421</v>
      </c>
      <c r="F137" s="643">
        <v>2007</v>
      </c>
      <c r="G137" s="644">
        <v>2010</v>
      </c>
      <c r="H137" s="643">
        <v>2015</v>
      </c>
      <c r="I137" s="643">
        <v>2020</v>
      </c>
      <c r="J137" s="643">
        <v>2025</v>
      </c>
      <c r="K137" s="643">
        <v>2030</v>
      </c>
      <c r="L137" s="643">
        <v>2035</v>
      </c>
      <c r="M137" s="643">
        <v>2040</v>
      </c>
      <c r="N137" s="643">
        <v>2045</v>
      </c>
      <c r="O137" s="643">
        <v>2050</v>
      </c>
      <c r="P137" s="838"/>
    </row>
    <row r="138" spans="2:20" ht="15">
      <c r="B138" s="839"/>
      <c r="C138" s="1097" t="s">
        <v>42</v>
      </c>
      <c r="D138" s="1594" t="s">
        <v>1515</v>
      </c>
      <c r="E138" s="1142"/>
      <c r="F138" s="1597"/>
      <c r="G138" s="1855">
        <f t="shared" ref="G138:O138" si="4">F138+G46-F46+(F131*F$20*(G$137-F$137))</f>
        <v>0</v>
      </c>
      <c r="H138" s="1855">
        <f t="shared" si="4"/>
        <v>0.4</v>
      </c>
      <c r="I138" s="1855">
        <f t="shared" si="4"/>
        <v>0.80000000000000016</v>
      </c>
      <c r="J138" s="1855">
        <f t="shared" si="4"/>
        <v>2.0599873999999998</v>
      </c>
      <c r="K138" s="1855">
        <f t="shared" si="4"/>
        <v>4.7199607999999991</v>
      </c>
      <c r="L138" s="1855">
        <f t="shared" si="4"/>
        <v>7.2199357999999991</v>
      </c>
      <c r="M138" s="1855">
        <f t="shared" si="4"/>
        <v>8.7199207999999988</v>
      </c>
      <c r="N138" s="1855">
        <f t="shared" si="4"/>
        <v>10.219905799999999</v>
      </c>
      <c r="O138" s="1855">
        <f t="shared" si="4"/>
        <v>11.7198908</v>
      </c>
      <c r="P138" s="838"/>
    </row>
    <row r="139" spans="2:20" ht="15">
      <c r="B139" s="839"/>
      <c r="C139" s="583" t="s">
        <v>42</v>
      </c>
      <c r="D139" s="1595" t="s">
        <v>1516</v>
      </c>
      <c r="E139" s="555"/>
      <c r="F139" s="932"/>
      <c r="G139" s="1856">
        <f t="shared" ref="G139:O139" si="5">F139+G47-F47+(F132*F$20*(G$137-F$137))</f>
        <v>0</v>
      </c>
      <c r="H139" s="1856">
        <f t="shared" si="5"/>
        <v>0</v>
      </c>
      <c r="I139" s="1856">
        <f t="shared" si="5"/>
        <v>0.45</v>
      </c>
      <c r="J139" s="1856">
        <f t="shared" si="5"/>
        <v>0.98999460000000017</v>
      </c>
      <c r="K139" s="1856">
        <f t="shared" si="5"/>
        <v>2.1299831999999999</v>
      </c>
      <c r="L139" s="1856">
        <f t="shared" si="5"/>
        <v>4.6299581999999999</v>
      </c>
      <c r="M139" s="1856">
        <f t="shared" si="5"/>
        <v>8.1299232000000003</v>
      </c>
      <c r="N139" s="1856">
        <f t="shared" si="5"/>
        <v>11.6298882</v>
      </c>
      <c r="O139" s="1856">
        <f t="shared" si="5"/>
        <v>15.129853199999999</v>
      </c>
      <c r="P139" s="838"/>
      <c r="T139" s="1418"/>
    </row>
    <row r="140" spans="2:20" ht="15">
      <c r="B140" s="839"/>
      <c r="C140" s="583" t="s">
        <v>45</v>
      </c>
      <c r="D140" s="1595" t="s">
        <v>14</v>
      </c>
      <c r="E140" s="556"/>
      <c r="F140" s="621"/>
      <c r="G140" s="1856">
        <f t="shared" ref="G140:O140" si="6">F140+G48-F48+(F133*F$20*(G$137-F$137))</f>
        <v>0</v>
      </c>
      <c r="H140" s="1856">
        <f t="shared" si="6"/>
        <v>0.45</v>
      </c>
      <c r="I140" s="1856">
        <f t="shared" si="6"/>
        <v>0.45</v>
      </c>
      <c r="J140" s="1856">
        <f t="shared" si="6"/>
        <v>1.3500179999999999</v>
      </c>
      <c r="K140" s="1856">
        <f t="shared" si="6"/>
        <v>3.2500559999999998</v>
      </c>
      <c r="L140" s="1856">
        <f t="shared" si="6"/>
        <v>5.7501059999999997</v>
      </c>
      <c r="M140" s="1856">
        <f t="shared" si="6"/>
        <v>8.2501560000000005</v>
      </c>
      <c r="N140" s="1856">
        <f t="shared" si="6"/>
        <v>10.750206</v>
      </c>
      <c r="O140" s="1856">
        <f t="shared" si="6"/>
        <v>13.250256</v>
      </c>
      <c r="P140" s="838"/>
      <c r="T140" s="1418"/>
    </row>
    <row r="141" spans="2:20" ht="15">
      <c r="B141" s="839"/>
      <c r="C141" s="1857"/>
      <c r="D141" s="1633" t="s">
        <v>132</v>
      </c>
      <c r="E141" s="1633"/>
      <c r="F141" s="1633"/>
      <c r="G141" s="1858">
        <f t="shared" ref="G141:O141" si="7">SUM(G138:G140)</f>
        <v>0</v>
      </c>
      <c r="H141" s="1858">
        <f t="shared" si="7"/>
        <v>0.85000000000000009</v>
      </c>
      <c r="I141" s="1858">
        <f t="shared" si="7"/>
        <v>1.7000000000000002</v>
      </c>
      <c r="J141" s="1858">
        <f t="shared" si="7"/>
        <v>4.4000000000000004</v>
      </c>
      <c r="K141" s="1858">
        <f t="shared" si="7"/>
        <v>10.099999999999998</v>
      </c>
      <c r="L141" s="1858">
        <f t="shared" si="7"/>
        <v>17.599999999999998</v>
      </c>
      <c r="M141" s="1858">
        <f t="shared" si="7"/>
        <v>25.099999999999998</v>
      </c>
      <c r="N141" s="1858">
        <f t="shared" si="7"/>
        <v>32.6</v>
      </c>
      <c r="O141" s="1858">
        <f t="shared" si="7"/>
        <v>40.1</v>
      </c>
      <c r="P141" s="838"/>
    </row>
    <row r="142" spans="2:20" s="1907" customFormat="1" ht="15">
      <c r="B142" s="839"/>
      <c r="C142" s="1868"/>
      <c r="D142" s="1870"/>
      <c r="E142" s="1870"/>
      <c r="F142" s="1870"/>
      <c r="G142" s="1912"/>
      <c r="H142" s="1912"/>
      <c r="I142" s="1912"/>
      <c r="J142" s="1912"/>
      <c r="K142" s="1912"/>
      <c r="L142" s="1912"/>
      <c r="M142" s="1912"/>
      <c r="N142" s="1912"/>
      <c r="O142" s="1912"/>
      <c r="P142" s="1873"/>
    </row>
    <row r="143" spans="2:20" s="1907" customFormat="1">
      <c r="B143" s="903"/>
      <c r="C143" s="1871" t="s">
        <v>2111</v>
      </c>
      <c r="D143" s="1870"/>
      <c r="E143" s="1870"/>
      <c r="F143" s="1870"/>
      <c r="G143" s="613"/>
      <c r="H143" s="1870"/>
      <c r="I143" s="1870"/>
      <c r="J143" s="1870"/>
      <c r="K143" s="1870"/>
      <c r="L143" s="1870"/>
      <c r="M143" s="1870"/>
      <c r="N143" s="1870"/>
      <c r="O143" s="1870"/>
      <c r="P143" s="1873"/>
    </row>
    <row r="144" spans="2:20" s="1907" customFormat="1" ht="6" customHeight="1">
      <c r="B144" s="903"/>
      <c r="C144" s="1870"/>
      <c r="D144" s="1870"/>
      <c r="E144" s="1870"/>
      <c r="F144" s="1870"/>
      <c r="G144" s="1870"/>
      <c r="H144" s="1870"/>
      <c r="I144" s="1870"/>
      <c r="J144" s="1870"/>
      <c r="K144" s="1870"/>
      <c r="L144" s="1870"/>
      <c r="M144" s="1870"/>
      <c r="N144" s="1870"/>
      <c r="O144" s="1870"/>
      <c r="P144" s="1873"/>
    </row>
    <row r="145" spans="2:18" s="1907" customFormat="1" ht="15">
      <c r="B145" s="904"/>
      <c r="C145" s="547" t="s">
        <v>600</v>
      </c>
      <c r="D145" s="547" t="s">
        <v>614</v>
      </c>
      <c r="E145" s="547" t="s">
        <v>421</v>
      </c>
      <c r="F145" s="1106" t="s">
        <v>576</v>
      </c>
      <c r="G145" s="553" t="s">
        <v>577</v>
      </c>
      <c r="H145" s="552" t="s">
        <v>604</v>
      </c>
      <c r="I145" s="552" t="s">
        <v>605</v>
      </c>
      <c r="J145" s="552" t="s">
        <v>606</v>
      </c>
      <c r="K145" s="552" t="s">
        <v>607</v>
      </c>
      <c r="L145" s="552" t="s">
        <v>608</v>
      </c>
      <c r="M145" s="552" t="s">
        <v>609</v>
      </c>
      <c r="N145" s="552" t="s">
        <v>610</v>
      </c>
      <c r="O145" s="552" t="s">
        <v>611</v>
      </c>
      <c r="P145" s="1873"/>
    </row>
    <row r="146" spans="2:18" s="1907" customFormat="1" ht="15">
      <c r="B146" s="904"/>
      <c r="C146" s="1866"/>
      <c r="D146" s="551" t="s">
        <v>2112</v>
      </c>
      <c r="E146" s="551"/>
      <c r="F146" s="1107">
        <f t="shared" ref="F146:O146" si="8">SUMPRODUCT(F$131:F$133,F$73:F$75)</f>
        <v>0</v>
      </c>
      <c r="G146" s="572">
        <f t="shared" si="8"/>
        <v>0.84999999999999987</v>
      </c>
      <c r="H146" s="557">
        <f t="shared" si="8"/>
        <v>0.84999999999999987</v>
      </c>
      <c r="I146" s="557">
        <f t="shared" si="8"/>
        <v>0.84999999999999987</v>
      </c>
      <c r="J146" s="557">
        <f t="shared" si="8"/>
        <v>0.84999999999999987</v>
      </c>
      <c r="K146" s="557">
        <f t="shared" si="8"/>
        <v>0.84999999999999987</v>
      </c>
      <c r="L146" s="557">
        <f t="shared" si="8"/>
        <v>0.84999999999999987</v>
      </c>
      <c r="M146" s="557">
        <f t="shared" si="8"/>
        <v>0.84999999999999987</v>
      </c>
      <c r="N146" s="557">
        <f t="shared" si="8"/>
        <v>0.84999999999999987</v>
      </c>
      <c r="O146" s="557">
        <f t="shared" si="8"/>
        <v>0.84999999999999987</v>
      </c>
      <c r="P146" s="1873"/>
      <c r="R146" s="766"/>
    </row>
    <row r="147" spans="2:18" s="1907" customFormat="1" ht="15">
      <c r="B147" s="839"/>
      <c r="C147" s="1868"/>
      <c r="D147" s="1870"/>
      <c r="E147" s="1870"/>
      <c r="F147" s="1870"/>
      <c r="G147" s="1912"/>
      <c r="H147" s="1912"/>
      <c r="I147" s="1912"/>
      <c r="J147" s="1912"/>
      <c r="K147" s="1912"/>
      <c r="L147" s="1912"/>
      <c r="M147" s="1912"/>
      <c r="N147" s="1912"/>
      <c r="O147" s="1912"/>
      <c r="P147" s="1873"/>
    </row>
    <row r="149" spans="2:18" ht="15">
      <c r="B149" s="575" t="s">
        <v>615</v>
      </c>
    </row>
    <row r="150" spans="2:18" ht="15">
      <c r="B150" s="575"/>
    </row>
    <row r="151" spans="2:18">
      <c r="B151" s="530" t="s">
        <v>1540</v>
      </c>
      <c r="C151" s="532"/>
      <c r="D151" s="532"/>
      <c r="E151" s="532"/>
      <c r="F151" s="532"/>
      <c r="G151" s="532"/>
      <c r="H151" s="532"/>
      <c r="I151" s="532"/>
      <c r="J151" s="532"/>
      <c r="K151" s="532"/>
      <c r="L151" s="532"/>
      <c r="M151" s="532"/>
      <c r="N151" s="532"/>
      <c r="O151" s="532"/>
    </row>
    <row r="152" spans="2:18">
      <c r="B152" s="530" t="s">
        <v>1539</v>
      </c>
      <c r="C152" s="532"/>
      <c r="D152" s="532"/>
      <c r="E152" s="532"/>
      <c r="F152" s="532"/>
      <c r="G152" s="532"/>
      <c r="H152" s="532"/>
      <c r="I152" s="532"/>
      <c r="J152" s="532"/>
      <c r="K152" s="532"/>
      <c r="L152" s="532"/>
      <c r="M152" s="532"/>
      <c r="N152" s="532"/>
      <c r="O152" s="532"/>
    </row>
    <row r="153" spans="2:18">
      <c r="B153" s="586" t="s">
        <v>1541</v>
      </c>
      <c r="C153" s="532"/>
      <c r="D153" s="532"/>
      <c r="E153" s="532"/>
      <c r="F153" s="532"/>
      <c r="G153" s="532"/>
      <c r="H153" s="532"/>
      <c r="I153" s="532"/>
      <c r="J153" s="532"/>
      <c r="K153" s="532"/>
      <c r="L153" s="532"/>
      <c r="M153" s="532"/>
      <c r="N153" s="532"/>
      <c r="O153" s="532"/>
    </row>
    <row r="154" spans="2:18">
      <c r="B154" s="586" t="s">
        <v>1995</v>
      </c>
      <c r="C154" s="532"/>
      <c r="D154" s="532"/>
      <c r="E154" s="532"/>
      <c r="F154" s="532"/>
      <c r="G154" s="532"/>
      <c r="H154" s="532"/>
      <c r="I154" s="532"/>
      <c r="J154" s="532"/>
      <c r="K154" s="532"/>
      <c r="L154" s="532"/>
      <c r="M154" s="532"/>
      <c r="N154" s="532"/>
      <c r="O154" s="532"/>
    </row>
    <row r="155" spans="2:18">
      <c r="B155" s="586" t="s">
        <v>1996</v>
      </c>
      <c r="C155" s="532"/>
      <c r="D155" s="532"/>
      <c r="E155" s="532"/>
      <c r="F155" s="532"/>
      <c r="G155" s="532"/>
      <c r="H155" s="532"/>
      <c r="I155" s="532"/>
      <c r="J155" s="532"/>
      <c r="K155" s="532"/>
      <c r="L155" s="532"/>
      <c r="M155" s="532"/>
      <c r="N155" s="532"/>
      <c r="O155" s="532"/>
    </row>
    <row r="156" spans="2:18">
      <c r="B156" s="586"/>
      <c r="C156" s="532"/>
      <c r="D156" s="532"/>
      <c r="E156" s="532"/>
      <c r="F156" s="532"/>
      <c r="G156" s="532"/>
      <c r="H156" s="532"/>
      <c r="I156" s="532"/>
      <c r="J156" s="532"/>
      <c r="K156" s="532"/>
      <c r="L156" s="532"/>
      <c r="M156" s="532"/>
      <c r="N156" s="532"/>
      <c r="O156" s="532"/>
    </row>
    <row r="157" spans="2:18">
      <c r="B157" s="586" t="s">
        <v>1543</v>
      </c>
      <c r="C157" s="532"/>
      <c r="D157" s="532"/>
      <c r="E157" s="532"/>
      <c r="F157" s="532"/>
      <c r="G157" s="532"/>
      <c r="H157" s="532"/>
      <c r="I157" s="532"/>
      <c r="J157" s="532"/>
      <c r="K157" s="532"/>
      <c r="L157" s="532"/>
      <c r="M157" s="532"/>
      <c r="N157" s="532"/>
      <c r="O157" s="532"/>
    </row>
    <row r="158" spans="2:18">
      <c r="B158" s="532"/>
      <c r="C158" s="532" t="s">
        <v>42</v>
      </c>
      <c r="D158" s="532" t="s">
        <v>1515</v>
      </c>
      <c r="E158" s="532"/>
      <c r="F158" s="1954">
        <v>2007</v>
      </c>
      <c r="G158" s="1954">
        <v>2010</v>
      </c>
      <c r="H158" s="1954">
        <v>2015</v>
      </c>
      <c r="I158" s="1954">
        <v>2020</v>
      </c>
      <c r="J158" s="1954">
        <v>2025</v>
      </c>
      <c r="K158" s="1954">
        <v>2030</v>
      </c>
      <c r="L158" s="1954">
        <v>2035</v>
      </c>
      <c r="M158" s="1954">
        <v>2040</v>
      </c>
      <c r="N158" s="1954">
        <v>2045</v>
      </c>
      <c r="O158" s="1954">
        <v>2050</v>
      </c>
    </row>
    <row r="159" spans="2:18">
      <c r="B159" s="532"/>
      <c r="C159" s="532" t="s">
        <v>637</v>
      </c>
      <c r="D159" s="532"/>
      <c r="E159" s="532" t="str">
        <f>Preferences.PowerUnits</f>
        <v>GW</v>
      </c>
      <c r="F159" s="587">
        <f>F138</f>
        <v>0</v>
      </c>
      <c r="G159" s="587">
        <f>G138</f>
        <v>0</v>
      </c>
      <c r="H159" s="1859">
        <f>H138</f>
        <v>0.4</v>
      </c>
      <c r="I159" s="1859">
        <f t="shared" ref="I159:N159" si="9">I138</f>
        <v>0.80000000000000016</v>
      </c>
      <c r="J159" s="1859">
        <f t="shared" si="9"/>
        <v>2.0599873999999998</v>
      </c>
      <c r="K159" s="1859">
        <f t="shared" si="9"/>
        <v>4.7199607999999991</v>
      </c>
      <c r="L159" s="1859">
        <f t="shared" si="9"/>
        <v>7.2199357999999991</v>
      </c>
      <c r="M159" s="1859">
        <f t="shared" si="9"/>
        <v>8.7199207999999988</v>
      </c>
      <c r="N159" s="1859">
        <f t="shared" si="9"/>
        <v>10.219905799999999</v>
      </c>
      <c r="O159" s="1859">
        <f>O138</f>
        <v>11.7198908</v>
      </c>
    </row>
    <row r="160" spans="2:18">
      <c r="B160" s="532" t="s">
        <v>191</v>
      </c>
      <c r="C160" s="532" t="s">
        <v>1531</v>
      </c>
      <c r="D160" s="532"/>
      <c r="E160" s="532"/>
      <c r="F160" s="587">
        <f t="shared" ref="F160:N160" si="10">F159*-F$66</f>
        <v>0</v>
      </c>
      <c r="G160" s="587">
        <f t="shared" si="10"/>
        <v>0</v>
      </c>
      <c r="H160" s="1859">
        <f t="shared" si="10"/>
        <v>-0.10840000000000001</v>
      </c>
      <c r="I160" s="1859">
        <f t="shared" si="10"/>
        <v>-0.12800000000000003</v>
      </c>
      <c r="J160" s="1859">
        <f t="shared" si="10"/>
        <v>-0.32547800919999997</v>
      </c>
      <c r="K160" s="1859">
        <f t="shared" si="10"/>
        <v>-0.7315939239999999</v>
      </c>
      <c r="L160" s="1859">
        <f t="shared" si="10"/>
        <v>-1.1046501773999999</v>
      </c>
      <c r="M160" s="1859">
        <f t="shared" si="10"/>
        <v>-1.3167080407999998</v>
      </c>
      <c r="N160" s="1859">
        <f t="shared" si="10"/>
        <v>-1.5125460584000001</v>
      </c>
      <c r="O160" s="1859">
        <f>O159*-O$66</f>
        <v>-1.7111040568000002</v>
      </c>
      <c r="Q160" s="587"/>
    </row>
    <row r="161" spans="1:18">
      <c r="B161" s="532" t="s">
        <v>672</v>
      </c>
      <c r="C161" s="532" t="s">
        <v>638</v>
      </c>
      <c r="D161" s="532"/>
      <c r="E161" s="532"/>
      <c r="F161" s="588">
        <f>F$73</f>
        <v>0</v>
      </c>
      <c r="G161" s="588">
        <f t="shared" ref="G161:O161" si="11">G$73</f>
        <v>0.85</v>
      </c>
      <c r="H161" s="588">
        <f t="shared" si="11"/>
        <v>0.85</v>
      </c>
      <c r="I161" s="588">
        <f t="shared" si="11"/>
        <v>0.85</v>
      </c>
      <c r="J161" s="588">
        <f t="shared" si="11"/>
        <v>0.85</v>
      </c>
      <c r="K161" s="588">
        <f t="shared" si="11"/>
        <v>0.85</v>
      </c>
      <c r="L161" s="588">
        <f t="shared" si="11"/>
        <v>0.85</v>
      </c>
      <c r="M161" s="588">
        <f t="shared" si="11"/>
        <v>0.85</v>
      </c>
      <c r="N161" s="588">
        <f t="shared" si="11"/>
        <v>0.85</v>
      </c>
      <c r="O161" s="588">
        <f t="shared" si="11"/>
        <v>0.85</v>
      </c>
      <c r="P161" s="588"/>
      <c r="Q161" s="1590"/>
    </row>
    <row r="162" spans="1:18">
      <c r="B162" s="589" t="s">
        <v>673</v>
      </c>
      <c r="C162" s="532" t="s">
        <v>1214</v>
      </c>
      <c r="D162" s="532"/>
      <c r="E162" s="532"/>
      <c r="F162" s="590">
        <f t="shared" ref="F162:N162" si="12">(F159+F160)*F161</f>
        <v>0</v>
      </c>
      <c r="G162" s="590">
        <f t="shared" si="12"/>
        <v>0</v>
      </c>
      <c r="H162" s="590">
        <f t="shared" si="12"/>
        <v>0.24786000000000002</v>
      </c>
      <c r="I162" s="590">
        <f t="shared" si="12"/>
        <v>0.57120000000000015</v>
      </c>
      <c r="J162" s="590">
        <f t="shared" si="12"/>
        <v>1.4743329821799998</v>
      </c>
      <c r="K162" s="590">
        <f t="shared" si="12"/>
        <v>3.3901118445999994</v>
      </c>
      <c r="L162" s="590">
        <f t="shared" si="12"/>
        <v>5.1979927792099989</v>
      </c>
      <c r="M162" s="590">
        <f t="shared" si="12"/>
        <v>6.2927308453199986</v>
      </c>
      <c r="N162" s="590">
        <f t="shared" si="12"/>
        <v>7.4012557803599996</v>
      </c>
      <c r="O162" s="590">
        <f>(O159+O160)*O161</f>
        <v>8.5074687317199995</v>
      </c>
      <c r="P162" s="590"/>
    </row>
    <row r="163" spans="1:18">
      <c r="B163" s="532"/>
      <c r="C163" s="589"/>
      <c r="D163" s="532"/>
      <c r="E163" s="532"/>
      <c r="F163" s="590"/>
      <c r="G163" s="590"/>
      <c r="H163" s="590"/>
      <c r="I163" s="590"/>
      <c r="J163" s="590"/>
      <c r="K163" s="590"/>
      <c r="L163" s="590"/>
      <c r="M163" s="590"/>
      <c r="N163" s="590"/>
      <c r="O163" s="590"/>
    </row>
    <row r="164" spans="1:18">
      <c r="B164" s="532"/>
      <c r="C164" s="586" t="s">
        <v>1215</v>
      </c>
      <c r="D164" s="532"/>
      <c r="E164" s="532" t="str">
        <f>Preferences.EnergyUnits</f>
        <v>TWh</v>
      </c>
      <c r="F164" s="591">
        <f t="shared" ref="F164:N164" si="13">F162*Preferences.Unit.Power*Unit.year/Preferences.Unit.Energy</f>
        <v>0</v>
      </c>
      <c r="G164" s="591">
        <f t="shared" si="13"/>
        <v>0</v>
      </c>
      <c r="H164" s="1860">
        <f t="shared" si="13"/>
        <v>2.1727407600000004</v>
      </c>
      <c r="I164" s="1860">
        <f t="shared" si="13"/>
        <v>5.0071392000000019</v>
      </c>
      <c r="J164" s="1860">
        <f t="shared" si="13"/>
        <v>12.924002921789878</v>
      </c>
      <c r="K164" s="1860">
        <f t="shared" si="13"/>
        <v>29.717720429763595</v>
      </c>
      <c r="L164" s="1860">
        <f t="shared" si="13"/>
        <v>45.56560470255485</v>
      </c>
      <c r="M164" s="1860">
        <f t="shared" si="13"/>
        <v>55.162078590075112</v>
      </c>
      <c r="N164" s="1860">
        <f t="shared" si="13"/>
        <v>64.879408170635756</v>
      </c>
      <c r="O164" s="1860">
        <f>O162*Preferences.Unit.Power*Unit.year/Preferences.Unit.Energy</f>
        <v>74.576470902257512</v>
      </c>
      <c r="P164" s="591"/>
      <c r="Q164" s="591"/>
    </row>
    <row r="165" spans="1:18">
      <c r="B165" s="532"/>
      <c r="C165" s="586"/>
      <c r="D165" s="532"/>
      <c r="E165" s="532"/>
      <c r="F165" s="591"/>
      <c r="G165" s="591"/>
      <c r="H165" s="591"/>
      <c r="I165" s="591"/>
      <c r="J165" s="591"/>
      <c r="K165" s="591"/>
      <c r="L165" s="591"/>
      <c r="M165" s="591"/>
      <c r="N165" s="591"/>
      <c r="O165" s="591"/>
      <c r="P165" s="591"/>
      <c r="Q165" s="591"/>
    </row>
    <row r="166" spans="1:18">
      <c r="B166" s="589" t="s">
        <v>943</v>
      </c>
      <c r="C166" s="532" t="s">
        <v>1531</v>
      </c>
      <c r="D166" s="532"/>
      <c r="E166" s="532"/>
      <c r="F166" s="592">
        <f t="shared" ref="F166:N166" si="14">F167*F$66</f>
        <v>0</v>
      </c>
      <c r="G166" s="592">
        <f>G167*G$66</f>
        <v>0</v>
      </c>
      <c r="H166" s="592">
        <f>H167*H$66</f>
        <v>0.80769924000000026</v>
      </c>
      <c r="I166" s="592">
        <f t="shared" si="14"/>
        <v>0.95374080000000039</v>
      </c>
      <c r="J166" s="592">
        <f t="shared" si="14"/>
        <v>2.4251691943501199</v>
      </c>
      <c r="K166" s="592">
        <f t="shared" si="14"/>
        <v>5.4511794871163994</v>
      </c>
      <c r="L166" s="592">
        <f t="shared" si="14"/>
        <v>8.2308589368251397</v>
      </c>
      <c r="M166" s="592">
        <f t="shared" si="14"/>
        <v>9.8109232828048789</v>
      </c>
      <c r="N166" s="592">
        <f t="shared" si="14"/>
        <v>11.270131935744242</v>
      </c>
      <c r="O166" s="592">
        <f>O167*O$66</f>
        <v>12.749607437622481</v>
      </c>
      <c r="P166" s="592"/>
      <c r="Q166" s="592"/>
      <c r="R166" s="592"/>
    </row>
    <row r="167" spans="1:18">
      <c r="B167" s="593" t="s">
        <v>673</v>
      </c>
      <c r="C167" s="586" t="s">
        <v>1216</v>
      </c>
      <c r="D167" s="532"/>
      <c r="E167" s="532"/>
      <c r="F167" s="591">
        <f>F164/(1-F$66)</f>
        <v>0</v>
      </c>
      <c r="G167" s="1860">
        <f>G164/(1-G$66)</f>
        <v>0</v>
      </c>
      <c r="H167" s="1860">
        <f>H164/(1-H$66)</f>
        <v>2.9804400000000006</v>
      </c>
      <c r="I167" s="1860">
        <f t="shared" ref="I167:O167" si="15">I164/(1-I$66)</f>
        <v>5.9608800000000022</v>
      </c>
      <c r="J167" s="1860">
        <f t="shared" si="15"/>
        <v>15.349172116139998</v>
      </c>
      <c r="K167" s="1860">
        <f t="shared" si="15"/>
        <v>35.168899916879994</v>
      </c>
      <c r="L167" s="1860">
        <f t="shared" si="15"/>
        <v>53.796463639379994</v>
      </c>
      <c r="M167" s="1860">
        <f t="shared" si="15"/>
        <v>64.973001872879991</v>
      </c>
      <c r="N167" s="1860">
        <f t="shared" si="15"/>
        <v>76.149540106380002</v>
      </c>
      <c r="O167" s="1860">
        <f t="shared" si="15"/>
        <v>87.326078339879999</v>
      </c>
      <c r="P167" s="647"/>
      <c r="Q167" s="1589"/>
    </row>
    <row r="168" spans="1:18">
      <c r="B168" s="532" t="s">
        <v>1135</v>
      </c>
      <c r="C168" s="532" t="s">
        <v>1133</v>
      </c>
      <c r="D168" s="532"/>
      <c r="E168" s="532"/>
      <c r="F168" s="594">
        <f>F$53</f>
        <v>0.44</v>
      </c>
      <c r="G168" s="594">
        <f t="shared" ref="G168:N168" si="16">G$53</f>
        <v>0.44</v>
      </c>
      <c r="H168" s="594">
        <f t="shared" si="16"/>
        <v>0.44</v>
      </c>
      <c r="I168" s="594">
        <f t="shared" si="16"/>
        <v>0.45</v>
      </c>
      <c r="J168" s="594">
        <f t="shared" si="16"/>
        <v>0.46</v>
      </c>
      <c r="K168" s="594">
        <f t="shared" si="16"/>
        <v>0.47</v>
      </c>
      <c r="L168" s="594">
        <f t="shared" si="16"/>
        <v>0.48</v>
      </c>
      <c r="M168" s="594">
        <f t="shared" si="16"/>
        <v>0.48</v>
      </c>
      <c r="N168" s="594">
        <f t="shared" si="16"/>
        <v>0.49</v>
      </c>
      <c r="O168" s="594">
        <f>O$53</f>
        <v>0.5</v>
      </c>
    </row>
    <row r="169" spans="1:18">
      <c r="B169" s="593" t="s">
        <v>673</v>
      </c>
      <c r="C169" s="586" t="s">
        <v>1134</v>
      </c>
      <c r="D169" s="532"/>
      <c r="E169" s="532"/>
      <c r="F169" s="595">
        <v>0</v>
      </c>
      <c r="G169" s="595">
        <v>0</v>
      </c>
      <c r="H169" s="595">
        <f t="shared" ref="H169:N169" si="17">H167/H168</f>
        <v>6.7737272727272746</v>
      </c>
      <c r="I169" s="595">
        <f t="shared" si="17"/>
        <v>13.246400000000005</v>
      </c>
      <c r="J169" s="595">
        <f t="shared" si="17"/>
        <v>33.36776546986956</v>
      </c>
      <c r="K169" s="595">
        <f t="shared" si="17"/>
        <v>74.827446631659569</v>
      </c>
      <c r="L169" s="595">
        <f t="shared" si="17"/>
        <v>112.07596591537499</v>
      </c>
      <c r="M169" s="595">
        <f t="shared" si="17"/>
        <v>135.36042056849999</v>
      </c>
      <c r="N169" s="595">
        <f t="shared" si="17"/>
        <v>155.40722470689798</v>
      </c>
      <c r="O169" s="595">
        <f>O167/O168</f>
        <v>174.65215667976</v>
      </c>
    </row>
    <row r="172" spans="1:18" s="532" customFormat="1">
      <c r="B172" s="586" t="s">
        <v>1544</v>
      </c>
    </row>
    <row r="173" spans="1:18" s="532" customFormat="1">
      <c r="C173" s="532" t="s">
        <v>42</v>
      </c>
      <c r="D173" s="532" t="s">
        <v>1516</v>
      </c>
    </row>
    <row r="174" spans="1:18" s="532" customFormat="1">
      <c r="C174" s="532" t="s">
        <v>637</v>
      </c>
      <c r="E174" s="532" t="str">
        <f>Preferences.PowerUnits</f>
        <v>GW</v>
      </c>
      <c r="F174" s="587">
        <f>F139</f>
        <v>0</v>
      </c>
      <c r="G174" s="587">
        <f>G139</f>
        <v>0</v>
      </c>
      <c r="H174" s="587">
        <f>H139</f>
        <v>0</v>
      </c>
      <c r="I174" s="587">
        <f t="shared" ref="I174:O174" si="18">I139</f>
        <v>0.45</v>
      </c>
      <c r="J174" s="587">
        <f t="shared" si="18"/>
        <v>0.98999460000000017</v>
      </c>
      <c r="K174" s="587">
        <f t="shared" si="18"/>
        <v>2.1299831999999999</v>
      </c>
      <c r="L174" s="587">
        <f t="shared" si="18"/>
        <v>4.6299581999999999</v>
      </c>
      <c r="M174" s="587">
        <f t="shared" si="18"/>
        <v>8.1299232000000003</v>
      </c>
      <c r="N174" s="587">
        <f t="shared" si="18"/>
        <v>11.6298882</v>
      </c>
      <c r="O174" s="587">
        <f t="shared" si="18"/>
        <v>15.129853199999999</v>
      </c>
    </row>
    <row r="175" spans="1:18" s="532" customFormat="1">
      <c r="A175" s="1824"/>
      <c r="B175" s="532" t="s">
        <v>191</v>
      </c>
      <c r="C175" s="532" t="s">
        <v>1531</v>
      </c>
      <c r="F175" s="587">
        <f>F176*-F$67</f>
        <v>0</v>
      </c>
      <c r="G175" s="587">
        <f t="shared" ref="G175:N175" si="19">G174*-G$67</f>
        <v>0</v>
      </c>
      <c r="H175" s="587">
        <f t="shared" si="19"/>
        <v>0</v>
      </c>
      <c r="I175" s="587">
        <f t="shared" si="19"/>
        <v>-6.480000000000001E-2</v>
      </c>
      <c r="J175" s="587">
        <f t="shared" si="19"/>
        <v>-0.13859924400000004</v>
      </c>
      <c r="K175" s="587">
        <f t="shared" si="19"/>
        <v>-0.287547732</v>
      </c>
      <c r="L175" s="587">
        <f t="shared" si="19"/>
        <v>-0.61578444060000004</v>
      </c>
      <c r="M175" s="587">
        <f t="shared" si="19"/>
        <v>-1.0650199392000002</v>
      </c>
      <c r="N175" s="587">
        <f t="shared" si="19"/>
        <v>-1.4886256896000001</v>
      </c>
      <c r="O175" s="587">
        <f>O174*-O$67</f>
        <v>-1.9063615031999999</v>
      </c>
    </row>
    <row r="176" spans="1:18" s="532" customFormat="1">
      <c r="B176" s="532" t="s">
        <v>672</v>
      </c>
      <c r="C176" s="532" t="s">
        <v>638</v>
      </c>
      <c r="F176" s="588">
        <f>F$74</f>
        <v>0</v>
      </c>
      <c r="G176" s="588">
        <f>G$74</f>
        <v>0.85</v>
      </c>
      <c r="H176" s="588">
        <f t="shared" ref="H176:O176" si="20">H$74</f>
        <v>0.85</v>
      </c>
      <c r="I176" s="588">
        <f t="shared" si="20"/>
        <v>0.85</v>
      </c>
      <c r="J176" s="588">
        <f t="shared" si="20"/>
        <v>0.85</v>
      </c>
      <c r="K176" s="588">
        <f t="shared" si="20"/>
        <v>0.85</v>
      </c>
      <c r="L176" s="588">
        <f t="shared" si="20"/>
        <v>0.85</v>
      </c>
      <c r="M176" s="588">
        <f t="shared" si="20"/>
        <v>0.85</v>
      </c>
      <c r="N176" s="588">
        <f t="shared" si="20"/>
        <v>0.85</v>
      </c>
      <c r="O176" s="588">
        <f t="shared" si="20"/>
        <v>0.85</v>
      </c>
    </row>
    <row r="177" spans="2:16" s="532" customFormat="1" ht="5.25" customHeight="1">
      <c r="B177" s="589" t="s">
        <v>673</v>
      </c>
      <c r="C177" s="532" t="s">
        <v>1214</v>
      </c>
      <c r="F177" s="590">
        <f t="shared" ref="F177:N177" si="21">(F174+F175)*F176</f>
        <v>0</v>
      </c>
      <c r="G177" s="590">
        <f>(G174+G175)*G176</f>
        <v>0</v>
      </c>
      <c r="H177" s="590">
        <f>(H174+H175)*H176</f>
        <v>0</v>
      </c>
      <c r="I177" s="590">
        <f t="shared" si="21"/>
        <v>0.32741999999999999</v>
      </c>
      <c r="J177" s="590">
        <f t="shared" si="21"/>
        <v>0.72368605260000007</v>
      </c>
      <c r="K177" s="590">
        <f t="shared" si="21"/>
        <v>1.5660701477999999</v>
      </c>
      <c r="L177" s="590">
        <f t="shared" si="21"/>
        <v>3.4120476954900001</v>
      </c>
      <c r="M177" s="590">
        <f t="shared" si="21"/>
        <v>6.00516777168</v>
      </c>
      <c r="N177" s="590">
        <f t="shared" si="21"/>
        <v>8.6200731338400001</v>
      </c>
      <c r="O177" s="590">
        <f>(O174+O175)*O176</f>
        <v>11.23996794228</v>
      </c>
    </row>
    <row r="178" spans="2:16" s="532" customFormat="1">
      <c r="C178" s="589"/>
      <c r="F178" s="590"/>
      <c r="G178" s="590"/>
      <c r="H178" s="590"/>
      <c r="I178" s="590"/>
      <c r="J178" s="590"/>
      <c r="K178" s="590"/>
      <c r="L178" s="590"/>
      <c r="M178" s="590"/>
      <c r="N178" s="590"/>
      <c r="O178" s="590"/>
    </row>
    <row r="179" spans="2:16" s="532" customFormat="1">
      <c r="C179" s="586" t="s">
        <v>1215</v>
      </c>
      <c r="E179" s="532" t="str">
        <f>Preferences.EnergyUnits</f>
        <v>TWh</v>
      </c>
      <c r="F179" s="591">
        <f t="shared" ref="F179:O179" si="22">F177*Preferences.Unit.Power*Unit.year/Preferences.Unit.Energy</f>
        <v>0</v>
      </c>
      <c r="G179" s="591">
        <f t="shared" si="22"/>
        <v>0</v>
      </c>
      <c r="H179" s="591">
        <f t="shared" si="22"/>
        <v>0</v>
      </c>
      <c r="I179" s="591">
        <f t="shared" si="22"/>
        <v>2.8701637199999999</v>
      </c>
      <c r="J179" s="591">
        <f t="shared" si="22"/>
        <v>6.3438319370916005</v>
      </c>
      <c r="K179" s="591">
        <f t="shared" si="22"/>
        <v>13.7281709156148</v>
      </c>
      <c r="L179" s="591">
        <f t="shared" si="22"/>
        <v>29.910010098665342</v>
      </c>
      <c r="M179" s="591">
        <f t="shared" si="22"/>
        <v>52.641300686546877</v>
      </c>
      <c r="N179" s="591">
        <f t="shared" si="22"/>
        <v>75.563561091241439</v>
      </c>
      <c r="O179" s="591">
        <f t="shared" si="22"/>
        <v>98.529558982026487</v>
      </c>
      <c r="P179" s="591"/>
    </row>
    <row r="180" spans="2:16" s="532" customFormat="1"/>
    <row r="181" spans="2:16" s="532" customFormat="1">
      <c r="B181" s="589" t="s">
        <v>943</v>
      </c>
      <c r="C181" s="532" t="s">
        <v>1531</v>
      </c>
      <c r="F181" s="592">
        <f>F182*F$67</f>
        <v>0</v>
      </c>
      <c r="G181" s="592">
        <f>G182*G$67</f>
        <v>0</v>
      </c>
      <c r="H181" s="592">
        <f>H182*H$67</f>
        <v>0</v>
      </c>
      <c r="I181" s="592">
        <f t="shared" ref="I181:O181" si="23">I182*I$67</f>
        <v>0.48283128000000003</v>
      </c>
      <c r="J181" s="592">
        <f t="shared" si="23"/>
        <v>1.0327168269684002</v>
      </c>
      <c r="K181" s="592">
        <f t="shared" si="23"/>
        <v>2.1425469059052005</v>
      </c>
      <c r="L181" s="592">
        <f t="shared" si="23"/>
        <v>4.5882714453546605</v>
      </c>
      <c r="M181" s="592">
        <f t="shared" si="23"/>
        <v>7.9355700689731199</v>
      </c>
      <c r="N181" s="592">
        <f t="shared" si="23"/>
        <v>11.091898875778559</v>
      </c>
      <c r="O181" s="592">
        <f t="shared" si="23"/>
        <v>14.204490196493522</v>
      </c>
    </row>
    <row r="182" spans="2:16" s="532" customFormat="1">
      <c r="B182" s="593" t="s">
        <v>673</v>
      </c>
      <c r="C182" s="586" t="s">
        <v>1216</v>
      </c>
      <c r="F182" s="591">
        <f t="shared" ref="F182:O182" si="24">F179/(1-F67)</f>
        <v>0</v>
      </c>
      <c r="G182" s="591">
        <f t="shared" si="24"/>
        <v>0</v>
      </c>
      <c r="H182" s="591">
        <f t="shared" si="24"/>
        <v>0</v>
      </c>
      <c r="I182" s="591">
        <f t="shared" si="24"/>
        <v>3.3529949999999999</v>
      </c>
      <c r="J182" s="591">
        <f t="shared" si="24"/>
        <v>7.3765487640600007</v>
      </c>
      <c r="K182" s="591">
        <f t="shared" si="24"/>
        <v>15.870717821520001</v>
      </c>
      <c r="L182" s="591">
        <f t="shared" si="24"/>
        <v>34.498281544020003</v>
      </c>
      <c r="M182" s="591">
        <f t="shared" si="24"/>
        <v>60.576870755519998</v>
      </c>
      <c r="N182" s="591">
        <f t="shared" si="24"/>
        <v>86.655459967019993</v>
      </c>
      <c r="O182" s="591">
        <f t="shared" si="24"/>
        <v>112.73404917852001</v>
      </c>
      <c r="P182" s="1592"/>
    </row>
    <row r="183" spans="2:16" s="532" customFormat="1">
      <c r="B183" s="532" t="s">
        <v>1135</v>
      </c>
      <c r="C183" s="532" t="s">
        <v>1133</v>
      </c>
      <c r="F183" s="594">
        <f t="shared" ref="F183:N183" si="25">F54</f>
        <v>0.44</v>
      </c>
      <c r="G183" s="594">
        <f t="shared" si="25"/>
        <v>0.44</v>
      </c>
      <c r="H183" s="594">
        <f t="shared" si="25"/>
        <v>0.44</v>
      </c>
      <c r="I183" s="594">
        <f t="shared" si="25"/>
        <v>0.45</v>
      </c>
      <c r="J183" s="594">
        <f t="shared" si="25"/>
        <v>0.46</v>
      </c>
      <c r="K183" s="594">
        <f t="shared" si="25"/>
        <v>0.47</v>
      </c>
      <c r="L183" s="594">
        <f t="shared" si="25"/>
        <v>0.48</v>
      </c>
      <c r="M183" s="594">
        <f t="shared" si="25"/>
        <v>0.48</v>
      </c>
      <c r="N183" s="594">
        <f t="shared" si="25"/>
        <v>0.49</v>
      </c>
      <c r="O183" s="594">
        <f>O54</f>
        <v>0.5</v>
      </c>
    </row>
    <row r="184" spans="2:16" s="532" customFormat="1">
      <c r="B184" s="593" t="s">
        <v>673</v>
      </c>
      <c r="C184" s="586" t="s">
        <v>1134</v>
      </c>
      <c r="F184" s="595"/>
      <c r="G184" s="595">
        <v>0</v>
      </c>
      <c r="H184" s="595">
        <f t="shared" ref="H184:O184" si="26">H182/H183</f>
        <v>0</v>
      </c>
      <c r="I184" s="595">
        <f t="shared" si="26"/>
        <v>7.4510999999999994</v>
      </c>
      <c r="J184" s="595">
        <f t="shared" si="26"/>
        <v>16.03597557404348</v>
      </c>
      <c r="K184" s="595">
        <f t="shared" si="26"/>
        <v>33.767484726638301</v>
      </c>
      <c r="L184" s="595">
        <f t="shared" si="26"/>
        <v>71.871419883375012</v>
      </c>
      <c r="M184" s="595">
        <f t="shared" si="26"/>
        <v>126.201814074</v>
      </c>
      <c r="N184" s="595">
        <f t="shared" si="26"/>
        <v>176.84787748371429</v>
      </c>
      <c r="O184" s="595">
        <f t="shared" si="26"/>
        <v>225.46809835704002</v>
      </c>
    </row>
    <row r="185" spans="2:16" s="532" customFormat="1">
      <c r="C185" s="589"/>
      <c r="F185" s="590"/>
      <c r="G185" s="590"/>
      <c r="H185" s="590"/>
      <c r="I185" s="590"/>
      <c r="J185" s="590"/>
      <c r="K185" s="590"/>
      <c r="L185" s="590"/>
      <c r="M185" s="590"/>
      <c r="N185" s="590"/>
      <c r="O185" s="590"/>
    </row>
    <row r="186" spans="2:16" s="532" customFormat="1">
      <c r="B186" s="586" t="s">
        <v>1545</v>
      </c>
    </row>
    <row r="187" spans="2:16" s="532" customFormat="1">
      <c r="C187" s="532" t="s">
        <v>45</v>
      </c>
    </row>
    <row r="188" spans="2:16" s="532" customFormat="1">
      <c r="C188" s="532" t="s">
        <v>637</v>
      </c>
      <c r="E188" s="532" t="str">
        <f>Preferences.PowerUnits</f>
        <v>GW</v>
      </c>
      <c r="F188" s="587">
        <f>F140</f>
        <v>0</v>
      </c>
      <c r="G188" s="587">
        <f t="shared" ref="G188:O188" si="27">G140</f>
        <v>0</v>
      </c>
      <c r="H188" s="587">
        <f>H140</f>
        <v>0.45</v>
      </c>
      <c r="I188" s="587">
        <f t="shared" si="27"/>
        <v>0.45</v>
      </c>
      <c r="J188" s="587">
        <f t="shared" si="27"/>
        <v>1.3500179999999999</v>
      </c>
      <c r="K188" s="587">
        <f t="shared" si="27"/>
        <v>3.2500559999999998</v>
      </c>
      <c r="L188" s="587">
        <f t="shared" si="27"/>
        <v>5.7501059999999997</v>
      </c>
      <c r="M188" s="587">
        <f t="shared" si="27"/>
        <v>8.2501560000000005</v>
      </c>
      <c r="N188" s="587">
        <f t="shared" si="27"/>
        <v>10.750206</v>
      </c>
      <c r="O188" s="587">
        <f t="shared" si="27"/>
        <v>13.250256</v>
      </c>
    </row>
    <row r="189" spans="2:16" s="532" customFormat="1">
      <c r="B189" s="532" t="s">
        <v>191</v>
      </c>
      <c r="C189" s="532" t="s">
        <v>1521</v>
      </c>
      <c r="F189" s="587">
        <f>F188*-F$68</f>
        <v>0</v>
      </c>
      <c r="G189" s="587">
        <f t="shared" ref="G189:O189" si="28">G188*-G$68</f>
        <v>0</v>
      </c>
      <c r="H189" s="587">
        <f t="shared" si="28"/>
        <v>-5.9850000000000007E-2</v>
      </c>
      <c r="I189" s="587">
        <f t="shared" si="28"/>
        <v>-5.3100000000000001E-2</v>
      </c>
      <c r="J189" s="587">
        <f t="shared" si="28"/>
        <v>-0.15255203399999998</v>
      </c>
      <c r="K189" s="587">
        <f t="shared" si="28"/>
        <v>-0.35100604800000001</v>
      </c>
      <c r="L189" s="587">
        <f t="shared" si="28"/>
        <v>-0.61526134200000004</v>
      </c>
      <c r="M189" s="587">
        <f t="shared" si="28"/>
        <v>-0.87451653600000012</v>
      </c>
      <c r="N189" s="587">
        <f t="shared" si="28"/>
        <v>-1.1287716300000001</v>
      </c>
      <c r="O189" s="587">
        <f t="shared" si="28"/>
        <v>-1.3250256</v>
      </c>
    </row>
    <row r="190" spans="2:16" s="532" customFormat="1">
      <c r="B190" s="532" t="s">
        <v>672</v>
      </c>
      <c r="C190" s="532" t="s">
        <v>638</v>
      </c>
      <c r="F190" s="588">
        <f>F$75</f>
        <v>0</v>
      </c>
      <c r="G190" s="588">
        <f t="shared" ref="G190:O190" si="29">G$75</f>
        <v>0.85</v>
      </c>
      <c r="H190" s="588">
        <f t="shared" si="29"/>
        <v>0.85</v>
      </c>
      <c r="I190" s="588">
        <f t="shared" si="29"/>
        <v>0.85</v>
      </c>
      <c r="J190" s="588">
        <f t="shared" si="29"/>
        <v>0.85</v>
      </c>
      <c r="K190" s="588">
        <f t="shared" si="29"/>
        <v>0.85</v>
      </c>
      <c r="L190" s="588">
        <f t="shared" si="29"/>
        <v>0.85</v>
      </c>
      <c r="M190" s="588">
        <f t="shared" si="29"/>
        <v>0.85</v>
      </c>
      <c r="N190" s="588">
        <f t="shared" si="29"/>
        <v>0.85</v>
      </c>
      <c r="O190" s="588">
        <f t="shared" si="29"/>
        <v>0.85</v>
      </c>
    </row>
    <row r="191" spans="2:16" s="532" customFormat="1">
      <c r="B191" s="589" t="s">
        <v>673</v>
      </c>
      <c r="C191" s="532" t="s">
        <v>1214</v>
      </c>
      <c r="F191" s="590">
        <f>(F188+F189)*F190</f>
        <v>0</v>
      </c>
      <c r="G191" s="590">
        <f>(G188+G189)*G190</f>
        <v>0</v>
      </c>
      <c r="H191" s="590">
        <f t="shared" ref="H191:N191" si="30">(H188+H189)*H190</f>
        <v>0.33162749999999996</v>
      </c>
      <c r="I191" s="590">
        <f t="shared" si="30"/>
        <v>0.33736500000000003</v>
      </c>
      <c r="J191" s="590">
        <f t="shared" si="30"/>
        <v>1.0178460710999999</v>
      </c>
      <c r="K191" s="590">
        <f t="shared" si="30"/>
        <v>2.4641924592</v>
      </c>
      <c r="L191" s="590">
        <f t="shared" si="30"/>
        <v>4.3646179592999994</v>
      </c>
      <c r="M191" s="590">
        <f t="shared" si="30"/>
        <v>6.2692935444000009</v>
      </c>
      <c r="N191" s="590">
        <f t="shared" si="30"/>
        <v>8.1782192144999986</v>
      </c>
      <c r="O191" s="590">
        <f>(O188+O189)*O190</f>
        <v>10.13644584</v>
      </c>
    </row>
    <row r="192" spans="2:16" s="532" customFormat="1"/>
    <row r="193" spans="2:20" s="532" customFormat="1">
      <c r="C193" s="586" t="s">
        <v>1215</v>
      </c>
      <c r="E193" s="532" t="str">
        <f>Preferences.EnergyUnits</f>
        <v>TWh</v>
      </c>
      <c r="F193" s="591">
        <f t="shared" ref="F193:O193" si="31">F191*Preferences.Unit.Power*Unit.year/Preferences.Unit.Energy</f>
        <v>0</v>
      </c>
      <c r="G193" s="591">
        <f t="shared" si="31"/>
        <v>0</v>
      </c>
      <c r="H193" s="591">
        <f t="shared" si="31"/>
        <v>2.9070466649999998</v>
      </c>
      <c r="I193" s="591">
        <f t="shared" si="31"/>
        <v>2.9573415900000004</v>
      </c>
      <c r="J193" s="591">
        <f t="shared" si="31"/>
        <v>8.9224386592625997</v>
      </c>
      <c r="K193" s="591">
        <f t="shared" si="31"/>
        <v>21.601111097347204</v>
      </c>
      <c r="L193" s="591">
        <f t="shared" si="31"/>
        <v>38.260241031223799</v>
      </c>
      <c r="M193" s="591">
        <f t="shared" si="31"/>
        <v>54.956627210210414</v>
      </c>
      <c r="N193" s="591">
        <f t="shared" si="31"/>
        <v>71.690269634306986</v>
      </c>
      <c r="O193" s="591">
        <f t="shared" si="31"/>
        <v>88.856084233440015</v>
      </c>
    </row>
    <row r="194" spans="2:20" s="532" customFormat="1"/>
    <row r="195" spans="2:20" s="628" customFormat="1">
      <c r="B195" s="589" t="s">
        <v>943</v>
      </c>
      <c r="C195" s="532" t="s">
        <v>1531</v>
      </c>
      <c r="D195" s="532"/>
      <c r="E195" s="532"/>
      <c r="F195" s="592">
        <f>F196*F$68</f>
        <v>0</v>
      </c>
      <c r="G195" s="592">
        <f t="shared" ref="G195:N195" si="32">G196*G$68</f>
        <v>0</v>
      </c>
      <c r="H195" s="592">
        <f>H196*H$68</f>
        <v>0.44594833500000003</v>
      </c>
      <c r="I195" s="592">
        <f t="shared" si="32"/>
        <v>0.39565341000000004</v>
      </c>
      <c r="J195" s="592">
        <f t="shared" si="32"/>
        <v>1.1366804605373999</v>
      </c>
      <c r="K195" s="592">
        <f t="shared" si="32"/>
        <v>2.6153811642528004</v>
      </c>
      <c r="L195" s="592">
        <f t="shared" si="32"/>
        <v>4.5843737853762008</v>
      </c>
      <c r="M195" s="592">
        <f t="shared" si="32"/>
        <v>6.5161101613896015</v>
      </c>
      <c r="N195" s="592">
        <f t="shared" si="32"/>
        <v>8.4105902922929996</v>
      </c>
      <c r="O195" s="592">
        <f>O196*O$68</f>
        <v>9.8728982481600021</v>
      </c>
    </row>
    <row r="196" spans="2:20" s="532" customFormat="1">
      <c r="B196" s="593" t="s">
        <v>673</v>
      </c>
      <c r="C196" s="586" t="s">
        <v>1216</v>
      </c>
      <c r="F196" s="591">
        <f t="shared" ref="F196:O196" si="33">F193/(1-F68)</f>
        <v>0</v>
      </c>
      <c r="G196" s="591">
        <f t="shared" si="33"/>
        <v>0</v>
      </c>
      <c r="H196" s="591">
        <f t="shared" si="33"/>
        <v>3.3529949999999999</v>
      </c>
      <c r="I196" s="591">
        <f t="shared" si="33"/>
        <v>3.3529950000000004</v>
      </c>
      <c r="J196" s="591">
        <f t="shared" si="33"/>
        <v>10.0591191198</v>
      </c>
      <c r="K196" s="591">
        <f t="shared" si="33"/>
        <v>24.216492261600003</v>
      </c>
      <c r="L196" s="591">
        <f t="shared" si="33"/>
        <v>42.8446148166</v>
      </c>
      <c r="M196" s="591">
        <f t="shared" si="33"/>
        <v>61.472737371600012</v>
      </c>
      <c r="N196" s="591">
        <f t="shared" si="33"/>
        <v>80.100859926599981</v>
      </c>
      <c r="O196" s="591">
        <f t="shared" si="33"/>
        <v>98.728982481600013</v>
      </c>
    </row>
    <row r="197" spans="2:20" s="532" customFormat="1">
      <c r="B197" s="532" t="s">
        <v>1135</v>
      </c>
      <c r="C197" s="532" t="s">
        <v>1133</v>
      </c>
      <c r="F197" s="594">
        <f>F55</f>
        <v>0.56000000000000005</v>
      </c>
      <c r="G197" s="594">
        <f t="shared" ref="G197:O197" si="34">G55</f>
        <v>0.56000000000000005</v>
      </c>
      <c r="H197" s="594">
        <f t="shared" si="34"/>
        <v>0.57999999999999996</v>
      </c>
      <c r="I197" s="594">
        <f t="shared" si="34"/>
        <v>0.59</v>
      </c>
      <c r="J197" s="594">
        <f t="shared" si="34"/>
        <v>0.6</v>
      </c>
      <c r="K197" s="594">
        <f t="shared" si="34"/>
        <v>0.61</v>
      </c>
      <c r="L197" s="594">
        <f t="shared" si="34"/>
        <v>0.62</v>
      </c>
      <c r="M197" s="594">
        <f t="shared" si="34"/>
        <v>0.63</v>
      </c>
      <c r="N197" s="594">
        <f t="shared" si="34"/>
        <v>0.64</v>
      </c>
      <c r="O197" s="594">
        <f t="shared" si="34"/>
        <v>0.65</v>
      </c>
    </row>
    <row r="198" spans="2:20" s="532" customFormat="1">
      <c r="B198" s="593" t="s">
        <v>673</v>
      </c>
      <c r="C198" s="586" t="s">
        <v>1528</v>
      </c>
      <c r="F198" s="595"/>
      <c r="G198" s="595"/>
      <c r="H198" s="595">
        <f t="shared" ref="H198:O198" si="35">H196/H197</f>
        <v>5.7810258620689661</v>
      </c>
      <c r="I198" s="595">
        <f t="shared" si="35"/>
        <v>5.6830423728813573</v>
      </c>
      <c r="J198" s="595">
        <f t="shared" si="35"/>
        <v>16.765198533</v>
      </c>
      <c r="K198" s="595">
        <f t="shared" si="35"/>
        <v>39.699167641967222</v>
      </c>
      <c r="L198" s="595">
        <f t="shared" si="35"/>
        <v>69.104217446129027</v>
      </c>
      <c r="M198" s="595">
        <f t="shared" si="35"/>
        <v>97.575773605714303</v>
      </c>
      <c r="N198" s="595">
        <f t="shared" si="35"/>
        <v>125.15759363531247</v>
      </c>
      <c r="O198" s="595">
        <f t="shared" si="35"/>
        <v>151.89074227938463</v>
      </c>
    </row>
    <row r="199" spans="2:20" s="532" customFormat="1">
      <c r="B199" s="593"/>
      <c r="C199" s="586"/>
      <c r="F199" s="524"/>
      <c r="G199" s="524"/>
      <c r="H199" s="524"/>
      <c r="I199" s="524"/>
      <c r="J199" s="524"/>
      <c r="K199" s="524"/>
      <c r="L199" s="524"/>
      <c r="M199" s="524"/>
      <c r="N199" s="524"/>
      <c r="O199" s="524"/>
    </row>
    <row r="200" spans="2:20" s="532" customFormat="1">
      <c r="B200" s="593"/>
      <c r="C200" s="586" t="s">
        <v>1559</v>
      </c>
      <c r="E200" s="532" t="s">
        <v>583</v>
      </c>
      <c r="F200" s="524">
        <f>F188+F174+F159</f>
        <v>0</v>
      </c>
      <c r="G200" s="524">
        <f t="shared" ref="G200:N200" si="36">G188+G174+G159</f>
        <v>0</v>
      </c>
      <c r="H200" s="524">
        <f t="shared" si="36"/>
        <v>0.85000000000000009</v>
      </c>
      <c r="I200" s="524">
        <f t="shared" si="36"/>
        <v>1.7000000000000002</v>
      </c>
      <c r="J200" s="524">
        <f t="shared" si="36"/>
        <v>4.4000000000000004</v>
      </c>
      <c r="K200" s="524">
        <f t="shared" si="36"/>
        <v>10.099999999999998</v>
      </c>
      <c r="L200" s="524">
        <f t="shared" si="36"/>
        <v>17.599999999999998</v>
      </c>
      <c r="M200" s="524">
        <f t="shared" si="36"/>
        <v>25.1</v>
      </c>
      <c r="N200" s="524">
        <f t="shared" si="36"/>
        <v>32.6</v>
      </c>
      <c r="O200" s="524">
        <f>O188+O174+O159</f>
        <v>40.1</v>
      </c>
      <c r="Q200" s="1403" t="s">
        <v>1193</v>
      </c>
      <c r="R200" s="1403"/>
      <c r="S200" s="1403"/>
      <c r="T200" s="1403"/>
    </row>
    <row r="201" spans="2:20" s="532" customFormat="1">
      <c r="B201" s="593"/>
      <c r="C201" s="586"/>
      <c r="F201" s="524"/>
      <c r="G201" s="524"/>
      <c r="H201" s="524"/>
      <c r="I201" s="524"/>
      <c r="J201" s="524"/>
      <c r="K201" s="524"/>
      <c r="L201" s="524"/>
      <c r="M201" s="524"/>
      <c r="N201" s="524"/>
      <c r="O201" s="524"/>
    </row>
    <row r="202" spans="2:20" s="532" customFormat="1">
      <c r="B202" s="1824" t="s">
        <v>1621</v>
      </c>
      <c r="C202" s="530"/>
      <c r="D202" s="1824"/>
      <c r="E202" s="1824"/>
      <c r="F202" s="563"/>
      <c r="G202" s="563"/>
      <c r="H202" s="563"/>
      <c r="I202" s="563"/>
      <c r="J202" s="563"/>
      <c r="K202" s="563"/>
      <c r="L202" s="563"/>
      <c r="M202" s="563"/>
      <c r="N202" s="563"/>
      <c r="O202" s="563"/>
    </row>
    <row r="203" spans="2:20" s="532" customFormat="1">
      <c r="B203" s="530" t="s">
        <v>1989</v>
      </c>
      <c r="C203" s="530"/>
      <c r="D203" s="1824"/>
      <c r="E203" s="1824"/>
      <c r="F203" s="1954">
        <v>2007</v>
      </c>
      <c r="G203" s="1954">
        <v>2010</v>
      </c>
      <c r="H203" s="1954">
        <v>2015</v>
      </c>
      <c r="I203" s="1954">
        <v>2020</v>
      </c>
      <c r="J203" s="1954">
        <v>2025</v>
      </c>
      <c r="K203" s="1954">
        <v>2030</v>
      </c>
      <c r="L203" s="1954">
        <v>2035</v>
      </c>
      <c r="M203" s="1954">
        <v>2040</v>
      </c>
      <c r="N203" s="1954">
        <v>2045</v>
      </c>
      <c r="O203" s="1954">
        <v>2050</v>
      </c>
    </row>
    <row r="204" spans="2:20" s="532" customFormat="1">
      <c r="B204" s="1824"/>
      <c r="C204" s="1824" t="str">
        <f>"Approximate total "&amp;$F$85/Unit.GW&amp;" GW locations"</f>
        <v>Approximate total 1.2 GW locations</v>
      </c>
      <c r="D204" s="1824"/>
      <c r="E204" s="1824" t="s">
        <v>1622</v>
      </c>
      <c r="F204" s="1639">
        <f>F159/$F$85</f>
        <v>0</v>
      </c>
      <c r="G204" s="1639">
        <f t="shared" ref="G204:O204" si="37">G159/$F$85</f>
        <v>0</v>
      </c>
      <c r="H204" s="1639">
        <f t="shared" si="37"/>
        <v>0.33333333333333337</v>
      </c>
      <c r="I204" s="1639">
        <f t="shared" si="37"/>
        <v>0.66666666666666685</v>
      </c>
      <c r="J204" s="1639">
        <f t="shared" si="37"/>
        <v>1.7166561666666666</v>
      </c>
      <c r="K204" s="1639">
        <f t="shared" si="37"/>
        <v>3.9333006666666659</v>
      </c>
      <c r="L204" s="1639">
        <f t="shared" si="37"/>
        <v>6.0166131666666658</v>
      </c>
      <c r="M204" s="1639">
        <f t="shared" si="37"/>
        <v>7.2666006666666663</v>
      </c>
      <c r="N204" s="1639">
        <f t="shared" si="37"/>
        <v>8.5165881666666667</v>
      </c>
      <c r="O204" s="1639">
        <f t="shared" si="37"/>
        <v>9.7665756666666663</v>
      </c>
    </row>
    <row r="205" spans="2:20" s="532" customFormat="1">
      <c r="B205" s="1950"/>
      <c r="C205" s="1950" t="s">
        <v>2190</v>
      </c>
      <c r="D205" s="1950"/>
      <c r="E205" s="1950"/>
      <c r="F205" s="1639"/>
      <c r="G205" s="1639"/>
      <c r="H205" s="1639"/>
      <c r="I205" s="1639"/>
      <c r="J205" s="1639"/>
      <c r="K205" s="1639"/>
      <c r="L205" s="1639"/>
      <c r="M205" s="1639"/>
      <c r="N205" s="1639"/>
      <c r="O205" s="1639"/>
    </row>
    <row r="206" spans="2:20" s="532" customFormat="1">
      <c r="B206" s="1950"/>
      <c r="C206" s="1950" t="s">
        <v>2194</v>
      </c>
      <c r="D206" s="1950"/>
      <c r="E206" s="1950"/>
      <c r="F206" s="1639"/>
      <c r="G206" s="1639"/>
      <c r="H206" s="1639"/>
      <c r="I206" s="1639"/>
      <c r="J206" s="1639"/>
      <c r="K206" s="1639"/>
      <c r="L206" s="1639"/>
      <c r="M206" s="1639"/>
      <c r="N206" s="1639"/>
      <c r="O206" s="1639"/>
    </row>
    <row r="207" spans="2:20" s="532" customFormat="1">
      <c r="B207" s="1824"/>
      <c r="C207" s="1824" t="str">
        <f>"Approximate build rate of "&amp;$F$85/Unit.GW&amp;" GW locations"</f>
        <v>Approximate build rate of 1.2 GW locations</v>
      </c>
      <c r="D207" s="1824"/>
      <c r="E207" s="1824" t="s">
        <v>1623</v>
      </c>
      <c r="F207" s="1410">
        <f>F138</f>
        <v>0</v>
      </c>
      <c r="G207" s="1410">
        <f t="shared" ref="G207:O207" si="38">((G138-F138)/5)/$F$85</f>
        <v>0</v>
      </c>
      <c r="H207" s="1410">
        <f t="shared" si="38"/>
        <v>6.6666666666666666E-2</v>
      </c>
      <c r="I207" s="1410">
        <f t="shared" si="38"/>
        <v>6.6666666666666693E-2</v>
      </c>
      <c r="J207" s="1410">
        <f t="shared" si="38"/>
        <v>0.2099978999999999</v>
      </c>
      <c r="K207" s="1410">
        <f t="shared" si="38"/>
        <v>0.44332889999999986</v>
      </c>
      <c r="L207" s="1410">
        <f t="shared" si="38"/>
        <v>0.41666250000000005</v>
      </c>
      <c r="M207" s="1410">
        <f t="shared" si="38"/>
        <v>0.24999749999999998</v>
      </c>
      <c r="N207" s="1410">
        <f t="shared" si="38"/>
        <v>0.24999750000000012</v>
      </c>
      <c r="O207" s="1410">
        <f t="shared" si="38"/>
        <v>0.24999750000000012</v>
      </c>
    </row>
    <row r="208" spans="2:20" s="532" customFormat="1">
      <c r="B208" s="1824"/>
      <c r="C208" s="1824"/>
      <c r="D208" s="1824"/>
      <c r="E208" s="1824"/>
      <c r="F208" s="1410"/>
      <c r="G208" s="1410"/>
      <c r="H208" s="1410"/>
      <c r="I208" s="1410"/>
      <c r="J208" s="1410"/>
      <c r="K208" s="1410"/>
      <c r="L208" s="1410"/>
      <c r="M208" s="1410"/>
      <c r="N208" s="1410"/>
      <c r="O208" s="1410"/>
    </row>
    <row r="209" spans="2:15" s="532" customFormat="1">
      <c r="B209" s="530" t="s">
        <v>1990</v>
      </c>
      <c r="C209" s="530"/>
      <c r="D209" s="1824"/>
      <c r="E209" s="1824"/>
      <c r="F209" s="563"/>
      <c r="G209" s="563"/>
      <c r="H209" s="563"/>
      <c r="I209" s="563"/>
      <c r="J209" s="563"/>
      <c r="K209" s="563"/>
      <c r="L209" s="563"/>
      <c r="M209" s="563"/>
      <c r="N209" s="563"/>
      <c r="O209" s="563"/>
    </row>
    <row r="210" spans="2:15" s="532" customFormat="1">
      <c r="B210" s="1824"/>
      <c r="C210" s="1824" t="str">
        <f>"Approximate total "&amp;$F$85/Unit.GW&amp;" GW locations"</f>
        <v>Approximate total 1.2 GW locations</v>
      </c>
      <c r="D210" s="1824"/>
      <c r="E210" s="1824" t="s">
        <v>1622</v>
      </c>
      <c r="F210" s="1639">
        <f>F174/$F$85</f>
        <v>0</v>
      </c>
      <c r="G210" s="1639">
        <f t="shared" ref="G210:O210" si="39">G174/$F$85</f>
        <v>0</v>
      </c>
      <c r="H210" s="1639">
        <f t="shared" si="39"/>
        <v>0</v>
      </c>
      <c r="I210" s="1639">
        <f t="shared" si="39"/>
        <v>0.375</v>
      </c>
      <c r="J210" s="1639">
        <f t="shared" si="39"/>
        <v>0.82499550000000021</v>
      </c>
      <c r="K210" s="1639">
        <f t="shared" si="39"/>
        <v>1.774986</v>
      </c>
      <c r="L210" s="1639">
        <f t="shared" si="39"/>
        <v>3.8582985000000001</v>
      </c>
      <c r="M210" s="1639">
        <f t="shared" si="39"/>
        <v>6.7749360000000003</v>
      </c>
      <c r="N210" s="1639">
        <f t="shared" si="39"/>
        <v>9.6915735000000005</v>
      </c>
      <c r="O210" s="1639">
        <f t="shared" si="39"/>
        <v>12.608211000000001</v>
      </c>
    </row>
    <row r="211" spans="2:15" s="532" customFormat="1">
      <c r="B211" s="1950"/>
      <c r="C211" s="1950" t="s">
        <v>2190</v>
      </c>
      <c r="D211" s="1950"/>
      <c r="E211" s="1950"/>
      <c r="F211" s="1639"/>
      <c r="G211" s="1639"/>
      <c r="H211" s="1639"/>
      <c r="I211" s="1639"/>
      <c r="J211" s="1639"/>
      <c r="K211" s="1639"/>
      <c r="L211" s="1639"/>
      <c r="M211" s="1639"/>
      <c r="N211" s="1639"/>
      <c r="O211" s="1639"/>
    </row>
    <row r="212" spans="2:15" s="532" customFormat="1">
      <c r="B212" s="1950"/>
      <c r="C212" s="1950" t="s">
        <v>2194</v>
      </c>
      <c r="D212" s="1950"/>
      <c r="E212" s="1950"/>
      <c r="F212" s="1639"/>
      <c r="G212" s="1639"/>
      <c r="H212" s="1639"/>
      <c r="I212" s="1639"/>
      <c r="J212" s="1639"/>
      <c r="K212" s="1639"/>
      <c r="L212" s="1639"/>
      <c r="M212" s="1639"/>
      <c r="N212" s="1639"/>
      <c r="O212" s="1639"/>
    </row>
    <row r="213" spans="2:15" s="532" customFormat="1">
      <c r="B213" s="1824"/>
      <c r="C213" s="1824" t="str">
        <f>"Approximate build rate of "&amp;$F$85/Unit.GW&amp;" GW locations"</f>
        <v>Approximate build rate of 1.2 GW locations</v>
      </c>
      <c r="D213" s="1824"/>
      <c r="E213" s="1824" t="s">
        <v>1623</v>
      </c>
      <c r="F213" s="1410">
        <f>F139</f>
        <v>0</v>
      </c>
      <c r="G213" s="1410">
        <f>((G139-F139)/5)/$F$85</f>
        <v>0</v>
      </c>
      <c r="H213" s="1410">
        <f t="shared" ref="H213:O213" si="40">((H139-G139)/5)/$F$85</f>
        <v>0</v>
      </c>
      <c r="I213" s="1410">
        <f t="shared" si="40"/>
        <v>7.4999999999999997E-2</v>
      </c>
      <c r="J213" s="1410">
        <f t="shared" si="40"/>
        <v>8.999910000000004E-2</v>
      </c>
      <c r="K213" s="1410">
        <f t="shared" si="40"/>
        <v>0.18999809999999995</v>
      </c>
      <c r="L213" s="1410">
        <f t="shared" si="40"/>
        <v>0.41666250000000005</v>
      </c>
      <c r="M213" s="1410">
        <f t="shared" si="40"/>
        <v>0.58332750000000011</v>
      </c>
      <c r="N213" s="1410">
        <f t="shared" si="40"/>
        <v>0.58332749999999989</v>
      </c>
      <c r="O213" s="1410">
        <f t="shared" si="40"/>
        <v>0.58332749999999989</v>
      </c>
    </row>
    <row r="214" spans="2:15" s="532" customFormat="1">
      <c r="B214" s="1824"/>
      <c r="C214" s="1824"/>
      <c r="D214" s="1824"/>
      <c r="E214" s="1824"/>
      <c r="F214" s="1410"/>
      <c r="G214" s="1410"/>
      <c r="H214" s="1410"/>
      <c r="I214" s="1410"/>
      <c r="J214" s="1410"/>
      <c r="K214" s="1410"/>
      <c r="L214" s="1410"/>
      <c r="M214" s="1410"/>
      <c r="N214" s="1410"/>
      <c r="O214" s="1410"/>
    </row>
    <row r="215" spans="2:15" s="532" customFormat="1">
      <c r="B215" s="530" t="s">
        <v>1991</v>
      </c>
      <c r="C215" s="530"/>
      <c r="D215" s="1824"/>
      <c r="E215" s="1824"/>
      <c r="F215" s="563"/>
      <c r="G215" s="563"/>
      <c r="H215" s="563"/>
      <c r="I215" s="563"/>
      <c r="J215" s="563"/>
      <c r="K215" s="563"/>
      <c r="L215" s="563"/>
      <c r="M215" s="563"/>
      <c r="N215" s="563"/>
      <c r="O215" s="563"/>
    </row>
    <row r="216" spans="2:15" s="532" customFormat="1">
      <c r="B216" s="1824"/>
      <c r="C216" s="1824" t="str">
        <f>"Approximate total "&amp;$F$85/Unit.GW&amp;" GW locations"</f>
        <v>Approximate total 1.2 GW locations</v>
      </c>
      <c r="D216" s="1824"/>
      <c r="E216" s="1824" t="s">
        <v>1622</v>
      </c>
      <c r="F216" s="1639">
        <f>F188/$F$85</f>
        <v>0</v>
      </c>
      <c r="G216" s="1639">
        <f t="shared" ref="G216:O216" si="41">G188/$F$85</f>
        <v>0</v>
      </c>
      <c r="H216" s="1639">
        <f t="shared" si="41"/>
        <v>0.375</v>
      </c>
      <c r="I216" s="1639">
        <f t="shared" si="41"/>
        <v>0.375</v>
      </c>
      <c r="J216" s="1639">
        <f t="shared" si="41"/>
        <v>1.1250150000000001</v>
      </c>
      <c r="K216" s="1639">
        <f t="shared" si="41"/>
        <v>2.70838</v>
      </c>
      <c r="L216" s="1639">
        <f t="shared" si="41"/>
        <v>4.7917550000000002</v>
      </c>
      <c r="M216" s="1639">
        <f t="shared" si="41"/>
        <v>6.8751300000000004</v>
      </c>
      <c r="N216" s="1639">
        <f t="shared" si="41"/>
        <v>8.9585050000000006</v>
      </c>
      <c r="O216" s="1639">
        <f t="shared" si="41"/>
        <v>11.041880000000001</v>
      </c>
    </row>
    <row r="217" spans="2:15" s="532" customFormat="1">
      <c r="B217" s="1950"/>
      <c r="C217" s="1950" t="s">
        <v>2190</v>
      </c>
      <c r="D217" s="1950"/>
      <c r="E217" s="1950"/>
      <c r="F217" s="1639"/>
      <c r="G217" s="1639"/>
      <c r="H217" s="1639"/>
      <c r="I217" s="1639"/>
      <c r="J217" s="1639"/>
      <c r="K217" s="1639"/>
      <c r="L217" s="1639"/>
      <c r="M217" s="1639"/>
      <c r="N217" s="1639"/>
      <c r="O217" s="1639"/>
    </row>
    <row r="218" spans="2:15" s="532" customFormat="1">
      <c r="B218" s="1950"/>
      <c r="C218" s="1950" t="s">
        <v>2194</v>
      </c>
      <c r="D218" s="1950"/>
      <c r="E218" s="1950"/>
      <c r="F218" s="1639"/>
      <c r="G218" s="1639"/>
      <c r="H218" s="1639"/>
      <c r="I218" s="1639"/>
      <c r="J218" s="1639"/>
      <c r="K218" s="1639"/>
      <c r="L218" s="1639"/>
      <c r="M218" s="1639"/>
      <c r="N218" s="1639"/>
      <c r="O218" s="1639"/>
    </row>
    <row r="219" spans="2:15" s="532" customFormat="1">
      <c r="B219" s="1824"/>
      <c r="C219" s="1824" t="str">
        <f>"Approximate build rate of "&amp;$F$85/Unit.GW&amp;" GW locations"</f>
        <v>Approximate build rate of 1.2 GW locations</v>
      </c>
      <c r="D219" s="1824"/>
      <c r="E219" s="1824" t="s">
        <v>1623</v>
      </c>
      <c r="F219" s="1410">
        <f>F140</f>
        <v>0</v>
      </c>
      <c r="G219" s="1410">
        <f>((G140-F140)/5)/$F$85</f>
        <v>0</v>
      </c>
      <c r="H219" s="1410">
        <f>((H140-G140)/5)/$F$85</f>
        <v>7.4999999999999997E-2</v>
      </c>
      <c r="I219" s="1410">
        <f t="shared" ref="I219:O219" si="42">((I140-H140)/5)/$F$85</f>
        <v>0</v>
      </c>
      <c r="J219" s="1410">
        <f t="shared" si="42"/>
        <v>0.150003</v>
      </c>
      <c r="K219" s="1410">
        <f t="shared" si="42"/>
        <v>0.31667300000000004</v>
      </c>
      <c r="L219" s="1410">
        <f t="shared" si="42"/>
        <v>0.41667499999999996</v>
      </c>
      <c r="M219" s="1410">
        <f t="shared" si="42"/>
        <v>0.41667500000000018</v>
      </c>
      <c r="N219" s="1410">
        <f t="shared" si="42"/>
        <v>0.41667499999999996</v>
      </c>
      <c r="O219" s="1410">
        <f t="shared" si="42"/>
        <v>0.41667499999999996</v>
      </c>
    </row>
    <row r="220" spans="2:15" s="532" customFormat="1">
      <c r="B220" s="1824"/>
      <c r="C220" s="1824"/>
      <c r="D220" s="1824"/>
      <c r="E220" s="1824"/>
      <c r="F220" s="1639"/>
      <c r="G220" s="1639"/>
      <c r="H220" s="1639"/>
      <c r="I220" s="1639"/>
      <c r="J220" s="1639"/>
      <c r="K220" s="1639"/>
      <c r="L220" s="1639"/>
      <c r="M220" s="1639"/>
      <c r="N220" s="1639"/>
      <c r="O220" s="1639"/>
    </row>
    <row r="221" spans="2:15" s="532" customFormat="1">
      <c r="B221" s="1824" t="s">
        <v>1992</v>
      </c>
      <c r="C221" s="1824"/>
      <c r="D221" s="1824"/>
      <c r="E221" s="1824"/>
      <c r="F221" s="1639"/>
      <c r="G221" s="1639"/>
      <c r="H221" s="1639"/>
      <c r="I221" s="1639"/>
      <c r="J221" s="1639"/>
      <c r="K221" s="1639"/>
      <c r="L221" s="1639"/>
      <c r="M221" s="1639"/>
      <c r="N221" s="1639"/>
      <c r="O221" s="1639"/>
    </row>
    <row r="222" spans="2:15" s="532" customFormat="1">
      <c r="B222" s="1824"/>
      <c r="C222" s="1824" t="s">
        <v>1985</v>
      </c>
      <c r="D222" s="1824"/>
      <c r="E222" s="1898" t="str">
        <f>Preferences.moneyunits</f>
        <v>£m</v>
      </c>
      <c r="F222" s="1639">
        <f t="shared" ref="F222:O222" si="43">((F207+F213)*$G$113)+(F219*$G$119)</f>
        <v>0</v>
      </c>
      <c r="G222" s="1639">
        <f t="shared" si="43"/>
        <v>0</v>
      </c>
      <c r="H222" s="1639">
        <f t="shared" si="43"/>
        <v>111.04849964106242</v>
      </c>
      <c r="I222" s="1639">
        <f t="shared" si="43"/>
        <v>146.88</v>
      </c>
      <c r="J222" s="1639">
        <f t="shared" si="43"/>
        <v>394.89556602211042</v>
      </c>
      <c r="K222" s="1639">
        <f t="shared" si="43"/>
        <v>833.66841715778855</v>
      </c>
      <c r="L222" s="1639">
        <f t="shared" si="43"/>
        <v>1096.9321278391958</v>
      </c>
      <c r="M222" s="1639">
        <f t="shared" si="43"/>
        <v>1096.932127839196</v>
      </c>
      <c r="N222" s="1639">
        <f t="shared" si="43"/>
        <v>1096.9321278391958</v>
      </c>
      <c r="O222" s="1639">
        <f t="shared" si="43"/>
        <v>1096.9321278391958</v>
      </c>
    </row>
    <row r="223" spans="2:15" s="532" customFormat="1">
      <c r="B223" s="1824"/>
      <c r="C223" s="1824" t="s">
        <v>1986</v>
      </c>
      <c r="D223" s="1824"/>
      <c r="E223" s="1824" t="str">
        <f>Preferences.moneyunits</f>
        <v>£m</v>
      </c>
      <c r="F223" s="1639">
        <f t="shared" ref="F223:O223" si="44">((F207+F213)*$G$114)+(F219*$G$120)</f>
        <v>0</v>
      </c>
      <c r="G223" s="1639">
        <f t="shared" si="44"/>
        <v>0</v>
      </c>
      <c r="H223" s="1639">
        <f t="shared" si="44"/>
        <v>4.1021655786965088</v>
      </c>
      <c r="I223" s="1639">
        <f t="shared" si="44"/>
        <v>5.7247953579939921</v>
      </c>
      <c r="J223" s="1639">
        <f t="shared" si="44"/>
        <v>14.939319614547715</v>
      </c>
      <c r="K223" s="1639">
        <f t="shared" si="44"/>
        <v>31.538563630711835</v>
      </c>
      <c r="L223" s="1639">
        <f t="shared" si="44"/>
        <v>41.498110040410324</v>
      </c>
      <c r="M223" s="1639">
        <f t="shared" si="44"/>
        <v>41.498110040410332</v>
      </c>
      <c r="N223" s="1639">
        <f t="shared" si="44"/>
        <v>41.498110040410324</v>
      </c>
      <c r="O223" s="1639">
        <f t="shared" si="44"/>
        <v>41.498110040410324</v>
      </c>
    </row>
    <row r="224" spans="2:15" s="532" customFormat="1">
      <c r="B224" s="1824"/>
      <c r="C224" s="1824" t="s">
        <v>1993</v>
      </c>
      <c r="D224" s="1824"/>
      <c r="E224" s="1824" t="str">
        <f>Preferences.moneyunits</f>
        <v>£m</v>
      </c>
      <c r="F224" s="1639">
        <f>SUM(F222:F223)</f>
        <v>0</v>
      </c>
      <c r="G224" s="1639">
        <f t="shared" ref="G224:O224" si="45">SUM(G222:G223)</f>
        <v>0</v>
      </c>
      <c r="H224" s="1639">
        <f t="shared" si="45"/>
        <v>115.15066521975893</v>
      </c>
      <c r="I224" s="1639">
        <f t="shared" si="45"/>
        <v>152.60479535799399</v>
      </c>
      <c r="J224" s="1639">
        <f t="shared" si="45"/>
        <v>409.83488563665816</v>
      </c>
      <c r="K224" s="1639">
        <f t="shared" si="45"/>
        <v>865.20698078850035</v>
      </c>
      <c r="L224" s="1639">
        <f t="shared" si="45"/>
        <v>1138.430237879606</v>
      </c>
      <c r="M224" s="1639">
        <f t="shared" si="45"/>
        <v>1138.4302378796065</v>
      </c>
      <c r="N224" s="1639">
        <f t="shared" si="45"/>
        <v>1138.430237879606</v>
      </c>
      <c r="O224" s="1639">
        <f t="shared" si="45"/>
        <v>1138.430237879606</v>
      </c>
    </row>
    <row r="225" spans="2:15" s="532" customFormat="1">
      <c r="B225" s="1824"/>
      <c r="C225" s="1824"/>
      <c r="D225" s="1824"/>
      <c r="E225" s="1824"/>
      <c r="F225" s="1639"/>
      <c r="G225" s="1639"/>
      <c r="H225" s="1639"/>
      <c r="I225" s="1639"/>
      <c r="J225" s="1639"/>
      <c r="K225" s="1639"/>
      <c r="L225" s="1639"/>
      <c r="M225" s="1639"/>
      <c r="N225" s="1639"/>
      <c r="O225" s="1639"/>
    </row>
    <row r="226" spans="2:15" s="532" customFormat="1">
      <c r="B226" s="1824" t="s">
        <v>1994</v>
      </c>
      <c r="C226" s="1824"/>
      <c r="D226" s="1824"/>
      <c r="E226" s="1824"/>
      <c r="F226" s="1639"/>
      <c r="G226" s="1639"/>
      <c r="H226" s="1639"/>
      <c r="I226" s="1639"/>
      <c r="J226" s="1639"/>
      <c r="K226" s="1639"/>
      <c r="L226" s="1639"/>
      <c r="M226" s="1639"/>
      <c r="N226" s="1639"/>
      <c r="O226" s="1639"/>
    </row>
    <row r="227" spans="2:15" s="532" customFormat="1">
      <c r="B227" s="1824"/>
      <c r="C227" s="1824" t="s">
        <v>1985</v>
      </c>
      <c r="D227" s="1824"/>
      <c r="E227" s="1824" t="str">
        <f>Preferences.moneyunits</f>
        <v>£m</v>
      </c>
      <c r="F227" s="1639">
        <f t="shared" ref="F227:O227" si="46">((F207+F213)*$F$113)+(F219*$F$119)</f>
        <v>0</v>
      </c>
      <c r="G227" s="1639">
        <f t="shared" si="46"/>
        <v>0</v>
      </c>
      <c r="H227" s="1639">
        <f t="shared" si="46"/>
        <v>495.61599999999993</v>
      </c>
      <c r="I227" s="1639">
        <f t="shared" si="46"/>
        <v>734.94399999999996</v>
      </c>
      <c r="J227" s="1639">
        <f t="shared" si="46"/>
        <v>1855.8624268799995</v>
      </c>
      <c r="K227" s="1639">
        <f t="shared" si="46"/>
        <v>3917.9317900799983</v>
      </c>
      <c r="L227" s="1639">
        <f t="shared" si="46"/>
        <v>5155.1734079999997</v>
      </c>
      <c r="M227" s="1639">
        <f t="shared" si="46"/>
        <v>5155.1734080000006</v>
      </c>
      <c r="N227" s="1639">
        <f t="shared" si="46"/>
        <v>5155.1734079999987</v>
      </c>
      <c r="O227" s="1639">
        <f t="shared" si="46"/>
        <v>5155.1734079999987</v>
      </c>
    </row>
    <row r="228" spans="2:15" s="532" customFormat="1">
      <c r="B228" s="1824"/>
      <c r="C228" s="1824" t="s">
        <v>1986</v>
      </c>
      <c r="D228" s="1824"/>
      <c r="E228" s="1824" t="str">
        <f>Preferences.moneyunits</f>
        <v>£m</v>
      </c>
      <c r="F228" s="1639">
        <f t="shared" ref="F228:O228" si="47">((F207+F213)*$F$114)+(F219*$F$120)</f>
        <v>0</v>
      </c>
      <c r="G228" s="1639">
        <f t="shared" si="47"/>
        <v>0</v>
      </c>
      <c r="H228" s="1639">
        <f t="shared" si="47"/>
        <v>15.339999999999998</v>
      </c>
      <c r="I228" s="1639">
        <f t="shared" si="47"/>
        <v>20.740000000000002</v>
      </c>
      <c r="J228" s="1639">
        <f t="shared" si="47"/>
        <v>55.079783999999989</v>
      </c>
      <c r="K228" s="1639">
        <f t="shared" si="47"/>
        <v>116.27954399999996</v>
      </c>
      <c r="L228" s="1639">
        <f t="shared" si="47"/>
        <v>152.99939999999998</v>
      </c>
      <c r="M228" s="1639">
        <f t="shared" si="47"/>
        <v>152.99940000000001</v>
      </c>
      <c r="N228" s="1639">
        <f t="shared" si="47"/>
        <v>152.99939999999998</v>
      </c>
      <c r="O228" s="1639">
        <f t="shared" si="47"/>
        <v>152.99939999999998</v>
      </c>
    </row>
    <row r="229" spans="2:15" s="532" customFormat="1">
      <c r="B229" s="1824"/>
      <c r="C229" s="1824" t="s">
        <v>1993</v>
      </c>
      <c r="D229" s="1824"/>
      <c r="E229" s="1824" t="str">
        <f>Preferences.moneyunits</f>
        <v>£m</v>
      </c>
      <c r="F229" s="1639">
        <f>SUM(F227:F228)</f>
        <v>0</v>
      </c>
      <c r="G229" s="1639">
        <f t="shared" ref="G229:O229" si="48">SUM(G227:G228)</f>
        <v>0</v>
      </c>
      <c r="H229" s="1639">
        <f t="shared" si="48"/>
        <v>510.9559999999999</v>
      </c>
      <c r="I229" s="1639">
        <f t="shared" si="48"/>
        <v>755.68399999999997</v>
      </c>
      <c r="J229" s="1639">
        <f t="shared" si="48"/>
        <v>1910.9422108799995</v>
      </c>
      <c r="K229" s="1639">
        <f t="shared" si="48"/>
        <v>4034.2113340799983</v>
      </c>
      <c r="L229" s="1639">
        <f t="shared" si="48"/>
        <v>5308.1728079999993</v>
      </c>
      <c r="M229" s="1639">
        <f t="shared" si="48"/>
        <v>5308.1728080000003</v>
      </c>
      <c r="N229" s="1639">
        <f t="shared" si="48"/>
        <v>5308.1728079999984</v>
      </c>
      <c r="O229" s="1639">
        <f t="shared" si="48"/>
        <v>5308.1728079999984</v>
      </c>
    </row>
    <row r="230" spans="2:15" s="532" customFormat="1">
      <c r="B230" s="593"/>
      <c r="C230" s="586"/>
      <c r="F230" s="524"/>
      <c r="G230" s="524"/>
      <c r="H230" s="524"/>
      <c r="I230" s="524"/>
      <c r="J230" s="524"/>
      <c r="K230" s="524"/>
      <c r="L230" s="524"/>
      <c r="M230" s="524"/>
      <c r="N230" s="524"/>
      <c r="O230" s="524"/>
    </row>
    <row r="231" spans="2:15" s="532" customFormat="1">
      <c r="B231" s="586" t="s">
        <v>1542</v>
      </c>
      <c r="C231" s="586"/>
      <c r="F231" s="524"/>
      <c r="G231" s="524"/>
      <c r="H231" s="524"/>
      <c r="I231" s="524"/>
      <c r="J231" s="524"/>
      <c r="K231" s="524"/>
      <c r="L231" s="524"/>
      <c r="M231" s="524"/>
      <c r="N231" s="524"/>
      <c r="O231" s="524"/>
    </row>
    <row r="232" spans="2:15" s="532" customFormat="1">
      <c r="B232" s="586"/>
      <c r="C232" s="586"/>
      <c r="F232" s="524"/>
      <c r="G232" s="524"/>
      <c r="H232" s="524"/>
      <c r="I232" s="524"/>
      <c r="J232" s="524"/>
      <c r="K232" s="524"/>
      <c r="L232" s="524"/>
      <c r="M232" s="524"/>
      <c r="N232" s="524"/>
      <c r="O232" s="524"/>
    </row>
    <row r="233" spans="2:15" s="532" customFormat="1">
      <c r="B233" s="586" t="s">
        <v>1522</v>
      </c>
      <c r="C233" s="593"/>
      <c r="F233" s="524"/>
      <c r="G233" s="524"/>
      <c r="H233" s="524"/>
      <c r="I233" s="524"/>
      <c r="J233" s="524"/>
      <c r="K233" s="524"/>
      <c r="L233" s="524"/>
      <c r="M233" s="524"/>
      <c r="N233" s="524"/>
      <c r="O233" s="524"/>
    </row>
    <row r="234" spans="2:15" s="532" customFormat="1">
      <c r="C234" s="22" t="s">
        <v>811</v>
      </c>
      <c r="E234" s="532" t="s">
        <v>831</v>
      </c>
      <c r="F234" s="889">
        <f>(F$169+F$184)*INDEX(EF[CO2], MATCH("V.03", EF[Vector], 0))</f>
        <v>0</v>
      </c>
      <c r="G234" s="889">
        <f>(G$169+G$184)*INDEX(EF[CO2], MATCH("V.03", EF[Vector], 0))</f>
        <v>0</v>
      </c>
      <c r="H234" s="889">
        <f>(H$169+H$184)*INDEX(EF[CO2], MATCH("V.03", EF[Vector], 0))</f>
        <v>2.0863080000000003</v>
      </c>
      <c r="I234" s="889">
        <f>(I$169+I$184)*INDEX(EF[CO2], MATCH("V.03", EF[Vector], 0))</f>
        <v>6.3748300000000002</v>
      </c>
      <c r="J234" s="889">
        <f>(J$169+J$184)*INDEX(EF[CO2], MATCH("V.03", EF[Vector], 0))</f>
        <v>15.216352241525215</v>
      </c>
      <c r="K234" s="889">
        <f>(K$169+K$184)*INDEX(EF[CO2], MATCH("V.03", EF[Vector], 0))</f>
        <v>33.447238858355739</v>
      </c>
      <c r="L234" s="889">
        <f>(L$169+L$184)*INDEX(EF[CO2], MATCH("V.03", EF[Vector], 0))</f>
        <v>56.655794826014997</v>
      </c>
      <c r="M234" s="889">
        <f>(M$169+M$184)*INDEX(EF[CO2], MATCH("V.03", EF[Vector], 0))</f>
        <v>80.56116826988999</v>
      </c>
      <c r="N234" s="889">
        <f>(N$169+N$184)*INDEX(EF[CO2], MATCH("V.03", EF[Vector], 0))</f>
        <v>102.33457147470855</v>
      </c>
      <c r="O234" s="889">
        <f>(O$169+O$184)*INDEX(EF[CO2], MATCH("V.03", EF[Vector], 0))</f>
        <v>123.23703855133438</v>
      </c>
    </row>
    <row r="235" spans="2:15" s="532" customFormat="1">
      <c r="C235" s="22" t="s">
        <v>812</v>
      </c>
      <c r="E235" s="532" t="s">
        <v>831</v>
      </c>
      <c r="F235" s="889">
        <f>(F$169+F$184)*INDEX(EF[CH4], MATCH("V.03", EF[Vector], 0))</f>
        <v>0</v>
      </c>
      <c r="G235" s="889">
        <f>(G$169+G$184)*INDEX(EF[CH4], MATCH("V.03", EF[Vector], 0))</f>
        <v>0</v>
      </c>
      <c r="H235" s="889">
        <f>(H$169+H$184)*INDEX(EF[CH4], MATCH("V.03", EF[Vector], 0))</f>
        <v>6.1288189619848358E-3</v>
      </c>
      <c r="I235" s="889">
        <f>(I$169+I$184)*INDEX(EF[CH4], MATCH("V.03", EF[Vector], 0))</f>
        <v>1.8726946828286999E-2</v>
      </c>
      <c r="J235" s="889">
        <f>(J$169+J$184)*INDEX(EF[CH4], MATCH("V.03", EF[Vector], 0))</f>
        <v>4.470014405835581E-2</v>
      </c>
      <c r="K235" s="889">
        <f>(K$169+K$184)*INDEX(EF[CH4], MATCH("V.03", EF[Vector], 0))</f>
        <v>9.8255900730441853E-2</v>
      </c>
      <c r="L235" s="889">
        <f>(L$169+L$184)*INDEX(EF[CH4], MATCH("V.03", EF[Vector], 0))</f>
        <v>0.16643425114412783</v>
      </c>
      <c r="M235" s="889">
        <f>(M$169+M$184)*INDEX(EF[CH4], MATCH("V.03", EF[Vector], 0))</f>
        <v>0.236659599489698</v>
      </c>
      <c r="N235" s="889">
        <f>(N$169+N$184)*INDEX(EF[CH4], MATCH("V.03", EF[Vector], 0))</f>
        <v>0.30062198971618104</v>
      </c>
      <c r="O235" s="889">
        <f>(O$169+O$184)*INDEX(EF[CH4], MATCH("V.03", EF[Vector], 0))</f>
        <v>0.36202588433360477</v>
      </c>
    </row>
    <row r="236" spans="2:15" s="532" customFormat="1">
      <c r="C236" s="22" t="s">
        <v>813</v>
      </c>
      <c r="E236" s="532" t="s">
        <v>831</v>
      </c>
      <c r="F236" s="889">
        <f>(F$169+F$184)*INDEX(EF[N2O], MATCH("V.03", EF[Vector], 0))</f>
        <v>0</v>
      </c>
      <c r="G236" s="889">
        <f>(G$169+G$184)*INDEX(EF[N2O], MATCH("V.03", EF[Vector], 0))</f>
        <v>0</v>
      </c>
      <c r="H236" s="889">
        <f>(H$169+H$184)*INDEX(EF[N2O], MATCH("V.03", EF[Vector], 0))</f>
        <v>1.8481587451384951E-2</v>
      </c>
      <c r="I236" s="889">
        <f>(I$169+I$184)*INDEX(EF[N2O], MATCH("V.03", EF[Vector], 0))</f>
        <v>5.6471517212565124E-2</v>
      </c>
      <c r="J236" s="889">
        <f>(J$169+J$184)*INDEX(EF[N2O], MATCH("V.03", EF[Vector], 0))</f>
        <v>0.13479426079122817</v>
      </c>
      <c r="K236" s="889">
        <f>(K$169+K$184)*INDEX(EF[N2O], MATCH("V.03", EF[Vector], 0))</f>
        <v>0.29629281485191183</v>
      </c>
      <c r="L236" s="889">
        <f>(L$169+L$184)*INDEX(EF[N2O], MATCH("V.03", EF[Vector], 0))</f>
        <v>0.50188611974105402</v>
      </c>
      <c r="M236" s="889">
        <f>(M$169+M$184)*INDEX(EF[N2O], MATCH("V.03", EF[Vector], 0))</f>
        <v>0.71365219160627769</v>
      </c>
      <c r="N236" s="889">
        <f>(N$169+N$184)*INDEX(EF[N2O], MATCH("V.03", EF[Vector], 0))</f>
        <v>0.906532176461879</v>
      </c>
      <c r="O236" s="889">
        <f>(O$169+O$184)*INDEX(EF[N2O], MATCH("V.03", EF[Vector], 0))</f>
        <v>1.0916969619232562</v>
      </c>
    </row>
    <row r="237" spans="2:15" s="532" customFormat="1">
      <c r="C237" s="593"/>
      <c r="F237" s="524"/>
      <c r="G237" s="524"/>
      <c r="H237" s="524"/>
      <c r="I237" s="524"/>
      <c r="J237" s="524"/>
      <c r="K237" s="524"/>
      <c r="L237" s="524"/>
      <c r="M237" s="524"/>
      <c r="N237" s="524"/>
      <c r="O237" s="524"/>
    </row>
    <row r="238" spans="2:15" s="532" customFormat="1">
      <c r="B238" s="586" t="s">
        <v>1523</v>
      </c>
      <c r="C238" s="593"/>
      <c r="F238" s="524"/>
      <c r="G238" s="524"/>
      <c r="H238" s="524"/>
      <c r="I238" s="524"/>
      <c r="J238" s="524"/>
      <c r="K238" s="524"/>
      <c r="L238" s="524"/>
      <c r="M238" s="524"/>
      <c r="N238" s="524"/>
      <c r="O238" s="524"/>
    </row>
    <row r="239" spans="2:15" s="532" customFormat="1">
      <c r="C239" s="22" t="s">
        <v>811</v>
      </c>
      <c r="E239" s="532" t="s">
        <v>831</v>
      </c>
      <c r="F239" s="889">
        <f>(F$198)*INDEX(EF[CO2], MATCH("V.05", EF[Vector], 0))</f>
        <v>0</v>
      </c>
      <c r="G239" s="889">
        <f>(G$198)*INDEX(EF[CO2], MATCH("V.05", EF[Vector], 0))</f>
        <v>0</v>
      </c>
      <c r="H239" s="889">
        <f>(H$198)*INDEX(EF[CO2], MATCH("V.05", EF[Vector], 0))</f>
        <v>1.0637087586206895</v>
      </c>
      <c r="I239" s="889">
        <f>(I$198)*INDEX(EF[CO2], MATCH("V.05", EF[Vector], 0))</f>
        <v>1.0456797966101696</v>
      </c>
      <c r="J239" s="889">
        <f>(J$198)*INDEX(EF[CO2], MATCH("V.05", EF[Vector], 0))</f>
        <v>3.0847965300719995</v>
      </c>
      <c r="K239" s="889">
        <f>(K$198)*INDEX(EF[CO2], MATCH("V.05", EF[Vector], 0))</f>
        <v>7.3046468461219671</v>
      </c>
      <c r="L239" s="889">
        <f>(L$198)*INDEX(EF[CO2], MATCH("V.05", EF[Vector], 0))</f>
        <v>12.715176010087738</v>
      </c>
      <c r="M239" s="889">
        <f>(M$198)*INDEX(EF[CO2], MATCH("V.05", EF[Vector], 0))</f>
        <v>17.95394234345143</v>
      </c>
      <c r="N239" s="889">
        <f>(N$198)*INDEX(EF[CO2], MATCH("V.05", EF[Vector], 0))</f>
        <v>23.028997228897492</v>
      </c>
      <c r="O239" s="889">
        <f>(O$198)*INDEX(EF[CO2], MATCH("V.05", EF[Vector], 0))</f>
        <v>27.947896579406766</v>
      </c>
    </row>
    <row r="240" spans="2:15" s="532" customFormat="1">
      <c r="C240" s="22" t="s">
        <v>812</v>
      </c>
      <c r="E240" s="532" t="s">
        <v>831</v>
      </c>
      <c r="F240" s="889">
        <f>F$198*INDEX(EF[CH4], MATCH("V.05", EF[Vector], 0))</f>
        <v>0</v>
      </c>
      <c r="G240" s="889">
        <f>G$198*INDEX(EF[CH4], MATCH("V.05", EF[Vector], 0))</f>
        <v>0</v>
      </c>
      <c r="H240" s="889">
        <f>H$198*INDEX(EF[CH4], MATCH("V.05", EF[Vector], 0))</f>
        <v>2.1321890044749166E-3</v>
      </c>
      <c r="I240" s="889">
        <f>I$198*INDEX(EF[CH4], MATCH("V.05", EF[Vector], 0))</f>
        <v>2.0960502077889014E-3</v>
      </c>
      <c r="J240" s="889">
        <f>J$198*INDEX(EF[CH4], MATCH("V.05", EF[Vector], 0))</f>
        <v>6.1834305576187638E-3</v>
      </c>
      <c r="K240" s="889">
        <f>K$198*INDEX(EF[CH4], MATCH("V.05", EF[Vector], 0))</f>
        <v>1.4642060207410141E-2</v>
      </c>
      <c r="L240" s="889">
        <f>L$198*INDEX(EF[CH4], MATCH("V.05", EF[Vector], 0))</f>
        <v>2.5487388591053192E-2</v>
      </c>
      <c r="M240" s="889">
        <f>M$198*INDEX(EF[CH4], MATCH("V.05", EF[Vector], 0))</f>
        <v>3.598842083553299E-2</v>
      </c>
      <c r="N240" s="889">
        <f>N$198*INDEX(EF[CH4], MATCH("V.05", EF[Vector], 0))</f>
        <v>4.6161295822372758E-2</v>
      </c>
      <c r="O240" s="889">
        <f>O$198*INDEX(EF[CH4], MATCH("V.05", EF[Vector], 0))</f>
        <v>5.602115927115596E-2</v>
      </c>
    </row>
    <row r="241" spans="1:21" s="532" customFormat="1">
      <c r="C241" s="22" t="s">
        <v>813</v>
      </c>
      <c r="E241" s="532" t="s">
        <v>831</v>
      </c>
      <c r="F241" s="889">
        <f>F$198*INDEX(EF[N2O], MATCH("V.05", EF[Vector], 0))</f>
        <v>0</v>
      </c>
      <c r="G241" s="889">
        <f>G$198*INDEX(EF[N2O], MATCH("V.05", EF[Vector], 0))</f>
        <v>0</v>
      </c>
      <c r="H241" s="889">
        <f>H$198*INDEX(EF[N2O], MATCH("V.05", EF[Vector], 0))</f>
        <v>2.2932729339482151E-3</v>
      </c>
      <c r="I241" s="889">
        <f>I$198*INDEX(EF[N2O], MATCH("V.05", EF[Vector], 0))</f>
        <v>2.2544039011694319E-3</v>
      </c>
      <c r="J241" s="889">
        <f>J$198*INDEX(EF[N2O], MATCH("V.05", EF[Vector], 0))</f>
        <v>6.6505801816699349E-3</v>
      </c>
      <c r="K241" s="889">
        <f>K$198*INDEX(EF[N2O], MATCH("V.05", EF[Vector], 0))</f>
        <v>1.5748247599261495E-2</v>
      </c>
      <c r="L241" s="889">
        <f>L$198*INDEX(EF[N2O], MATCH("V.05", EF[Vector], 0))</f>
        <v>2.7412925538126433E-2</v>
      </c>
      <c r="M241" s="889">
        <f>M$198*INDEX(EF[N2O], MATCH("V.05", EF[Vector], 0))</f>
        <v>3.8707296240836943E-2</v>
      </c>
      <c r="N241" s="889">
        <f>N$198*INDEX(EF[N2O], MATCH("V.05", EF[Vector], 0))</f>
        <v>4.964871785908772E-2</v>
      </c>
      <c r="O241" s="889">
        <f>O$198*INDEX(EF[N2O], MATCH("V.05", EF[Vector], 0))</f>
        <v>6.0253480350623126E-2</v>
      </c>
    </row>
    <row r="242" spans="1:21" s="532" customFormat="1">
      <c r="C242" s="22"/>
      <c r="F242" s="889"/>
      <c r="G242" s="889"/>
      <c r="H242" s="889"/>
      <c r="I242" s="889"/>
      <c r="J242" s="889"/>
      <c r="K242" s="889"/>
      <c r="L242" s="889"/>
      <c r="M242" s="889"/>
      <c r="N242" s="889"/>
      <c r="O242" s="889"/>
    </row>
    <row r="243" spans="1:21" s="532" customFormat="1">
      <c r="B243" s="586" t="s">
        <v>1163</v>
      </c>
      <c r="C243" s="593"/>
      <c r="F243" s="524"/>
      <c r="G243" s="524"/>
      <c r="H243" s="524"/>
      <c r="I243" s="524"/>
      <c r="J243" s="524"/>
      <c r="K243" s="524"/>
      <c r="L243" s="524"/>
      <c r="M243" s="524"/>
      <c r="N243" s="524"/>
      <c r="O243" s="524"/>
    </row>
    <row r="244" spans="1:21" s="532" customFormat="1">
      <c r="C244" s="22" t="s">
        <v>811</v>
      </c>
      <c r="E244" s="532" t="s">
        <v>831</v>
      </c>
      <c r="F244" s="889">
        <f>(F239+F234)*F$80</f>
        <v>0</v>
      </c>
      <c r="G244" s="889">
        <f t="shared" ref="G244:O244" si="49">(G239+G234)*G$80</f>
        <v>0</v>
      </c>
      <c r="H244" s="889">
        <f t="shared" si="49"/>
        <v>2.8350150827586207</v>
      </c>
      <c r="I244" s="889">
        <f t="shared" si="49"/>
        <v>6.6784588169491528</v>
      </c>
      <c r="J244" s="889">
        <f t="shared" si="49"/>
        <v>16.471033894437493</v>
      </c>
      <c r="K244" s="889">
        <f t="shared" si="49"/>
        <v>36.676697134029936</v>
      </c>
      <c r="L244" s="889">
        <f t="shared" si="49"/>
        <v>62.433873752492467</v>
      </c>
      <c r="M244" s="889">
        <f t="shared" si="49"/>
        <v>88.663599552007284</v>
      </c>
      <c r="N244" s="889">
        <f t="shared" si="49"/>
        <v>112.82721183324544</v>
      </c>
      <c r="O244" s="889">
        <f t="shared" si="49"/>
        <v>136.06644161766704</v>
      </c>
    </row>
    <row r="245" spans="1:21" s="532" customFormat="1"/>
    <row r="247" spans="1:21" ht="22">
      <c r="A247" s="851"/>
      <c r="B247" s="899" t="s">
        <v>572</v>
      </c>
      <c r="C247" s="862"/>
      <c r="D247" s="863"/>
      <c r="E247" s="863"/>
      <c r="F247" s="863"/>
      <c r="G247" s="863"/>
      <c r="H247" s="863"/>
      <c r="I247" s="863"/>
      <c r="J247" s="863"/>
      <c r="K247" s="863"/>
      <c r="L247" s="863"/>
      <c r="M247" s="863"/>
      <c r="N247" s="863"/>
      <c r="O247" s="863"/>
      <c r="P247" s="865"/>
    </row>
    <row r="248" spans="1:21">
      <c r="B248" s="900"/>
      <c r="C248" s="854"/>
      <c r="D248" s="854"/>
      <c r="E248" s="854"/>
      <c r="F248" s="854"/>
      <c r="G248" s="854"/>
      <c r="H248" s="854"/>
      <c r="I248" s="854"/>
      <c r="J248" s="854"/>
      <c r="K248" s="854"/>
      <c r="L248" s="854"/>
      <c r="M248" s="854"/>
      <c r="N248" s="854"/>
      <c r="O248" s="854"/>
      <c r="P248" s="856"/>
    </row>
    <row r="249" spans="1:21">
      <c r="B249" s="900"/>
      <c r="C249" s="866" t="s">
        <v>613</v>
      </c>
      <c r="D249" s="854"/>
      <c r="E249" s="855"/>
      <c r="F249" s="854"/>
      <c r="G249" s="855"/>
      <c r="H249" s="854"/>
      <c r="I249" s="854"/>
      <c r="J249" s="854"/>
      <c r="K249" s="854"/>
      <c r="L249" s="854"/>
      <c r="M249" s="854"/>
      <c r="N249" s="854"/>
      <c r="O249" s="855" t="str">
        <f>Preferences.EnergyUnits</f>
        <v>TWh</v>
      </c>
      <c r="P249" s="856"/>
    </row>
    <row r="250" spans="1:21" ht="4.5" customHeight="1">
      <c r="B250" s="900"/>
      <c r="C250" s="854"/>
      <c r="D250" s="854"/>
      <c r="E250" s="854"/>
      <c r="F250" s="854"/>
      <c r="G250" s="854"/>
      <c r="H250" s="854"/>
      <c r="I250" s="854"/>
      <c r="J250" s="854"/>
      <c r="K250" s="854"/>
      <c r="L250" s="854"/>
      <c r="M250" s="854"/>
      <c r="N250" s="854"/>
      <c r="O250" s="854"/>
      <c r="P250" s="856"/>
    </row>
    <row r="251" spans="1:21" ht="15">
      <c r="A251" s="3"/>
      <c r="B251" s="905"/>
      <c r="C251" s="868" t="s">
        <v>72</v>
      </c>
      <c r="D251" s="868" t="s">
        <v>399</v>
      </c>
      <c r="E251" s="868" t="s">
        <v>421</v>
      </c>
      <c r="F251" s="868" t="s">
        <v>576</v>
      </c>
      <c r="G251" s="868" t="s">
        <v>577</v>
      </c>
      <c r="H251" s="868" t="s">
        <v>604</v>
      </c>
      <c r="I251" s="868" t="s">
        <v>605</v>
      </c>
      <c r="J251" s="868" t="s">
        <v>606</v>
      </c>
      <c r="K251" s="868" t="s">
        <v>607</v>
      </c>
      <c r="L251" s="868" t="s">
        <v>608</v>
      </c>
      <c r="M251" s="868" t="s">
        <v>609</v>
      </c>
      <c r="N251" s="868" t="s">
        <v>610</v>
      </c>
      <c r="O251" s="868" t="s">
        <v>611</v>
      </c>
      <c r="P251" s="856"/>
    </row>
    <row r="252" spans="1:21" ht="15">
      <c r="A252" s="3"/>
      <c r="B252" s="905"/>
      <c r="C252" s="546" t="s">
        <v>41</v>
      </c>
      <c r="D252" s="546" t="str">
        <f>INDEX(Vectors[Description], MATCH(I.b.Outputs[Vector], Vectors[Code], 0))</f>
        <v>Electricity (supplied to grid)</v>
      </c>
      <c r="E252" s="546"/>
      <c r="F252" s="652">
        <f t="shared" ref="F252:O252" si="50">F$179+F$193+F$164</f>
        <v>0</v>
      </c>
      <c r="G252" s="652">
        <f t="shared" si="50"/>
        <v>0</v>
      </c>
      <c r="H252" s="652">
        <f t="shared" si="50"/>
        <v>5.0797874250000001</v>
      </c>
      <c r="I252" s="652">
        <f t="shared" si="50"/>
        <v>10.834644510000002</v>
      </c>
      <c r="J252" s="652">
        <f t="shared" si="50"/>
        <v>28.190273518144078</v>
      </c>
      <c r="K252" s="652">
        <f t="shared" si="50"/>
        <v>65.047002442725599</v>
      </c>
      <c r="L252" s="652">
        <f t="shared" si="50"/>
        <v>113.73585583244399</v>
      </c>
      <c r="M252" s="652">
        <f t="shared" si="50"/>
        <v>162.7600064868324</v>
      </c>
      <c r="N252" s="652">
        <f t="shared" si="50"/>
        <v>212.1332388961842</v>
      </c>
      <c r="O252" s="652">
        <f t="shared" si="50"/>
        <v>261.96211411772401</v>
      </c>
      <c r="P252" s="856"/>
    </row>
    <row r="253" spans="1:21" ht="15">
      <c r="A253" s="3"/>
      <c r="B253" s="905"/>
      <c r="C253" s="546" t="s">
        <v>42</v>
      </c>
      <c r="D253" s="546" t="str">
        <f>INDEX(Vectors[Description], MATCH(I.b.Outputs[Vector], Vectors[Code], 0))</f>
        <v>Solid hydrocarbons</v>
      </c>
      <c r="E253" s="546"/>
      <c r="F253" s="652">
        <f t="shared" ref="F253:O253" si="51">-F$184-F$169</f>
        <v>0</v>
      </c>
      <c r="G253" s="652">
        <f t="shared" si="51"/>
        <v>0</v>
      </c>
      <c r="H253" s="652">
        <f t="shared" si="51"/>
        <v>-6.7737272727272746</v>
      </c>
      <c r="I253" s="652">
        <f t="shared" si="51"/>
        <v>-20.697500000000005</v>
      </c>
      <c r="J253" s="652">
        <f t="shared" si="51"/>
        <v>-49.403741043913044</v>
      </c>
      <c r="K253" s="652">
        <f t="shared" si="51"/>
        <v>-108.59493135829787</v>
      </c>
      <c r="L253" s="652">
        <f t="shared" si="51"/>
        <v>-183.94738579875002</v>
      </c>
      <c r="M253" s="652">
        <f t="shared" si="51"/>
        <v>-261.56223464250002</v>
      </c>
      <c r="N253" s="652">
        <f t="shared" si="51"/>
        <v>-332.25510219061226</v>
      </c>
      <c r="O253" s="652">
        <f t="shared" si="51"/>
        <v>-400.12025503680002</v>
      </c>
      <c r="P253" s="856"/>
    </row>
    <row r="254" spans="1:21" ht="15">
      <c r="A254" s="3"/>
      <c r="B254" s="905"/>
      <c r="C254" s="546" t="s">
        <v>45</v>
      </c>
      <c r="D254" s="546" t="str">
        <f>INDEX(Vectors[Description], MATCH(I.b.Outputs[Vector], Vectors[Code], 0))</f>
        <v>Gaseous hydrocarbons</v>
      </c>
      <c r="E254" s="546"/>
      <c r="F254" s="652">
        <f>-F$198</f>
        <v>0</v>
      </c>
      <c r="G254" s="652">
        <f t="shared" ref="G254:N254" si="52">-G$198</f>
        <v>0</v>
      </c>
      <c r="H254" s="652">
        <f t="shared" si="52"/>
        <v>-5.7810258620689661</v>
      </c>
      <c r="I254" s="652">
        <f t="shared" si="52"/>
        <v>-5.6830423728813573</v>
      </c>
      <c r="J254" s="652">
        <f t="shared" si="52"/>
        <v>-16.765198533</v>
      </c>
      <c r="K254" s="652">
        <f t="shared" si="52"/>
        <v>-39.699167641967222</v>
      </c>
      <c r="L254" s="652">
        <f t="shared" si="52"/>
        <v>-69.104217446129027</v>
      </c>
      <c r="M254" s="652">
        <f t="shared" si="52"/>
        <v>-97.575773605714303</v>
      </c>
      <c r="N254" s="652">
        <f t="shared" si="52"/>
        <v>-125.15759363531247</v>
      </c>
      <c r="O254" s="652">
        <f>-O$198</f>
        <v>-151.89074227938463</v>
      </c>
      <c r="P254" s="856"/>
    </row>
    <row r="255" spans="1:21" ht="15">
      <c r="A255" s="3"/>
      <c r="B255" s="905"/>
      <c r="C255" s="546" t="s">
        <v>31</v>
      </c>
      <c r="D255" s="546" t="str">
        <f>INDEX(Vectors[Description], MATCH(I.b.Outputs[Vector], Vectors[Code], 0))</f>
        <v>Conversion losses</v>
      </c>
      <c r="E255" s="546"/>
      <c r="F255" s="652">
        <f t="shared" ref="F255:O255" si="53">(F$184-F$182)+(F$198-F$196)+(F$169-F$167)</f>
        <v>0</v>
      </c>
      <c r="G255" s="652">
        <f t="shared" si="53"/>
        <v>0</v>
      </c>
      <c r="H255" s="652">
        <f>(H$184-H$182)+(H$198-H$196)+(H$169-H$167)</f>
        <v>6.2213181347962401</v>
      </c>
      <c r="I255" s="652">
        <f t="shared" si="53"/>
        <v>13.713672372881359</v>
      </c>
      <c r="J255" s="652">
        <f t="shared" si="53"/>
        <v>33.384099576913044</v>
      </c>
      <c r="K255" s="652">
        <f t="shared" si="53"/>
        <v>73.0379890002651</v>
      </c>
      <c r="L255" s="652">
        <f t="shared" si="53"/>
        <v>121.91224324487904</v>
      </c>
      <c r="M255" s="652">
        <f t="shared" si="53"/>
        <v>172.11539824821429</v>
      </c>
      <c r="N255" s="652">
        <f t="shared" si="53"/>
        <v>214.50683582592472</v>
      </c>
      <c r="O255" s="652">
        <f t="shared" si="53"/>
        <v>253.22188731618462</v>
      </c>
      <c r="P255" s="856"/>
      <c r="U255" s="1623"/>
    </row>
    <row r="256" spans="1:21" ht="15">
      <c r="A256" s="3"/>
      <c r="B256" s="905"/>
      <c r="C256" s="546" t="s">
        <v>32</v>
      </c>
      <c r="D256" s="546" t="str">
        <f>INDEX(Vectors[Description], MATCH(I.b.Outputs[Vector], Vectors[Code], 0))</f>
        <v>Distribution losses and own use</v>
      </c>
      <c r="E256" s="546"/>
      <c r="F256" s="652">
        <f t="shared" ref="F256:O256" si="54">F$181+F$195+F$166</f>
        <v>0</v>
      </c>
      <c r="G256" s="652">
        <f t="shared" si="54"/>
        <v>0</v>
      </c>
      <c r="H256" s="652">
        <f t="shared" si="54"/>
        <v>1.2536475750000002</v>
      </c>
      <c r="I256" s="652">
        <f t="shared" si="54"/>
        <v>1.8322254900000003</v>
      </c>
      <c r="J256" s="652">
        <f t="shared" si="54"/>
        <v>4.59456648185592</v>
      </c>
      <c r="K256" s="652">
        <f t="shared" si="54"/>
        <v>10.2091075572744</v>
      </c>
      <c r="L256" s="652">
        <f t="shared" si="54"/>
        <v>17.403504167556001</v>
      </c>
      <c r="M256" s="652">
        <f t="shared" si="54"/>
        <v>24.262603513167601</v>
      </c>
      <c r="N256" s="652">
        <f t="shared" si="54"/>
        <v>30.772621103815801</v>
      </c>
      <c r="O256" s="652">
        <f t="shared" si="54"/>
        <v>36.826995882276002</v>
      </c>
      <c r="P256" s="856"/>
    </row>
    <row r="257" spans="1:22" ht="15">
      <c r="A257" s="3"/>
      <c r="B257" s="905"/>
      <c r="C257" s="546" t="s">
        <v>132</v>
      </c>
      <c r="D257" s="546"/>
      <c r="E257" s="546"/>
      <c r="F257" s="559">
        <f>SUBTOTAL(109,I.b.Outputs[2007])</f>
        <v>0</v>
      </c>
      <c r="G257" s="546">
        <f>SUBTOTAL(109,I.b.Outputs[2010])</f>
        <v>0</v>
      </c>
      <c r="H257" s="546">
        <f>SUBTOTAL(109,I.b.Outputs[2015])</f>
        <v>0</v>
      </c>
      <c r="I257" s="546">
        <f>SUBTOTAL(109,I.b.Outputs[2020])</f>
        <v>-2.2204460492503131E-15</v>
      </c>
      <c r="J257" s="546">
        <f>SUBTOTAL(109,I.b.Outputs[2025])</f>
        <v>0</v>
      </c>
      <c r="K257" s="546">
        <f>SUBTOTAL(109,I.b.Outputs[2030])</f>
        <v>0</v>
      </c>
      <c r="L257" s="546">
        <f>SUBTOTAL(109,I.b.Outputs[2035])</f>
        <v>0</v>
      </c>
      <c r="M257" s="546">
        <f>SUBTOTAL(109,I.b.Outputs[2040])</f>
        <v>-4.6185277824406512E-14</v>
      </c>
      <c r="N257" s="546">
        <f>SUBTOTAL(109,I.b.Outputs[2045])</f>
        <v>0</v>
      </c>
      <c r="O257" s="546">
        <f>SUBTOTAL(109,I.b.Outputs[2050])</f>
        <v>0</v>
      </c>
      <c r="P257" s="856"/>
    </row>
    <row r="258" spans="1:22" ht="15">
      <c r="A258" s="3"/>
      <c r="B258" s="906"/>
      <c r="C258" s="859"/>
      <c r="D258" s="859"/>
      <c r="E258" s="859"/>
      <c r="F258" s="859"/>
      <c r="G258" s="859"/>
      <c r="H258" s="859"/>
      <c r="I258" s="859"/>
      <c r="J258" s="859"/>
      <c r="K258" s="859"/>
      <c r="L258" s="859"/>
      <c r="M258" s="859"/>
      <c r="N258" s="859"/>
      <c r="O258" s="859"/>
      <c r="P258" s="861"/>
    </row>
    <row r="259" spans="1:22">
      <c r="B259" s="901"/>
    </row>
    <row r="260" spans="1:22" ht="22">
      <c r="A260" s="851"/>
      <c r="B260" s="907" t="s">
        <v>690</v>
      </c>
      <c r="C260" s="872"/>
      <c r="D260" s="873"/>
      <c r="E260" s="873"/>
      <c r="F260" s="873"/>
      <c r="G260" s="873"/>
      <c r="H260" s="873"/>
      <c r="I260" s="873"/>
      <c r="J260" s="873"/>
      <c r="K260" s="873"/>
      <c r="L260" s="873"/>
      <c r="M260" s="873"/>
      <c r="N260" s="873"/>
      <c r="O260" s="873"/>
      <c r="P260" s="874"/>
    </row>
    <row r="261" spans="1:22">
      <c r="B261" s="880"/>
      <c r="C261" s="881"/>
      <c r="D261" s="881"/>
      <c r="E261" s="881"/>
      <c r="F261" s="881"/>
      <c r="G261" s="881"/>
      <c r="H261" s="881"/>
      <c r="I261" s="881"/>
      <c r="J261" s="881"/>
      <c r="K261" s="881"/>
      <c r="L261" s="881"/>
      <c r="M261" s="881"/>
      <c r="N261" s="881"/>
      <c r="O261" s="881"/>
      <c r="P261" s="882"/>
    </row>
    <row r="262" spans="1:22" ht="17">
      <c r="B262" s="883"/>
      <c r="C262" s="875" t="s">
        <v>829</v>
      </c>
      <c r="D262" s="876"/>
      <c r="E262" s="877"/>
      <c r="F262" s="876"/>
      <c r="G262" s="877"/>
      <c r="H262" s="876"/>
      <c r="I262" s="876"/>
      <c r="J262" s="876"/>
      <c r="K262" s="876"/>
      <c r="L262" s="876"/>
      <c r="M262" s="876"/>
      <c r="N262" s="876"/>
      <c r="O262" s="877" t="s">
        <v>832</v>
      </c>
      <c r="P262" s="884"/>
    </row>
    <row r="263" spans="1:22" ht="6" customHeight="1">
      <c r="B263" s="883"/>
      <c r="C263" s="876"/>
      <c r="D263" s="876"/>
      <c r="E263" s="876"/>
      <c r="F263" s="876"/>
      <c r="G263" s="876"/>
      <c r="H263" s="876"/>
      <c r="I263" s="876"/>
      <c r="J263" s="876"/>
      <c r="K263" s="876"/>
      <c r="L263" s="876"/>
      <c r="M263" s="876"/>
      <c r="N263" s="876"/>
      <c r="O263" s="876"/>
      <c r="P263" s="884"/>
    </row>
    <row r="264" spans="1:22" ht="15">
      <c r="B264" s="885"/>
      <c r="C264" s="878" t="s">
        <v>828</v>
      </c>
      <c r="D264" s="878" t="s">
        <v>798</v>
      </c>
      <c r="E264" s="878" t="s">
        <v>421</v>
      </c>
      <c r="F264" s="878" t="s">
        <v>576</v>
      </c>
      <c r="G264" s="878" t="s">
        <v>577</v>
      </c>
      <c r="H264" s="878" t="s">
        <v>604</v>
      </c>
      <c r="I264" s="878" t="s">
        <v>605</v>
      </c>
      <c r="J264" s="878" t="s">
        <v>606</v>
      </c>
      <c r="K264" s="878" t="s">
        <v>607</v>
      </c>
      <c r="L264" s="878" t="s">
        <v>608</v>
      </c>
      <c r="M264" s="878" t="s">
        <v>609</v>
      </c>
      <c r="N264" s="878" t="s">
        <v>610</v>
      </c>
      <c r="O264" s="878" t="s">
        <v>611</v>
      </c>
      <c r="P264" s="884"/>
    </row>
    <row r="265" spans="1:22" ht="15">
      <c r="B265" s="885"/>
      <c r="C265" s="879" t="s">
        <v>811</v>
      </c>
      <c r="D265" s="888" t="s">
        <v>821</v>
      </c>
      <c r="E265" s="879" t="str">
        <f>INDEX(IPCC[Sector_description], MATCH(I.b.Emissions[IPCC Sector], IPCC[Sector_code], 0))</f>
        <v>Fuel Combustion</v>
      </c>
      <c r="F265" s="890">
        <f>F$239+F$234</f>
        <v>0</v>
      </c>
      <c r="G265" s="890">
        <f>G$239+G$234</f>
        <v>0</v>
      </c>
      <c r="H265" s="890">
        <f>H$239+H$234</f>
        <v>3.1500167586206897</v>
      </c>
      <c r="I265" s="890">
        <f t="shared" ref="I265:O265" si="55">I$239+I$234</f>
        <v>7.4205097966101699</v>
      </c>
      <c r="J265" s="890">
        <f t="shared" si="55"/>
        <v>18.301148771597212</v>
      </c>
      <c r="K265" s="890">
        <f t="shared" si="55"/>
        <v>40.751885704477708</v>
      </c>
      <c r="L265" s="890">
        <f t="shared" si="55"/>
        <v>69.370970836102742</v>
      </c>
      <c r="M265" s="890">
        <f t="shared" si="55"/>
        <v>98.51511061334142</v>
      </c>
      <c r="N265" s="890">
        <f t="shared" si="55"/>
        <v>125.36356870360605</v>
      </c>
      <c r="O265" s="890">
        <f t="shared" si="55"/>
        <v>151.18493513074114</v>
      </c>
      <c r="P265" s="884"/>
    </row>
    <row r="266" spans="1:22" ht="15">
      <c r="B266" s="885"/>
      <c r="C266" s="879" t="s">
        <v>812</v>
      </c>
      <c r="D266" s="888" t="s">
        <v>821</v>
      </c>
      <c r="E266" s="879" t="str">
        <f>INDEX(IPCC[Sector_description], MATCH(I.b.Emissions[IPCC Sector], IPCC[Sector_code], 0))</f>
        <v>Fuel Combustion</v>
      </c>
      <c r="F266" s="890">
        <f>F$240</f>
        <v>0</v>
      </c>
      <c r="G266" s="890">
        <f>G$240</f>
        <v>0</v>
      </c>
      <c r="H266" s="890">
        <f>H$240+H$235</f>
        <v>8.2610079664597533E-3</v>
      </c>
      <c r="I266" s="890">
        <f t="shared" ref="I266:O266" si="56">I$240+I$235</f>
        <v>2.0822997036075902E-2</v>
      </c>
      <c r="J266" s="890">
        <f t="shared" si="56"/>
        <v>5.0883574615974578E-2</v>
      </c>
      <c r="K266" s="890">
        <f t="shared" si="56"/>
        <v>0.112897960937852</v>
      </c>
      <c r="L266" s="890">
        <f t="shared" si="56"/>
        <v>0.191921639735181</v>
      </c>
      <c r="M266" s="890">
        <f t="shared" si="56"/>
        <v>0.272648020325231</v>
      </c>
      <c r="N266" s="890">
        <f t="shared" si="56"/>
        <v>0.34678328553855381</v>
      </c>
      <c r="O266" s="890">
        <f t="shared" si="56"/>
        <v>0.41804704360476075</v>
      </c>
      <c r="P266" s="884"/>
    </row>
    <row r="267" spans="1:22" ht="15">
      <c r="B267" s="885"/>
      <c r="C267" s="879" t="s">
        <v>813</v>
      </c>
      <c r="D267" s="888" t="s">
        <v>821</v>
      </c>
      <c r="E267" s="879" t="str">
        <f>INDEX(IPCC[Sector_description], MATCH(I.b.Emissions[IPCC Sector], IPCC[Sector_code], 0))</f>
        <v>Fuel Combustion</v>
      </c>
      <c r="F267" s="890">
        <f>F$241</f>
        <v>0</v>
      </c>
      <c r="G267" s="890">
        <f>G$241</f>
        <v>0</v>
      </c>
      <c r="H267" s="890">
        <f>H$241+H$236</f>
        <v>2.0774860385333167E-2</v>
      </c>
      <c r="I267" s="890">
        <f t="shared" ref="I267:O267" si="57">I$241+I$236</f>
        <v>5.8725921113734557E-2</v>
      </c>
      <c r="J267" s="890">
        <f t="shared" si="57"/>
        <v>0.14144484097289811</v>
      </c>
      <c r="K267" s="890">
        <f t="shared" si="57"/>
        <v>0.31204106245117336</v>
      </c>
      <c r="L267" s="890">
        <f t="shared" si="57"/>
        <v>0.52929904527918048</v>
      </c>
      <c r="M267" s="890">
        <f t="shared" si="57"/>
        <v>0.75235948784711459</v>
      </c>
      <c r="N267" s="890">
        <f t="shared" si="57"/>
        <v>0.95618089432096676</v>
      </c>
      <c r="O267" s="890">
        <f t="shared" si="57"/>
        <v>1.1519504422738793</v>
      </c>
      <c r="P267" s="884"/>
    </row>
    <row r="268" spans="1:22" ht="15">
      <c r="B268" s="885"/>
      <c r="C268" s="879" t="s">
        <v>811</v>
      </c>
      <c r="D268" s="888" t="s">
        <v>833</v>
      </c>
      <c r="E268" s="879" t="str">
        <f>INDEX(IPCC[Sector_description], MATCH(I.b.Emissions[IPCC Sector], IPCC[Sector_code], 0))</f>
        <v>Carbon capture</v>
      </c>
      <c r="F268" s="890">
        <f>-F244</f>
        <v>0</v>
      </c>
      <c r="G268" s="890">
        <f t="shared" ref="G268:O268" si="58">-G244</f>
        <v>0</v>
      </c>
      <c r="H268" s="890">
        <f t="shared" si="58"/>
        <v>-2.8350150827586207</v>
      </c>
      <c r="I268" s="890">
        <f t="shared" si="58"/>
        <v>-6.6784588169491528</v>
      </c>
      <c r="J268" s="890">
        <f t="shared" si="58"/>
        <v>-16.471033894437493</v>
      </c>
      <c r="K268" s="890">
        <f t="shared" si="58"/>
        <v>-36.676697134029936</v>
      </c>
      <c r="L268" s="890">
        <f t="shared" si="58"/>
        <v>-62.433873752492467</v>
      </c>
      <c r="M268" s="890">
        <f t="shared" si="58"/>
        <v>-88.663599552007284</v>
      </c>
      <c r="N268" s="890">
        <f t="shared" si="58"/>
        <v>-112.82721183324544</v>
      </c>
      <c r="O268" s="890">
        <f t="shared" si="58"/>
        <v>-136.06644161766704</v>
      </c>
      <c r="P268" s="884"/>
    </row>
    <row r="269" spans="1:22" ht="15">
      <c r="B269" s="885"/>
      <c r="C269" s="879" t="s">
        <v>132</v>
      </c>
      <c r="D269" s="879"/>
      <c r="E269" s="879"/>
      <c r="F269" s="1861">
        <f>SUBTOTAL(109,I.b.Emissions[2007])</f>
        <v>0</v>
      </c>
      <c r="G269" s="1861">
        <f>SUBTOTAL(109,I.b.Emissions[2010])</f>
        <v>0</v>
      </c>
      <c r="H269" s="1861">
        <f>SUBTOTAL(109,I.b.Emissions[2015])</f>
        <v>0.34403754421386168</v>
      </c>
      <c r="I269" s="1861">
        <f>SUBTOTAL(109,I.b.Emissions[2020])</f>
        <v>0.82159989781082743</v>
      </c>
      <c r="J269" s="1861">
        <f>SUBTOTAL(109,I.b.Emissions[2025])</f>
        <v>2.0224432927485907</v>
      </c>
      <c r="K269" s="1861">
        <f>SUBTOTAL(109,I.b.Emissions[2030])</f>
        <v>4.5001275938367939</v>
      </c>
      <c r="L269" s="1861">
        <f>SUBTOTAL(109,I.b.Emissions[2035])</f>
        <v>7.6583177686246344</v>
      </c>
      <c r="M269" s="1861">
        <f>SUBTOTAL(109,I.b.Emissions[2040])</f>
        <v>10.876518569506487</v>
      </c>
      <c r="N269" s="1861">
        <f>SUBTOTAL(109,I.b.Emissions[2045])</f>
        <v>13.839321050220121</v>
      </c>
      <c r="O269" s="1861">
        <f>SUBTOTAL(109,I.b.Emissions[2050])</f>
        <v>16.688490998952744</v>
      </c>
      <c r="P269" s="884"/>
    </row>
    <row r="270" spans="1:22" ht="15">
      <c r="B270" s="885"/>
      <c r="C270" s="886"/>
      <c r="D270" s="886"/>
      <c r="E270" s="886"/>
      <c r="F270" s="886"/>
      <c r="G270" s="886"/>
      <c r="H270" s="886"/>
      <c r="I270" s="886"/>
      <c r="J270" s="886"/>
      <c r="K270" s="886"/>
      <c r="L270" s="886"/>
      <c r="M270" s="886"/>
      <c r="N270" s="886"/>
      <c r="O270" s="886"/>
      <c r="P270" s="884"/>
    </row>
    <row r="271" spans="1:22" ht="21.75" customHeight="1"/>
    <row r="272" spans="1:22" ht="15">
      <c r="B272" s="1577" t="s">
        <v>1561</v>
      </c>
      <c r="C272" s="1610"/>
      <c r="D272" s="1578"/>
      <c r="E272" s="1578"/>
      <c r="F272" s="1578"/>
      <c r="G272" s="1578"/>
      <c r="H272" s="1578"/>
      <c r="I272" s="1578"/>
      <c r="J272" s="1578"/>
      <c r="K272" s="1578"/>
      <c r="L272" s="1578"/>
      <c r="M272" s="1578"/>
      <c r="N272" s="1578"/>
      <c r="O272" s="1578"/>
      <c r="P272" s="1579"/>
      <c r="S272" s="1601"/>
      <c r="T272" s="1608"/>
      <c r="U272" s="1601"/>
      <c r="V272" s="1601"/>
    </row>
    <row r="273" spans="2:20">
      <c r="B273" s="1611"/>
      <c r="C273" s="1612"/>
      <c r="D273" s="1612"/>
      <c r="E273" s="1612"/>
      <c r="F273" s="1612"/>
      <c r="G273" s="1612"/>
      <c r="H273" s="1612"/>
      <c r="I273" s="1612"/>
      <c r="J273" s="1612"/>
      <c r="K273" s="1612"/>
      <c r="L273" s="1612"/>
      <c r="M273" s="1612"/>
      <c r="N273" s="1612"/>
      <c r="O273" s="1612"/>
      <c r="P273" s="1613"/>
      <c r="T273" s="532"/>
    </row>
    <row r="274" spans="2:20">
      <c r="B274" s="1580"/>
      <c r="C274" s="1614" t="s">
        <v>1566</v>
      </c>
      <c r="D274" s="1581"/>
      <c r="E274" s="1615"/>
      <c r="F274" s="1581"/>
      <c r="G274" s="1615"/>
      <c r="H274" s="1581"/>
      <c r="I274" s="1581"/>
      <c r="J274" s="1581"/>
      <c r="K274" s="1581"/>
      <c r="L274" s="1581"/>
      <c r="M274" s="1581"/>
      <c r="N274" s="1581"/>
      <c r="O274" s="1615"/>
      <c r="P274" s="1582"/>
      <c r="T274" s="532"/>
    </row>
    <row r="275" spans="2:20" ht="4.5" customHeight="1">
      <c r="B275" s="1580"/>
      <c r="C275" s="1581"/>
      <c r="D275" s="1581"/>
      <c r="E275" s="1581"/>
      <c r="F275" s="1581"/>
      <c r="G275" s="1581"/>
      <c r="H275" s="1581"/>
      <c r="I275" s="1581"/>
      <c r="J275" s="1581"/>
      <c r="K275" s="1581"/>
      <c r="L275" s="1581"/>
      <c r="M275" s="1581"/>
      <c r="N275" s="1581"/>
      <c r="O275" s="1581"/>
      <c r="P275" s="1582"/>
      <c r="T275" s="532"/>
    </row>
    <row r="276" spans="2:20" ht="15">
      <c r="B276" s="1583"/>
      <c r="C276" s="1584" t="s">
        <v>72</v>
      </c>
      <c r="D276" s="1584" t="s">
        <v>1562</v>
      </c>
      <c r="E276" s="1584" t="s">
        <v>421</v>
      </c>
      <c r="F276" s="1584" t="s">
        <v>576</v>
      </c>
      <c r="G276" s="1584" t="s">
        <v>577</v>
      </c>
      <c r="H276" s="1584" t="s">
        <v>604</v>
      </c>
      <c r="I276" s="1584" t="s">
        <v>605</v>
      </c>
      <c r="J276" s="1584" t="s">
        <v>606</v>
      </c>
      <c r="K276" s="1584" t="s">
        <v>607</v>
      </c>
      <c r="L276" s="1584" t="s">
        <v>608</v>
      </c>
      <c r="M276" s="1584" t="s">
        <v>609</v>
      </c>
      <c r="N276" s="1584" t="s">
        <v>610</v>
      </c>
      <c r="O276" s="1584" t="s">
        <v>611</v>
      </c>
      <c r="P276" s="1582"/>
    </row>
    <row r="277" spans="2:20" ht="15">
      <c r="B277" s="1583"/>
      <c r="C277" s="1585" t="s">
        <v>1568</v>
      </c>
      <c r="D277" s="1586" t="str">
        <f>INDEX(Vectors[Description], MATCH(I.b.Info[Vector], Vectors[Code], 0))</f>
        <v xml:space="preserve">Installed Capacity </v>
      </c>
      <c r="E277" s="1586" t="str">
        <f>Preferences.PowerUnits</f>
        <v>GW</v>
      </c>
      <c r="F277" s="1618">
        <f>F141</f>
        <v>0</v>
      </c>
      <c r="G277" s="1618">
        <f t="shared" ref="G277:O277" si="59">G141</f>
        <v>0</v>
      </c>
      <c r="H277" s="1618">
        <f t="shared" si="59"/>
        <v>0.85000000000000009</v>
      </c>
      <c r="I277" s="1618">
        <f t="shared" si="59"/>
        <v>1.7000000000000002</v>
      </c>
      <c r="J277" s="1618">
        <f t="shared" si="59"/>
        <v>4.4000000000000004</v>
      </c>
      <c r="K277" s="1618">
        <f t="shared" si="59"/>
        <v>10.099999999999998</v>
      </c>
      <c r="L277" s="1618">
        <f t="shared" si="59"/>
        <v>17.599999999999998</v>
      </c>
      <c r="M277" s="1618">
        <f t="shared" si="59"/>
        <v>25.099999999999998</v>
      </c>
      <c r="N277" s="1618">
        <f t="shared" si="59"/>
        <v>32.6</v>
      </c>
      <c r="O277" s="1618">
        <f t="shared" si="59"/>
        <v>40.1</v>
      </c>
      <c r="P277" s="1582"/>
    </row>
    <row r="278" spans="2:20" s="1907" customFormat="1" ht="15">
      <c r="B278" s="1884"/>
      <c r="C278" s="1886" t="s">
        <v>2110</v>
      </c>
      <c r="D278" s="1887" t="str">
        <f>INDEX(Vectors[Description], MATCH(I.b.Info[Vector], Vectors[Code], 0))</f>
        <v>Load factor</v>
      </c>
      <c r="E278" s="1886" t="s">
        <v>674</v>
      </c>
      <c r="F278" s="1910">
        <f>F146</f>
        <v>0</v>
      </c>
      <c r="G278" s="1910">
        <f t="shared" ref="G278:O278" si="60">G146</f>
        <v>0.84999999999999987</v>
      </c>
      <c r="H278" s="1910">
        <f t="shared" si="60"/>
        <v>0.84999999999999987</v>
      </c>
      <c r="I278" s="1910">
        <f t="shared" si="60"/>
        <v>0.84999999999999987</v>
      </c>
      <c r="J278" s="1910">
        <f t="shared" si="60"/>
        <v>0.84999999999999987</v>
      </c>
      <c r="K278" s="1910">
        <f t="shared" si="60"/>
        <v>0.84999999999999987</v>
      </c>
      <c r="L278" s="1910">
        <f t="shared" si="60"/>
        <v>0.84999999999999987</v>
      </c>
      <c r="M278" s="1910">
        <f t="shared" si="60"/>
        <v>0.84999999999999987</v>
      </c>
      <c r="N278" s="1910">
        <f t="shared" si="60"/>
        <v>0.84999999999999987</v>
      </c>
      <c r="O278" s="1910">
        <f t="shared" si="60"/>
        <v>0.84999999999999987</v>
      </c>
      <c r="P278" s="1883"/>
    </row>
    <row r="279" spans="2:20" ht="15">
      <c r="B279" s="1583"/>
      <c r="C279" s="1585" t="s">
        <v>1569</v>
      </c>
      <c r="D279" s="1586" t="str">
        <f>$F$85&amp;" GW CCS power stations"</f>
        <v>1.2 GW CCS power stations</v>
      </c>
      <c r="E279" s="1585" t="s">
        <v>1622</v>
      </c>
      <c r="F279" s="1587">
        <f t="shared" ref="F279:O279" si="61">F277/$F$85</f>
        <v>0</v>
      </c>
      <c r="G279" s="1587">
        <f t="shared" si="61"/>
        <v>0</v>
      </c>
      <c r="H279" s="1587">
        <f t="shared" si="61"/>
        <v>0.70833333333333348</v>
      </c>
      <c r="I279" s="1587">
        <f t="shared" si="61"/>
        <v>1.416666666666667</v>
      </c>
      <c r="J279" s="1587">
        <f t="shared" si="61"/>
        <v>3.666666666666667</v>
      </c>
      <c r="K279" s="1587">
        <f t="shared" si="61"/>
        <v>8.4166666666666661</v>
      </c>
      <c r="L279" s="1587">
        <f t="shared" si="61"/>
        <v>14.666666666666666</v>
      </c>
      <c r="M279" s="1587">
        <f t="shared" si="61"/>
        <v>20.916666666666664</v>
      </c>
      <c r="N279" s="1587">
        <f t="shared" si="61"/>
        <v>27.166666666666668</v>
      </c>
      <c r="O279" s="1587">
        <f t="shared" si="61"/>
        <v>33.416666666666671</v>
      </c>
      <c r="P279" s="1582"/>
    </row>
    <row r="280" spans="2:20" ht="15">
      <c r="B280" s="1619"/>
      <c r="C280" s="1588"/>
      <c r="D280" s="1588"/>
      <c r="E280" s="1588"/>
      <c r="F280" s="1588"/>
      <c r="G280" s="1588"/>
      <c r="H280" s="1588"/>
      <c r="I280" s="1588"/>
      <c r="J280" s="1588"/>
      <c r="K280" s="1588"/>
      <c r="L280" s="1588"/>
      <c r="M280" s="1588"/>
      <c r="N280" s="1588"/>
      <c r="O280" s="1588"/>
      <c r="P280" s="1616"/>
    </row>
    <row r="281" spans="2:20" ht="22.5" customHeight="1"/>
    <row r="282" spans="2:20" ht="15">
      <c r="B282" s="1577" t="s">
        <v>1998</v>
      </c>
      <c r="C282" s="1578"/>
      <c r="D282" s="1578"/>
      <c r="E282" s="1578"/>
      <c r="F282" s="1578"/>
      <c r="G282" s="1578"/>
      <c r="H282" s="1578"/>
      <c r="I282" s="1578"/>
      <c r="J282" s="1578"/>
      <c r="K282" s="1578"/>
      <c r="L282" s="1578"/>
      <c r="M282" s="1578"/>
      <c r="N282" s="1578"/>
      <c r="O282" s="1578"/>
      <c r="P282" s="1579"/>
    </row>
    <row r="283" spans="2:20" ht="15.75" customHeight="1">
      <c r="B283" s="1580"/>
      <c r="C283" s="1581"/>
      <c r="D283" s="1581"/>
      <c r="E283" s="1581"/>
      <c r="F283" s="1581"/>
      <c r="G283" s="1581"/>
      <c r="H283" s="1581"/>
      <c r="I283" s="1581"/>
      <c r="J283" s="1581"/>
      <c r="K283" s="1581"/>
      <c r="L283" s="1581"/>
      <c r="M283" s="1581"/>
      <c r="N283" s="1581"/>
      <c r="O283" s="1581"/>
      <c r="P283" s="1582"/>
    </row>
    <row r="284" spans="2:20">
      <c r="B284" s="1580"/>
      <c r="C284" s="1781" t="s">
        <v>1999</v>
      </c>
      <c r="D284" s="1782"/>
      <c r="E284" s="1782"/>
      <c r="F284" s="1782"/>
      <c r="G284" s="1782"/>
      <c r="H284" s="1782"/>
      <c r="I284" s="1782"/>
      <c r="J284" s="1782"/>
      <c r="K284" s="1782"/>
      <c r="L284" s="1782"/>
      <c r="M284" s="1782"/>
      <c r="N284" s="1782"/>
      <c r="O284" s="1906" t="str">
        <f>Preferences.moneyunits</f>
        <v>£m</v>
      </c>
      <c r="P284" s="1582"/>
    </row>
    <row r="285" spans="2:20" ht="6" customHeight="1">
      <c r="B285" s="1580"/>
      <c r="C285" s="1581"/>
      <c r="D285" s="1581"/>
      <c r="E285" s="1581"/>
      <c r="F285" s="1581"/>
      <c r="G285" s="1581"/>
      <c r="H285" s="1581"/>
      <c r="I285" s="1581"/>
      <c r="J285" s="1581"/>
      <c r="K285" s="1581"/>
      <c r="L285" s="1581"/>
      <c r="M285" s="1581"/>
      <c r="N285" s="1581"/>
      <c r="O285" s="1581"/>
      <c r="P285" s="1582"/>
    </row>
    <row r="286" spans="2:20" ht="15">
      <c r="B286" s="1583"/>
      <c r="C286" s="1584" t="s">
        <v>72</v>
      </c>
      <c r="D286" s="1584" t="s">
        <v>399</v>
      </c>
      <c r="E286" s="1584" t="s">
        <v>421</v>
      </c>
      <c r="F286" s="1584" t="s">
        <v>576</v>
      </c>
      <c r="G286" s="1584" t="s">
        <v>577</v>
      </c>
      <c r="H286" s="1584" t="s">
        <v>604</v>
      </c>
      <c r="I286" s="1584" t="s">
        <v>605</v>
      </c>
      <c r="J286" s="1584" t="s">
        <v>606</v>
      </c>
      <c r="K286" s="1584" t="s">
        <v>607</v>
      </c>
      <c r="L286" s="1584" t="s">
        <v>608</v>
      </c>
      <c r="M286" s="1584" t="s">
        <v>609</v>
      </c>
      <c r="N286" s="1584" t="s">
        <v>610</v>
      </c>
      <c r="O286" s="1584" t="s">
        <v>611</v>
      </c>
      <c r="P286" s="1783"/>
    </row>
    <row r="287" spans="2:20" ht="15">
      <c r="B287" s="1583"/>
      <c r="C287" s="1585" t="s">
        <v>1944</v>
      </c>
      <c r="D287" s="1586" t="str">
        <f>INDEX(CostVectors[Description], MATCH(C287,CostVectors[Code], 0))</f>
        <v>Low estimate of capital costs</v>
      </c>
      <c r="E287" s="1586"/>
      <c r="F287" s="1587">
        <f>F222</f>
        <v>0</v>
      </c>
      <c r="G287" s="1587">
        <f t="shared" ref="G287:O288" si="62">G222</f>
        <v>0</v>
      </c>
      <c r="H287" s="1587">
        <f t="shared" si="62"/>
        <v>111.04849964106242</v>
      </c>
      <c r="I287" s="1587">
        <f t="shared" si="62"/>
        <v>146.88</v>
      </c>
      <c r="J287" s="1587">
        <f t="shared" si="62"/>
        <v>394.89556602211042</v>
      </c>
      <c r="K287" s="1587">
        <f t="shared" si="62"/>
        <v>833.66841715778855</v>
      </c>
      <c r="L287" s="1587">
        <f t="shared" si="62"/>
        <v>1096.9321278391958</v>
      </c>
      <c r="M287" s="1587">
        <f t="shared" si="62"/>
        <v>1096.932127839196</v>
      </c>
      <c r="N287" s="1587">
        <f t="shared" si="62"/>
        <v>1096.9321278391958</v>
      </c>
      <c r="O287" s="1587">
        <f t="shared" si="62"/>
        <v>1096.9321278391958</v>
      </c>
      <c r="P287" s="1783"/>
    </row>
    <row r="288" spans="2:20" ht="15">
      <c r="B288" s="1583"/>
      <c r="C288" s="1585" t="s">
        <v>1946</v>
      </c>
      <c r="D288" s="1586" t="str">
        <f>INDEX(CostVectors[Description], MATCH(C288, CostVectors[Code], 0))</f>
        <v>Low estimate of operating costs</v>
      </c>
      <c r="E288" s="1586"/>
      <c r="F288" s="1587">
        <f>F223</f>
        <v>0</v>
      </c>
      <c r="G288" s="1587">
        <f t="shared" si="62"/>
        <v>0</v>
      </c>
      <c r="H288" s="1587">
        <f t="shared" si="62"/>
        <v>4.1021655786965088</v>
      </c>
      <c r="I288" s="1587">
        <f t="shared" si="62"/>
        <v>5.7247953579939921</v>
      </c>
      <c r="J288" s="1587">
        <f t="shared" si="62"/>
        <v>14.939319614547715</v>
      </c>
      <c r="K288" s="1587">
        <f t="shared" si="62"/>
        <v>31.538563630711835</v>
      </c>
      <c r="L288" s="1587">
        <f t="shared" si="62"/>
        <v>41.498110040410324</v>
      </c>
      <c r="M288" s="1587">
        <f t="shared" si="62"/>
        <v>41.498110040410332</v>
      </c>
      <c r="N288" s="1587">
        <f t="shared" si="62"/>
        <v>41.498110040410324</v>
      </c>
      <c r="O288" s="1587">
        <f t="shared" si="62"/>
        <v>41.498110040410324</v>
      </c>
      <c r="P288" s="1783"/>
    </row>
    <row r="289" spans="2:16" ht="15">
      <c r="B289" s="1583"/>
      <c r="C289" s="1585" t="s">
        <v>1948</v>
      </c>
      <c r="D289" s="1586" t="str">
        <f>INDEX(CostVectors[Description], MATCH(C289, CostVectors[Code], 0))</f>
        <v>Low estimate of fuel costs</v>
      </c>
      <c r="E289" s="1586"/>
      <c r="F289" s="1587"/>
      <c r="G289" s="1587"/>
      <c r="H289" s="1587"/>
      <c r="I289" s="1587"/>
      <c r="J289" s="1587"/>
      <c r="K289" s="1587"/>
      <c r="L289" s="1587"/>
      <c r="M289" s="1587"/>
      <c r="N289" s="1587"/>
      <c r="O289" s="1587"/>
      <c r="P289" s="1783"/>
    </row>
    <row r="290" spans="2:16">
      <c r="B290" s="1784"/>
      <c r="C290" s="1585" t="s">
        <v>1953</v>
      </c>
      <c r="D290" s="1586" t="str">
        <f>INDEX(CostVectors[Description], MATCH(C290, CostVectors[Code], 0))</f>
        <v>High estimate of capital costs</v>
      </c>
      <c r="E290" s="1586"/>
      <c r="F290" s="1587">
        <f>F227</f>
        <v>0</v>
      </c>
      <c r="G290" s="1587">
        <f t="shared" ref="G290:O291" si="63">G227</f>
        <v>0</v>
      </c>
      <c r="H290" s="1587">
        <f t="shared" si="63"/>
        <v>495.61599999999993</v>
      </c>
      <c r="I290" s="1587">
        <f t="shared" si="63"/>
        <v>734.94399999999996</v>
      </c>
      <c r="J290" s="1587">
        <f t="shared" si="63"/>
        <v>1855.8624268799995</v>
      </c>
      <c r="K290" s="1587">
        <f t="shared" si="63"/>
        <v>3917.9317900799983</v>
      </c>
      <c r="L290" s="1587">
        <f t="shared" si="63"/>
        <v>5155.1734079999997</v>
      </c>
      <c r="M290" s="1587">
        <f t="shared" si="63"/>
        <v>5155.1734080000006</v>
      </c>
      <c r="N290" s="1587">
        <f t="shared" si="63"/>
        <v>5155.1734079999987</v>
      </c>
      <c r="O290" s="1587">
        <f t="shared" si="63"/>
        <v>5155.1734079999987</v>
      </c>
      <c r="P290" s="1785"/>
    </row>
    <row r="291" spans="2:16">
      <c r="B291" s="1784"/>
      <c r="C291" s="1585" t="s">
        <v>1955</v>
      </c>
      <c r="D291" s="1586" t="str">
        <f>INDEX(CostVectors[Description], MATCH(C291, CostVectors[Code], 0))</f>
        <v>High estimate of operating costs</v>
      </c>
      <c r="E291" s="1586"/>
      <c r="F291" s="1587">
        <f>F228</f>
        <v>0</v>
      </c>
      <c r="G291" s="1587">
        <f t="shared" si="63"/>
        <v>0</v>
      </c>
      <c r="H291" s="1587">
        <f t="shared" si="63"/>
        <v>15.339999999999998</v>
      </c>
      <c r="I291" s="1587">
        <f t="shared" si="63"/>
        <v>20.740000000000002</v>
      </c>
      <c r="J291" s="1587">
        <f t="shared" si="63"/>
        <v>55.079783999999989</v>
      </c>
      <c r="K291" s="1587">
        <f t="shared" si="63"/>
        <v>116.27954399999996</v>
      </c>
      <c r="L291" s="1587">
        <f t="shared" si="63"/>
        <v>152.99939999999998</v>
      </c>
      <c r="M291" s="1587">
        <f t="shared" si="63"/>
        <v>152.99940000000001</v>
      </c>
      <c r="N291" s="1587">
        <f t="shared" si="63"/>
        <v>152.99939999999998</v>
      </c>
      <c r="O291" s="1587">
        <f t="shared" si="63"/>
        <v>152.99939999999998</v>
      </c>
      <c r="P291" s="1785"/>
    </row>
    <row r="292" spans="2:16">
      <c r="B292" s="1784"/>
      <c r="C292" s="1585" t="s">
        <v>1957</v>
      </c>
      <c r="D292" s="1586" t="str">
        <f>INDEX(CostVectors[Description], MATCH(C292, CostVectors[Code], 0))</f>
        <v>High estimate of fuel costs</v>
      </c>
      <c r="E292" s="1586"/>
      <c r="F292" s="1587"/>
      <c r="G292" s="1587"/>
      <c r="H292" s="1587"/>
      <c r="I292" s="1587"/>
      <c r="J292" s="1587"/>
      <c r="K292" s="1587"/>
      <c r="L292" s="1587"/>
      <c r="M292" s="1587"/>
      <c r="N292" s="1587"/>
      <c r="O292" s="1587"/>
      <c r="P292" s="1785"/>
    </row>
    <row r="293" spans="2:16">
      <c r="B293" s="1786"/>
      <c r="C293" s="1588"/>
      <c r="D293" s="1588"/>
      <c r="E293" s="1588"/>
      <c r="F293" s="1588"/>
      <c r="G293" s="1588"/>
      <c r="H293" s="1588"/>
      <c r="I293" s="1588"/>
      <c r="J293" s="1588"/>
      <c r="K293" s="1588"/>
      <c r="L293" s="1588"/>
      <c r="M293" s="1588"/>
      <c r="N293" s="1588"/>
      <c r="O293" s="1588"/>
      <c r="P293" s="1787"/>
    </row>
  </sheetData>
  <mergeCells count="2">
    <mergeCell ref="D104:E104"/>
    <mergeCell ref="F104:G104"/>
  </mergeCells>
  <hyperlinks>
    <hyperlink ref="D122" r:id="rId1"/>
    <hyperlink ref="E2" r:id="rId2"/>
  </hyperlinks>
  <pageMargins left="0.7" right="0.7" top="0.75" bottom="0.75" header="0.3" footer="0.3"/>
  <pageSetup paperSize="9" orientation="portrait" horizontalDpi="4294967292" verticalDpi="4294967292"/>
  <tableParts count="4">
    <tablePart r:id="rId3"/>
    <tablePart r:id="rId4"/>
    <tablePart r:id="rId5"/>
    <tablePart r:id="rId6"/>
  </tableParts>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enableFormatConditionsCalculation="0">
    <tabColor theme="9"/>
    <outlinePr summaryBelow="0"/>
    <pageSetUpPr autoPageBreaks="0"/>
  </sheetPr>
  <dimension ref="A1:V175"/>
  <sheetViews>
    <sheetView workbookViewId="0"/>
  </sheetViews>
  <sheetFormatPr baseColWidth="10" defaultColWidth="8.83203125" defaultRowHeight="13" x14ac:dyDescent="0"/>
  <cols>
    <col min="1" max="1" width="5.83203125" style="121" customWidth="1"/>
    <col min="2" max="2" width="2.5" style="121" customWidth="1"/>
    <col min="3" max="3" width="8.83203125" style="121"/>
    <col min="4" max="4" width="28.1640625" style="121" bestFit="1" customWidth="1"/>
    <col min="5" max="5" width="8.1640625" style="121" customWidth="1"/>
    <col min="6" max="6" width="9.5" style="121" customWidth="1"/>
    <col min="7" max="7" width="9.1640625" style="121" customWidth="1"/>
    <col min="8" max="9" width="8.83203125" style="121" customWidth="1"/>
    <col min="10" max="10" width="9.33203125" style="121" customWidth="1"/>
    <col min="11" max="14" width="8.83203125" style="121" customWidth="1"/>
    <col min="15" max="15" width="8.83203125" style="121"/>
    <col min="16" max="16" width="2" style="121" customWidth="1"/>
    <col min="17" max="16384" width="8.83203125" style="121"/>
  </cols>
  <sheetData>
    <row r="1" spans="1:16" ht="20">
      <c r="A1" s="567" t="s">
        <v>740</v>
      </c>
      <c r="B1" s="567" t="str">
        <f>INDEX(Workstreams[Workstream], MATCH($A1, Workstreams[Code], 0))</f>
        <v>Fossil fuel production</v>
      </c>
      <c r="C1" s="567"/>
    </row>
    <row r="2" spans="1:16" s="532" customFormat="1" ht="19.5" customHeight="1">
      <c r="A2" s="10" t="s">
        <v>747</v>
      </c>
      <c r="B2" s="10" t="str">
        <f>INDEX(Modules[Module], MATCH($A2, Modules[Code], 0))</f>
        <v>Indigenous fossil-fuel production</v>
      </c>
      <c r="C2" s="10"/>
      <c r="E2" s="1801" t="s">
        <v>2016</v>
      </c>
    </row>
    <row r="3" spans="1:16" s="1955" customFormat="1"/>
    <row r="4" spans="1:16" s="532" customFormat="1" ht="22" collapsed="1">
      <c r="A4" s="850"/>
      <c r="B4" s="1875" t="s">
        <v>993</v>
      </c>
      <c r="C4" s="847"/>
      <c r="D4" s="847"/>
      <c r="E4" s="847"/>
      <c r="F4" s="847"/>
      <c r="G4" s="847"/>
      <c r="H4" s="847"/>
      <c r="I4" s="847"/>
      <c r="J4" s="847"/>
      <c r="K4" s="847"/>
      <c r="L4" s="847"/>
      <c r="M4" s="847"/>
      <c r="N4" s="847"/>
      <c r="O4" s="847"/>
      <c r="P4" s="848"/>
    </row>
    <row r="5" spans="1:16" s="1955" customFormat="1">
      <c r="B5" s="1872"/>
      <c r="C5" s="1870"/>
      <c r="D5" s="1870"/>
      <c r="E5" s="1870"/>
      <c r="F5" s="1870"/>
      <c r="G5" s="1870"/>
      <c r="H5" s="1870"/>
      <c r="I5" s="1870"/>
      <c r="J5" s="1870"/>
      <c r="K5" s="1870"/>
      <c r="L5" s="1870"/>
      <c r="M5" s="1870"/>
      <c r="N5" s="1870"/>
      <c r="O5" s="1870"/>
      <c r="P5" s="1873"/>
    </row>
    <row r="6" spans="1:16" s="1955" customFormat="1">
      <c r="B6" s="1872"/>
      <c r="C6" s="1871" t="s">
        <v>134</v>
      </c>
      <c r="D6" s="1870"/>
      <c r="E6" s="1871" t="s">
        <v>2195</v>
      </c>
      <c r="F6" s="1870"/>
      <c r="G6" s="1870"/>
      <c r="H6" s="1870"/>
      <c r="I6" s="1870"/>
      <c r="J6" s="1870"/>
      <c r="K6" s="1870"/>
      <c r="L6" s="1870"/>
      <c r="M6" s="1870"/>
      <c r="N6" s="1870"/>
      <c r="O6" s="613" t="s">
        <v>81</v>
      </c>
      <c r="P6" s="1873"/>
    </row>
    <row r="7" spans="1:16" s="1955" customFormat="1" ht="5.25" customHeight="1">
      <c r="B7" s="1872"/>
      <c r="C7" s="1870"/>
      <c r="D7" s="1870"/>
      <c r="E7" s="1870"/>
      <c r="F7" s="1870"/>
      <c r="G7" s="1870"/>
      <c r="H7" s="1870"/>
      <c r="I7" s="1870"/>
      <c r="J7" s="1870"/>
      <c r="K7" s="1870"/>
      <c r="L7" s="1870"/>
      <c r="M7" s="1870"/>
      <c r="N7" s="1870"/>
      <c r="O7" s="1870"/>
      <c r="P7" s="1873"/>
    </row>
    <row r="8" spans="1:16" s="1955" customFormat="1" ht="15">
      <c r="B8" s="839"/>
      <c r="C8" s="547" t="s">
        <v>72</v>
      </c>
      <c r="D8" s="547" t="s">
        <v>399</v>
      </c>
      <c r="E8" s="547" t="s">
        <v>421</v>
      </c>
      <c r="F8" s="643">
        <v>2007</v>
      </c>
      <c r="G8" s="644">
        <v>2010</v>
      </c>
      <c r="H8" s="643">
        <v>2015</v>
      </c>
      <c r="I8" s="643">
        <v>2020</v>
      </c>
      <c r="J8" s="643">
        <v>2025</v>
      </c>
      <c r="K8" s="643">
        <v>2030</v>
      </c>
      <c r="L8" s="643">
        <v>2035</v>
      </c>
      <c r="M8" s="643">
        <v>2040</v>
      </c>
      <c r="N8" s="643">
        <v>2045</v>
      </c>
      <c r="O8" s="643">
        <v>2050</v>
      </c>
      <c r="P8" s="1873"/>
    </row>
    <row r="9" spans="1:16" s="1955" customFormat="1" ht="15">
      <c r="B9" s="839"/>
      <c r="C9" s="771" t="s">
        <v>58</v>
      </c>
      <c r="D9" s="771" t="s">
        <v>1224</v>
      </c>
      <c r="E9" s="771" t="s">
        <v>102</v>
      </c>
      <c r="F9" s="778">
        <v>124.39570139421789</v>
      </c>
      <c r="G9" s="778">
        <v>127.93</v>
      </c>
      <c r="H9" s="778">
        <v>127.93</v>
      </c>
      <c r="I9" s="778">
        <v>127.93</v>
      </c>
      <c r="J9" s="778">
        <v>127.93</v>
      </c>
      <c r="K9" s="778">
        <v>63.965000000000003</v>
      </c>
      <c r="L9" s="778">
        <v>63.965000000000003</v>
      </c>
      <c r="M9" s="778">
        <v>63.965000000000003</v>
      </c>
      <c r="N9" s="778">
        <v>63.965000000000003</v>
      </c>
      <c r="O9" s="778">
        <v>63.965000000000003</v>
      </c>
      <c r="P9" s="1873"/>
    </row>
    <row r="10" spans="1:16" s="1955" customFormat="1" ht="15">
      <c r="B10" s="839"/>
      <c r="C10" s="771" t="s">
        <v>59</v>
      </c>
      <c r="D10" s="771" t="s">
        <v>1004</v>
      </c>
      <c r="E10" s="771" t="s">
        <v>102</v>
      </c>
      <c r="F10" s="778">
        <v>975.89120834979815</v>
      </c>
      <c r="G10" s="778">
        <v>802.54795283721205</v>
      </c>
      <c r="H10" s="778">
        <v>646.82884353331633</v>
      </c>
      <c r="I10" s="778">
        <v>501.7889500727494</v>
      </c>
      <c r="J10" s="778">
        <v>388.27472421443264</v>
      </c>
      <c r="K10" s="778">
        <v>300.43958011019754</v>
      </c>
      <c r="L10" s="778">
        <v>232.47441995977493</v>
      </c>
      <c r="M10" s="778">
        <v>179.88427462124332</v>
      </c>
      <c r="N10" s="778">
        <v>139.19102265793308</v>
      </c>
      <c r="O10" s="778">
        <v>107.70336000383915</v>
      </c>
      <c r="P10" s="1873"/>
    </row>
    <row r="11" spans="1:16" s="1955" customFormat="1" ht="15">
      <c r="B11" s="839"/>
      <c r="C11" s="771"/>
      <c r="D11" s="1869" t="s">
        <v>2197</v>
      </c>
      <c r="E11" s="771"/>
      <c r="F11" s="778">
        <v>838.80929321419171</v>
      </c>
      <c r="G11" s="778">
        <v>637.88198465125163</v>
      </c>
      <c r="H11" s="778">
        <v>508.98355251965154</v>
      </c>
      <c r="I11" s="778">
        <v>404.31570071063896</v>
      </c>
      <c r="J11" s="778">
        <v>321.17184343559597</v>
      </c>
      <c r="K11" s="778">
        <v>255.12576641104135</v>
      </c>
      <c r="L11" s="778">
        <v>202.66146618133868</v>
      </c>
      <c r="M11" s="778">
        <v>160.98597351628524</v>
      </c>
      <c r="N11" s="778">
        <v>127.88066797955751</v>
      </c>
      <c r="O11" s="778">
        <v>101.5831683077875</v>
      </c>
      <c r="P11" s="1873"/>
    </row>
    <row r="12" spans="1:16" s="1955" customFormat="1" ht="15">
      <c r="B12" s="839"/>
      <c r="C12" s="768" t="s">
        <v>60</v>
      </c>
      <c r="D12" s="551" t="s">
        <v>2196</v>
      </c>
      <c r="E12" s="769" t="s">
        <v>102</v>
      </c>
      <c r="F12" s="778">
        <v>828.54657487902409</v>
      </c>
      <c r="G12" s="778">
        <v>645.77289588411463</v>
      </c>
      <c r="H12" s="778">
        <v>495.88758312334966</v>
      </c>
      <c r="I12" s="778">
        <v>383.12064593855996</v>
      </c>
      <c r="J12" s="778">
        <v>296.45145258994444</v>
      </c>
      <c r="K12" s="778">
        <v>229.38848290828395</v>
      </c>
      <c r="L12" s="778">
        <v>177.49643535647462</v>
      </c>
      <c r="M12" s="778">
        <v>137.34335815304101</v>
      </c>
      <c r="N12" s="778">
        <v>106.27367243105833</v>
      </c>
      <c r="O12" s="778">
        <v>82.232541885272198</v>
      </c>
      <c r="P12" s="1873"/>
    </row>
    <row r="13" spans="1:16" s="1955" customFormat="1">
      <c r="B13" s="1872"/>
      <c r="C13" s="1870"/>
      <c r="D13" s="1870"/>
      <c r="E13" s="1870"/>
      <c r="F13" s="1870"/>
      <c r="G13" s="1870"/>
      <c r="H13" s="1870"/>
      <c r="I13" s="1870"/>
      <c r="J13" s="1870"/>
      <c r="K13" s="1870"/>
      <c r="L13" s="1870"/>
      <c r="M13" s="1870"/>
      <c r="N13" s="1870"/>
      <c r="O13" s="1870"/>
      <c r="P13" s="1873"/>
    </row>
    <row r="14" spans="1:16" s="1955" customFormat="1" ht="15">
      <c r="B14" s="839"/>
      <c r="C14" s="1871" t="s">
        <v>134</v>
      </c>
      <c r="D14" s="1870"/>
      <c r="E14" s="1871" t="s">
        <v>2198</v>
      </c>
      <c r="F14" s="1870"/>
      <c r="G14" s="1870"/>
      <c r="H14" s="1870"/>
      <c r="I14" s="1870"/>
      <c r="J14" s="1870"/>
      <c r="K14" s="1870"/>
      <c r="L14" s="1870"/>
      <c r="M14" s="1870"/>
      <c r="N14" s="1870"/>
      <c r="O14" s="613" t="s">
        <v>81</v>
      </c>
      <c r="P14" s="1873"/>
    </row>
    <row r="15" spans="1:16" s="1955" customFormat="1" ht="5.25" customHeight="1">
      <c r="B15" s="839"/>
      <c r="C15" s="1870"/>
      <c r="D15" s="1870"/>
      <c r="E15" s="1870"/>
      <c r="F15" s="1870"/>
      <c r="G15" s="1870"/>
      <c r="H15" s="1870"/>
      <c r="I15" s="1870"/>
      <c r="J15" s="1870"/>
      <c r="K15" s="1870"/>
      <c r="L15" s="1870"/>
      <c r="M15" s="1870"/>
      <c r="N15" s="1870"/>
      <c r="O15" s="1870"/>
      <c r="P15" s="1873"/>
    </row>
    <row r="16" spans="1:16" s="1955" customFormat="1" ht="15">
      <c r="B16" s="839"/>
      <c r="C16" s="547" t="s">
        <v>72</v>
      </c>
      <c r="D16" s="547" t="s">
        <v>399</v>
      </c>
      <c r="E16" s="547" t="s">
        <v>421</v>
      </c>
      <c r="F16" s="643">
        <v>2007</v>
      </c>
      <c r="G16" s="644">
        <v>2010</v>
      </c>
      <c r="H16" s="643">
        <v>2015</v>
      </c>
      <c r="I16" s="643">
        <v>2020</v>
      </c>
      <c r="J16" s="643">
        <v>2025</v>
      </c>
      <c r="K16" s="643">
        <v>2030</v>
      </c>
      <c r="L16" s="643">
        <v>2035</v>
      </c>
      <c r="M16" s="643">
        <v>2040</v>
      </c>
      <c r="N16" s="643">
        <v>2045</v>
      </c>
      <c r="O16" s="643">
        <v>2050</v>
      </c>
      <c r="P16" s="1873"/>
    </row>
    <row r="17" spans="2:18" s="1955" customFormat="1" ht="15">
      <c r="B17" s="839"/>
      <c r="C17" s="771" t="s">
        <v>58</v>
      </c>
      <c r="D17" s="771" t="s">
        <v>1224</v>
      </c>
      <c r="E17" s="771" t="s">
        <v>102</v>
      </c>
      <c r="F17" s="778">
        <v>124.39570139421789</v>
      </c>
      <c r="G17" s="778">
        <v>127.93</v>
      </c>
      <c r="H17" s="778">
        <v>108.46470654227448</v>
      </c>
      <c r="I17" s="778">
        <v>94.922928278723475</v>
      </c>
      <c r="J17" s="778">
        <v>85.502070641131482</v>
      </c>
      <c r="K17" s="778">
        <v>59.482796096102142</v>
      </c>
      <c r="L17" s="778">
        <v>41.381489417501697</v>
      </c>
      <c r="M17" s="778">
        <v>28.788620892066952</v>
      </c>
      <c r="N17" s="778">
        <v>20.027908722797964</v>
      </c>
      <c r="O17" s="778">
        <v>13.933183159852558</v>
      </c>
      <c r="P17" s="1873"/>
    </row>
    <row r="18" spans="2:18" s="1955" customFormat="1" ht="15">
      <c r="B18" s="839"/>
      <c r="C18" s="771" t="s">
        <v>59</v>
      </c>
      <c r="D18" s="771" t="s">
        <v>1004</v>
      </c>
      <c r="E18" s="771" t="s">
        <v>102</v>
      </c>
      <c r="F18" s="778">
        <v>975.89120834979815</v>
      </c>
      <c r="G18" s="778">
        <v>802.54795283721205</v>
      </c>
      <c r="H18" s="778">
        <v>558.32327659437317</v>
      </c>
      <c r="I18" s="778">
        <v>388.41900983617211</v>
      </c>
      <c r="J18" s="778">
        <v>270.21858755804715</v>
      </c>
      <c r="K18" s="778">
        <v>187.98792853280705</v>
      </c>
      <c r="L18" s="778">
        <v>130.78101544907346</v>
      </c>
      <c r="M18" s="778">
        <v>90.982831373163975</v>
      </c>
      <c r="N18" s="778">
        <v>63.295697592293301</v>
      </c>
      <c r="O18" s="778">
        <v>44.034080641688455</v>
      </c>
      <c r="P18" s="1873"/>
    </row>
    <row r="19" spans="2:18" s="1955" customFormat="1" ht="15">
      <c r="B19" s="839"/>
      <c r="C19" s="771"/>
      <c r="D19" s="1869" t="s">
        <v>2197</v>
      </c>
      <c r="E19" s="771"/>
      <c r="F19" s="778">
        <v>773.86250093700858</v>
      </c>
      <c r="G19" s="778">
        <v>603.15188475576315</v>
      </c>
      <c r="H19" s="778">
        <v>419.60575114595827</v>
      </c>
      <c r="I19" s="778">
        <v>291.91484076363321</v>
      </c>
      <c r="J19" s="778">
        <v>203.08175954532109</v>
      </c>
      <c r="K19" s="778">
        <v>141.2816181326591</v>
      </c>
      <c r="L19" s="778">
        <v>98.287978530774893</v>
      </c>
      <c r="M19" s="778">
        <v>68.377803505868158</v>
      </c>
      <c r="N19" s="778">
        <v>47.569642617313228</v>
      </c>
      <c r="O19" s="778">
        <v>33.093647100622412</v>
      </c>
      <c r="P19" s="1873"/>
    </row>
    <row r="20" spans="2:18" s="1955" customFormat="1" ht="15">
      <c r="B20" s="839"/>
      <c r="C20" s="768" t="s">
        <v>60</v>
      </c>
      <c r="D20" s="551" t="s">
        <v>2196</v>
      </c>
      <c r="E20" s="769" t="s">
        <v>102</v>
      </c>
      <c r="F20" s="778">
        <v>730.52620088453602</v>
      </c>
      <c r="G20" s="778">
        <v>569.37537920944044</v>
      </c>
      <c r="H20" s="778">
        <v>396.10782908178459</v>
      </c>
      <c r="I20" s="778">
        <v>275.56760968086974</v>
      </c>
      <c r="J20" s="778">
        <v>191.70918101078311</v>
      </c>
      <c r="K20" s="778">
        <v>133.3698475172302</v>
      </c>
      <c r="L20" s="778">
        <v>92.783851733051492</v>
      </c>
      <c r="M20" s="778">
        <v>64.548646509539537</v>
      </c>
      <c r="N20" s="778">
        <v>44.905742630743688</v>
      </c>
      <c r="O20" s="778">
        <v>31.240402862987555</v>
      </c>
      <c r="P20" s="1873"/>
    </row>
    <row r="21" spans="2:18" s="1955" customFormat="1" ht="15">
      <c r="B21" s="839"/>
      <c r="C21" s="1868"/>
      <c r="D21" s="1869"/>
      <c r="E21" s="1869"/>
      <c r="F21" s="599"/>
      <c r="G21" s="600"/>
      <c r="H21" s="600"/>
      <c r="I21" s="600"/>
      <c r="J21" s="600"/>
      <c r="K21" s="600"/>
      <c r="L21" s="600"/>
      <c r="M21" s="600"/>
      <c r="N21" s="600"/>
      <c r="O21" s="600"/>
      <c r="P21" s="1873"/>
    </row>
    <row r="22" spans="2:18" s="1955" customFormat="1" ht="15">
      <c r="B22" s="839"/>
      <c r="C22" s="1871" t="s">
        <v>134</v>
      </c>
      <c r="D22" s="1870"/>
      <c r="E22" s="1871" t="s">
        <v>2199</v>
      </c>
      <c r="F22" s="1870"/>
      <c r="G22" s="1870"/>
      <c r="H22" s="1870"/>
      <c r="I22" s="1870"/>
      <c r="J22" s="1870"/>
      <c r="K22" s="1870"/>
      <c r="L22" s="1870"/>
      <c r="M22" s="1870"/>
      <c r="N22" s="1870"/>
      <c r="O22" s="613" t="s">
        <v>81</v>
      </c>
      <c r="P22" s="1873"/>
    </row>
    <row r="23" spans="2:18" s="1955" customFormat="1" ht="5.25" customHeight="1">
      <c r="B23" s="839"/>
      <c r="C23" s="1870"/>
      <c r="D23" s="1870"/>
      <c r="E23" s="1870"/>
      <c r="F23" s="1870"/>
      <c r="G23" s="1870"/>
      <c r="H23" s="1870"/>
      <c r="I23" s="1870"/>
      <c r="J23" s="1870"/>
      <c r="K23" s="1870"/>
      <c r="L23" s="1870"/>
      <c r="M23" s="1870"/>
      <c r="N23" s="1870"/>
      <c r="O23" s="1870"/>
      <c r="P23" s="1873"/>
    </row>
    <row r="24" spans="2:18" s="1955" customFormat="1" ht="15">
      <c r="B24" s="839"/>
      <c r="C24" s="547" t="s">
        <v>72</v>
      </c>
      <c r="D24" s="547" t="s">
        <v>399</v>
      </c>
      <c r="E24" s="547" t="s">
        <v>421</v>
      </c>
      <c r="F24" s="643">
        <v>2007</v>
      </c>
      <c r="G24" s="644">
        <v>2010</v>
      </c>
      <c r="H24" s="643">
        <v>2015</v>
      </c>
      <c r="I24" s="643">
        <v>2020</v>
      </c>
      <c r="J24" s="643">
        <v>2025</v>
      </c>
      <c r="K24" s="643">
        <v>2030</v>
      </c>
      <c r="L24" s="643">
        <v>2035</v>
      </c>
      <c r="M24" s="643">
        <v>2040</v>
      </c>
      <c r="N24" s="643">
        <v>2045</v>
      </c>
      <c r="O24" s="643">
        <v>2050</v>
      </c>
      <c r="P24" s="1873"/>
    </row>
    <row r="25" spans="2:18" s="1955" customFormat="1" ht="15">
      <c r="B25" s="839"/>
      <c r="C25" s="771" t="s">
        <v>58</v>
      </c>
      <c r="D25" s="771" t="s">
        <v>1224</v>
      </c>
      <c r="E25" s="771" t="s">
        <v>102</v>
      </c>
      <c r="F25" s="778">
        <v>124.39570139421789</v>
      </c>
      <c r="G25" s="778">
        <v>127.93</v>
      </c>
      <c r="H25" s="778">
        <v>75.541385700000006</v>
      </c>
      <c r="I25" s="778">
        <v>44.606432841993012</v>
      </c>
      <c r="J25" s="778">
        <v>26.339652528868456</v>
      </c>
      <c r="K25" s="778">
        <v>15.553301421771538</v>
      </c>
      <c r="L25" s="778">
        <v>9.1840689565418767</v>
      </c>
      <c r="M25" s="778">
        <v>5.4231008781484142</v>
      </c>
      <c r="N25" s="778">
        <v>3.2022868375378573</v>
      </c>
      <c r="O25" s="778">
        <v>1.8909183546977297</v>
      </c>
      <c r="P25" s="1873"/>
    </row>
    <row r="26" spans="2:18" s="1955" customFormat="1" ht="15">
      <c r="B26" s="839"/>
      <c r="C26" s="771" t="s">
        <v>59</v>
      </c>
      <c r="D26" s="771" t="s">
        <v>1004</v>
      </c>
      <c r="E26" s="771" t="s">
        <v>102</v>
      </c>
      <c r="F26" s="778">
        <v>975.89120834979815</v>
      </c>
      <c r="G26" s="778">
        <v>802.54795283721205</v>
      </c>
      <c r="H26" s="778">
        <v>473.89654067084547</v>
      </c>
      <c r="I26" s="778">
        <v>279.8311683007276</v>
      </c>
      <c r="J26" s="778">
        <v>165.23750656989668</v>
      </c>
      <c r="K26" s="778">
        <v>97.571095254458299</v>
      </c>
      <c r="L26" s="778">
        <v>57.61475603680509</v>
      </c>
      <c r="M26" s="778">
        <v>34.020937292173045</v>
      </c>
      <c r="N26" s="778">
        <v>20.08902326165526</v>
      </c>
      <c r="O26" s="778">
        <v>11.862367345774818</v>
      </c>
      <c r="P26" s="1873"/>
    </row>
    <row r="27" spans="2:18" s="1955" customFormat="1" ht="15">
      <c r="B27" s="839"/>
      <c r="C27" s="771"/>
      <c r="D27" s="1869" t="s">
        <v>2197</v>
      </c>
      <c r="E27" s="771"/>
      <c r="F27" s="778">
        <v>773.86250093700858</v>
      </c>
      <c r="G27" s="778">
        <v>603.15188475576315</v>
      </c>
      <c r="H27" s="778">
        <v>356.15515642943069</v>
      </c>
      <c r="I27" s="778">
        <v>210.30605832001456</v>
      </c>
      <c r="J27" s="778">
        <v>124.18362437738541</v>
      </c>
      <c r="K27" s="778">
        <v>73.329188358602323</v>
      </c>
      <c r="L27" s="778">
        <v>43.300152433871091</v>
      </c>
      <c r="M27" s="778">
        <v>25.568307010676541</v>
      </c>
      <c r="N27" s="778">
        <v>15.097829606734392</v>
      </c>
      <c r="O27" s="778">
        <v>8.9151174044805934</v>
      </c>
      <c r="P27" s="1873"/>
    </row>
    <row r="28" spans="2:18" s="1955" customFormat="1" ht="15">
      <c r="B28" s="839"/>
      <c r="C28" s="768" t="s">
        <v>60</v>
      </c>
      <c r="D28" s="551" t="s">
        <v>2196</v>
      </c>
      <c r="E28" s="769" t="s">
        <v>102</v>
      </c>
      <c r="F28" s="778">
        <v>730.52620088453602</v>
      </c>
      <c r="G28" s="778">
        <v>569.37537920944044</v>
      </c>
      <c r="H28" s="778">
        <v>336.21046766938258</v>
      </c>
      <c r="I28" s="778">
        <v>198.52891905409373</v>
      </c>
      <c r="J28" s="778">
        <v>117.22934141225183</v>
      </c>
      <c r="K28" s="778">
        <v>69.222753810520587</v>
      </c>
      <c r="L28" s="778">
        <v>40.875343897574311</v>
      </c>
      <c r="M28" s="778">
        <v>24.136481818078654</v>
      </c>
      <c r="N28" s="778">
        <v>14.252351148757265</v>
      </c>
      <c r="O28" s="778">
        <v>8.4158708298296805</v>
      </c>
      <c r="P28" s="1873"/>
    </row>
    <row r="29" spans="2:18" s="1955" customFormat="1" ht="15">
      <c r="B29" s="839"/>
      <c r="C29" s="1868"/>
      <c r="D29" s="1869"/>
      <c r="E29" s="1869"/>
      <c r="F29" s="599"/>
      <c r="G29" s="600"/>
      <c r="H29" s="600"/>
      <c r="I29" s="600"/>
      <c r="J29" s="600"/>
      <c r="K29" s="600"/>
      <c r="L29" s="600"/>
      <c r="M29" s="600"/>
      <c r="N29" s="600"/>
      <c r="O29" s="600"/>
      <c r="P29" s="1873"/>
    </row>
    <row r="30" spans="2:18" s="1955" customFormat="1">
      <c r="B30" s="843"/>
      <c r="C30" s="896" t="s">
        <v>601</v>
      </c>
      <c r="D30" s="614"/>
      <c r="E30" s="1870"/>
      <c r="F30" s="1870"/>
      <c r="G30" s="1870"/>
      <c r="H30" s="1870"/>
      <c r="I30" s="1870"/>
      <c r="J30" s="1870"/>
      <c r="K30" s="1870"/>
      <c r="L30" s="1870"/>
      <c r="M30" s="1870"/>
      <c r="N30" s="1870"/>
      <c r="O30" s="1870"/>
      <c r="P30" s="1873"/>
      <c r="R30" s="793"/>
    </row>
    <row r="31" spans="2:18" s="1955" customFormat="1">
      <c r="B31" s="843"/>
      <c r="C31" s="895" t="s">
        <v>102</v>
      </c>
      <c r="D31" s="614" t="s">
        <v>688</v>
      </c>
      <c r="E31" s="1870"/>
      <c r="F31" s="1870"/>
      <c r="G31" s="1870"/>
      <c r="H31" s="1870"/>
      <c r="I31" s="1870"/>
      <c r="J31" s="1870"/>
      <c r="K31" s="1870"/>
      <c r="L31" s="1870"/>
      <c r="M31" s="1870"/>
      <c r="N31" s="1870"/>
      <c r="O31" s="1870"/>
      <c r="P31" s="1873"/>
      <c r="R31" s="793"/>
    </row>
    <row r="32" spans="2:18" s="1955" customFormat="1">
      <c r="B32" s="843"/>
      <c r="C32" s="896"/>
      <c r="D32" s="614"/>
      <c r="E32" s="1870"/>
      <c r="F32" s="1870"/>
      <c r="G32" s="1870"/>
      <c r="H32" s="1870"/>
      <c r="I32" s="1870"/>
      <c r="J32" s="1870"/>
      <c r="K32" s="1870"/>
      <c r="L32" s="1870"/>
      <c r="M32" s="1870"/>
      <c r="N32" s="1870"/>
      <c r="O32" s="1870"/>
      <c r="P32" s="1873"/>
    </row>
    <row r="33" spans="1:18" s="1955" customFormat="1"/>
    <row r="35" spans="1:18" s="532" customFormat="1" ht="22">
      <c r="A35" s="850"/>
      <c r="B35" s="902" t="s">
        <v>643</v>
      </c>
      <c r="C35" s="847"/>
      <c r="D35" s="847"/>
      <c r="E35" s="847"/>
      <c r="F35" s="847"/>
      <c r="G35" s="847"/>
      <c r="H35" s="847"/>
      <c r="I35" s="847"/>
      <c r="J35" s="847"/>
      <c r="K35" s="847"/>
      <c r="L35" s="847"/>
      <c r="M35" s="847"/>
      <c r="N35" s="847"/>
      <c r="O35" s="847"/>
      <c r="P35" s="848"/>
    </row>
    <row r="36" spans="1:18">
      <c r="B36" s="837"/>
      <c r="C36" s="610"/>
      <c r="D36" s="610"/>
      <c r="E36" s="610"/>
      <c r="F36" s="610"/>
      <c r="G36" s="610"/>
      <c r="H36" s="610"/>
      <c r="I36" s="610"/>
      <c r="J36" s="610"/>
      <c r="K36" s="610"/>
      <c r="L36" s="610"/>
      <c r="M36" s="610"/>
      <c r="N36" s="610"/>
      <c r="O36" s="610"/>
      <c r="P36" s="838"/>
    </row>
    <row r="37" spans="1:18">
      <c r="B37" s="837"/>
      <c r="C37" s="612" t="s">
        <v>134</v>
      </c>
      <c r="D37" s="610"/>
      <c r="E37" s="613"/>
      <c r="F37" s="610"/>
      <c r="G37" s="610"/>
      <c r="H37" s="610"/>
      <c r="I37" s="610"/>
      <c r="J37" s="610"/>
      <c r="K37" s="610"/>
      <c r="L37" s="610"/>
      <c r="M37" s="610"/>
      <c r="N37" s="610"/>
      <c r="O37" s="613" t="str">
        <f>Preferences.EnergyUnits</f>
        <v>TWh</v>
      </c>
      <c r="P37" s="838"/>
    </row>
    <row r="38" spans="1:18" ht="5.25" customHeight="1">
      <c r="B38" s="837"/>
      <c r="C38" s="610"/>
      <c r="D38" s="610"/>
      <c r="E38" s="610"/>
      <c r="F38" s="610"/>
      <c r="G38" s="610"/>
      <c r="H38" s="610"/>
      <c r="I38" s="610"/>
      <c r="J38" s="610"/>
      <c r="K38" s="610"/>
      <c r="L38" s="610"/>
      <c r="M38" s="610"/>
      <c r="N38" s="610"/>
      <c r="O38" s="610"/>
      <c r="P38" s="838"/>
    </row>
    <row r="39" spans="1:18" ht="15">
      <c r="B39" s="839"/>
      <c r="C39" s="547" t="s">
        <v>72</v>
      </c>
      <c r="D39" s="547" t="s">
        <v>399</v>
      </c>
      <c r="E39" s="547" t="s">
        <v>421</v>
      </c>
      <c r="F39" s="643">
        <v>2007</v>
      </c>
      <c r="G39" s="644">
        <v>2010</v>
      </c>
      <c r="H39" s="643">
        <v>2015</v>
      </c>
      <c r="I39" s="643">
        <v>2020</v>
      </c>
      <c r="J39" s="643">
        <v>2025</v>
      </c>
      <c r="K39" s="643">
        <v>2030</v>
      </c>
      <c r="L39" s="643">
        <v>2035</v>
      </c>
      <c r="M39" s="643">
        <v>2040</v>
      </c>
      <c r="N39" s="643">
        <v>2045</v>
      </c>
      <c r="O39" s="643">
        <v>2050</v>
      </c>
      <c r="P39" s="838"/>
    </row>
    <row r="40" spans="1:18" ht="15">
      <c r="B40" s="839"/>
      <c r="C40" s="771" t="s">
        <v>58</v>
      </c>
      <c r="D40" s="771" t="str">
        <f>INDEX(Vectors[Description], MATCH($C40, Vectors[Code], 0))</f>
        <v>Coal and fossil waste</v>
      </c>
      <c r="E40" s="771" t="s">
        <v>102</v>
      </c>
      <c r="F40" s="778">
        <v>124.39570139421789</v>
      </c>
      <c r="G40" s="778">
        <v>127.93</v>
      </c>
      <c r="H40" s="778">
        <v>127.93</v>
      </c>
      <c r="I40" s="778">
        <v>127.93</v>
      </c>
      <c r="J40" s="778">
        <v>127.93</v>
      </c>
      <c r="K40" s="778">
        <v>63.965000000000003</v>
      </c>
      <c r="L40" s="778">
        <v>63.965000000000003</v>
      </c>
      <c r="M40" s="778">
        <v>63.965000000000003</v>
      </c>
      <c r="N40" s="778">
        <v>63.965000000000003</v>
      </c>
      <c r="O40" s="778">
        <v>63.965000000000003</v>
      </c>
      <c r="P40" s="838"/>
      <c r="R40" s="766"/>
    </row>
    <row r="41" spans="1:18" ht="15">
      <c r="B41" s="839"/>
      <c r="C41" s="771" t="s">
        <v>59</v>
      </c>
      <c r="D41" s="771" t="str">
        <f>INDEX(Vectors[Description], MATCH($C41, Vectors[Code], 0))</f>
        <v>Oil and petroleum products</v>
      </c>
      <c r="E41" s="771" t="s">
        <v>102</v>
      </c>
      <c r="F41" s="778">
        <v>975.89120834979815</v>
      </c>
      <c r="G41" s="778">
        <v>802.54795283721205</v>
      </c>
      <c r="H41" s="778">
        <v>646.82884353331633</v>
      </c>
      <c r="I41" s="778">
        <v>501.7889500727494</v>
      </c>
      <c r="J41" s="778">
        <v>388.27472421443264</v>
      </c>
      <c r="K41" s="778">
        <v>300.43958011019754</v>
      </c>
      <c r="L41" s="778">
        <v>232.47441995977493</v>
      </c>
      <c r="M41" s="778">
        <v>179.88427462124332</v>
      </c>
      <c r="N41" s="778">
        <v>139.19102265793308</v>
      </c>
      <c r="O41" s="778">
        <v>107.70336000383915</v>
      </c>
      <c r="P41" s="838"/>
    </row>
    <row r="42" spans="1:18" ht="15">
      <c r="B42" s="839"/>
      <c r="C42" s="768" t="s">
        <v>60</v>
      </c>
      <c r="D42" s="769" t="str">
        <f>INDEX(Vectors[Description], MATCH($C42, Vectors[Code], 0))</f>
        <v>Natural gas</v>
      </c>
      <c r="E42" s="769" t="s">
        <v>102</v>
      </c>
      <c r="F42" s="778">
        <v>828.54657487902409</v>
      </c>
      <c r="G42" s="778">
        <v>645.77289588411463</v>
      </c>
      <c r="H42" s="778">
        <v>495.88758312334966</v>
      </c>
      <c r="I42" s="778">
        <v>383.12064593855996</v>
      </c>
      <c r="J42" s="778">
        <v>296.45145258994444</v>
      </c>
      <c r="K42" s="778">
        <v>229.38848290828395</v>
      </c>
      <c r="L42" s="778">
        <v>177.49643535647462</v>
      </c>
      <c r="M42" s="778">
        <v>137.34335815304101</v>
      </c>
      <c r="N42" s="778">
        <v>106.27367243105833</v>
      </c>
      <c r="O42" s="778">
        <v>82.232541885272198</v>
      </c>
      <c r="P42" s="838"/>
    </row>
    <row r="43" spans="1:18" ht="15">
      <c r="B43" s="839"/>
      <c r="C43" s="556"/>
      <c r="D43" s="556"/>
      <c r="E43" s="556"/>
      <c r="F43" s="621"/>
      <c r="G43" s="621"/>
      <c r="H43" s="621"/>
      <c r="I43" s="621"/>
      <c r="J43" s="621"/>
      <c r="K43" s="621"/>
      <c r="L43" s="621"/>
      <c r="M43" s="621"/>
      <c r="N43" s="621"/>
      <c r="O43" s="621"/>
      <c r="P43" s="838"/>
    </row>
    <row r="44" spans="1:18" ht="15">
      <c r="B44" s="839"/>
      <c r="C44" s="612" t="s">
        <v>754</v>
      </c>
      <c r="D44" s="610"/>
      <c r="E44" s="613"/>
      <c r="F44" s="610"/>
      <c r="G44" s="610"/>
      <c r="H44" s="610"/>
      <c r="I44" s="610"/>
      <c r="J44" s="610"/>
      <c r="K44" s="610"/>
      <c r="L44" s="610"/>
      <c r="M44" s="610"/>
      <c r="N44" s="610"/>
      <c r="O44" s="613" t="s">
        <v>1019</v>
      </c>
      <c r="P44" s="838"/>
    </row>
    <row r="45" spans="1:18" ht="5.25" customHeight="1">
      <c r="B45" s="839"/>
      <c r="C45" s="610"/>
      <c r="D45" s="610"/>
      <c r="E45" s="610"/>
      <c r="F45" s="610"/>
      <c r="G45" s="610"/>
      <c r="H45" s="610"/>
      <c r="I45" s="610"/>
      <c r="J45" s="610"/>
      <c r="K45" s="610"/>
      <c r="L45" s="610"/>
      <c r="M45" s="610"/>
      <c r="N45" s="610"/>
      <c r="O45" s="610"/>
      <c r="P45" s="838"/>
    </row>
    <row r="46" spans="1:18" ht="15">
      <c r="B46" s="839"/>
      <c r="C46" s="547" t="s">
        <v>72</v>
      </c>
      <c r="D46" s="547" t="s">
        <v>399</v>
      </c>
      <c r="E46" s="547" t="s">
        <v>421</v>
      </c>
      <c r="F46" s="643">
        <v>2007</v>
      </c>
      <c r="G46" s="644">
        <v>2010</v>
      </c>
      <c r="H46" s="643">
        <v>2015</v>
      </c>
      <c r="I46" s="643">
        <v>2020</v>
      </c>
      <c r="J46" s="643">
        <v>2025</v>
      </c>
      <c r="K46" s="643">
        <v>2030</v>
      </c>
      <c r="L46" s="643">
        <v>2035</v>
      </c>
      <c r="M46" s="643">
        <v>2040</v>
      </c>
      <c r="N46" s="643">
        <v>2045</v>
      </c>
      <c r="O46" s="643">
        <v>2050</v>
      </c>
      <c r="P46" s="838"/>
    </row>
    <row r="47" spans="1:18" ht="15">
      <c r="B47" s="839"/>
      <c r="C47" s="771" t="s">
        <v>40</v>
      </c>
      <c r="D47" s="771" t="str">
        <f>INDEX(Vectors[Description], MATCH($C47, Vectors[Code], 0))</f>
        <v>Electricity (delivered to end user)</v>
      </c>
      <c r="E47" s="771" t="s">
        <v>109</v>
      </c>
      <c r="F47" s="773" t="e">
        <f>-#REF!/$F$40</f>
        <v>#REF!</v>
      </c>
      <c r="G47" s="779" t="e">
        <f t="shared" ref="G47:O49" si="0">$F47</f>
        <v>#REF!</v>
      </c>
      <c r="H47" s="773" t="e">
        <f t="shared" si="0"/>
        <v>#REF!</v>
      </c>
      <c r="I47" s="773" t="e">
        <f t="shared" si="0"/>
        <v>#REF!</v>
      </c>
      <c r="J47" s="773" t="e">
        <f t="shared" si="0"/>
        <v>#REF!</v>
      </c>
      <c r="K47" s="773" t="e">
        <f t="shared" si="0"/>
        <v>#REF!</v>
      </c>
      <c r="L47" s="773" t="e">
        <f t="shared" si="0"/>
        <v>#REF!</v>
      </c>
      <c r="M47" s="773" t="e">
        <f t="shared" si="0"/>
        <v>#REF!</v>
      </c>
      <c r="N47" s="773" t="e">
        <f t="shared" si="0"/>
        <v>#REF!</v>
      </c>
      <c r="O47" s="773" t="e">
        <f t="shared" si="0"/>
        <v>#REF!</v>
      </c>
      <c r="P47" s="838"/>
    </row>
    <row r="48" spans="1:18" ht="15">
      <c r="B48" s="839"/>
      <c r="C48" s="584" t="s">
        <v>42</v>
      </c>
      <c r="D48" s="771" t="str">
        <f>INDEX(Vectors[Description], MATCH($C48, Vectors[Code], 0))</f>
        <v>Solid hydrocarbons</v>
      </c>
      <c r="E48" s="771" t="s">
        <v>109</v>
      </c>
      <c r="F48" s="773" t="e">
        <f>-#REF!/$F$40</f>
        <v>#REF!</v>
      </c>
      <c r="G48" s="779" t="e">
        <f t="shared" si="0"/>
        <v>#REF!</v>
      </c>
      <c r="H48" s="773" t="e">
        <f t="shared" si="0"/>
        <v>#REF!</v>
      </c>
      <c r="I48" s="773" t="e">
        <f t="shared" si="0"/>
        <v>#REF!</v>
      </c>
      <c r="J48" s="773" t="e">
        <f t="shared" si="0"/>
        <v>#REF!</v>
      </c>
      <c r="K48" s="773" t="e">
        <f t="shared" si="0"/>
        <v>#REF!</v>
      </c>
      <c r="L48" s="773" t="e">
        <f t="shared" si="0"/>
        <v>#REF!</v>
      </c>
      <c r="M48" s="773" t="e">
        <f t="shared" si="0"/>
        <v>#REF!</v>
      </c>
      <c r="N48" s="773" t="e">
        <f t="shared" si="0"/>
        <v>#REF!</v>
      </c>
      <c r="O48" s="773" t="e">
        <f t="shared" si="0"/>
        <v>#REF!</v>
      </c>
      <c r="P48" s="838"/>
    </row>
    <row r="49" spans="2:16" ht="15">
      <c r="B49" s="839"/>
      <c r="C49" s="768" t="s">
        <v>45</v>
      </c>
      <c r="D49" s="769" t="str">
        <f>INDEX(Vectors[Description], MATCH($C49, Vectors[Code], 0))</f>
        <v>Gaseous hydrocarbons</v>
      </c>
      <c r="E49" s="769" t="s">
        <v>109</v>
      </c>
      <c r="F49" s="558" t="e">
        <f>-#REF!/$F$40</f>
        <v>#REF!</v>
      </c>
      <c r="G49" s="780" t="e">
        <f t="shared" si="0"/>
        <v>#REF!</v>
      </c>
      <c r="H49" s="558" t="e">
        <f t="shared" si="0"/>
        <v>#REF!</v>
      </c>
      <c r="I49" s="558" t="e">
        <f t="shared" si="0"/>
        <v>#REF!</v>
      </c>
      <c r="J49" s="558" t="e">
        <f t="shared" si="0"/>
        <v>#REF!</v>
      </c>
      <c r="K49" s="558" t="e">
        <f t="shared" si="0"/>
        <v>#REF!</v>
      </c>
      <c r="L49" s="558" t="e">
        <f t="shared" si="0"/>
        <v>#REF!</v>
      </c>
      <c r="M49" s="558" t="e">
        <f t="shared" si="0"/>
        <v>#REF!</v>
      </c>
      <c r="N49" s="558" t="e">
        <f t="shared" si="0"/>
        <v>#REF!</v>
      </c>
      <c r="O49" s="558" t="e">
        <f t="shared" si="0"/>
        <v>#REF!</v>
      </c>
      <c r="P49" s="838"/>
    </row>
    <row r="50" spans="2:16">
      <c r="B50" s="843"/>
      <c r="C50" s="583"/>
      <c r="D50" s="584"/>
      <c r="E50" s="584"/>
      <c r="F50" s="639"/>
      <c r="G50" s="767"/>
      <c r="H50" s="639"/>
      <c r="I50" s="639"/>
      <c r="J50" s="639"/>
      <c r="K50" s="639"/>
      <c r="L50" s="639"/>
      <c r="M50" s="639"/>
      <c r="N50" s="639"/>
      <c r="O50" s="639"/>
      <c r="P50" s="838"/>
    </row>
    <row r="51" spans="2:16">
      <c r="B51" s="843"/>
      <c r="C51" s="612" t="s">
        <v>752</v>
      </c>
      <c r="D51" s="610"/>
      <c r="E51" s="613"/>
      <c r="F51" s="610"/>
      <c r="G51" s="610"/>
      <c r="H51" s="610"/>
      <c r="I51" s="610"/>
      <c r="J51" s="610"/>
      <c r="K51" s="610"/>
      <c r="L51" s="610"/>
      <c r="M51" s="610"/>
      <c r="N51" s="610"/>
      <c r="O51" s="613" t="s">
        <v>1019</v>
      </c>
      <c r="P51" s="838"/>
    </row>
    <row r="52" spans="2:16" ht="5.25" customHeight="1">
      <c r="B52" s="843"/>
      <c r="C52" s="610"/>
      <c r="D52" s="610"/>
      <c r="E52" s="610"/>
      <c r="F52" s="610"/>
      <c r="G52" s="610"/>
      <c r="H52" s="610"/>
      <c r="I52" s="610"/>
      <c r="J52" s="610"/>
      <c r="K52" s="610"/>
      <c r="L52" s="610"/>
      <c r="M52" s="610"/>
      <c r="N52" s="610"/>
      <c r="O52" s="610"/>
      <c r="P52" s="838"/>
    </row>
    <row r="53" spans="2:16" ht="15">
      <c r="B53" s="839"/>
      <c r="C53" s="547" t="s">
        <v>72</v>
      </c>
      <c r="D53" s="547" t="s">
        <v>399</v>
      </c>
      <c r="E53" s="547" t="s">
        <v>421</v>
      </c>
      <c r="F53" s="552" t="s">
        <v>576</v>
      </c>
      <c r="G53" s="553" t="s">
        <v>577</v>
      </c>
      <c r="H53" s="552" t="s">
        <v>604</v>
      </c>
      <c r="I53" s="552" t="s">
        <v>605</v>
      </c>
      <c r="J53" s="552" t="s">
        <v>606</v>
      </c>
      <c r="K53" s="552" t="s">
        <v>607</v>
      </c>
      <c r="L53" s="552" t="s">
        <v>608</v>
      </c>
      <c r="M53" s="552" t="s">
        <v>609</v>
      </c>
      <c r="N53" s="552" t="s">
        <v>610</v>
      </c>
      <c r="O53" s="552" t="s">
        <v>611</v>
      </c>
      <c r="P53" s="838"/>
    </row>
    <row r="54" spans="2:16" ht="15">
      <c r="B54" s="839"/>
      <c r="C54" s="771" t="s">
        <v>40</v>
      </c>
      <c r="D54" s="771" t="str">
        <f>INDEX(Vectors[Description], MATCH($C54, Vectors[Code], 0))</f>
        <v>Electricity (delivered to end user)</v>
      </c>
      <c r="E54" s="771" t="s">
        <v>108</v>
      </c>
      <c r="F54" s="773" t="e">
        <f>-#REF!/$F$41</f>
        <v>#REF!</v>
      </c>
      <c r="G54" s="779" t="e">
        <f t="shared" ref="G54:O55" si="1">$F54</f>
        <v>#REF!</v>
      </c>
      <c r="H54" s="773" t="e">
        <f t="shared" si="1"/>
        <v>#REF!</v>
      </c>
      <c r="I54" s="773" t="e">
        <f t="shared" si="1"/>
        <v>#REF!</v>
      </c>
      <c r="J54" s="773" t="e">
        <f t="shared" si="1"/>
        <v>#REF!</v>
      </c>
      <c r="K54" s="773" t="e">
        <f t="shared" si="1"/>
        <v>#REF!</v>
      </c>
      <c r="L54" s="773" t="e">
        <f t="shared" si="1"/>
        <v>#REF!</v>
      </c>
      <c r="M54" s="773" t="e">
        <f t="shared" si="1"/>
        <v>#REF!</v>
      </c>
      <c r="N54" s="773" t="e">
        <f t="shared" si="1"/>
        <v>#REF!</v>
      </c>
      <c r="O54" s="773" t="e">
        <f t="shared" si="1"/>
        <v>#REF!</v>
      </c>
      <c r="P54" s="838"/>
    </row>
    <row r="55" spans="2:16" ht="15">
      <c r="B55" s="839"/>
      <c r="C55" s="768" t="s">
        <v>45</v>
      </c>
      <c r="D55" s="769" t="str">
        <f>INDEX(Vectors[Description], MATCH($C55, Vectors[Code], 0))</f>
        <v>Gaseous hydrocarbons</v>
      </c>
      <c r="E55" s="769" t="s">
        <v>108</v>
      </c>
      <c r="F55" s="558" t="e">
        <f>-#REF!/XV.b!$F$41</f>
        <v>#REF!</v>
      </c>
      <c r="G55" s="780" t="e">
        <f t="shared" si="1"/>
        <v>#REF!</v>
      </c>
      <c r="H55" s="558" t="e">
        <f t="shared" si="1"/>
        <v>#REF!</v>
      </c>
      <c r="I55" s="558" t="e">
        <f t="shared" si="1"/>
        <v>#REF!</v>
      </c>
      <c r="J55" s="558" t="e">
        <f t="shared" si="1"/>
        <v>#REF!</v>
      </c>
      <c r="K55" s="558" t="e">
        <f t="shared" si="1"/>
        <v>#REF!</v>
      </c>
      <c r="L55" s="558" t="e">
        <f t="shared" si="1"/>
        <v>#REF!</v>
      </c>
      <c r="M55" s="558" t="e">
        <f t="shared" si="1"/>
        <v>#REF!</v>
      </c>
      <c r="N55" s="558" t="e">
        <f t="shared" si="1"/>
        <v>#REF!</v>
      </c>
      <c r="O55" s="558" t="e">
        <f t="shared" si="1"/>
        <v>#REF!</v>
      </c>
      <c r="P55" s="838"/>
    </row>
    <row r="56" spans="2:16" ht="15">
      <c r="B56" s="839"/>
      <c r="C56" s="583"/>
      <c r="D56" s="584"/>
      <c r="E56" s="584"/>
      <c r="F56" s="639"/>
      <c r="G56" s="767"/>
      <c r="H56" s="639"/>
      <c r="I56" s="639"/>
      <c r="J56" s="639"/>
      <c r="K56" s="639"/>
      <c r="L56" s="639"/>
      <c r="M56" s="639"/>
      <c r="N56" s="639"/>
      <c r="O56" s="639"/>
      <c r="P56" s="838"/>
    </row>
    <row r="57" spans="2:16" ht="15">
      <c r="B57" s="839"/>
      <c r="C57" s="612" t="s">
        <v>927</v>
      </c>
      <c r="D57" s="610"/>
      <c r="E57" s="613"/>
      <c r="F57" s="613" t="s">
        <v>929</v>
      </c>
      <c r="G57" s="767"/>
      <c r="H57" s="639"/>
      <c r="I57" s="639"/>
      <c r="J57" s="639"/>
      <c r="K57" s="639"/>
      <c r="L57" s="639"/>
      <c r="M57" s="639"/>
      <c r="N57" s="639"/>
      <c r="O57" s="639"/>
      <c r="P57" s="838"/>
    </row>
    <row r="58" spans="2:16" ht="5.25" customHeight="1">
      <c r="B58" s="839"/>
      <c r="C58" s="610"/>
      <c r="D58" s="610"/>
      <c r="E58" s="610"/>
      <c r="F58" s="610"/>
      <c r="G58" s="767"/>
      <c r="H58" s="639"/>
      <c r="I58" s="639"/>
      <c r="J58" s="639"/>
      <c r="K58" s="639"/>
      <c r="L58" s="639"/>
      <c r="M58" s="639"/>
      <c r="N58" s="639"/>
      <c r="O58" s="639"/>
      <c r="P58" s="838"/>
    </row>
    <row r="59" spans="2:16" ht="15">
      <c r="B59" s="839"/>
      <c r="C59" s="547" t="s">
        <v>72</v>
      </c>
      <c r="D59" s="547" t="s">
        <v>399</v>
      </c>
      <c r="E59" s="547" t="s">
        <v>421</v>
      </c>
      <c r="F59" s="643">
        <v>2007</v>
      </c>
      <c r="G59" s="767"/>
      <c r="H59" s="639"/>
      <c r="I59" s="639"/>
      <c r="J59" s="639"/>
      <c r="K59" s="639"/>
      <c r="L59" s="639"/>
      <c r="M59" s="639"/>
      <c r="N59" s="639"/>
      <c r="O59" s="639"/>
      <c r="P59" s="838"/>
    </row>
    <row r="60" spans="2:16" ht="15">
      <c r="B60" s="839"/>
      <c r="C60" s="584" t="s">
        <v>910</v>
      </c>
      <c r="D60" s="584" t="s">
        <v>928</v>
      </c>
      <c r="E60" s="584" t="s">
        <v>420</v>
      </c>
      <c r="F60" s="778">
        <v>0.12572918863103702</v>
      </c>
      <c r="G60" s="767"/>
      <c r="H60" s="599"/>
      <c r="I60" s="639"/>
      <c r="J60" s="639"/>
      <c r="K60" s="639"/>
      <c r="L60" s="639"/>
      <c r="M60" s="639"/>
      <c r="N60" s="639"/>
      <c r="O60" s="639"/>
      <c r="P60" s="838"/>
    </row>
    <row r="61" spans="2:16" ht="15">
      <c r="B61" s="839"/>
      <c r="C61" s="550" t="s">
        <v>931</v>
      </c>
      <c r="D61" s="551" t="s">
        <v>932</v>
      </c>
      <c r="E61" s="551" t="s">
        <v>420</v>
      </c>
      <c r="F61" s="562">
        <v>5.0916819860234304</v>
      </c>
      <c r="G61" s="767"/>
      <c r="H61" s="639"/>
      <c r="I61" s="639"/>
      <c r="J61" s="639"/>
      <c r="K61" s="639"/>
      <c r="L61" s="639"/>
      <c r="M61" s="639"/>
      <c r="N61" s="639"/>
      <c r="O61" s="639"/>
      <c r="P61" s="838"/>
    </row>
    <row r="62" spans="2:16" ht="15">
      <c r="B62" s="839"/>
      <c r="C62" s="583"/>
      <c r="D62" s="584"/>
      <c r="E62" s="584"/>
      <c r="F62" s="639"/>
      <c r="G62" s="767"/>
      <c r="H62" s="639"/>
      <c r="I62" s="639"/>
      <c r="J62" s="639"/>
      <c r="K62" s="639"/>
      <c r="L62" s="639"/>
      <c r="M62" s="639"/>
      <c r="N62" s="639"/>
      <c r="O62" s="639"/>
      <c r="P62" s="838"/>
    </row>
    <row r="63" spans="2:16">
      <c r="B63" s="843"/>
      <c r="C63" s="610" t="s">
        <v>601</v>
      </c>
      <c r="D63" s="614"/>
      <c r="E63" s="610"/>
      <c r="F63" s="610"/>
      <c r="G63" s="610"/>
      <c r="H63" s="610"/>
      <c r="I63" s="610"/>
      <c r="J63" s="610"/>
      <c r="K63" s="610"/>
      <c r="L63" s="610"/>
      <c r="M63" s="610"/>
      <c r="N63" s="610"/>
      <c r="O63" s="610"/>
      <c r="P63" s="838"/>
    </row>
    <row r="64" spans="2:16" s="529" customFormat="1" ht="11">
      <c r="B64" s="894"/>
      <c r="C64" s="909" t="s">
        <v>102</v>
      </c>
      <c r="D64" s="910" t="s">
        <v>795</v>
      </c>
      <c r="E64" s="897"/>
      <c r="F64" s="897"/>
      <c r="G64" s="897"/>
      <c r="H64" s="897"/>
      <c r="I64" s="897"/>
      <c r="J64" s="897"/>
      <c r="K64" s="897"/>
      <c r="L64" s="897"/>
      <c r="M64" s="897"/>
      <c r="N64" s="897"/>
      <c r="O64" s="897"/>
      <c r="P64" s="898"/>
    </row>
    <row r="65" spans="1:16" s="529" customFormat="1" ht="11">
      <c r="B65" s="894"/>
      <c r="C65" s="909"/>
      <c r="D65" s="910" t="s">
        <v>796</v>
      </c>
      <c r="E65" s="897"/>
      <c r="F65" s="897"/>
      <c r="G65" s="897"/>
      <c r="H65" s="897"/>
      <c r="I65" s="897"/>
      <c r="J65" s="897"/>
      <c r="K65" s="897"/>
      <c r="L65" s="897"/>
      <c r="M65" s="897"/>
      <c r="N65" s="897"/>
      <c r="O65" s="897"/>
      <c r="P65" s="898"/>
    </row>
    <row r="66" spans="1:16" s="529" customFormat="1" ht="11">
      <c r="B66" s="894"/>
      <c r="C66" s="909"/>
      <c r="D66" s="910" t="s">
        <v>797</v>
      </c>
      <c r="E66" s="897"/>
      <c r="F66" s="897"/>
      <c r="G66" s="897"/>
      <c r="H66" s="897"/>
      <c r="I66" s="897"/>
      <c r="J66" s="897"/>
      <c r="K66" s="897"/>
      <c r="L66" s="897"/>
      <c r="M66" s="897"/>
      <c r="N66" s="897"/>
      <c r="O66" s="897"/>
      <c r="P66" s="898"/>
    </row>
    <row r="67" spans="1:16" s="529" customFormat="1" ht="11">
      <c r="B67" s="894"/>
      <c r="C67" s="909"/>
      <c r="D67" s="910"/>
      <c r="E67" s="897"/>
      <c r="F67" s="897"/>
      <c r="G67" s="897"/>
      <c r="H67" s="897"/>
      <c r="I67" s="897"/>
      <c r="J67" s="897"/>
      <c r="K67" s="897"/>
      <c r="L67" s="897"/>
      <c r="M67" s="897"/>
      <c r="N67" s="897"/>
      <c r="O67" s="897"/>
      <c r="P67" s="898"/>
    </row>
    <row r="68" spans="1:16" s="529" customFormat="1" ht="11">
      <c r="B68" s="894"/>
      <c r="C68" s="909" t="s">
        <v>108</v>
      </c>
      <c r="D68" s="910" t="s">
        <v>753</v>
      </c>
      <c r="E68" s="897"/>
      <c r="F68" s="897"/>
      <c r="G68" s="897"/>
      <c r="H68" s="897"/>
      <c r="I68" s="897"/>
      <c r="J68" s="897"/>
      <c r="K68" s="897"/>
      <c r="L68" s="897"/>
      <c r="M68" s="897"/>
      <c r="N68" s="897"/>
      <c r="O68" s="897"/>
      <c r="P68" s="898"/>
    </row>
    <row r="69" spans="1:16" s="529" customFormat="1" ht="11">
      <c r="B69" s="894"/>
      <c r="C69" s="909" t="s">
        <v>109</v>
      </c>
      <c r="D69" s="910" t="s">
        <v>755</v>
      </c>
      <c r="E69" s="897"/>
      <c r="F69" s="897"/>
      <c r="G69" s="897"/>
      <c r="H69" s="897"/>
      <c r="I69" s="897"/>
      <c r="J69" s="897"/>
      <c r="K69" s="897"/>
      <c r="L69" s="897"/>
      <c r="M69" s="897"/>
      <c r="N69" s="897"/>
      <c r="O69" s="897"/>
      <c r="P69" s="898"/>
    </row>
    <row r="70" spans="1:16" s="529" customFormat="1" ht="11">
      <c r="B70" s="894"/>
      <c r="C70" s="909" t="s">
        <v>420</v>
      </c>
      <c r="D70" s="910" t="s">
        <v>933</v>
      </c>
      <c r="E70" s="897"/>
      <c r="F70" s="897"/>
      <c r="G70" s="897"/>
      <c r="H70" s="897"/>
      <c r="I70" s="897"/>
      <c r="J70" s="897"/>
      <c r="K70" s="897"/>
      <c r="L70" s="897"/>
      <c r="M70" s="897"/>
      <c r="N70" s="897"/>
      <c r="O70" s="897"/>
      <c r="P70" s="898"/>
    </row>
    <row r="71" spans="1:16" s="529" customFormat="1" ht="11">
      <c r="B71" s="894"/>
      <c r="C71" s="909"/>
      <c r="D71" s="910" t="s">
        <v>930</v>
      </c>
      <c r="E71" s="897"/>
      <c r="F71" s="897"/>
      <c r="G71" s="897"/>
      <c r="H71" s="897"/>
      <c r="I71" s="897"/>
      <c r="J71" s="897"/>
      <c r="K71" s="897"/>
      <c r="L71" s="897"/>
      <c r="M71" s="897"/>
      <c r="N71" s="897"/>
      <c r="O71" s="897"/>
      <c r="P71" s="898"/>
    </row>
    <row r="72" spans="1:16">
      <c r="B72" s="844"/>
      <c r="C72" s="845"/>
      <c r="D72" s="845"/>
      <c r="E72" s="845"/>
      <c r="F72" s="845"/>
      <c r="G72" s="845"/>
      <c r="H72" s="845"/>
      <c r="I72" s="845"/>
      <c r="J72" s="845"/>
      <c r="K72" s="845"/>
      <c r="L72" s="845"/>
      <c r="M72" s="845"/>
      <c r="N72" s="845"/>
      <c r="O72" s="845"/>
      <c r="P72" s="846"/>
    </row>
    <row r="73" spans="1:16" s="1790" customFormat="1"/>
    <row r="74" spans="1:16" s="532" customFormat="1" ht="22">
      <c r="A74" s="850"/>
      <c r="B74" s="902" t="s">
        <v>1983</v>
      </c>
      <c r="C74" s="847"/>
      <c r="D74" s="847"/>
      <c r="E74" s="847"/>
      <c r="F74" s="847"/>
      <c r="G74" s="847"/>
      <c r="H74" s="847"/>
      <c r="I74" s="847"/>
      <c r="J74" s="847"/>
      <c r="K74" s="847"/>
      <c r="L74" s="847"/>
      <c r="M74" s="847"/>
      <c r="N74" s="847"/>
      <c r="O74" s="847"/>
      <c r="P74" s="848"/>
    </row>
    <row r="75" spans="1:16" s="1790" customFormat="1">
      <c r="B75" s="837"/>
      <c r="C75" s="610"/>
      <c r="D75" s="610"/>
      <c r="E75" s="610"/>
      <c r="F75" s="610"/>
      <c r="G75" s="610"/>
      <c r="H75" s="610"/>
      <c r="I75" s="610"/>
      <c r="J75" s="610"/>
      <c r="K75" s="610"/>
      <c r="L75" s="610"/>
      <c r="M75" s="610"/>
      <c r="N75" s="610"/>
      <c r="O75" s="610"/>
      <c r="P75" s="838"/>
    </row>
    <row r="76" spans="1:16" s="1790" customFormat="1">
      <c r="B76" s="837"/>
      <c r="C76" s="612"/>
      <c r="D76" s="1796" t="s">
        <v>2010</v>
      </c>
      <c r="E76" s="1797"/>
      <c r="F76" s="1797" t="s">
        <v>1155</v>
      </c>
      <c r="G76" s="1797" t="s">
        <v>1156</v>
      </c>
      <c r="H76" s="1798"/>
      <c r="I76" s="1798"/>
      <c r="J76" s="1797" t="s">
        <v>1155</v>
      </c>
      <c r="K76" s="1797" t="s">
        <v>1156</v>
      </c>
      <c r="L76" s="610"/>
      <c r="M76" s="610"/>
      <c r="N76" s="610"/>
      <c r="O76" s="610"/>
      <c r="P76" s="838"/>
    </row>
    <row r="77" spans="1:16" s="1790" customFormat="1">
      <c r="B77" s="837"/>
      <c r="C77" s="612"/>
      <c r="D77" s="610" t="s">
        <v>125</v>
      </c>
      <c r="E77" s="1147" t="s">
        <v>2006</v>
      </c>
      <c r="F77" s="613">
        <v>32</v>
      </c>
      <c r="G77" s="613">
        <v>83</v>
      </c>
      <c r="H77" s="610"/>
      <c r="I77" s="610" t="str">
        <f>Preferences.moneyunits&amp;"/"&amp;Preferences.EnergyUnits</f>
        <v>£m/TWh</v>
      </c>
      <c r="J77" s="1140">
        <f>(F77*(GBP/(Constants.GCV.Coal*1000)))*(Price2009)</f>
        <v>4.5424816073855068</v>
      </c>
      <c r="K77" s="1140">
        <f>(G77*(GBP/(Constants.GCV.Coal*1000)))*(Price2009)</f>
        <v>11.782061669156159</v>
      </c>
      <c r="L77" s="610"/>
      <c r="M77" s="610"/>
      <c r="N77" s="610"/>
      <c r="O77" s="610"/>
      <c r="P77" s="838"/>
    </row>
    <row r="78" spans="1:16" s="1790" customFormat="1">
      <c r="B78" s="1793"/>
      <c r="C78" s="1793"/>
      <c r="D78" s="1793" t="s">
        <v>186</v>
      </c>
      <c r="E78" s="1794" t="s">
        <v>2007</v>
      </c>
      <c r="F78" s="1795">
        <v>60</v>
      </c>
      <c r="G78" s="1795">
        <v>153</v>
      </c>
      <c r="H78" s="1793"/>
      <c r="I78" s="610" t="str">
        <f>Preferences.moneyunits&amp;"/"&amp;Preferences.EnergyUnits</f>
        <v>£m/TWh</v>
      </c>
      <c r="J78" s="1802">
        <f>(F78*(USD2009_/Unit.boe))*(Price2009)</f>
        <v>23.703076768209044</v>
      </c>
      <c r="K78" s="1802">
        <f>(G78*(USD2009_/Unit.boe))*(Price2009)</f>
        <v>60.442845758933061</v>
      </c>
      <c r="L78" s="1793"/>
      <c r="M78" s="1793"/>
      <c r="N78" s="1793"/>
      <c r="O78" s="1793"/>
      <c r="P78" s="1793"/>
    </row>
    <row r="79" spans="1:16" s="1790" customFormat="1">
      <c r="B79" s="1793"/>
      <c r="C79" s="1793"/>
      <c r="D79" s="933" t="s">
        <v>14</v>
      </c>
      <c r="E79" s="1640" t="s">
        <v>2008</v>
      </c>
      <c r="F79" s="1411">
        <v>35</v>
      </c>
      <c r="G79" s="1411">
        <v>121</v>
      </c>
      <c r="H79" s="933"/>
      <c r="I79" s="933" t="str">
        <f>Preferences.moneyunits&amp;"/"&amp;Preferences.EnergyUnits</f>
        <v>£m/TWh</v>
      </c>
      <c r="J79" s="1141">
        <f>((F79/100)*(GBP/Unit.therm))*(Price2009)</f>
        <v>12.290626819799765</v>
      </c>
      <c r="K79" s="1141">
        <f>((G79/100)*(GBP/Unit.therm))*(Price2009)</f>
        <v>42.490452719879187</v>
      </c>
      <c r="L79" s="1793"/>
      <c r="M79" s="1793"/>
      <c r="N79" s="1793"/>
      <c r="O79" s="1793"/>
      <c r="P79" s="1793"/>
    </row>
    <row r="80" spans="1:16" s="1790" customFormat="1">
      <c r="B80" s="1793"/>
      <c r="C80" s="1793"/>
      <c r="D80" s="1793"/>
      <c r="E80" s="1793"/>
      <c r="F80" s="1793"/>
      <c r="G80" s="1793"/>
      <c r="H80" s="1793"/>
      <c r="I80" s="1793"/>
      <c r="J80" s="1793"/>
      <c r="K80" s="1793"/>
      <c r="L80" s="1793"/>
      <c r="M80" s="1793"/>
      <c r="N80" s="1793"/>
      <c r="O80" s="1793"/>
      <c r="P80" s="1793"/>
    </row>
    <row r="81" spans="2:16" s="1790" customFormat="1">
      <c r="B81" s="1793"/>
      <c r="C81" s="1793"/>
      <c r="D81" s="1793" t="s">
        <v>2011</v>
      </c>
      <c r="E81" s="1799" t="s">
        <v>2003</v>
      </c>
      <c r="F81" s="1793"/>
      <c r="G81" s="1793"/>
      <c r="H81" s="1793"/>
      <c r="I81" s="1793"/>
      <c r="J81" s="1793"/>
      <c r="K81" s="1793"/>
      <c r="L81" s="1793"/>
      <c r="M81" s="1793"/>
      <c r="N81" s="1793"/>
      <c r="O81" s="1793"/>
      <c r="P81" s="1793"/>
    </row>
    <row r="82" spans="2:16" s="1790" customFormat="1">
      <c r="B82" s="1793"/>
      <c r="C82" s="1793"/>
      <c r="D82" s="1793"/>
      <c r="E82" s="1793"/>
      <c r="F82" s="1793"/>
      <c r="G82" s="1793"/>
      <c r="H82" s="1793"/>
      <c r="I82" s="1793"/>
      <c r="J82" s="1793"/>
      <c r="K82" s="1793"/>
      <c r="L82" s="1793"/>
      <c r="M82" s="1793"/>
      <c r="N82" s="1793"/>
      <c r="O82" s="1793"/>
      <c r="P82" s="1793"/>
    </row>
    <row r="83" spans="2:16" s="1116" customFormat="1"/>
    <row r="85" spans="2:16" ht="15">
      <c r="B85" s="575" t="s">
        <v>615</v>
      </c>
    </row>
    <row r="86" spans="2:16" ht="14">
      <c r="B86" s="781">
        <v>1</v>
      </c>
      <c r="C86" s="121" t="s">
        <v>762</v>
      </c>
    </row>
    <row r="87" spans="2:16" ht="14">
      <c r="B87" s="781">
        <v>2</v>
      </c>
      <c r="C87" s="121" t="s">
        <v>763</v>
      </c>
    </row>
    <row r="88" spans="2:16" ht="14">
      <c r="B88" s="781">
        <v>3</v>
      </c>
      <c r="C88" s="121" t="s">
        <v>926</v>
      </c>
    </row>
    <row r="89" spans="2:16" s="1790" customFormat="1" ht="14">
      <c r="B89" s="781">
        <v>4</v>
      </c>
      <c r="C89" s="1790" t="s">
        <v>2022</v>
      </c>
    </row>
    <row r="91" spans="2:16">
      <c r="B91" s="121">
        <v>1</v>
      </c>
      <c r="C91" s="121" t="s">
        <v>901</v>
      </c>
    </row>
    <row r="92" spans="2:16">
      <c r="C92" s="530" t="s">
        <v>764</v>
      </c>
      <c r="E92" s="121" t="str">
        <f>Preferences.EnergyUnits</f>
        <v>TWh</v>
      </c>
      <c r="F92" s="563">
        <f>F$40</f>
        <v>124.39570139421789</v>
      </c>
      <c r="G92" s="563">
        <f t="shared" ref="G92:O92" si="2">G$40</f>
        <v>127.93</v>
      </c>
      <c r="H92" s="563">
        <f t="shared" si="2"/>
        <v>127.93</v>
      </c>
      <c r="I92" s="563">
        <f t="shared" si="2"/>
        <v>127.93</v>
      </c>
      <c r="J92" s="563">
        <f t="shared" si="2"/>
        <v>127.93</v>
      </c>
      <c r="K92" s="563">
        <f t="shared" si="2"/>
        <v>63.965000000000003</v>
      </c>
      <c r="L92" s="563">
        <f t="shared" si="2"/>
        <v>63.965000000000003</v>
      </c>
      <c r="M92" s="563">
        <f t="shared" si="2"/>
        <v>63.965000000000003</v>
      </c>
      <c r="N92" s="563">
        <f t="shared" si="2"/>
        <v>63.965000000000003</v>
      </c>
      <c r="O92" s="563">
        <f t="shared" si="2"/>
        <v>63.965000000000003</v>
      </c>
    </row>
    <row r="93" spans="2:16">
      <c r="B93" s="24"/>
      <c r="C93" s="121" t="s">
        <v>765</v>
      </c>
      <c r="F93" s="577" t="e">
        <f t="shared" ref="F93:O93" si="3">F$92*F$47</f>
        <v>#REF!</v>
      </c>
      <c r="G93" s="577" t="e">
        <f t="shared" si="3"/>
        <v>#REF!</v>
      </c>
      <c r="H93" s="577" t="e">
        <f t="shared" si="3"/>
        <v>#REF!</v>
      </c>
      <c r="I93" s="577" t="e">
        <f t="shared" si="3"/>
        <v>#REF!</v>
      </c>
      <c r="J93" s="577" t="e">
        <f t="shared" si="3"/>
        <v>#REF!</v>
      </c>
      <c r="K93" s="577" t="e">
        <f t="shared" si="3"/>
        <v>#REF!</v>
      </c>
      <c r="L93" s="577" t="e">
        <f t="shared" si="3"/>
        <v>#REF!</v>
      </c>
      <c r="M93" s="577" t="e">
        <f t="shared" si="3"/>
        <v>#REF!</v>
      </c>
      <c r="N93" s="577" t="e">
        <f t="shared" si="3"/>
        <v>#REF!</v>
      </c>
      <c r="O93" s="577" t="e">
        <f t="shared" si="3"/>
        <v>#REF!</v>
      </c>
    </row>
    <row r="94" spans="2:16">
      <c r="B94" s="24"/>
      <c r="C94" s="121" t="s">
        <v>769</v>
      </c>
      <c r="F94" s="577" t="e">
        <f t="shared" ref="F94:O94" si="4">F$92*F$48</f>
        <v>#REF!</v>
      </c>
      <c r="G94" s="577" t="e">
        <f t="shared" si="4"/>
        <v>#REF!</v>
      </c>
      <c r="H94" s="577" t="e">
        <f t="shared" si="4"/>
        <v>#REF!</v>
      </c>
      <c r="I94" s="577" t="e">
        <f t="shared" si="4"/>
        <v>#REF!</v>
      </c>
      <c r="J94" s="577" t="e">
        <f t="shared" si="4"/>
        <v>#REF!</v>
      </c>
      <c r="K94" s="577" t="e">
        <f t="shared" si="4"/>
        <v>#REF!</v>
      </c>
      <c r="L94" s="577" t="e">
        <f t="shared" si="4"/>
        <v>#REF!</v>
      </c>
      <c r="M94" s="577" t="e">
        <f t="shared" si="4"/>
        <v>#REF!</v>
      </c>
      <c r="N94" s="577" t="e">
        <f t="shared" si="4"/>
        <v>#REF!</v>
      </c>
      <c r="O94" s="577" t="e">
        <f t="shared" si="4"/>
        <v>#REF!</v>
      </c>
    </row>
    <row r="95" spans="2:16">
      <c r="B95" s="623"/>
      <c r="C95" s="121" t="s">
        <v>766</v>
      </c>
      <c r="F95" s="577" t="e">
        <f t="shared" ref="F95:O95" si="5">F92*F$49</f>
        <v>#REF!</v>
      </c>
      <c r="G95" s="577" t="e">
        <f t="shared" si="5"/>
        <v>#REF!</v>
      </c>
      <c r="H95" s="577" t="e">
        <f t="shared" si="5"/>
        <v>#REF!</v>
      </c>
      <c r="I95" s="577" t="e">
        <f t="shared" si="5"/>
        <v>#REF!</v>
      </c>
      <c r="J95" s="577" t="e">
        <f t="shared" si="5"/>
        <v>#REF!</v>
      </c>
      <c r="K95" s="577" t="e">
        <f t="shared" si="5"/>
        <v>#REF!</v>
      </c>
      <c r="L95" s="577" t="e">
        <f t="shared" si="5"/>
        <v>#REF!</v>
      </c>
      <c r="M95" s="577" t="e">
        <f t="shared" si="5"/>
        <v>#REF!</v>
      </c>
      <c r="N95" s="577" t="e">
        <f t="shared" si="5"/>
        <v>#REF!</v>
      </c>
      <c r="O95" s="577" t="e">
        <f t="shared" si="5"/>
        <v>#REF!</v>
      </c>
    </row>
    <row r="96" spans="2:16">
      <c r="F96" s="580"/>
      <c r="G96" s="580"/>
      <c r="H96" s="580"/>
      <c r="I96" s="580"/>
      <c r="J96" s="580"/>
      <c r="K96" s="580"/>
      <c r="L96" s="580"/>
      <c r="M96" s="580"/>
      <c r="N96" s="580"/>
      <c r="O96" s="580"/>
    </row>
    <row r="97" spans="2:15">
      <c r="B97" s="121">
        <v>2</v>
      </c>
      <c r="C97" s="24" t="s">
        <v>902</v>
      </c>
      <c r="F97" s="563"/>
      <c r="G97" s="563"/>
      <c r="H97" s="563"/>
      <c r="I97" s="563"/>
      <c r="J97" s="563"/>
      <c r="K97" s="563"/>
      <c r="L97" s="563"/>
      <c r="M97" s="563"/>
      <c r="N97" s="563"/>
      <c r="O97" s="563"/>
    </row>
    <row r="98" spans="2:15">
      <c r="C98" s="530" t="s">
        <v>767</v>
      </c>
      <c r="F98" s="563">
        <f>F$41</f>
        <v>975.89120834979815</v>
      </c>
      <c r="G98" s="563">
        <f t="shared" ref="G98:O98" si="6">G$41</f>
        <v>802.54795283721205</v>
      </c>
      <c r="H98" s="563">
        <f t="shared" si="6"/>
        <v>646.82884353331633</v>
      </c>
      <c r="I98" s="563">
        <f t="shared" si="6"/>
        <v>501.7889500727494</v>
      </c>
      <c r="J98" s="563">
        <f t="shared" si="6"/>
        <v>388.27472421443264</v>
      </c>
      <c r="K98" s="563">
        <f t="shared" si="6"/>
        <v>300.43958011019754</v>
      </c>
      <c r="L98" s="563">
        <f t="shared" si="6"/>
        <v>232.47441995977493</v>
      </c>
      <c r="M98" s="563">
        <f t="shared" si="6"/>
        <v>179.88427462124332</v>
      </c>
      <c r="N98" s="563">
        <f t="shared" si="6"/>
        <v>139.19102265793308</v>
      </c>
      <c r="O98" s="563">
        <f t="shared" si="6"/>
        <v>107.70336000383915</v>
      </c>
    </row>
    <row r="99" spans="2:15">
      <c r="C99" s="530" t="s">
        <v>768</v>
      </c>
      <c r="F99" s="563">
        <f>F$42</f>
        <v>828.54657487902409</v>
      </c>
      <c r="G99" s="563">
        <f t="shared" ref="G99:O99" si="7">G$42</f>
        <v>645.77289588411463</v>
      </c>
      <c r="H99" s="563">
        <f t="shared" si="7"/>
        <v>495.88758312334966</v>
      </c>
      <c r="I99" s="563">
        <f t="shared" si="7"/>
        <v>383.12064593855996</v>
      </c>
      <c r="J99" s="563">
        <f t="shared" si="7"/>
        <v>296.45145258994444</v>
      </c>
      <c r="K99" s="563">
        <f t="shared" si="7"/>
        <v>229.38848290828395</v>
      </c>
      <c r="L99" s="563">
        <f t="shared" si="7"/>
        <v>177.49643535647462</v>
      </c>
      <c r="M99" s="563">
        <f t="shared" si="7"/>
        <v>137.34335815304101</v>
      </c>
      <c r="N99" s="563">
        <f t="shared" si="7"/>
        <v>106.27367243105833</v>
      </c>
      <c r="O99" s="563">
        <f t="shared" si="7"/>
        <v>82.232541885272198</v>
      </c>
    </row>
    <row r="100" spans="2:15">
      <c r="C100" s="121" t="s">
        <v>765</v>
      </c>
      <c r="F100" s="577" t="e">
        <f t="shared" ref="F100:O100" si="8">F$98*F$54</f>
        <v>#REF!</v>
      </c>
      <c r="G100" s="577" t="e">
        <f t="shared" si="8"/>
        <v>#REF!</v>
      </c>
      <c r="H100" s="577" t="e">
        <f t="shared" si="8"/>
        <v>#REF!</v>
      </c>
      <c r="I100" s="577" t="e">
        <f t="shared" si="8"/>
        <v>#REF!</v>
      </c>
      <c r="J100" s="577" t="e">
        <f t="shared" si="8"/>
        <v>#REF!</v>
      </c>
      <c r="K100" s="577" t="e">
        <f t="shared" si="8"/>
        <v>#REF!</v>
      </c>
      <c r="L100" s="577" t="e">
        <f t="shared" si="8"/>
        <v>#REF!</v>
      </c>
      <c r="M100" s="577" t="e">
        <f t="shared" si="8"/>
        <v>#REF!</v>
      </c>
      <c r="N100" s="577" t="e">
        <f t="shared" si="8"/>
        <v>#REF!</v>
      </c>
      <c r="O100" s="577" t="e">
        <f t="shared" si="8"/>
        <v>#REF!</v>
      </c>
    </row>
    <row r="101" spans="2:15">
      <c r="C101" s="121" t="s">
        <v>766</v>
      </c>
      <c r="F101" s="577" t="e">
        <f t="shared" ref="F101:O101" si="9">F$98*F$55</f>
        <v>#REF!</v>
      </c>
      <c r="G101" s="577" t="e">
        <f t="shared" si="9"/>
        <v>#REF!</v>
      </c>
      <c r="H101" s="577" t="e">
        <f t="shared" si="9"/>
        <v>#REF!</v>
      </c>
      <c r="I101" s="577" t="e">
        <f t="shared" si="9"/>
        <v>#REF!</v>
      </c>
      <c r="J101" s="577" t="e">
        <f t="shared" si="9"/>
        <v>#REF!</v>
      </c>
      <c r="K101" s="577" t="e">
        <f t="shared" si="9"/>
        <v>#REF!</v>
      </c>
      <c r="L101" s="577" t="e">
        <f t="shared" si="9"/>
        <v>#REF!</v>
      </c>
      <c r="M101" s="577" t="e">
        <f t="shared" si="9"/>
        <v>#REF!</v>
      </c>
      <c r="N101" s="577" t="e">
        <f t="shared" si="9"/>
        <v>#REF!</v>
      </c>
      <c r="O101" s="577" t="e">
        <f t="shared" si="9"/>
        <v>#REF!</v>
      </c>
    </row>
    <row r="102" spans="2:15">
      <c r="F102" s="577"/>
      <c r="G102" s="577"/>
      <c r="H102" s="577"/>
      <c r="I102" s="577"/>
      <c r="J102" s="577"/>
      <c r="K102" s="577"/>
      <c r="L102" s="577"/>
      <c r="M102" s="577"/>
      <c r="N102" s="577"/>
      <c r="O102" s="577"/>
    </row>
    <row r="103" spans="2:15">
      <c r="B103" s="121">
        <v>3</v>
      </c>
      <c r="C103" s="121" t="s">
        <v>904</v>
      </c>
      <c r="F103" s="577"/>
      <c r="G103" s="577"/>
      <c r="H103" s="577"/>
      <c r="I103" s="577"/>
      <c r="J103" s="577"/>
      <c r="K103" s="577"/>
      <c r="L103" s="577"/>
      <c r="M103" s="577"/>
      <c r="N103" s="577"/>
      <c r="O103" s="577"/>
    </row>
    <row r="104" spans="2:15" ht="17">
      <c r="C104" s="121" t="s">
        <v>951</v>
      </c>
      <c r="E104" s="121" t="s">
        <v>832</v>
      </c>
      <c r="F104" s="577">
        <f t="shared" ref="F104:O104" si="10">(F$92/$F$92)*$F$60*GWP.CH4</f>
        <v>2.6403129612517775</v>
      </c>
      <c r="G104" s="577">
        <f t="shared" si="10"/>
        <v>2.7153288525823629</v>
      </c>
      <c r="H104" s="577">
        <f t="shared" si="10"/>
        <v>2.7153288525823629</v>
      </c>
      <c r="I104" s="577">
        <f t="shared" si="10"/>
        <v>2.7153288525823629</v>
      </c>
      <c r="J104" s="577">
        <f t="shared" si="10"/>
        <v>2.7153288525823629</v>
      </c>
      <c r="K104" s="577">
        <f t="shared" si="10"/>
        <v>1.3576644262911814</v>
      </c>
      <c r="L104" s="577">
        <f t="shared" si="10"/>
        <v>1.3576644262911814</v>
      </c>
      <c r="M104" s="577">
        <f t="shared" si="10"/>
        <v>1.3576644262911814</v>
      </c>
      <c r="N104" s="577">
        <f t="shared" si="10"/>
        <v>1.3576644262911814</v>
      </c>
      <c r="O104" s="577">
        <f t="shared" si="10"/>
        <v>1.3576644262911814</v>
      </c>
    </row>
    <row r="105" spans="2:15">
      <c r="C105" s="121" t="s">
        <v>952</v>
      </c>
      <c r="E105" s="121" t="s">
        <v>831</v>
      </c>
      <c r="F105" s="577">
        <f t="shared" ref="F105:O105" si="11">(F$98/$F$98)*$F$61</f>
        <v>5.0916819860234304</v>
      </c>
      <c r="G105" s="577">
        <f t="shared" si="11"/>
        <v>4.1872689490573993</v>
      </c>
      <c r="H105" s="577">
        <f t="shared" si="11"/>
        <v>3.3748093460418316</v>
      </c>
      <c r="I105" s="577">
        <f t="shared" si="11"/>
        <v>2.6180682190911111</v>
      </c>
      <c r="J105" s="577">
        <f t="shared" si="11"/>
        <v>2.0258112810072748</v>
      </c>
      <c r="K105" s="577">
        <f t="shared" si="11"/>
        <v>1.5675341522158845</v>
      </c>
      <c r="L105" s="577">
        <f t="shared" si="11"/>
        <v>1.2129280458648746</v>
      </c>
      <c r="M105" s="577">
        <f t="shared" si="11"/>
        <v>0.93854060044936538</v>
      </c>
      <c r="N105" s="577">
        <f t="shared" si="11"/>
        <v>0.72622482569752267</v>
      </c>
      <c r="O105" s="577">
        <f t="shared" si="11"/>
        <v>0.56193892646400301</v>
      </c>
    </row>
    <row r="106" spans="2:15">
      <c r="C106" s="121" t="s">
        <v>953</v>
      </c>
      <c r="F106" s="577"/>
      <c r="G106" s="577"/>
      <c r="H106" s="577"/>
      <c r="I106" s="577"/>
      <c r="J106" s="577"/>
      <c r="K106" s="577"/>
      <c r="L106" s="577"/>
      <c r="M106" s="577"/>
      <c r="N106" s="577"/>
      <c r="O106" s="577"/>
    </row>
    <row r="107" spans="2:15">
      <c r="D107" s="121" t="s">
        <v>811</v>
      </c>
      <c r="E107" s="121" t="s">
        <v>831</v>
      </c>
      <c r="F107" s="577" t="e">
        <f>F$101*INDEX(EF[CO2], MATCH("V.05",  EF[Vector], 0))</f>
        <v>#REF!</v>
      </c>
      <c r="G107" s="577" t="e">
        <f>G$101*INDEX(EF[CO2], MATCH("V.05",  EF[Vector], 0))</f>
        <v>#REF!</v>
      </c>
      <c r="H107" s="577" t="e">
        <f>H$101*INDEX(EF[CO2], MATCH("V.05",  EF[Vector], 0))</f>
        <v>#REF!</v>
      </c>
      <c r="I107" s="577" t="e">
        <f>I$101*INDEX(EF[CO2], MATCH("V.05",  EF[Vector], 0))</f>
        <v>#REF!</v>
      </c>
      <c r="J107" s="577" t="e">
        <f>J$101*INDEX(EF[CO2], MATCH("V.05",  EF[Vector], 0))</f>
        <v>#REF!</v>
      </c>
      <c r="K107" s="577" t="e">
        <f>K$101*INDEX(EF[CO2], MATCH("V.05",  EF[Vector], 0))</f>
        <v>#REF!</v>
      </c>
      <c r="L107" s="577" t="e">
        <f>L$101*INDEX(EF[CO2], MATCH("V.05",  EF[Vector], 0))</f>
        <v>#REF!</v>
      </c>
      <c r="M107" s="577" t="e">
        <f>M$101*INDEX(EF[CO2], MATCH("V.05",  EF[Vector], 0))</f>
        <v>#REF!</v>
      </c>
      <c r="N107" s="577" t="e">
        <f>N$101*INDEX(EF[CO2], MATCH("V.05",  EF[Vector], 0))</f>
        <v>#REF!</v>
      </c>
      <c r="O107" s="577" t="e">
        <f>O$101*INDEX(EF[CO2], MATCH("V.05",  EF[Vector], 0))</f>
        <v>#REF!</v>
      </c>
    </row>
    <row r="108" spans="2:15">
      <c r="D108" s="121" t="s">
        <v>812</v>
      </c>
      <c r="F108" s="577" t="e">
        <f>F$101*INDEX(EF[CH4], MATCH("V.05",  EF[Vector], 0))</f>
        <v>#REF!</v>
      </c>
      <c r="G108" s="577" t="e">
        <f>G$101*INDEX(EF[CH4], MATCH("V.05",  EF[Vector], 0))</f>
        <v>#REF!</v>
      </c>
      <c r="H108" s="577" t="e">
        <f>H$101*INDEX(EF[CH4], MATCH("V.05",  EF[Vector], 0))</f>
        <v>#REF!</v>
      </c>
      <c r="I108" s="577" t="e">
        <f>I$101*INDEX(EF[CH4], MATCH("V.05",  EF[Vector], 0))</f>
        <v>#REF!</v>
      </c>
      <c r="J108" s="577" t="e">
        <f>J$101*INDEX(EF[CH4], MATCH("V.05",  EF[Vector], 0))</f>
        <v>#REF!</v>
      </c>
      <c r="K108" s="577" t="e">
        <f>K$101*INDEX(EF[CH4], MATCH("V.05",  EF[Vector], 0))</f>
        <v>#REF!</v>
      </c>
      <c r="L108" s="577" t="e">
        <f>L$101*INDEX(EF[CH4], MATCH("V.05",  EF[Vector], 0))</f>
        <v>#REF!</v>
      </c>
      <c r="M108" s="577" t="e">
        <f>M$101*INDEX(EF[CH4], MATCH("V.05",  EF[Vector], 0))</f>
        <v>#REF!</v>
      </c>
      <c r="N108" s="577" t="e">
        <f>N$101*INDEX(EF[CH4], MATCH("V.05",  EF[Vector], 0))</f>
        <v>#REF!</v>
      </c>
      <c r="O108" s="577" t="e">
        <f>O$101*INDEX(EF[CH4], MATCH("V.05",  EF[Vector], 0))</f>
        <v>#REF!</v>
      </c>
    </row>
    <row r="109" spans="2:15">
      <c r="D109" s="121" t="s">
        <v>813</v>
      </c>
      <c r="F109" s="577" t="e">
        <f>F$101*INDEX(EF[N2O], MATCH("V.05",  EF[Vector], 0))</f>
        <v>#REF!</v>
      </c>
      <c r="G109" s="577" t="e">
        <f>G$101*INDEX(EF[N2O], MATCH("V.05",  EF[Vector], 0))</f>
        <v>#REF!</v>
      </c>
      <c r="H109" s="577" t="e">
        <f>H$101*INDEX(EF[N2O], MATCH("V.05",  EF[Vector], 0))</f>
        <v>#REF!</v>
      </c>
      <c r="I109" s="577" t="e">
        <f>I$101*INDEX(EF[N2O], MATCH("V.05",  EF[Vector], 0))</f>
        <v>#REF!</v>
      </c>
      <c r="J109" s="577" t="e">
        <f>J$101*INDEX(EF[N2O], MATCH("V.05",  EF[Vector], 0))</f>
        <v>#REF!</v>
      </c>
      <c r="K109" s="577" t="e">
        <f>K$101*INDEX(EF[N2O], MATCH("V.05",  EF[Vector], 0))</f>
        <v>#REF!</v>
      </c>
      <c r="L109" s="577" t="e">
        <f>L$101*INDEX(EF[N2O], MATCH("V.05",  EF[Vector], 0))</f>
        <v>#REF!</v>
      </c>
      <c r="M109" s="577" t="e">
        <f>M$101*INDEX(EF[N2O], MATCH("V.05",  EF[Vector], 0))</f>
        <v>#REF!</v>
      </c>
      <c r="N109" s="577" t="e">
        <f>N$101*INDEX(EF[N2O], MATCH("V.05",  EF[Vector], 0))</f>
        <v>#REF!</v>
      </c>
      <c r="O109" s="577" t="e">
        <f>O$101*INDEX(EF[N2O], MATCH("V.05",  EF[Vector], 0))</f>
        <v>#REF!</v>
      </c>
    </row>
    <row r="110" spans="2:15" s="1790" customFormat="1"/>
    <row r="111" spans="2:15" s="1790" customFormat="1">
      <c r="B111" s="24">
        <v>4</v>
      </c>
      <c r="C111" s="1790" t="s">
        <v>2022</v>
      </c>
      <c r="F111" s="577"/>
      <c r="G111" s="577"/>
      <c r="H111" s="577"/>
      <c r="I111" s="577"/>
      <c r="J111" s="577"/>
      <c r="K111" s="577"/>
      <c r="L111" s="577"/>
      <c r="M111" s="577"/>
      <c r="N111" s="577"/>
      <c r="O111" s="577"/>
    </row>
    <row r="112" spans="2:15" s="1790" customFormat="1">
      <c r="F112" s="577"/>
      <c r="G112" s="577"/>
      <c r="H112" s="577"/>
      <c r="I112" s="577"/>
      <c r="J112" s="577"/>
      <c r="K112" s="577"/>
      <c r="L112" s="577"/>
      <c r="M112" s="577"/>
      <c r="N112" s="577"/>
      <c r="O112" s="577"/>
    </row>
    <row r="113" spans="1:16" s="1790" customFormat="1">
      <c r="C113" s="1790" t="s">
        <v>1155</v>
      </c>
      <c r="F113" s="20" t="s">
        <v>576</v>
      </c>
      <c r="G113" s="20" t="s">
        <v>577</v>
      </c>
      <c r="H113" s="20" t="s">
        <v>604</v>
      </c>
      <c r="I113" s="20" t="s">
        <v>605</v>
      </c>
      <c r="J113" s="20" t="s">
        <v>606</v>
      </c>
      <c r="K113" s="20" t="s">
        <v>607</v>
      </c>
      <c r="L113" s="20" t="s">
        <v>608</v>
      </c>
      <c r="M113" s="20" t="s">
        <v>609</v>
      </c>
      <c r="N113" s="20" t="s">
        <v>610</v>
      </c>
      <c r="O113" s="20" t="s">
        <v>611</v>
      </c>
    </row>
    <row r="114" spans="1:16" s="1790" customFormat="1">
      <c r="C114" s="1790" t="s">
        <v>125</v>
      </c>
      <c r="E114" s="1790" t="str">
        <f>Preferences.moneyunits</f>
        <v>£m</v>
      </c>
      <c r="F114" s="1639">
        <f>F92*$J77</f>
        <v>565.06518562105441</v>
      </c>
      <c r="G114" s="1639">
        <f t="shared" ref="G114:O114" si="12">G92*$J77</f>
        <v>581.11967203282791</v>
      </c>
      <c r="H114" s="1639">
        <f t="shared" si="12"/>
        <v>581.11967203282791</v>
      </c>
      <c r="I114" s="1639">
        <f t="shared" si="12"/>
        <v>581.11967203282791</v>
      </c>
      <c r="J114" s="1639">
        <f t="shared" si="12"/>
        <v>581.11967203282791</v>
      </c>
      <c r="K114" s="1639">
        <f t="shared" si="12"/>
        <v>290.55983601641395</v>
      </c>
      <c r="L114" s="1639">
        <f t="shared" si="12"/>
        <v>290.55983601641395</v>
      </c>
      <c r="M114" s="1639">
        <f t="shared" si="12"/>
        <v>290.55983601641395</v>
      </c>
      <c r="N114" s="1639">
        <f t="shared" si="12"/>
        <v>290.55983601641395</v>
      </c>
      <c r="O114" s="1639">
        <f t="shared" si="12"/>
        <v>290.55983601641395</v>
      </c>
    </row>
    <row r="115" spans="1:16" s="1790" customFormat="1">
      <c r="C115" s="1790" t="s">
        <v>186</v>
      </c>
      <c r="E115" s="1790" t="str">
        <f>Preferences.moneyunits</f>
        <v>£m</v>
      </c>
      <c r="F115" s="1639">
        <f>F98*$J78</f>
        <v>23131.624228935554</v>
      </c>
      <c r="G115" s="1639">
        <f t="shared" ref="G115:O115" si="13">G98*$J78</f>
        <v>19022.855736269448</v>
      </c>
      <c r="H115" s="1639">
        <f t="shared" si="13"/>
        <v>15331.833734162074</v>
      </c>
      <c r="I115" s="1639">
        <f t="shared" si="13"/>
        <v>11893.942005013394</v>
      </c>
      <c r="J115" s="1639">
        <f t="shared" si="13"/>
        <v>9203.3055952098912</v>
      </c>
      <c r="K115" s="1639">
        <f t="shared" si="13"/>
        <v>7121.3424315605034</v>
      </c>
      <c r="L115" s="1639">
        <f t="shared" si="13"/>
        <v>5510.3590229514139</v>
      </c>
      <c r="M115" s="1639">
        <f t="shared" si="13"/>
        <v>4263.8107707409281</v>
      </c>
      <c r="N115" s="1639">
        <f t="shared" si="13"/>
        <v>3299.255495506512</v>
      </c>
      <c r="O115" s="1639">
        <f t="shared" si="13"/>
        <v>2552.9010103650548</v>
      </c>
    </row>
    <row r="116" spans="1:16" s="1790" customFormat="1">
      <c r="C116" s="24" t="s">
        <v>14</v>
      </c>
      <c r="E116" s="1790" t="str">
        <f>Preferences.moneyunits</f>
        <v>£m</v>
      </c>
      <c r="F116" s="1639">
        <f>F99*$J79</f>
        <v>10183.356754661369</v>
      </c>
      <c r="G116" s="1639">
        <f t="shared" ref="G116:O116" si="14">G99*$J79</f>
        <v>7936.9536736530608</v>
      </c>
      <c r="H116" s="1639">
        <f t="shared" si="14"/>
        <v>6094.7692287415266</v>
      </c>
      <c r="I116" s="1639">
        <f t="shared" si="14"/>
        <v>4708.7928861914752</v>
      </c>
      <c r="J116" s="1639">
        <f t="shared" si="14"/>
        <v>3643.57417397057</v>
      </c>
      <c r="K116" s="1639">
        <f t="shared" si="14"/>
        <v>2819.328240185735</v>
      </c>
      <c r="L116" s="1639">
        <f t="shared" si="14"/>
        <v>2181.5424488111421</v>
      </c>
      <c r="M116" s="1639">
        <f t="shared" si="14"/>
        <v>1688.0359612371306</v>
      </c>
      <c r="N116" s="1639">
        <f t="shared" si="14"/>
        <v>1306.1700486197803</v>
      </c>
      <c r="O116" s="1639">
        <f t="shared" si="14"/>
        <v>1010.689484755434</v>
      </c>
    </row>
    <row r="117" spans="1:16" s="1790" customFormat="1">
      <c r="C117" s="24" t="s">
        <v>132</v>
      </c>
      <c r="E117" s="1790" t="str">
        <f>Preferences.moneyunits</f>
        <v>£m</v>
      </c>
      <c r="F117" s="1639">
        <f>SUM(F114:F116)</f>
        <v>33880.046169217974</v>
      </c>
      <c r="G117" s="1639">
        <f t="shared" ref="G117:O117" si="15">SUM(G114:G116)</f>
        <v>27540.929081955335</v>
      </c>
      <c r="H117" s="1639">
        <f t="shared" si="15"/>
        <v>22007.722634936428</v>
      </c>
      <c r="I117" s="1639">
        <f t="shared" si="15"/>
        <v>17183.854563237699</v>
      </c>
      <c r="J117" s="1639">
        <f t="shared" si="15"/>
        <v>13427.999441213289</v>
      </c>
      <c r="K117" s="1639">
        <f t="shared" si="15"/>
        <v>10231.230507762652</v>
      </c>
      <c r="L117" s="1639">
        <f t="shared" si="15"/>
        <v>7982.46130777897</v>
      </c>
      <c r="M117" s="1639">
        <f t="shared" si="15"/>
        <v>6242.4065679944724</v>
      </c>
      <c r="N117" s="1639">
        <f t="shared" si="15"/>
        <v>4895.9853801427062</v>
      </c>
      <c r="O117" s="1639">
        <f t="shared" si="15"/>
        <v>3854.1503311369029</v>
      </c>
    </row>
    <row r="118" spans="1:16" s="1790" customFormat="1">
      <c r="C118" s="24"/>
      <c r="F118" s="577"/>
      <c r="G118" s="577"/>
      <c r="H118" s="577"/>
      <c r="I118" s="577"/>
      <c r="J118" s="577"/>
      <c r="K118" s="577"/>
      <c r="L118" s="577"/>
      <c r="M118" s="577"/>
      <c r="N118" s="577"/>
      <c r="O118" s="577"/>
    </row>
    <row r="119" spans="1:16" s="1790" customFormat="1">
      <c r="C119" s="1790" t="s">
        <v>1156</v>
      </c>
      <c r="F119" s="20" t="s">
        <v>576</v>
      </c>
      <c r="G119" s="20" t="s">
        <v>577</v>
      </c>
      <c r="H119" s="20" t="s">
        <v>604</v>
      </c>
      <c r="I119" s="20" t="s">
        <v>605</v>
      </c>
      <c r="J119" s="20" t="s">
        <v>606</v>
      </c>
      <c r="K119" s="20" t="s">
        <v>607</v>
      </c>
      <c r="L119" s="20" t="s">
        <v>608</v>
      </c>
      <c r="M119" s="20" t="s">
        <v>609</v>
      </c>
      <c r="N119" s="20" t="s">
        <v>610</v>
      </c>
      <c r="O119" s="20" t="s">
        <v>611</v>
      </c>
    </row>
    <row r="120" spans="1:16" s="1790" customFormat="1">
      <c r="C120" s="1790" t="s">
        <v>125</v>
      </c>
      <c r="E120" s="1790" t="str">
        <f>Preferences.moneyunits</f>
        <v>£m</v>
      </c>
      <c r="F120" s="1639">
        <f>F92*$K77</f>
        <v>1465.63782520461</v>
      </c>
      <c r="G120" s="1639">
        <f t="shared" ref="G120:O120" si="16">G92*$K77</f>
        <v>1507.2791493351474</v>
      </c>
      <c r="H120" s="1639">
        <f t="shared" si="16"/>
        <v>1507.2791493351474</v>
      </c>
      <c r="I120" s="1639">
        <f t="shared" si="16"/>
        <v>1507.2791493351474</v>
      </c>
      <c r="J120" s="1639">
        <f t="shared" si="16"/>
        <v>1507.2791493351474</v>
      </c>
      <c r="K120" s="1639">
        <f t="shared" si="16"/>
        <v>753.6395746675737</v>
      </c>
      <c r="L120" s="1639">
        <f t="shared" si="16"/>
        <v>753.6395746675737</v>
      </c>
      <c r="M120" s="1639">
        <f t="shared" si="16"/>
        <v>753.6395746675737</v>
      </c>
      <c r="N120" s="1639">
        <f t="shared" si="16"/>
        <v>753.6395746675737</v>
      </c>
      <c r="O120" s="1639">
        <f t="shared" si="16"/>
        <v>753.6395746675737</v>
      </c>
    </row>
    <row r="121" spans="1:16" s="1790" customFormat="1">
      <c r="C121" s="1790" t="s">
        <v>186</v>
      </c>
      <c r="E121" s="1790" t="str">
        <f>Preferences.moneyunits</f>
        <v>£m</v>
      </c>
      <c r="F121" s="1639">
        <f>F98*$K78</f>
        <v>58985.641783785657</v>
      </c>
      <c r="G121" s="1639">
        <f t="shared" ref="G121:O121" si="17">G98*$K78</f>
        <v>48508.282127487095</v>
      </c>
      <c r="H121" s="1639">
        <f t="shared" si="17"/>
        <v>39096.176022113286</v>
      </c>
      <c r="I121" s="1639">
        <f t="shared" si="17"/>
        <v>30329.552112784153</v>
      </c>
      <c r="J121" s="1639">
        <f t="shared" si="17"/>
        <v>23468.429267785225</v>
      </c>
      <c r="K121" s="1639">
        <f t="shared" si="17"/>
        <v>18159.423200479283</v>
      </c>
      <c r="L121" s="1639">
        <f t="shared" si="17"/>
        <v>14051.415508526106</v>
      </c>
      <c r="M121" s="1639">
        <f t="shared" si="17"/>
        <v>10872.717465389367</v>
      </c>
      <c r="N121" s="1639">
        <f t="shared" si="17"/>
        <v>8413.1015135416055</v>
      </c>
      <c r="O121" s="1639">
        <f t="shared" si="17"/>
        <v>6509.8975764308898</v>
      </c>
    </row>
    <row r="122" spans="1:16" s="1790" customFormat="1">
      <c r="C122" s="24" t="s">
        <v>14</v>
      </c>
      <c r="E122" s="1790" t="str">
        <f>Preferences.moneyunits</f>
        <v>£m</v>
      </c>
      <c r="F122" s="1639">
        <f>F99*$K79</f>
        <v>35205.319066115015</v>
      </c>
      <c r="G122" s="1639">
        <f t="shared" ref="G122:O122" si="18">G99*$K79</f>
        <v>27439.182700343437</v>
      </c>
      <c r="H122" s="1639">
        <f t="shared" si="18"/>
        <v>21070.487905077847</v>
      </c>
      <c r="I122" s="1639">
        <f t="shared" si="18"/>
        <v>16278.969692261957</v>
      </c>
      <c r="J122" s="1639">
        <f t="shared" si="18"/>
        <v>12596.35643001254</v>
      </c>
      <c r="K122" s="1639">
        <f t="shared" si="18"/>
        <v>9746.8204874992534</v>
      </c>
      <c r="L122" s="1639">
        <f t="shared" si="18"/>
        <v>7541.9038944613776</v>
      </c>
      <c r="M122" s="1639">
        <f t="shared" si="18"/>
        <v>5835.7814659912228</v>
      </c>
      <c r="N122" s="1639">
        <f t="shared" si="18"/>
        <v>4515.616453799812</v>
      </c>
      <c r="O122" s="1639">
        <f t="shared" si="18"/>
        <v>3494.0979330116434</v>
      </c>
    </row>
    <row r="123" spans="1:16" s="1790" customFormat="1">
      <c r="C123" s="24" t="s">
        <v>132</v>
      </c>
      <c r="E123" s="1790" t="str">
        <f>Preferences.moneyunits</f>
        <v>£m</v>
      </c>
      <c r="F123" s="1639">
        <f>SUM(F120:F122)</f>
        <v>95656.598675105284</v>
      </c>
      <c r="G123" s="1639">
        <f t="shared" ref="G123:O123" si="19">SUM(G120:G122)</f>
        <v>77454.743977165679</v>
      </c>
      <c r="H123" s="1639">
        <f t="shared" si="19"/>
        <v>61673.94307652628</v>
      </c>
      <c r="I123" s="1639">
        <f t="shared" si="19"/>
        <v>48115.800954381259</v>
      </c>
      <c r="J123" s="1639">
        <f t="shared" si="19"/>
        <v>37572.064847132911</v>
      </c>
      <c r="K123" s="1639">
        <f t="shared" si="19"/>
        <v>28659.883262646108</v>
      </c>
      <c r="L123" s="1639">
        <f t="shared" si="19"/>
        <v>22346.958977655057</v>
      </c>
      <c r="M123" s="1639">
        <f t="shared" si="19"/>
        <v>17462.138506048163</v>
      </c>
      <c r="N123" s="1639">
        <f t="shared" si="19"/>
        <v>13682.357542008991</v>
      </c>
      <c r="O123" s="1639">
        <f t="shared" si="19"/>
        <v>10757.635084110107</v>
      </c>
    </row>
    <row r="124" spans="1:16" s="1790" customFormat="1">
      <c r="D124" s="1790" t="s">
        <v>2015</v>
      </c>
      <c r="F124" s="563"/>
    </row>
    <row r="125" spans="1:16">
      <c r="F125" s="577"/>
      <c r="G125" s="563"/>
      <c r="H125" s="563"/>
      <c r="I125" s="563"/>
      <c r="J125" s="563"/>
      <c r="K125" s="563"/>
      <c r="L125" s="563"/>
      <c r="M125" s="563"/>
      <c r="N125" s="563"/>
      <c r="O125" s="563"/>
    </row>
    <row r="127" spans="1:16" ht="22">
      <c r="A127" s="851"/>
      <c r="B127" s="899" t="s">
        <v>572</v>
      </c>
      <c r="C127" s="863"/>
      <c r="D127" s="863"/>
      <c r="E127" s="863"/>
      <c r="F127" s="863"/>
      <c r="G127" s="863"/>
      <c r="H127" s="863"/>
      <c r="I127" s="863"/>
      <c r="J127" s="863"/>
      <c r="K127" s="863"/>
      <c r="L127" s="863"/>
      <c r="M127" s="863"/>
      <c r="N127" s="863"/>
      <c r="O127" s="863"/>
      <c r="P127" s="865"/>
    </row>
    <row r="128" spans="1:16">
      <c r="B128" s="852"/>
      <c r="C128" s="854"/>
      <c r="D128" s="854"/>
      <c r="E128" s="854"/>
      <c r="F128" s="854"/>
      <c r="G128" s="854"/>
      <c r="H128" s="854"/>
      <c r="I128" s="854"/>
      <c r="J128" s="854"/>
      <c r="K128" s="854"/>
      <c r="L128" s="854"/>
      <c r="M128" s="854"/>
      <c r="N128" s="854"/>
      <c r="O128" s="854"/>
      <c r="P128" s="856"/>
    </row>
    <row r="129" spans="1:16">
      <c r="B129" s="852"/>
      <c r="C129" s="866"/>
      <c r="D129" s="854"/>
      <c r="E129" s="855"/>
      <c r="F129" s="854"/>
      <c r="G129" s="855"/>
      <c r="H129" s="854"/>
      <c r="I129" s="854"/>
      <c r="J129" s="854"/>
      <c r="K129" s="854"/>
      <c r="L129" s="854"/>
      <c r="M129" s="854"/>
      <c r="N129" s="854"/>
      <c r="O129" s="855" t="str">
        <f>Preferences.EnergyUnits</f>
        <v>TWh</v>
      </c>
      <c r="P129" s="856"/>
    </row>
    <row r="130" spans="1:16" ht="6" customHeight="1">
      <c r="B130" s="852"/>
      <c r="C130" s="854"/>
      <c r="D130" s="854"/>
      <c r="E130" s="854"/>
      <c r="F130" s="854"/>
      <c r="G130" s="854"/>
      <c r="H130" s="854"/>
      <c r="I130" s="854"/>
      <c r="J130" s="854"/>
      <c r="K130" s="854"/>
      <c r="L130" s="854"/>
      <c r="M130" s="854"/>
      <c r="N130" s="854"/>
      <c r="O130" s="854"/>
      <c r="P130" s="856"/>
    </row>
    <row r="131" spans="1:16" ht="15">
      <c r="A131" s="3"/>
      <c r="B131" s="857"/>
      <c r="C131" s="868" t="s">
        <v>72</v>
      </c>
      <c r="D131" s="868" t="s">
        <v>399</v>
      </c>
      <c r="E131" s="868" t="s">
        <v>421</v>
      </c>
      <c r="F131" s="868" t="s">
        <v>576</v>
      </c>
      <c r="G131" s="868" t="s">
        <v>577</v>
      </c>
      <c r="H131" s="869" t="s">
        <v>604</v>
      </c>
      <c r="I131" s="869" t="s">
        <v>605</v>
      </c>
      <c r="J131" s="869" t="s">
        <v>606</v>
      </c>
      <c r="K131" s="869" t="s">
        <v>607</v>
      </c>
      <c r="L131" s="869" t="s">
        <v>608</v>
      </c>
      <c r="M131" s="869" t="s">
        <v>609</v>
      </c>
      <c r="N131" s="869" t="s">
        <v>610</v>
      </c>
      <c r="O131" s="869" t="s">
        <v>611</v>
      </c>
      <c r="P131" s="856"/>
    </row>
    <row r="132" spans="1:16" ht="15">
      <c r="A132" s="3"/>
      <c r="B132" s="857"/>
      <c r="C132" s="868" t="s">
        <v>13</v>
      </c>
      <c r="D132" s="868" t="str">
        <f>INDEX(Vectors[Description], MATCH(XV.b.Outputs[Vector], Vectors[Code], 0))</f>
        <v>Industry</v>
      </c>
      <c r="E132" s="868"/>
      <c r="F132" s="914" t="e">
        <f>F$93+F$94+F$95+F$100+F$101</f>
        <v>#REF!</v>
      </c>
      <c r="G132" s="914" t="e">
        <f t="shared" ref="G132:O132" si="20">G$93+G$94+G$95+G$100+G$101</f>
        <v>#REF!</v>
      </c>
      <c r="H132" s="914" t="e">
        <f t="shared" si="20"/>
        <v>#REF!</v>
      </c>
      <c r="I132" s="914" t="e">
        <f t="shared" si="20"/>
        <v>#REF!</v>
      </c>
      <c r="J132" s="914" t="e">
        <f t="shared" si="20"/>
        <v>#REF!</v>
      </c>
      <c r="K132" s="914" t="e">
        <f t="shared" si="20"/>
        <v>#REF!</v>
      </c>
      <c r="L132" s="914" t="e">
        <f t="shared" si="20"/>
        <v>#REF!</v>
      </c>
      <c r="M132" s="914" t="e">
        <f t="shared" si="20"/>
        <v>#REF!</v>
      </c>
      <c r="N132" s="914" t="e">
        <f t="shared" si="20"/>
        <v>#REF!</v>
      </c>
      <c r="O132" s="914" t="e">
        <f t="shared" si="20"/>
        <v>#REF!</v>
      </c>
      <c r="P132" s="856"/>
    </row>
    <row r="133" spans="1:16" ht="15">
      <c r="A133" s="3"/>
      <c r="B133" s="857"/>
      <c r="C133" s="546" t="s">
        <v>40</v>
      </c>
      <c r="D133" s="546" t="str">
        <f>INDEX(Vectors[Description], MATCH(XV.b.Outputs[Vector], Vectors[Code], 0))</f>
        <v>Electricity (delivered to end user)</v>
      </c>
      <c r="E133" s="546"/>
      <c r="F133" s="652" t="e">
        <f t="shared" ref="F133:O133" si="21">-(F$93+F$100)</f>
        <v>#REF!</v>
      </c>
      <c r="G133" s="652" t="e">
        <f t="shared" si="21"/>
        <v>#REF!</v>
      </c>
      <c r="H133" s="652" t="e">
        <f t="shared" si="21"/>
        <v>#REF!</v>
      </c>
      <c r="I133" s="652" t="e">
        <f t="shared" si="21"/>
        <v>#REF!</v>
      </c>
      <c r="J133" s="652" t="e">
        <f t="shared" si="21"/>
        <v>#REF!</v>
      </c>
      <c r="K133" s="652" t="e">
        <f t="shared" si="21"/>
        <v>#REF!</v>
      </c>
      <c r="L133" s="652" t="e">
        <f t="shared" si="21"/>
        <v>#REF!</v>
      </c>
      <c r="M133" s="652" t="e">
        <f t="shared" si="21"/>
        <v>#REF!</v>
      </c>
      <c r="N133" s="652" t="e">
        <f t="shared" si="21"/>
        <v>#REF!</v>
      </c>
      <c r="O133" s="652" t="e">
        <f t="shared" si="21"/>
        <v>#REF!</v>
      </c>
      <c r="P133" s="856"/>
    </row>
    <row r="134" spans="1:16" ht="15">
      <c r="A134" s="3"/>
      <c r="B134" s="857"/>
      <c r="C134" s="546" t="s">
        <v>42</v>
      </c>
      <c r="D134" s="546" t="str">
        <f>INDEX(Vectors[Description], MATCH(XV.b.Outputs[Vector], Vectors[Code], 0))</f>
        <v>Solid hydrocarbons</v>
      </c>
      <c r="E134" s="546"/>
      <c r="F134" s="652" t="e">
        <f t="shared" ref="F134:O134" si="22">-F$94</f>
        <v>#REF!</v>
      </c>
      <c r="G134" s="652" t="e">
        <f t="shared" si="22"/>
        <v>#REF!</v>
      </c>
      <c r="H134" s="652" t="e">
        <f t="shared" si="22"/>
        <v>#REF!</v>
      </c>
      <c r="I134" s="652" t="e">
        <f t="shared" si="22"/>
        <v>#REF!</v>
      </c>
      <c r="J134" s="652" t="e">
        <f t="shared" si="22"/>
        <v>#REF!</v>
      </c>
      <c r="K134" s="652" t="e">
        <f t="shared" si="22"/>
        <v>#REF!</v>
      </c>
      <c r="L134" s="652" t="e">
        <f t="shared" si="22"/>
        <v>#REF!</v>
      </c>
      <c r="M134" s="652" t="e">
        <f t="shared" si="22"/>
        <v>#REF!</v>
      </c>
      <c r="N134" s="652" t="e">
        <f t="shared" si="22"/>
        <v>#REF!</v>
      </c>
      <c r="O134" s="652" t="e">
        <f t="shared" si="22"/>
        <v>#REF!</v>
      </c>
      <c r="P134" s="856"/>
    </row>
    <row r="135" spans="1:16" ht="15">
      <c r="A135" s="3"/>
      <c r="B135" s="857"/>
      <c r="C135" s="546" t="s">
        <v>45</v>
      </c>
      <c r="D135" s="546" t="str">
        <f>INDEX(Vectors[Description], MATCH(XV.b.Outputs[Vector], Vectors[Code], 0))</f>
        <v>Gaseous hydrocarbons</v>
      </c>
      <c r="E135" s="546"/>
      <c r="F135" s="652" t="e">
        <f t="shared" ref="F135:O135" si="23">-(F$95+F$101)</f>
        <v>#REF!</v>
      </c>
      <c r="G135" s="652" t="e">
        <f t="shared" si="23"/>
        <v>#REF!</v>
      </c>
      <c r="H135" s="652" t="e">
        <f t="shared" si="23"/>
        <v>#REF!</v>
      </c>
      <c r="I135" s="652" t="e">
        <f t="shared" si="23"/>
        <v>#REF!</v>
      </c>
      <c r="J135" s="652" t="e">
        <f t="shared" si="23"/>
        <v>#REF!</v>
      </c>
      <c r="K135" s="652" t="e">
        <f t="shared" si="23"/>
        <v>#REF!</v>
      </c>
      <c r="L135" s="652" t="e">
        <f t="shared" si="23"/>
        <v>#REF!</v>
      </c>
      <c r="M135" s="652" t="e">
        <f t="shared" si="23"/>
        <v>#REF!</v>
      </c>
      <c r="N135" s="652" t="e">
        <f t="shared" si="23"/>
        <v>#REF!</v>
      </c>
      <c r="O135" s="652" t="e">
        <f t="shared" si="23"/>
        <v>#REF!</v>
      </c>
      <c r="P135" s="856"/>
    </row>
    <row r="136" spans="1:16" ht="15">
      <c r="A136" s="3"/>
      <c r="B136" s="857"/>
      <c r="C136" s="546" t="s">
        <v>58</v>
      </c>
      <c r="D136" s="546" t="str">
        <f>INDEX(Vectors[Description], MATCH(XV.b.Outputs[Vector], Vectors[Code], 0))</f>
        <v>Coal and fossil waste</v>
      </c>
      <c r="E136" s="546"/>
      <c r="F136" s="652">
        <f t="shared" ref="F136:O136" si="24">F$92</f>
        <v>124.39570139421789</v>
      </c>
      <c r="G136" s="652">
        <f t="shared" si="24"/>
        <v>127.93</v>
      </c>
      <c r="H136" s="652">
        <f t="shared" si="24"/>
        <v>127.93</v>
      </c>
      <c r="I136" s="652">
        <f t="shared" si="24"/>
        <v>127.93</v>
      </c>
      <c r="J136" s="652">
        <f t="shared" si="24"/>
        <v>127.93</v>
      </c>
      <c r="K136" s="652">
        <f t="shared" si="24"/>
        <v>63.965000000000003</v>
      </c>
      <c r="L136" s="652">
        <f t="shared" si="24"/>
        <v>63.965000000000003</v>
      </c>
      <c r="M136" s="652">
        <f t="shared" si="24"/>
        <v>63.965000000000003</v>
      </c>
      <c r="N136" s="652">
        <f t="shared" si="24"/>
        <v>63.965000000000003</v>
      </c>
      <c r="O136" s="652">
        <f t="shared" si="24"/>
        <v>63.965000000000003</v>
      </c>
      <c r="P136" s="856"/>
    </row>
    <row r="137" spans="1:16" ht="15">
      <c r="A137" s="3"/>
      <c r="B137" s="857"/>
      <c r="C137" s="546" t="s">
        <v>59</v>
      </c>
      <c r="D137" s="546" t="str">
        <f>INDEX(Vectors[Description], MATCH(XV.b.Outputs[Vector], Vectors[Code], 0))</f>
        <v>Oil and petroleum products</v>
      </c>
      <c r="E137" s="546"/>
      <c r="F137" s="652">
        <f t="shared" ref="F137:O137" si="25">F$98</f>
        <v>975.89120834979815</v>
      </c>
      <c r="G137" s="652">
        <f t="shared" si="25"/>
        <v>802.54795283721205</v>
      </c>
      <c r="H137" s="652">
        <f t="shared" si="25"/>
        <v>646.82884353331633</v>
      </c>
      <c r="I137" s="652">
        <f t="shared" si="25"/>
        <v>501.7889500727494</v>
      </c>
      <c r="J137" s="652">
        <f t="shared" si="25"/>
        <v>388.27472421443264</v>
      </c>
      <c r="K137" s="652">
        <f t="shared" si="25"/>
        <v>300.43958011019754</v>
      </c>
      <c r="L137" s="652">
        <f t="shared" si="25"/>
        <v>232.47441995977493</v>
      </c>
      <c r="M137" s="652">
        <f t="shared" si="25"/>
        <v>179.88427462124332</v>
      </c>
      <c r="N137" s="652">
        <f t="shared" si="25"/>
        <v>139.19102265793308</v>
      </c>
      <c r="O137" s="652">
        <f t="shared" si="25"/>
        <v>107.70336000383915</v>
      </c>
      <c r="P137" s="856"/>
    </row>
    <row r="138" spans="1:16" ht="15">
      <c r="A138" s="3"/>
      <c r="B138" s="857"/>
      <c r="C138" s="546" t="s">
        <v>60</v>
      </c>
      <c r="D138" s="546" t="str">
        <f>INDEX(Vectors[Description], MATCH(XV.b.Outputs[Vector], Vectors[Code], 0))</f>
        <v>Natural gas</v>
      </c>
      <c r="E138" s="546"/>
      <c r="F138" s="652">
        <f t="shared" ref="F138:O138" si="26">F$99</f>
        <v>828.54657487902409</v>
      </c>
      <c r="G138" s="652">
        <f t="shared" si="26"/>
        <v>645.77289588411463</v>
      </c>
      <c r="H138" s="652">
        <f t="shared" si="26"/>
        <v>495.88758312334966</v>
      </c>
      <c r="I138" s="652">
        <f t="shared" si="26"/>
        <v>383.12064593855996</v>
      </c>
      <c r="J138" s="652">
        <f t="shared" si="26"/>
        <v>296.45145258994444</v>
      </c>
      <c r="K138" s="652">
        <f t="shared" si="26"/>
        <v>229.38848290828395</v>
      </c>
      <c r="L138" s="652">
        <f t="shared" si="26"/>
        <v>177.49643535647462</v>
      </c>
      <c r="M138" s="652">
        <f t="shared" si="26"/>
        <v>137.34335815304101</v>
      </c>
      <c r="N138" s="652">
        <f t="shared" si="26"/>
        <v>106.27367243105833</v>
      </c>
      <c r="O138" s="652">
        <f t="shared" si="26"/>
        <v>82.232541885272198</v>
      </c>
      <c r="P138" s="856"/>
    </row>
    <row r="139" spans="1:16" ht="15">
      <c r="A139" s="3"/>
      <c r="B139" s="857"/>
      <c r="C139" s="546" t="s">
        <v>757</v>
      </c>
      <c r="D139" s="546" t="str">
        <f>INDEX(Vectors[Description], MATCH(XV.b.Outputs[Vector], Vectors[Code], 0))</f>
        <v>Coal reserves</v>
      </c>
      <c r="E139" s="546"/>
      <c r="F139" s="652">
        <f t="shared" ref="F139:O139" si="27">-F$92</f>
        <v>-124.39570139421789</v>
      </c>
      <c r="G139" s="652">
        <f t="shared" si="27"/>
        <v>-127.93</v>
      </c>
      <c r="H139" s="652">
        <f t="shared" si="27"/>
        <v>-127.93</v>
      </c>
      <c r="I139" s="652">
        <f t="shared" si="27"/>
        <v>-127.93</v>
      </c>
      <c r="J139" s="652">
        <f t="shared" si="27"/>
        <v>-127.93</v>
      </c>
      <c r="K139" s="652">
        <f t="shared" si="27"/>
        <v>-63.965000000000003</v>
      </c>
      <c r="L139" s="652">
        <f t="shared" si="27"/>
        <v>-63.965000000000003</v>
      </c>
      <c r="M139" s="652">
        <f t="shared" si="27"/>
        <v>-63.965000000000003</v>
      </c>
      <c r="N139" s="652">
        <f t="shared" si="27"/>
        <v>-63.965000000000003</v>
      </c>
      <c r="O139" s="652">
        <f t="shared" si="27"/>
        <v>-63.965000000000003</v>
      </c>
      <c r="P139" s="856"/>
    </row>
    <row r="140" spans="1:16" ht="15">
      <c r="A140" s="3"/>
      <c r="B140" s="857"/>
      <c r="C140" s="546" t="s">
        <v>758</v>
      </c>
      <c r="D140" s="546" t="str">
        <f>INDEX(Vectors[Description], MATCH(XV.b.Outputs[Vector], Vectors[Code], 0))</f>
        <v>Oil reserves</v>
      </c>
      <c r="E140" s="546"/>
      <c r="F140" s="652">
        <f t="shared" ref="F140:O140" si="28">-F$98</f>
        <v>-975.89120834979815</v>
      </c>
      <c r="G140" s="652">
        <f t="shared" si="28"/>
        <v>-802.54795283721205</v>
      </c>
      <c r="H140" s="652">
        <f t="shared" si="28"/>
        <v>-646.82884353331633</v>
      </c>
      <c r="I140" s="652">
        <f t="shared" si="28"/>
        <v>-501.7889500727494</v>
      </c>
      <c r="J140" s="652">
        <f t="shared" si="28"/>
        <v>-388.27472421443264</v>
      </c>
      <c r="K140" s="652">
        <f t="shared" si="28"/>
        <v>-300.43958011019754</v>
      </c>
      <c r="L140" s="652">
        <f t="shared" si="28"/>
        <v>-232.47441995977493</v>
      </c>
      <c r="M140" s="652">
        <f t="shared" si="28"/>
        <v>-179.88427462124332</v>
      </c>
      <c r="N140" s="652">
        <f t="shared" si="28"/>
        <v>-139.19102265793308</v>
      </c>
      <c r="O140" s="652">
        <f t="shared" si="28"/>
        <v>-107.70336000383915</v>
      </c>
      <c r="P140" s="856"/>
    </row>
    <row r="141" spans="1:16" ht="15">
      <c r="A141" s="3"/>
      <c r="B141" s="857"/>
      <c r="C141" s="546" t="s">
        <v>759</v>
      </c>
      <c r="D141" s="546" t="str">
        <f>INDEX(Vectors[Description], MATCH(XV.b.Outputs[Vector], Vectors[Code], 0))</f>
        <v>Gas reserves</v>
      </c>
      <c r="E141" s="546"/>
      <c r="F141" s="652">
        <f t="shared" ref="F141:O141" si="29">-F$99</f>
        <v>-828.54657487902409</v>
      </c>
      <c r="G141" s="652">
        <f t="shared" si="29"/>
        <v>-645.77289588411463</v>
      </c>
      <c r="H141" s="652">
        <f t="shared" si="29"/>
        <v>-495.88758312334966</v>
      </c>
      <c r="I141" s="652">
        <f t="shared" si="29"/>
        <v>-383.12064593855996</v>
      </c>
      <c r="J141" s="652">
        <f t="shared" si="29"/>
        <v>-296.45145258994444</v>
      </c>
      <c r="K141" s="652">
        <f t="shared" si="29"/>
        <v>-229.38848290828395</v>
      </c>
      <c r="L141" s="652">
        <f t="shared" si="29"/>
        <v>-177.49643535647462</v>
      </c>
      <c r="M141" s="652">
        <f t="shared" si="29"/>
        <v>-137.34335815304101</v>
      </c>
      <c r="N141" s="652">
        <f t="shared" si="29"/>
        <v>-106.27367243105833</v>
      </c>
      <c r="O141" s="652">
        <f t="shared" si="29"/>
        <v>-82.232541885272198</v>
      </c>
      <c r="P141" s="856"/>
    </row>
    <row r="142" spans="1:16" ht="15">
      <c r="A142" s="3"/>
      <c r="B142" s="857"/>
      <c r="C142" s="546" t="s">
        <v>132</v>
      </c>
      <c r="D142" s="546"/>
      <c r="E142" s="546"/>
      <c r="F142" s="929" t="e">
        <f>SUBTOTAL(109,XV.b.Outputs[2007])</f>
        <v>#REF!</v>
      </c>
      <c r="G142" s="929" t="e">
        <f>SUBTOTAL(109,XV.b.Outputs[2010])</f>
        <v>#REF!</v>
      </c>
      <c r="H142" s="929" t="e">
        <f>SUBTOTAL(109,XV.b.Outputs[2015])</f>
        <v>#REF!</v>
      </c>
      <c r="I142" s="929" t="e">
        <f>SUBTOTAL(109,XV.b.Outputs[2020])</f>
        <v>#REF!</v>
      </c>
      <c r="J142" s="929" t="e">
        <f>SUBTOTAL(109,XV.b.Outputs[2025])</f>
        <v>#REF!</v>
      </c>
      <c r="K142" s="929" t="e">
        <f>SUBTOTAL(109,XV.b.Outputs[2030])</f>
        <v>#REF!</v>
      </c>
      <c r="L142" s="929" t="e">
        <f>SUBTOTAL(109,XV.b.Outputs[2035])</f>
        <v>#REF!</v>
      </c>
      <c r="M142" s="929" t="e">
        <f>SUBTOTAL(109,XV.b.Outputs[2040])</f>
        <v>#REF!</v>
      </c>
      <c r="N142" s="929" t="e">
        <f>SUBTOTAL(109,XV.b.Outputs[2045])</f>
        <v>#REF!</v>
      </c>
      <c r="O142" s="929" t="e">
        <f>SUBTOTAL(109,XV.b.Outputs[2050])</f>
        <v>#REF!</v>
      </c>
      <c r="P142" s="856"/>
    </row>
    <row r="143" spans="1:16" ht="15">
      <c r="A143" s="3"/>
      <c r="B143" s="858"/>
      <c r="C143" s="927"/>
      <c r="D143" s="928"/>
      <c r="E143" s="928"/>
      <c r="F143" s="928"/>
      <c r="G143" s="928"/>
      <c r="H143" s="928"/>
      <c r="I143" s="928"/>
      <c r="J143" s="928"/>
      <c r="K143" s="928"/>
      <c r="L143" s="928"/>
      <c r="M143" s="928"/>
      <c r="N143" s="928"/>
      <c r="O143" s="928"/>
      <c r="P143" s="861"/>
    </row>
    <row r="145" spans="1:22" ht="22">
      <c r="A145" s="851"/>
      <c r="B145" s="907" t="s">
        <v>690</v>
      </c>
      <c r="C145" s="872"/>
      <c r="D145" s="873"/>
      <c r="E145" s="873"/>
      <c r="F145" s="873"/>
      <c r="G145" s="873"/>
      <c r="H145" s="873"/>
      <c r="I145" s="873"/>
      <c r="J145" s="873"/>
      <c r="K145" s="873"/>
      <c r="L145" s="873"/>
      <c r="M145" s="873"/>
      <c r="N145" s="873"/>
      <c r="O145" s="873"/>
      <c r="P145" s="874"/>
    </row>
    <row r="146" spans="1:22">
      <c r="B146" s="880"/>
      <c r="C146" s="881"/>
      <c r="D146" s="881"/>
      <c r="E146" s="881"/>
      <c r="F146" s="881"/>
      <c r="G146" s="881"/>
      <c r="H146" s="881"/>
      <c r="I146" s="881"/>
      <c r="J146" s="881"/>
      <c r="K146" s="881"/>
      <c r="L146" s="881"/>
      <c r="M146" s="881"/>
      <c r="N146" s="881"/>
      <c r="O146" s="881"/>
      <c r="P146" s="882"/>
    </row>
    <row r="147" spans="1:22" ht="17">
      <c r="B147" s="883"/>
      <c r="C147" s="875" t="s">
        <v>829</v>
      </c>
      <c r="D147" s="876"/>
      <c r="E147" s="877"/>
      <c r="F147" s="876"/>
      <c r="G147" s="877"/>
      <c r="H147" s="876"/>
      <c r="I147" s="876"/>
      <c r="J147" s="876"/>
      <c r="K147" s="876"/>
      <c r="L147" s="876"/>
      <c r="M147" s="876"/>
      <c r="N147" s="876"/>
      <c r="O147" s="877" t="s">
        <v>832</v>
      </c>
      <c r="P147" s="884"/>
    </row>
    <row r="148" spans="1:22" ht="5.25" customHeight="1">
      <c r="B148" s="883"/>
      <c r="C148" s="876"/>
      <c r="D148" s="876"/>
      <c r="E148" s="876"/>
      <c r="F148" s="876"/>
      <c r="G148" s="876"/>
      <c r="H148" s="876"/>
      <c r="I148" s="876"/>
      <c r="J148" s="876"/>
      <c r="K148" s="876"/>
      <c r="L148" s="876"/>
      <c r="M148" s="876"/>
      <c r="N148" s="876"/>
      <c r="O148" s="876"/>
      <c r="P148" s="884"/>
    </row>
    <row r="149" spans="1:22" ht="15">
      <c r="B149" s="885"/>
      <c r="C149" s="916" t="s">
        <v>828</v>
      </c>
      <c r="D149" s="916" t="s">
        <v>798</v>
      </c>
      <c r="E149" s="916" t="s">
        <v>421</v>
      </c>
      <c r="F149" s="916" t="s">
        <v>576</v>
      </c>
      <c r="G149" s="916" t="s">
        <v>577</v>
      </c>
      <c r="H149" s="916" t="s">
        <v>604</v>
      </c>
      <c r="I149" s="916" t="s">
        <v>605</v>
      </c>
      <c r="J149" s="916" t="s">
        <v>606</v>
      </c>
      <c r="K149" s="916" t="s">
        <v>607</v>
      </c>
      <c r="L149" s="916" t="s">
        <v>608</v>
      </c>
      <c r="M149" s="916" t="s">
        <v>609</v>
      </c>
      <c r="N149" s="916" t="s">
        <v>610</v>
      </c>
      <c r="O149" s="916" t="s">
        <v>611</v>
      </c>
      <c r="P149" s="884"/>
    </row>
    <row r="150" spans="1:22" ht="15">
      <c r="B150" s="885"/>
      <c r="C150" s="879" t="s">
        <v>811</v>
      </c>
      <c r="D150" s="888" t="s">
        <v>820</v>
      </c>
      <c r="E150" s="879" t="str">
        <f>INDEX(IPCC[Sector_description], MATCH(XV.b.Emissions[IPCC Sector], IPCC[Sector_code], 0))</f>
        <v>Fugitive Emissions from Fuels</v>
      </c>
      <c r="F150" s="890">
        <f>F$105</f>
        <v>5.0916819860234304</v>
      </c>
      <c r="G150" s="890">
        <f t="shared" ref="G150:O150" si="30">G$105</f>
        <v>4.1872689490573993</v>
      </c>
      <c r="H150" s="890">
        <f t="shared" si="30"/>
        <v>3.3748093460418316</v>
      </c>
      <c r="I150" s="890">
        <f t="shared" si="30"/>
        <v>2.6180682190911111</v>
      </c>
      <c r="J150" s="890">
        <f t="shared" si="30"/>
        <v>2.0258112810072748</v>
      </c>
      <c r="K150" s="890">
        <f t="shared" si="30"/>
        <v>1.5675341522158845</v>
      </c>
      <c r="L150" s="890">
        <f t="shared" si="30"/>
        <v>1.2129280458648746</v>
      </c>
      <c r="M150" s="890">
        <f t="shared" si="30"/>
        <v>0.93854060044936538</v>
      </c>
      <c r="N150" s="890">
        <f t="shared" si="30"/>
        <v>0.72622482569752267</v>
      </c>
      <c r="O150" s="890">
        <f t="shared" si="30"/>
        <v>0.56193892646400301</v>
      </c>
      <c r="P150" s="884"/>
    </row>
    <row r="151" spans="1:22" ht="15">
      <c r="B151" s="885"/>
      <c r="C151" s="879" t="s">
        <v>812</v>
      </c>
      <c r="D151" s="888" t="s">
        <v>820</v>
      </c>
      <c r="E151" s="879" t="str">
        <f>INDEX(IPCC[Sector_description], MATCH(XV.b.Emissions[IPCC Sector], IPCC[Sector_code], 0))</f>
        <v>Fugitive Emissions from Fuels</v>
      </c>
      <c r="F151" s="890">
        <f>F$104</f>
        <v>2.6403129612517775</v>
      </c>
      <c r="G151" s="890">
        <f t="shared" ref="G151:O151" si="31">G$104</f>
        <v>2.7153288525823629</v>
      </c>
      <c r="H151" s="890">
        <f t="shared" si="31"/>
        <v>2.7153288525823629</v>
      </c>
      <c r="I151" s="890">
        <f t="shared" si="31"/>
        <v>2.7153288525823629</v>
      </c>
      <c r="J151" s="890">
        <f t="shared" si="31"/>
        <v>2.7153288525823629</v>
      </c>
      <c r="K151" s="890">
        <f t="shared" si="31"/>
        <v>1.3576644262911814</v>
      </c>
      <c r="L151" s="890">
        <f t="shared" si="31"/>
        <v>1.3576644262911814</v>
      </c>
      <c r="M151" s="890">
        <f t="shared" si="31"/>
        <v>1.3576644262911814</v>
      </c>
      <c r="N151" s="890">
        <f t="shared" si="31"/>
        <v>1.3576644262911814</v>
      </c>
      <c r="O151" s="890">
        <f t="shared" si="31"/>
        <v>1.3576644262911814</v>
      </c>
      <c r="P151" s="884"/>
    </row>
    <row r="152" spans="1:22" ht="15">
      <c r="B152" s="885"/>
      <c r="C152" s="879" t="s">
        <v>811</v>
      </c>
      <c r="D152" s="888" t="s">
        <v>821</v>
      </c>
      <c r="E152" s="879" t="str">
        <f>INDEX(IPCC[Sector_description], MATCH(XV.b.Emissions[IPCC Sector], IPCC[Sector_code], 0))</f>
        <v>Fuel Combustion</v>
      </c>
      <c r="F152" s="890" t="e">
        <f>F$107</f>
        <v>#REF!</v>
      </c>
      <c r="G152" s="890" t="e">
        <f t="shared" ref="G152:O152" si="32">G$107</f>
        <v>#REF!</v>
      </c>
      <c r="H152" s="890" t="e">
        <f t="shared" si="32"/>
        <v>#REF!</v>
      </c>
      <c r="I152" s="890" t="e">
        <f t="shared" si="32"/>
        <v>#REF!</v>
      </c>
      <c r="J152" s="890" t="e">
        <f t="shared" si="32"/>
        <v>#REF!</v>
      </c>
      <c r="K152" s="890" t="e">
        <f t="shared" si="32"/>
        <v>#REF!</v>
      </c>
      <c r="L152" s="890" t="e">
        <f t="shared" si="32"/>
        <v>#REF!</v>
      </c>
      <c r="M152" s="890" t="e">
        <f t="shared" si="32"/>
        <v>#REF!</v>
      </c>
      <c r="N152" s="890" t="e">
        <f t="shared" si="32"/>
        <v>#REF!</v>
      </c>
      <c r="O152" s="890" t="e">
        <f t="shared" si="32"/>
        <v>#REF!</v>
      </c>
      <c r="P152" s="884"/>
    </row>
    <row r="153" spans="1:22" ht="15">
      <c r="B153" s="885"/>
      <c r="C153" s="879" t="s">
        <v>812</v>
      </c>
      <c r="D153" s="888" t="s">
        <v>821</v>
      </c>
      <c r="E153" s="879" t="str">
        <f>INDEX(IPCC[Sector_description], MATCH(XV.b.Emissions[IPCC Sector], IPCC[Sector_code], 0))</f>
        <v>Fuel Combustion</v>
      </c>
      <c r="F153" s="890" t="e">
        <f>F$108</f>
        <v>#REF!</v>
      </c>
      <c r="G153" s="890" t="e">
        <f t="shared" ref="G153:O153" si="33">G$108</f>
        <v>#REF!</v>
      </c>
      <c r="H153" s="890" t="e">
        <f t="shared" si="33"/>
        <v>#REF!</v>
      </c>
      <c r="I153" s="890" t="e">
        <f t="shared" si="33"/>
        <v>#REF!</v>
      </c>
      <c r="J153" s="890" t="e">
        <f t="shared" si="33"/>
        <v>#REF!</v>
      </c>
      <c r="K153" s="890" t="e">
        <f t="shared" si="33"/>
        <v>#REF!</v>
      </c>
      <c r="L153" s="890" t="e">
        <f t="shared" si="33"/>
        <v>#REF!</v>
      </c>
      <c r="M153" s="890" t="e">
        <f t="shared" si="33"/>
        <v>#REF!</v>
      </c>
      <c r="N153" s="890" t="e">
        <f t="shared" si="33"/>
        <v>#REF!</v>
      </c>
      <c r="O153" s="890" t="e">
        <f t="shared" si="33"/>
        <v>#REF!</v>
      </c>
      <c r="P153" s="884"/>
    </row>
    <row r="154" spans="1:22" ht="15">
      <c r="B154" s="885"/>
      <c r="C154" s="879" t="s">
        <v>813</v>
      </c>
      <c r="D154" s="888" t="s">
        <v>821</v>
      </c>
      <c r="E154" s="879" t="str">
        <f>INDEX(IPCC[Sector_description], MATCH(XV.b.Emissions[IPCC Sector], IPCC[Sector_code], 0))</f>
        <v>Fuel Combustion</v>
      </c>
      <c r="F154" s="890" t="e">
        <f>F$109</f>
        <v>#REF!</v>
      </c>
      <c r="G154" s="890" t="e">
        <f t="shared" ref="G154:O154" si="34">G$109</f>
        <v>#REF!</v>
      </c>
      <c r="H154" s="890" t="e">
        <f t="shared" si="34"/>
        <v>#REF!</v>
      </c>
      <c r="I154" s="890" t="e">
        <f t="shared" si="34"/>
        <v>#REF!</v>
      </c>
      <c r="J154" s="890" t="e">
        <f t="shared" si="34"/>
        <v>#REF!</v>
      </c>
      <c r="K154" s="890" t="e">
        <f t="shared" si="34"/>
        <v>#REF!</v>
      </c>
      <c r="L154" s="890" t="e">
        <f t="shared" si="34"/>
        <v>#REF!</v>
      </c>
      <c r="M154" s="890" t="e">
        <f t="shared" si="34"/>
        <v>#REF!</v>
      </c>
      <c r="N154" s="890" t="e">
        <f t="shared" si="34"/>
        <v>#REF!</v>
      </c>
      <c r="O154" s="890" t="e">
        <f t="shared" si="34"/>
        <v>#REF!</v>
      </c>
      <c r="P154" s="884"/>
    </row>
    <row r="155" spans="1:22" ht="15">
      <c r="B155" s="885"/>
      <c r="C155" s="879" t="s">
        <v>132</v>
      </c>
      <c r="D155" s="879"/>
      <c r="E155" s="879"/>
      <c r="F155" s="925" t="e">
        <f>SUBTOTAL(109,XV.b.Emissions[2007])</f>
        <v>#REF!</v>
      </c>
      <c r="G155" s="925" t="e">
        <f>SUBTOTAL(109,XV.b.Emissions[2010])</f>
        <v>#REF!</v>
      </c>
      <c r="H155" s="925" t="e">
        <f>SUBTOTAL(109,XV.b.Emissions[2015])</f>
        <v>#REF!</v>
      </c>
      <c r="I155" s="925" t="e">
        <f>SUBTOTAL(109,XV.b.Emissions[2020])</f>
        <v>#REF!</v>
      </c>
      <c r="J155" s="925" t="e">
        <f>SUBTOTAL(109,XV.b.Emissions[2025])</f>
        <v>#REF!</v>
      </c>
      <c r="K155" s="925" t="e">
        <f>SUBTOTAL(109,XV.b.Emissions[2030])</f>
        <v>#REF!</v>
      </c>
      <c r="L155" s="925" t="e">
        <f>SUBTOTAL(109,XV.b.Emissions[2035])</f>
        <v>#REF!</v>
      </c>
      <c r="M155" s="925" t="e">
        <f>SUBTOTAL(109,XV.b.Emissions[2040])</f>
        <v>#REF!</v>
      </c>
      <c r="N155" s="925" t="e">
        <f>SUBTOTAL(109,XV.b.Emissions[2045])</f>
        <v>#REF!</v>
      </c>
      <c r="O155" s="925" t="e">
        <f>SUBTOTAL(109,XV.b.Emissions[2050])</f>
        <v>#REF!</v>
      </c>
      <c r="P155" s="884"/>
    </row>
    <row r="156" spans="1:22" ht="15">
      <c r="B156" s="885"/>
      <c r="C156" s="876"/>
      <c r="D156" s="876"/>
      <c r="E156" s="876"/>
      <c r="F156" s="876"/>
      <c r="G156" s="876"/>
      <c r="H156" s="876"/>
      <c r="I156" s="876"/>
      <c r="J156" s="876"/>
      <c r="K156" s="876"/>
      <c r="L156" s="876"/>
      <c r="M156" s="876"/>
      <c r="N156" s="876"/>
      <c r="O156" s="876"/>
      <c r="P156" s="884"/>
    </row>
    <row r="159" spans="1:22" s="1617" customFormat="1" ht="21.75" customHeight="1">
      <c r="B159" s="1577" t="s">
        <v>1561</v>
      </c>
      <c r="C159" s="1610"/>
      <c r="D159" s="1578"/>
      <c r="E159" s="1578"/>
      <c r="F159" s="1578"/>
      <c r="G159" s="1578"/>
      <c r="H159" s="1578"/>
      <c r="I159" s="1578"/>
      <c r="J159" s="1578"/>
      <c r="K159" s="1578"/>
      <c r="L159" s="1578"/>
      <c r="M159" s="1578"/>
      <c r="N159" s="1578"/>
      <c r="O159" s="1578"/>
      <c r="P159" s="1579"/>
      <c r="S159" s="1601"/>
      <c r="T159" s="1608"/>
      <c r="U159" s="1601"/>
      <c r="V159" s="1601"/>
    </row>
    <row r="160" spans="1:22" s="1617" customFormat="1">
      <c r="B160" s="1611"/>
      <c r="C160" s="1612"/>
      <c r="D160" s="1612"/>
      <c r="E160" s="1612"/>
      <c r="F160" s="1612"/>
      <c r="G160" s="1612"/>
      <c r="H160" s="1612"/>
      <c r="I160" s="1612"/>
      <c r="J160" s="1612"/>
      <c r="K160" s="1612"/>
      <c r="L160" s="1612"/>
      <c r="M160" s="1612"/>
      <c r="N160" s="1612"/>
      <c r="O160" s="1612"/>
      <c r="P160" s="1613"/>
      <c r="T160" s="532"/>
    </row>
    <row r="161" spans="2:20" s="1617" customFormat="1">
      <c r="B161" s="1580"/>
      <c r="C161" s="1614" t="s">
        <v>1566</v>
      </c>
      <c r="D161" s="1581"/>
      <c r="E161" s="1615"/>
      <c r="F161" s="1581"/>
      <c r="G161" s="1615"/>
      <c r="H161" s="1581"/>
      <c r="I161" s="1581"/>
      <c r="J161" s="1581"/>
      <c r="K161" s="1581"/>
      <c r="L161" s="1581"/>
      <c r="M161" s="1581"/>
      <c r="N161" s="1581"/>
      <c r="O161" s="1615"/>
      <c r="P161" s="1582"/>
      <c r="T161" s="532"/>
    </row>
    <row r="162" spans="2:20" s="1617" customFormat="1">
      <c r="B162" s="1580"/>
      <c r="C162" s="1581"/>
      <c r="D162" s="1581"/>
      <c r="E162" s="1581"/>
      <c r="F162" s="1581"/>
      <c r="G162" s="1581"/>
      <c r="H162" s="1581"/>
      <c r="I162" s="1581"/>
      <c r="J162" s="1581"/>
      <c r="K162" s="1581"/>
      <c r="L162" s="1581"/>
      <c r="M162" s="1581"/>
      <c r="N162" s="1581"/>
      <c r="O162" s="1581"/>
      <c r="P162" s="1582"/>
      <c r="T162" s="532"/>
    </row>
    <row r="163" spans="2:20" s="1617" customFormat="1" ht="15">
      <c r="B163" s="1583"/>
      <c r="C163" s="1584" t="s">
        <v>72</v>
      </c>
      <c r="D163" s="1584" t="s">
        <v>1562</v>
      </c>
      <c r="E163" s="1584" t="s">
        <v>421</v>
      </c>
      <c r="F163" s="1584" t="s">
        <v>576</v>
      </c>
      <c r="G163" s="1584" t="s">
        <v>577</v>
      </c>
      <c r="H163" s="1584" t="s">
        <v>604</v>
      </c>
      <c r="I163" s="1584" t="s">
        <v>605</v>
      </c>
      <c r="J163" s="1584" t="s">
        <v>606</v>
      </c>
      <c r="K163" s="1584" t="s">
        <v>607</v>
      </c>
      <c r="L163" s="1584" t="s">
        <v>608</v>
      </c>
      <c r="M163" s="1584" t="s">
        <v>609</v>
      </c>
      <c r="N163" s="1584" t="s">
        <v>610</v>
      </c>
      <c r="O163" s="1584" t="s">
        <v>611</v>
      </c>
      <c r="P163" s="1582"/>
    </row>
    <row r="164" spans="2:20" s="1617" customFormat="1" ht="15">
      <c r="B164" s="1583"/>
      <c r="C164" s="1585" t="s">
        <v>1563</v>
      </c>
      <c r="D164" s="1586" t="str">
        <f>INDEX(Vectors[Description], MATCH(XV.b.info[Vector], Vectors[Code], 0))</f>
        <v>UK Land area</v>
      </c>
      <c r="E164" s="1586">
        <f>INDEX(Vectors[Comment], MATCH(XV.b.info[Information type], Vectors[Description], 0))</f>
        <v>0</v>
      </c>
      <c r="F164" s="1618"/>
      <c r="G164" s="1618"/>
      <c r="H164" s="1618"/>
      <c r="I164" s="1618"/>
      <c r="J164" s="1618"/>
      <c r="K164" s="1618"/>
      <c r="L164" s="1618"/>
      <c r="M164" s="1618"/>
      <c r="N164" s="1618"/>
      <c r="O164" s="1618"/>
      <c r="P164" s="1582"/>
    </row>
    <row r="165" spans="2:20" s="1617" customFormat="1" ht="15">
      <c r="B165" s="1583"/>
      <c r="C165" s="1585" t="s">
        <v>1569</v>
      </c>
      <c r="D165" s="1586" t="str">
        <f>INDEX(Vectors[Description], MATCH(XV.b.info[Vector], Vectors[Code], 0))</f>
        <v>Number of units</v>
      </c>
      <c r="E165" s="1586"/>
      <c r="F165" s="1618"/>
      <c r="G165" s="1618"/>
      <c r="H165" s="1618"/>
      <c r="I165" s="1618"/>
      <c r="J165" s="1618"/>
      <c r="K165" s="1618"/>
      <c r="L165" s="1618"/>
      <c r="M165" s="1618"/>
      <c r="N165" s="1618"/>
      <c r="O165" s="1618"/>
      <c r="P165" s="1582"/>
    </row>
    <row r="166" spans="2:20" s="1617" customFormat="1" ht="15">
      <c r="B166" s="1619"/>
      <c r="C166" s="1588"/>
      <c r="D166" s="1588"/>
      <c r="E166" s="1588"/>
      <c r="F166" s="1588"/>
      <c r="G166" s="1588"/>
      <c r="H166" s="1588"/>
      <c r="I166" s="1588"/>
      <c r="J166" s="1588"/>
      <c r="K166" s="1588"/>
      <c r="L166" s="1588"/>
      <c r="M166" s="1588"/>
      <c r="N166" s="1588"/>
      <c r="O166" s="1588"/>
      <c r="P166" s="1616"/>
    </row>
    <row r="167" spans="2:20" s="1790" customFormat="1"/>
    <row r="168" spans="2:20" s="1790" customFormat="1" ht="22.5" customHeight="1">
      <c r="B168" s="1577" t="s">
        <v>1998</v>
      </c>
      <c r="C168" s="1578"/>
      <c r="D168" s="1578"/>
      <c r="E168" s="1578"/>
      <c r="F168" s="1578"/>
      <c r="G168" s="1578"/>
      <c r="H168" s="1578"/>
      <c r="I168" s="1578"/>
      <c r="J168" s="1578"/>
      <c r="K168" s="1578"/>
      <c r="L168" s="1578"/>
      <c r="M168" s="1578"/>
      <c r="N168" s="1578"/>
      <c r="O168" s="1578"/>
      <c r="P168" s="1579"/>
    </row>
    <row r="169" spans="2:20" s="1790" customFormat="1">
      <c r="B169" s="1580"/>
      <c r="C169" s="1581"/>
      <c r="D169" s="1581"/>
      <c r="E169" s="1581"/>
      <c r="F169" s="1581"/>
      <c r="G169" s="1581"/>
      <c r="H169" s="1581"/>
      <c r="I169" s="1581"/>
      <c r="J169" s="1581"/>
      <c r="K169" s="1581"/>
      <c r="L169" s="1581"/>
      <c r="M169" s="1581"/>
      <c r="N169" s="1581"/>
      <c r="O169" s="1581"/>
      <c r="P169" s="1582"/>
    </row>
    <row r="170" spans="2:20" s="1790" customFormat="1" ht="15.75" customHeight="1">
      <c r="B170" s="1580"/>
      <c r="C170" s="1781" t="s">
        <v>1999</v>
      </c>
      <c r="D170" s="1782"/>
      <c r="E170" s="1782"/>
      <c r="F170" s="1782"/>
      <c r="G170" s="1782"/>
      <c r="H170" s="1782"/>
      <c r="I170" s="1782"/>
      <c r="J170" s="1782"/>
      <c r="K170" s="1782"/>
      <c r="L170" s="1782"/>
      <c r="M170" s="1782"/>
      <c r="N170" s="1782"/>
      <c r="O170" s="1782"/>
      <c r="P170" s="1582"/>
    </row>
    <row r="171" spans="2:20" s="1790" customFormat="1" ht="5.25" customHeight="1">
      <c r="B171" s="1580"/>
      <c r="C171" s="1581"/>
      <c r="D171" s="1581"/>
      <c r="E171" s="1581"/>
      <c r="F171" s="1581"/>
      <c r="G171" s="1581"/>
      <c r="H171" s="1581"/>
      <c r="I171" s="1581"/>
      <c r="J171" s="1581"/>
      <c r="K171" s="1581"/>
      <c r="L171" s="1581"/>
      <c r="M171" s="1581"/>
      <c r="N171" s="1581"/>
      <c r="O171" s="1581"/>
      <c r="P171" s="1582"/>
    </row>
    <row r="172" spans="2:20" s="1790" customFormat="1" ht="15">
      <c r="B172" s="1583"/>
      <c r="C172" s="1584" t="s">
        <v>72</v>
      </c>
      <c r="D172" s="1584" t="s">
        <v>399</v>
      </c>
      <c r="E172" s="1584" t="s">
        <v>421</v>
      </c>
      <c r="F172" s="1584" t="s">
        <v>576</v>
      </c>
      <c r="G172" s="1584" t="s">
        <v>577</v>
      </c>
      <c r="H172" s="1584" t="s">
        <v>604</v>
      </c>
      <c r="I172" s="1584" t="s">
        <v>605</v>
      </c>
      <c r="J172" s="1584" t="s">
        <v>606</v>
      </c>
      <c r="K172" s="1584" t="s">
        <v>607</v>
      </c>
      <c r="L172" s="1584" t="s">
        <v>608</v>
      </c>
      <c r="M172" s="1584" t="s">
        <v>609</v>
      </c>
      <c r="N172" s="1584" t="s">
        <v>610</v>
      </c>
      <c r="O172" s="1584" t="s">
        <v>611</v>
      </c>
      <c r="P172" s="1783"/>
    </row>
    <row r="173" spans="2:20" s="1790" customFormat="1" ht="15">
      <c r="B173" s="1583"/>
      <c r="C173" s="1585" t="s">
        <v>1948</v>
      </c>
      <c r="D173" s="1586" t="str">
        <f>INDEX(CostVectors[Description], MATCH(C173, CostVectors[Code], 0))</f>
        <v>Low estimate of fuel costs</v>
      </c>
      <c r="E173" s="1809"/>
      <c r="F173" s="1810">
        <f t="shared" ref="F173:O173" si="35">F117</f>
        <v>33880.046169217974</v>
      </c>
      <c r="G173" s="1810">
        <f t="shared" si="35"/>
        <v>27540.929081955335</v>
      </c>
      <c r="H173" s="1810">
        <f t="shared" si="35"/>
        <v>22007.722634936428</v>
      </c>
      <c r="I173" s="1810">
        <f t="shared" si="35"/>
        <v>17183.854563237699</v>
      </c>
      <c r="J173" s="1810">
        <f t="shared" si="35"/>
        <v>13427.999441213289</v>
      </c>
      <c r="K173" s="1810">
        <f t="shared" si="35"/>
        <v>10231.230507762652</v>
      </c>
      <c r="L173" s="1810">
        <f t="shared" si="35"/>
        <v>7982.46130777897</v>
      </c>
      <c r="M173" s="1810">
        <f t="shared" si="35"/>
        <v>6242.4065679944724</v>
      </c>
      <c r="N173" s="1810">
        <f t="shared" si="35"/>
        <v>4895.9853801427062</v>
      </c>
      <c r="O173" s="1800">
        <f t="shared" si="35"/>
        <v>3854.1503311369029</v>
      </c>
      <c r="P173" s="1783"/>
    </row>
    <row r="174" spans="2:20" s="1790" customFormat="1">
      <c r="B174" s="1784"/>
      <c r="C174" s="1585" t="s">
        <v>1957</v>
      </c>
      <c r="D174" s="1586" t="str">
        <f>INDEX(CostVectors[Description], MATCH(C174, CostVectors[Code], 0))</f>
        <v>High estimate of fuel costs</v>
      </c>
      <c r="E174" s="1809"/>
      <c r="F174" s="1810">
        <f t="shared" ref="F174:O174" si="36">F123</f>
        <v>95656.598675105284</v>
      </c>
      <c r="G174" s="1810">
        <f t="shared" si="36"/>
        <v>77454.743977165679</v>
      </c>
      <c r="H174" s="1810">
        <f t="shared" si="36"/>
        <v>61673.94307652628</v>
      </c>
      <c r="I174" s="1810">
        <f t="shared" si="36"/>
        <v>48115.800954381259</v>
      </c>
      <c r="J174" s="1810">
        <f t="shared" si="36"/>
        <v>37572.064847132911</v>
      </c>
      <c r="K174" s="1810">
        <f t="shared" si="36"/>
        <v>28659.883262646108</v>
      </c>
      <c r="L174" s="1810">
        <f t="shared" si="36"/>
        <v>22346.958977655057</v>
      </c>
      <c r="M174" s="1810">
        <f t="shared" si="36"/>
        <v>17462.138506048163</v>
      </c>
      <c r="N174" s="1810">
        <f t="shared" si="36"/>
        <v>13682.357542008991</v>
      </c>
      <c r="O174" s="1800">
        <f t="shared" si="36"/>
        <v>10757.635084110107</v>
      </c>
      <c r="P174" s="1785"/>
    </row>
    <row r="175" spans="2:20" s="1790" customFormat="1">
      <c r="B175" s="1786"/>
      <c r="C175" s="1588"/>
      <c r="D175" s="1588"/>
      <c r="E175" s="1588"/>
      <c r="F175" s="1588"/>
      <c r="G175" s="1588"/>
      <c r="H175" s="1588"/>
      <c r="I175" s="1588"/>
      <c r="J175" s="1588"/>
      <c r="K175" s="1588"/>
      <c r="L175" s="1588"/>
      <c r="M175" s="1588"/>
      <c r="N175" s="1588"/>
      <c r="O175" s="1588"/>
      <c r="P175" s="1787"/>
    </row>
  </sheetData>
  <hyperlinks>
    <hyperlink ref="E2" r:id="rId1"/>
    <hyperlink ref="E81" r:id="rId2"/>
  </hyperlinks>
  <pageMargins left="0.7" right="0.7" top="0.75" bottom="0.75" header="0.3" footer="0.3"/>
  <pageSetup paperSize="9" orientation="portrait"/>
  <ignoredErrors>
    <ignoredError sqref="F53:O53" numberStoredAsText="1"/>
  </ignoredErrors>
  <tableParts count="4">
    <tablePart r:id="rId3"/>
    <tablePart r:id="rId4"/>
    <tablePart r:id="rId5"/>
    <tablePart r:id="rId6"/>
  </tableParts>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enableFormatConditionsCalculation="0">
    <tabColor theme="9"/>
    <outlinePr summaryBelow="0"/>
    <pageSetUpPr autoPageBreaks="0"/>
  </sheetPr>
  <dimension ref="A1:V128"/>
  <sheetViews>
    <sheetView workbookViewId="0"/>
  </sheetViews>
  <sheetFormatPr baseColWidth="10" defaultColWidth="8.83203125" defaultRowHeight="13" x14ac:dyDescent="0"/>
  <cols>
    <col min="1" max="1" width="5.83203125" style="1904" customWidth="1"/>
    <col min="2" max="2" width="2.5" style="1904" customWidth="1"/>
    <col min="3" max="3" width="8.83203125" style="1904"/>
    <col min="4" max="4" width="28.1640625" style="1904" bestFit="1" customWidth="1"/>
    <col min="5" max="5" width="8.1640625" style="1904" customWidth="1"/>
    <col min="6" max="6" width="9.1640625" style="1904" customWidth="1"/>
    <col min="7" max="15" width="8.83203125" style="1904"/>
    <col min="16" max="16" width="2" style="1904" customWidth="1"/>
    <col min="17" max="16384" width="8.83203125" style="1904"/>
  </cols>
  <sheetData>
    <row r="1" spans="1:16" ht="20">
      <c r="A1" s="567" t="s">
        <v>770</v>
      </c>
      <c r="B1" s="567" t="str">
        <f>INDEX(Workstreams[Workstream], MATCH($A1, Workstreams[Code], 0))</f>
        <v>Transfers</v>
      </c>
      <c r="C1" s="567"/>
    </row>
    <row r="2" spans="1:16" s="532" customFormat="1" ht="19.5" customHeight="1">
      <c r="A2" s="10" t="s">
        <v>771</v>
      </c>
      <c r="B2" s="10" t="str">
        <f>INDEX(Modules[Module], MATCH($A2, Modules[Code], 0))</f>
        <v>Fossil fuel transfers</v>
      </c>
      <c r="C2" s="10"/>
      <c r="E2" s="1801" t="s">
        <v>2092</v>
      </c>
    </row>
    <row r="4" spans="1:16" ht="22">
      <c r="A4" s="1874"/>
      <c r="B4" s="899" t="s">
        <v>571</v>
      </c>
      <c r="C4" s="863"/>
      <c r="D4" s="863"/>
      <c r="E4" s="863"/>
      <c r="F4" s="863"/>
      <c r="G4" s="863"/>
      <c r="H4" s="863"/>
      <c r="I4" s="863"/>
      <c r="J4" s="863"/>
      <c r="K4" s="863"/>
      <c r="L4" s="863"/>
      <c r="M4" s="863"/>
      <c r="N4" s="863"/>
      <c r="O4" s="863"/>
      <c r="P4" s="865"/>
    </row>
    <row r="5" spans="1:16">
      <c r="B5" s="852"/>
      <c r="C5" s="854"/>
      <c r="D5" s="854"/>
      <c r="E5" s="854"/>
      <c r="F5" s="854"/>
      <c r="G5" s="854"/>
      <c r="H5" s="854"/>
      <c r="I5" s="854"/>
      <c r="J5" s="854"/>
      <c r="K5" s="854"/>
      <c r="L5" s="854"/>
      <c r="M5" s="854"/>
      <c r="N5" s="854"/>
      <c r="O5" s="854"/>
      <c r="P5" s="856"/>
    </row>
    <row r="6" spans="1:16">
      <c r="B6" s="852"/>
      <c r="C6" s="866" t="s">
        <v>935</v>
      </c>
      <c r="D6" s="854"/>
      <c r="E6" s="855"/>
      <c r="F6" s="854"/>
      <c r="G6" s="854"/>
      <c r="H6" s="854"/>
      <c r="I6" s="854"/>
      <c r="J6" s="854"/>
      <c r="K6" s="854"/>
      <c r="L6" s="854"/>
      <c r="M6" s="854"/>
      <c r="N6" s="854"/>
      <c r="O6" s="855" t="str">
        <f>Preferences.EnergyUnits</f>
        <v>TWh</v>
      </c>
      <c r="P6" s="856"/>
    </row>
    <row r="7" spans="1:16" ht="6" customHeight="1">
      <c r="B7" s="852"/>
      <c r="C7" s="853"/>
      <c r="D7" s="854"/>
      <c r="E7" s="855"/>
      <c r="F7" s="854"/>
      <c r="G7" s="854"/>
      <c r="H7" s="854"/>
      <c r="I7" s="854"/>
      <c r="J7" s="854"/>
      <c r="K7" s="854"/>
      <c r="L7" s="854"/>
      <c r="M7" s="854"/>
      <c r="N7" s="854"/>
      <c r="O7" s="854"/>
      <c r="P7" s="856"/>
    </row>
    <row r="8" spans="1:16" s="532" customFormat="1" ht="15">
      <c r="A8" s="537"/>
      <c r="B8" s="867"/>
      <c r="C8" s="868" t="s">
        <v>72</v>
      </c>
      <c r="D8" s="868" t="s">
        <v>399</v>
      </c>
      <c r="E8" s="868" t="s">
        <v>421</v>
      </c>
      <c r="F8" s="868" t="s">
        <v>576</v>
      </c>
      <c r="G8" s="868" t="s">
        <v>577</v>
      </c>
      <c r="H8" s="868" t="s">
        <v>604</v>
      </c>
      <c r="I8" s="868" t="s">
        <v>605</v>
      </c>
      <c r="J8" s="868" t="s">
        <v>606</v>
      </c>
      <c r="K8" s="868" t="s">
        <v>607</v>
      </c>
      <c r="L8" s="868" t="s">
        <v>608</v>
      </c>
      <c r="M8" s="868" t="s">
        <v>609</v>
      </c>
      <c r="N8" s="868" t="s">
        <v>610</v>
      </c>
      <c r="O8" s="868" t="s">
        <v>611</v>
      </c>
      <c r="P8" s="920"/>
    </row>
    <row r="9" spans="1:16" s="532" customFormat="1" ht="15">
      <c r="A9" s="537"/>
      <c r="B9" s="867"/>
      <c r="C9" s="868" t="s">
        <v>42</v>
      </c>
      <c r="D9" s="546" t="str">
        <f>INDEX(Vectors[Description], MATCH(XVI.a.Inputs[Vector], Vectors[Code], 0))</f>
        <v>Solid hydrocarbons</v>
      </c>
      <c r="E9" s="868"/>
      <c r="F9" s="914" t="e">
        <f ca="1">INDEX(INDIRECT("'"&amp;XVI.a.Inputs[#Headers]&amp;"'!Year.Matrix"), MATCH("Subtotal."&amp;$A$2, INDIRECT("'"&amp;XVI.a.Inputs[#Headers]&amp;"'!Year.Modules"), 0), MATCH(XVI.a.Inputs[Vector], INDIRECT("'"&amp;XVI.a.Inputs[#Headers]&amp;"'!Year.Vectors"), 0))</f>
        <v>#REF!</v>
      </c>
      <c r="G9" s="914" t="e">
        <f ca="1">INDEX(INDIRECT("'"&amp;XVI.a.Inputs[#Headers]&amp;"'!Year.Matrix"), MATCH("Subtotal."&amp;$A$2, INDIRECT("'"&amp;XVI.a.Inputs[#Headers]&amp;"'!Year.Modules"), 0), MATCH(XVI.a.Inputs[Vector], INDIRECT("'"&amp;XVI.a.Inputs[#Headers]&amp;"'!Year.Vectors"), 0))</f>
        <v>#REF!</v>
      </c>
      <c r="H9" s="914" t="e">
        <f ca="1">INDEX(INDIRECT("'"&amp;XVI.a.Inputs[#Headers]&amp;"'!Year.Matrix"), MATCH("Subtotal."&amp;$A$2, INDIRECT("'"&amp;XVI.a.Inputs[#Headers]&amp;"'!Year.Modules"), 0), MATCH(XVI.a.Inputs[Vector], INDIRECT("'"&amp;XVI.a.Inputs[#Headers]&amp;"'!Year.Vectors"), 0))</f>
        <v>#REF!</v>
      </c>
      <c r="I9" s="914" t="e">
        <f ca="1">INDEX(INDIRECT("'"&amp;XVI.a.Inputs[#Headers]&amp;"'!Year.Matrix"), MATCH("Subtotal."&amp;$A$2, INDIRECT("'"&amp;XVI.a.Inputs[#Headers]&amp;"'!Year.Modules"), 0), MATCH(XVI.a.Inputs[Vector], INDIRECT("'"&amp;XVI.a.Inputs[#Headers]&amp;"'!Year.Vectors"), 0))</f>
        <v>#REF!</v>
      </c>
      <c r="J9" s="914" t="e">
        <f ca="1">INDEX(INDIRECT("'"&amp;XVI.a.Inputs[#Headers]&amp;"'!Year.Matrix"), MATCH("Subtotal."&amp;$A$2, INDIRECT("'"&amp;XVI.a.Inputs[#Headers]&amp;"'!Year.Modules"), 0), MATCH(XVI.a.Inputs[Vector], INDIRECT("'"&amp;XVI.a.Inputs[#Headers]&amp;"'!Year.Vectors"), 0))</f>
        <v>#REF!</v>
      </c>
      <c r="K9" s="914" t="e">
        <f ca="1">INDEX(INDIRECT("'"&amp;XVI.a.Inputs[#Headers]&amp;"'!Year.Matrix"), MATCH("Subtotal."&amp;$A$2, INDIRECT("'"&amp;XVI.a.Inputs[#Headers]&amp;"'!Year.Modules"), 0), MATCH(XVI.a.Inputs[Vector], INDIRECT("'"&amp;XVI.a.Inputs[#Headers]&amp;"'!Year.Vectors"), 0))</f>
        <v>#REF!</v>
      </c>
      <c r="L9" s="914" t="e">
        <f ca="1">INDEX(INDIRECT("'"&amp;XVI.a.Inputs[#Headers]&amp;"'!Year.Matrix"), MATCH("Subtotal."&amp;$A$2, INDIRECT("'"&amp;XVI.a.Inputs[#Headers]&amp;"'!Year.Modules"), 0), MATCH(XVI.a.Inputs[Vector], INDIRECT("'"&amp;XVI.a.Inputs[#Headers]&amp;"'!Year.Vectors"), 0))</f>
        <v>#REF!</v>
      </c>
      <c r="M9" s="914" t="e">
        <f ca="1">INDEX(INDIRECT("'"&amp;XVI.a.Inputs[#Headers]&amp;"'!Year.Matrix"), MATCH("Subtotal."&amp;$A$2, INDIRECT("'"&amp;XVI.a.Inputs[#Headers]&amp;"'!Year.Modules"), 0), MATCH(XVI.a.Inputs[Vector], INDIRECT("'"&amp;XVI.a.Inputs[#Headers]&amp;"'!Year.Vectors"), 0))</f>
        <v>#REF!</v>
      </c>
      <c r="N9" s="914" t="e">
        <f ca="1">INDEX(INDIRECT("'"&amp;XVI.a.Inputs[#Headers]&amp;"'!Year.Matrix"), MATCH("Subtotal."&amp;$A$2, INDIRECT("'"&amp;XVI.a.Inputs[#Headers]&amp;"'!Year.Modules"), 0), MATCH(XVI.a.Inputs[Vector], INDIRECT("'"&amp;XVI.a.Inputs[#Headers]&amp;"'!Year.Vectors"), 0))</f>
        <v>#REF!</v>
      </c>
      <c r="O9" s="914">
        <f ca="1">INDEX(INDIRECT("'"&amp;XVI.a.Inputs[#Headers]&amp;"'!Year.Matrix"), MATCH("Subtotal."&amp;$A$2, INDIRECT("'"&amp;XVI.a.Inputs[#Headers]&amp;"'!Year.Modules"), 0), MATCH(XVI.a.Inputs[Vector], INDIRECT("'"&amp;XVI.a.Inputs[#Headers]&amp;"'!Year.Vectors"), 0))</f>
        <v>-400.12025503680002</v>
      </c>
      <c r="P9" s="920"/>
    </row>
    <row r="10" spans="1:16" s="532" customFormat="1" ht="15">
      <c r="A10" s="537"/>
      <c r="B10" s="867"/>
      <c r="C10" s="868" t="s">
        <v>44</v>
      </c>
      <c r="D10" s="546" t="str">
        <f>INDEX(Vectors[Description], MATCH(XVI.a.Inputs[Vector], Vectors[Code], 0))</f>
        <v>Liquid hydrocarbons</v>
      </c>
      <c r="E10" s="868"/>
      <c r="F10" s="914" t="e">
        <f ca="1">INDEX(INDIRECT("'"&amp;XVI.a.Inputs[#Headers]&amp;"'!Year.Matrix"), MATCH("Subtotal."&amp;$A$2, INDIRECT("'"&amp;XVI.a.Inputs[#Headers]&amp;"'!Year.Modules"), 0), MATCH(XVI.a.Inputs[Vector], INDIRECT("'"&amp;XVI.a.Inputs[#Headers]&amp;"'!Year.Vectors"), 0))</f>
        <v>#REF!</v>
      </c>
      <c r="G10" s="914" t="e">
        <f ca="1">INDEX(INDIRECT("'"&amp;XVI.a.Inputs[#Headers]&amp;"'!Year.Matrix"), MATCH("Subtotal."&amp;$A$2, INDIRECT("'"&amp;XVI.a.Inputs[#Headers]&amp;"'!Year.Modules"), 0), MATCH(XVI.a.Inputs[Vector], INDIRECT("'"&amp;XVI.a.Inputs[#Headers]&amp;"'!Year.Vectors"), 0))</f>
        <v>#REF!</v>
      </c>
      <c r="H10" s="914" t="e">
        <f ca="1">INDEX(INDIRECT("'"&amp;XVI.a.Inputs[#Headers]&amp;"'!Year.Matrix"), MATCH("Subtotal."&amp;$A$2, INDIRECT("'"&amp;XVI.a.Inputs[#Headers]&amp;"'!Year.Modules"), 0), MATCH(XVI.a.Inputs[Vector], INDIRECT("'"&amp;XVI.a.Inputs[#Headers]&amp;"'!Year.Vectors"), 0))</f>
        <v>#REF!</v>
      </c>
      <c r="I10" s="914" t="e">
        <f ca="1">INDEX(INDIRECT("'"&amp;XVI.a.Inputs[#Headers]&amp;"'!Year.Matrix"), MATCH("Subtotal."&amp;$A$2, INDIRECT("'"&amp;XVI.a.Inputs[#Headers]&amp;"'!Year.Modules"), 0), MATCH(XVI.a.Inputs[Vector], INDIRECT("'"&amp;XVI.a.Inputs[#Headers]&amp;"'!Year.Vectors"), 0))</f>
        <v>#REF!</v>
      </c>
      <c r="J10" s="914" t="e">
        <f ca="1">INDEX(INDIRECT("'"&amp;XVI.a.Inputs[#Headers]&amp;"'!Year.Matrix"), MATCH("Subtotal."&amp;$A$2, INDIRECT("'"&amp;XVI.a.Inputs[#Headers]&amp;"'!Year.Modules"), 0), MATCH(XVI.a.Inputs[Vector], INDIRECT("'"&amp;XVI.a.Inputs[#Headers]&amp;"'!Year.Vectors"), 0))</f>
        <v>#REF!</v>
      </c>
      <c r="K10" s="914" t="e">
        <f ca="1">INDEX(INDIRECT("'"&amp;XVI.a.Inputs[#Headers]&amp;"'!Year.Matrix"), MATCH("Subtotal."&amp;$A$2, INDIRECT("'"&amp;XVI.a.Inputs[#Headers]&amp;"'!Year.Modules"), 0), MATCH(XVI.a.Inputs[Vector], INDIRECT("'"&amp;XVI.a.Inputs[#Headers]&amp;"'!Year.Vectors"), 0))</f>
        <v>#REF!</v>
      </c>
      <c r="L10" s="914" t="e">
        <f ca="1">INDEX(INDIRECT("'"&amp;XVI.a.Inputs[#Headers]&amp;"'!Year.Matrix"), MATCH("Subtotal."&amp;$A$2, INDIRECT("'"&amp;XVI.a.Inputs[#Headers]&amp;"'!Year.Modules"), 0), MATCH(XVI.a.Inputs[Vector], INDIRECT("'"&amp;XVI.a.Inputs[#Headers]&amp;"'!Year.Vectors"), 0))</f>
        <v>#REF!</v>
      </c>
      <c r="M10" s="914" t="e">
        <f ca="1">INDEX(INDIRECT("'"&amp;XVI.a.Inputs[#Headers]&amp;"'!Year.Matrix"), MATCH("Subtotal."&amp;$A$2, INDIRECT("'"&amp;XVI.a.Inputs[#Headers]&amp;"'!Year.Modules"), 0), MATCH(XVI.a.Inputs[Vector], INDIRECT("'"&amp;XVI.a.Inputs[#Headers]&amp;"'!Year.Vectors"), 0))</f>
        <v>#REF!</v>
      </c>
      <c r="N10" s="914" t="e">
        <f ca="1">INDEX(INDIRECT("'"&amp;XVI.a.Inputs[#Headers]&amp;"'!Year.Matrix"), MATCH("Subtotal."&amp;$A$2, INDIRECT("'"&amp;XVI.a.Inputs[#Headers]&amp;"'!Year.Modules"), 0), MATCH(XVI.a.Inputs[Vector], INDIRECT("'"&amp;XVI.a.Inputs[#Headers]&amp;"'!Year.Vectors"), 0))</f>
        <v>#REF!</v>
      </c>
      <c r="O10" s="914">
        <f ca="1">INDEX(INDIRECT("'"&amp;XVI.a.Inputs[#Headers]&amp;"'!Year.Matrix"), MATCH("Subtotal."&amp;$A$2, INDIRECT("'"&amp;XVI.a.Inputs[#Headers]&amp;"'!Year.Modules"), 0), MATCH(XVI.a.Inputs[Vector], INDIRECT("'"&amp;XVI.a.Inputs[#Headers]&amp;"'!Year.Vectors"), 0))</f>
        <v>0</v>
      </c>
      <c r="P10" s="920"/>
    </row>
    <row r="11" spans="1:16" s="532" customFormat="1" ht="18" customHeight="1">
      <c r="A11" s="537"/>
      <c r="B11" s="867"/>
      <c r="C11" s="546" t="s">
        <v>45</v>
      </c>
      <c r="D11" s="546" t="str">
        <f>INDEX(Vectors[Description], MATCH(XVI.a.Inputs[Vector], Vectors[Code], 0))</f>
        <v>Gaseous hydrocarbons</v>
      </c>
      <c r="E11" s="546"/>
      <c r="F11" s="914" t="e">
        <f ca="1">INDEX(INDIRECT("'"&amp;XVI.a.Inputs[#Headers]&amp;"'!Year.Matrix"), MATCH("Subtotal."&amp;$A$2, INDIRECT("'"&amp;XVI.a.Inputs[#Headers]&amp;"'!Year.Modules"), 0), MATCH(XVI.a.Inputs[Vector], INDIRECT("'"&amp;XVI.a.Inputs[#Headers]&amp;"'!Year.Vectors"), 0))</f>
        <v>#REF!</v>
      </c>
      <c r="G11" s="914" t="e">
        <f ca="1">INDEX(INDIRECT("'"&amp;XVI.a.Inputs[#Headers]&amp;"'!Year.Matrix"), MATCH("Subtotal."&amp;$A$2, INDIRECT("'"&amp;XVI.a.Inputs[#Headers]&amp;"'!Year.Modules"), 0), MATCH(XVI.a.Inputs[Vector], INDIRECT("'"&amp;XVI.a.Inputs[#Headers]&amp;"'!Year.Vectors"), 0))</f>
        <v>#REF!</v>
      </c>
      <c r="H11" s="914" t="e">
        <f ca="1">INDEX(INDIRECT("'"&amp;XVI.a.Inputs[#Headers]&amp;"'!Year.Matrix"), MATCH("Subtotal."&amp;$A$2, INDIRECT("'"&amp;XVI.a.Inputs[#Headers]&amp;"'!Year.Modules"), 0), MATCH(XVI.a.Inputs[Vector], INDIRECT("'"&amp;XVI.a.Inputs[#Headers]&amp;"'!Year.Vectors"), 0))</f>
        <v>#REF!</v>
      </c>
      <c r="I11" s="914" t="e">
        <f ca="1">INDEX(INDIRECT("'"&amp;XVI.a.Inputs[#Headers]&amp;"'!Year.Matrix"), MATCH("Subtotal."&amp;$A$2, INDIRECT("'"&amp;XVI.a.Inputs[#Headers]&amp;"'!Year.Modules"), 0), MATCH(XVI.a.Inputs[Vector], INDIRECT("'"&amp;XVI.a.Inputs[#Headers]&amp;"'!Year.Vectors"), 0))</f>
        <v>#REF!</v>
      </c>
      <c r="J11" s="914" t="e">
        <f ca="1">INDEX(INDIRECT("'"&amp;XVI.a.Inputs[#Headers]&amp;"'!Year.Matrix"), MATCH("Subtotal."&amp;$A$2, INDIRECT("'"&amp;XVI.a.Inputs[#Headers]&amp;"'!Year.Modules"), 0), MATCH(XVI.a.Inputs[Vector], INDIRECT("'"&amp;XVI.a.Inputs[#Headers]&amp;"'!Year.Vectors"), 0))</f>
        <v>#REF!</v>
      </c>
      <c r="K11" s="914" t="e">
        <f ca="1">INDEX(INDIRECT("'"&amp;XVI.a.Inputs[#Headers]&amp;"'!Year.Matrix"), MATCH("Subtotal."&amp;$A$2, INDIRECT("'"&amp;XVI.a.Inputs[#Headers]&amp;"'!Year.Modules"), 0), MATCH(XVI.a.Inputs[Vector], INDIRECT("'"&amp;XVI.a.Inputs[#Headers]&amp;"'!Year.Vectors"), 0))</f>
        <v>#REF!</v>
      </c>
      <c r="L11" s="914" t="e">
        <f ca="1">INDEX(INDIRECT("'"&amp;XVI.a.Inputs[#Headers]&amp;"'!Year.Matrix"), MATCH("Subtotal."&amp;$A$2, INDIRECT("'"&amp;XVI.a.Inputs[#Headers]&amp;"'!Year.Modules"), 0), MATCH(XVI.a.Inputs[Vector], INDIRECT("'"&amp;XVI.a.Inputs[#Headers]&amp;"'!Year.Vectors"), 0))</f>
        <v>#REF!</v>
      </c>
      <c r="M11" s="914" t="e">
        <f ca="1">INDEX(INDIRECT("'"&amp;XVI.a.Inputs[#Headers]&amp;"'!Year.Matrix"), MATCH("Subtotal."&amp;$A$2, INDIRECT("'"&amp;XVI.a.Inputs[#Headers]&amp;"'!Year.Modules"), 0), MATCH(XVI.a.Inputs[Vector], INDIRECT("'"&amp;XVI.a.Inputs[#Headers]&amp;"'!Year.Vectors"), 0))</f>
        <v>#REF!</v>
      </c>
      <c r="N11" s="914" t="e">
        <f ca="1">INDEX(INDIRECT("'"&amp;XVI.a.Inputs[#Headers]&amp;"'!Year.Matrix"), MATCH("Subtotal."&amp;$A$2, INDIRECT("'"&amp;XVI.a.Inputs[#Headers]&amp;"'!Year.Modules"), 0), MATCH(XVI.a.Inputs[Vector], INDIRECT("'"&amp;XVI.a.Inputs[#Headers]&amp;"'!Year.Vectors"), 0))</f>
        <v>#REF!</v>
      </c>
      <c r="O11" s="914">
        <f ca="1">INDEX(INDIRECT("'"&amp;XVI.a.Inputs[#Headers]&amp;"'!Year.Matrix"), MATCH("Subtotal."&amp;$A$2, INDIRECT("'"&amp;XVI.a.Inputs[#Headers]&amp;"'!Year.Modules"), 0), MATCH(XVI.a.Inputs[Vector], INDIRECT("'"&amp;XVI.a.Inputs[#Headers]&amp;"'!Year.Vectors"), 0))</f>
        <v>-151.89074227938463</v>
      </c>
      <c r="P11" s="870"/>
    </row>
    <row r="12" spans="1:16" s="532" customFormat="1" ht="18" customHeight="1">
      <c r="A12" s="537"/>
      <c r="B12" s="867"/>
      <c r="C12" s="546"/>
      <c r="D12" s="546"/>
      <c r="E12" s="546"/>
      <c r="F12" s="652"/>
      <c r="G12" s="652"/>
      <c r="H12" s="652"/>
      <c r="I12" s="652"/>
      <c r="J12" s="652"/>
      <c r="K12" s="652"/>
      <c r="L12" s="652"/>
      <c r="M12" s="652"/>
      <c r="N12" s="652"/>
      <c r="O12" s="652"/>
      <c r="P12" s="870"/>
    </row>
    <row r="14" spans="1:16" s="532" customFormat="1" ht="22">
      <c r="A14" s="850"/>
      <c r="B14" s="1875" t="s">
        <v>643</v>
      </c>
      <c r="C14" s="847"/>
      <c r="D14" s="847"/>
      <c r="E14" s="847"/>
      <c r="F14" s="847"/>
      <c r="G14" s="847"/>
      <c r="H14" s="847"/>
      <c r="I14" s="847"/>
      <c r="J14" s="847"/>
      <c r="K14" s="847"/>
      <c r="L14" s="847"/>
      <c r="M14" s="847"/>
      <c r="N14" s="847"/>
      <c r="O14" s="847"/>
      <c r="P14" s="848"/>
    </row>
    <row r="15" spans="1:16">
      <c r="B15" s="1872"/>
      <c r="C15" s="1870"/>
      <c r="D15" s="1870"/>
      <c r="E15" s="1870"/>
      <c r="F15" s="1870"/>
      <c r="G15" s="1870"/>
      <c r="H15" s="1870"/>
      <c r="I15" s="1870"/>
      <c r="J15" s="1870"/>
      <c r="K15" s="1870"/>
      <c r="L15" s="1870"/>
      <c r="M15" s="1870"/>
      <c r="N15" s="1870"/>
      <c r="O15" s="1870"/>
      <c r="P15" s="1873"/>
    </row>
    <row r="16" spans="1:16">
      <c r="B16" s="1872"/>
      <c r="C16" s="1871" t="s">
        <v>936</v>
      </c>
      <c r="D16" s="1870"/>
      <c r="E16" s="613"/>
      <c r="F16" s="1870"/>
      <c r="G16" s="1870"/>
      <c r="H16" s="1870"/>
      <c r="I16" s="1870"/>
      <c r="J16" s="1870"/>
      <c r="K16" s="1870"/>
      <c r="L16" s="1870"/>
      <c r="M16" s="1870"/>
      <c r="N16" s="1870"/>
      <c r="O16" s="613" t="s">
        <v>948</v>
      </c>
      <c r="P16" s="1873"/>
    </row>
    <row r="17" spans="1:16" ht="6" customHeight="1">
      <c r="B17" s="1872"/>
      <c r="C17" s="1870"/>
      <c r="D17" s="1870"/>
      <c r="E17" s="1870"/>
      <c r="F17" s="1870"/>
      <c r="G17" s="1870"/>
      <c r="H17" s="1870"/>
      <c r="I17" s="1870"/>
      <c r="J17" s="1870"/>
      <c r="K17" s="1870"/>
      <c r="L17" s="1870"/>
      <c r="M17" s="1870"/>
      <c r="N17" s="1870"/>
      <c r="O17" s="1870"/>
      <c r="P17" s="1873"/>
    </row>
    <row r="18" spans="1:16" ht="15">
      <c r="B18" s="839"/>
      <c r="C18" s="547" t="s">
        <v>72</v>
      </c>
      <c r="D18" s="547" t="s">
        <v>399</v>
      </c>
      <c r="E18" s="547" t="s">
        <v>421</v>
      </c>
      <c r="F18" s="643">
        <v>2007</v>
      </c>
      <c r="G18" s="644">
        <v>2010</v>
      </c>
      <c r="H18" s="643">
        <v>2015</v>
      </c>
      <c r="I18" s="643">
        <v>2020</v>
      </c>
      <c r="J18" s="643">
        <v>2025</v>
      </c>
      <c r="K18" s="643">
        <v>2030</v>
      </c>
      <c r="L18" s="643">
        <v>2035</v>
      </c>
      <c r="M18" s="643">
        <v>2040</v>
      </c>
      <c r="N18" s="643">
        <v>2045</v>
      </c>
      <c r="O18" s="643">
        <v>2050</v>
      </c>
      <c r="P18" s="1873"/>
    </row>
    <row r="19" spans="1:16" s="532" customFormat="1" ht="15">
      <c r="B19" s="841"/>
      <c r="C19" s="569" t="s">
        <v>45</v>
      </c>
      <c r="D19" s="570" t="str">
        <f>INDEX(Vectors[Description], MATCH($C19, Vectors[Code], 0))</f>
        <v>Gaseous hydrocarbons</v>
      </c>
      <c r="E19" s="570" t="s">
        <v>102</v>
      </c>
      <c r="F19" s="578" t="e">
        <f>-(#REF!+#REF!)/#REF!</f>
        <v>#REF!</v>
      </c>
      <c r="G19" s="581" t="e">
        <f>$F19</f>
        <v>#REF!</v>
      </c>
      <c r="H19" s="578" t="e">
        <f t="shared" ref="H19:O19" si="0">$F19</f>
        <v>#REF!</v>
      </c>
      <c r="I19" s="578" t="e">
        <f t="shared" si="0"/>
        <v>#REF!</v>
      </c>
      <c r="J19" s="578" t="e">
        <f t="shared" si="0"/>
        <v>#REF!</v>
      </c>
      <c r="K19" s="578" t="e">
        <f t="shared" si="0"/>
        <v>#REF!</v>
      </c>
      <c r="L19" s="578" t="e">
        <f t="shared" si="0"/>
        <v>#REF!</v>
      </c>
      <c r="M19" s="578" t="e">
        <f t="shared" si="0"/>
        <v>#REF!</v>
      </c>
      <c r="N19" s="578" t="e">
        <f t="shared" si="0"/>
        <v>#REF!</v>
      </c>
      <c r="O19" s="578" t="e">
        <f t="shared" si="0"/>
        <v>#REF!</v>
      </c>
      <c r="P19" s="842"/>
    </row>
    <row r="20" spans="1:16">
      <c r="B20" s="843"/>
      <c r="C20" s="1870"/>
      <c r="D20" s="614"/>
      <c r="E20" s="1870"/>
      <c r="F20" s="1870"/>
      <c r="G20" s="1870"/>
      <c r="H20" s="1870"/>
      <c r="I20" s="1870"/>
      <c r="J20" s="1870"/>
      <c r="K20" s="1870"/>
      <c r="L20" s="1870"/>
      <c r="M20" s="1870"/>
      <c r="N20" s="1870"/>
      <c r="O20" s="1870"/>
      <c r="P20" s="1873"/>
    </row>
    <row r="21" spans="1:16" ht="17">
      <c r="B21" s="843"/>
      <c r="C21" s="1871" t="s">
        <v>938</v>
      </c>
      <c r="D21" s="614"/>
      <c r="E21" s="1870"/>
      <c r="F21" s="613" t="s">
        <v>832</v>
      </c>
      <c r="G21" s="1870"/>
      <c r="H21" s="1870"/>
      <c r="I21" s="1870"/>
      <c r="J21" s="1870"/>
      <c r="K21" s="1870"/>
      <c r="L21" s="1870"/>
      <c r="M21" s="1870"/>
      <c r="N21" s="1870"/>
      <c r="O21" s="1870"/>
      <c r="P21" s="1873"/>
    </row>
    <row r="22" spans="1:16" ht="5.25" customHeight="1">
      <c r="B22" s="843"/>
      <c r="C22" s="1870"/>
      <c r="D22" s="614"/>
      <c r="E22" s="1870"/>
      <c r="F22" s="1870"/>
      <c r="G22" s="1870"/>
      <c r="H22" s="1870"/>
      <c r="I22" s="1870"/>
      <c r="J22" s="1870"/>
      <c r="K22" s="1870"/>
      <c r="L22" s="1870"/>
      <c r="M22" s="1870"/>
      <c r="N22" s="1870"/>
      <c r="O22" s="1870"/>
      <c r="P22" s="1873"/>
    </row>
    <row r="23" spans="1:16" ht="15">
      <c r="B23" s="839"/>
      <c r="C23" s="547" t="s">
        <v>828</v>
      </c>
      <c r="D23" s="547" t="s">
        <v>798</v>
      </c>
      <c r="E23" s="547" t="s">
        <v>421</v>
      </c>
      <c r="F23" s="643">
        <v>2007</v>
      </c>
      <c r="G23" s="1870"/>
      <c r="H23" s="1870"/>
      <c r="I23" s="1870"/>
      <c r="J23" s="1870"/>
      <c r="K23" s="1870"/>
      <c r="L23" s="1870"/>
      <c r="M23" s="1870"/>
      <c r="N23" s="1870"/>
      <c r="O23" s="1870"/>
      <c r="P23" s="1873"/>
    </row>
    <row r="24" spans="1:16" ht="15">
      <c r="B24" s="839"/>
      <c r="C24" s="569" t="s">
        <v>812</v>
      </c>
      <c r="D24" s="570" t="s">
        <v>908</v>
      </c>
      <c r="E24" s="570" t="s">
        <v>108</v>
      </c>
      <c r="F24" s="571">
        <f>208.126255432784/1000*GWP.CH4</f>
        <v>4.3706513640884639</v>
      </c>
      <c r="G24" s="1870"/>
      <c r="H24" s="1870"/>
      <c r="I24" s="1870"/>
      <c r="J24" s="1870"/>
      <c r="K24" s="1870"/>
      <c r="L24" s="1870"/>
      <c r="M24" s="1870"/>
      <c r="N24" s="1870"/>
      <c r="O24" s="1870"/>
      <c r="P24" s="1873"/>
    </row>
    <row r="25" spans="1:16">
      <c r="B25" s="843"/>
      <c r="C25" s="1870"/>
      <c r="D25" s="614"/>
      <c r="E25" s="1870"/>
      <c r="F25" s="1870"/>
      <c r="G25" s="1870"/>
      <c r="H25" s="1870"/>
      <c r="I25" s="1870"/>
      <c r="J25" s="1870"/>
      <c r="K25" s="1870"/>
      <c r="L25" s="1870"/>
      <c r="M25" s="1870"/>
      <c r="N25" s="1870"/>
      <c r="O25" s="1870"/>
      <c r="P25" s="1873"/>
    </row>
    <row r="26" spans="1:16">
      <c r="B26" s="843"/>
      <c r="C26" s="1870" t="s">
        <v>601</v>
      </c>
      <c r="D26" s="614"/>
      <c r="E26" s="1870"/>
      <c r="F26" s="1870"/>
      <c r="G26" s="1870"/>
      <c r="H26" s="1870"/>
      <c r="I26" s="1870"/>
      <c r="J26" s="1870"/>
      <c r="K26" s="1870"/>
      <c r="L26" s="1870"/>
      <c r="M26" s="1870"/>
      <c r="N26" s="1870"/>
      <c r="O26" s="1870"/>
      <c r="P26" s="1873"/>
    </row>
    <row r="27" spans="1:16" s="1865" customFormat="1" ht="11">
      <c r="B27" s="894"/>
      <c r="C27" s="909" t="s">
        <v>102</v>
      </c>
      <c r="D27" s="910" t="s">
        <v>940</v>
      </c>
      <c r="E27" s="897"/>
      <c r="F27" s="897"/>
      <c r="G27" s="897"/>
      <c r="H27" s="897"/>
      <c r="I27" s="897"/>
      <c r="J27" s="897"/>
      <c r="K27" s="897"/>
      <c r="L27" s="897"/>
      <c r="M27" s="897"/>
      <c r="N27" s="897"/>
      <c r="O27" s="897"/>
      <c r="P27" s="898"/>
    </row>
    <row r="28" spans="1:16" s="1865" customFormat="1" ht="11">
      <c r="B28" s="894"/>
      <c r="C28" s="909" t="s">
        <v>108</v>
      </c>
      <c r="D28" s="910" t="s">
        <v>939</v>
      </c>
      <c r="E28" s="897"/>
      <c r="F28" s="897"/>
      <c r="G28" s="897"/>
      <c r="H28" s="897"/>
      <c r="I28" s="897"/>
      <c r="J28" s="897"/>
      <c r="K28" s="897"/>
      <c r="L28" s="897"/>
      <c r="M28" s="897"/>
      <c r="N28" s="897"/>
      <c r="O28" s="897"/>
      <c r="P28" s="898"/>
    </row>
    <row r="29" spans="1:16">
      <c r="B29" s="844"/>
      <c r="C29" s="845"/>
      <c r="D29" s="845"/>
      <c r="E29" s="845"/>
      <c r="F29" s="845"/>
      <c r="G29" s="845"/>
      <c r="H29" s="845"/>
      <c r="I29" s="845"/>
      <c r="J29" s="845"/>
      <c r="K29" s="845"/>
      <c r="L29" s="845"/>
      <c r="M29" s="845"/>
      <c r="N29" s="845"/>
      <c r="O29" s="845"/>
      <c r="P29" s="846"/>
    </row>
    <row r="30" spans="1:16" s="1116" customFormat="1">
      <c r="B30" s="1425"/>
      <c r="C30" s="1426"/>
      <c r="D30" s="1426"/>
      <c r="E30" s="1426"/>
      <c r="F30" s="1426"/>
      <c r="G30" s="1426"/>
      <c r="H30" s="1426"/>
      <c r="I30" s="1426"/>
      <c r="J30" s="1426"/>
      <c r="K30" s="1426"/>
      <c r="L30" s="1426"/>
      <c r="M30" s="1426"/>
      <c r="N30" s="1426"/>
      <c r="O30" s="1426"/>
      <c r="P30" s="1115"/>
    </row>
    <row r="31" spans="1:16" s="532" customFormat="1" ht="22">
      <c r="A31" s="850"/>
      <c r="B31" s="1875" t="s">
        <v>1983</v>
      </c>
      <c r="C31" s="847"/>
      <c r="D31" s="847"/>
      <c r="E31" s="847"/>
      <c r="F31" s="847"/>
      <c r="G31" s="847"/>
      <c r="H31" s="847"/>
      <c r="I31" s="847"/>
      <c r="J31" s="847"/>
      <c r="K31" s="847"/>
      <c r="L31" s="847"/>
      <c r="M31" s="847"/>
      <c r="N31" s="847"/>
      <c r="O31" s="847"/>
      <c r="P31" s="848"/>
    </row>
    <row r="32" spans="1:16">
      <c r="B32" s="1872"/>
      <c r="C32" s="1870"/>
      <c r="D32" s="1870"/>
      <c r="E32" s="1870"/>
      <c r="F32" s="1870"/>
      <c r="G32" s="1870"/>
      <c r="H32" s="1870"/>
      <c r="I32" s="1870"/>
      <c r="J32" s="1870"/>
      <c r="K32" s="1870"/>
      <c r="L32" s="1870"/>
      <c r="M32" s="1870"/>
      <c r="N32" s="1870"/>
      <c r="O32" s="1870"/>
      <c r="P32" s="1873"/>
    </row>
    <row r="33" spans="2:16">
      <c r="B33" s="1872"/>
      <c r="C33" s="1871"/>
      <c r="D33" s="1796" t="s">
        <v>2093</v>
      </c>
      <c r="E33" s="1798"/>
      <c r="F33" s="1797" t="s">
        <v>1155</v>
      </c>
      <c r="G33" s="1797" t="s">
        <v>1156</v>
      </c>
      <c r="H33" s="1798"/>
      <c r="I33" s="1870"/>
      <c r="J33" s="1870"/>
      <c r="K33" s="1870"/>
      <c r="L33" s="1870"/>
      <c r="M33" s="1870"/>
      <c r="N33" s="1870"/>
      <c r="O33" s="1870"/>
      <c r="P33" s="1873"/>
    </row>
    <row r="34" spans="2:16">
      <c r="B34" s="1872"/>
      <c r="C34" s="1871"/>
      <c r="D34" s="1870" t="s">
        <v>2035</v>
      </c>
      <c r="E34" s="1870" t="str">
        <f>Preferences.moneyunits&amp;"/"&amp;Preferences.EnergyUnits</f>
        <v>£m/TWh</v>
      </c>
      <c r="F34" s="1140">
        <f>((9.57*MGBP/Unit.PJ)*50%)*(Price2000)</f>
        <v>22.311159465340378</v>
      </c>
      <c r="G34" s="1140">
        <f>((9.57*MGBP/Unit.PJ)*150%)*(Price2000)</f>
        <v>66.93347839602113</v>
      </c>
      <c r="H34" s="1870"/>
      <c r="I34" s="1870"/>
      <c r="J34" s="1870"/>
      <c r="K34" s="1870"/>
      <c r="L34" s="1870"/>
      <c r="M34" s="1870"/>
      <c r="N34" s="1870"/>
      <c r="O34" s="1870"/>
      <c r="P34" s="1873"/>
    </row>
    <row r="35" spans="2:16">
      <c r="B35" s="1870"/>
      <c r="C35" s="1871"/>
      <c r="D35" s="933" t="s">
        <v>2048</v>
      </c>
      <c r="E35" s="933" t="str">
        <f>Preferences.moneyunits&amp;"/"&amp;Preferences.EnergyUnits</f>
        <v>£m/TWh</v>
      </c>
      <c r="F35" s="1141">
        <f>((0.001*MGBP/Unit.PJ)*50%)*(Price2000)</f>
        <v>2.3313646254274167E-3</v>
      </c>
      <c r="G35" s="1141">
        <f>((0.001 *MGBP/Unit.PJ)*50%)*(Price2000)</f>
        <v>2.3313646254274167E-3</v>
      </c>
      <c r="H35" s="933"/>
      <c r="I35" s="1870"/>
      <c r="J35" s="1870"/>
      <c r="K35" s="1870"/>
      <c r="L35" s="1870"/>
      <c r="M35" s="1870"/>
      <c r="N35" s="1870"/>
      <c r="O35" s="1870"/>
      <c r="P35" s="1870"/>
    </row>
    <row r="36" spans="2:16">
      <c r="B36" s="1870"/>
      <c r="C36" s="1871"/>
      <c r="D36" s="1870"/>
      <c r="E36" s="1870"/>
      <c r="F36" s="1140"/>
      <c r="G36" s="1140"/>
      <c r="H36" s="1870"/>
      <c r="I36" s="1870"/>
      <c r="J36" s="1870"/>
      <c r="K36" s="1870"/>
      <c r="L36" s="1870"/>
      <c r="M36" s="1870"/>
      <c r="N36" s="1870"/>
      <c r="O36" s="1870"/>
      <c r="P36" s="1870"/>
    </row>
    <row r="37" spans="2:16">
      <c r="B37" s="1793"/>
      <c r="C37" s="1793"/>
      <c r="D37" s="1870" t="s">
        <v>2050</v>
      </c>
      <c r="E37" s="1870">
        <v>30</v>
      </c>
      <c r="F37" s="1098" t="s">
        <v>2094</v>
      </c>
      <c r="G37" s="1098"/>
      <c r="H37" s="1870"/>
      <c r="I37" s="1793"/>
      <c r="J37" s="1793"/>
      <c r="K37" s="1793"/>
      <c r="L37" s="1793"/>
      <c r="M37" s="1793"/>
      <c r="N37" s="1793"/>
      <c r="O37" s="1793"/>
      <c r="P37" s="1793"/>
    </row>
    <row r="38" spans="2:16">
      <c r="B38" s="1793"/>
      <c r="C38" s="1793"/>
      <c r="D38" s="1870"/>
      <c r="E38" s="1870"/>
      <c r="F38" s="1870"/>
      <c r="G38" s="1870"/>
      <c r="H38" s="1870"/>
      <c r="I38" s="1793"/>
      <c r="J38" s="1793"/>
      <c r="K38" s="1793"/>
      <c r="L38" s="1793"/>
      <c r="M38" s="1793"/>
      <c r="N38" s="1793"/>
      <c r="O38" s="1793"/>
      <c r="P38" s="1793"/>
    </row>
    <row r="39" spans="2:16">
      <c r="B39" s="1793"/>
      <c r="C39" s="1793"/>
      <c r="D39" s="1793" t="s">
        <v>2011</v>
      </c>
      <c r="E39" s="1816" t="s">
        <v>2092</v>
      </c>
      <c r="F39" s="1793"/>
      <c r="G39" s="1793"/>
      <c r="H39" s="1793"/>
      <c r="I39" s="1793"/>
      <c r="J39" s="1793"/>
      <c r="K39" s="1793"/>
      <c r="L39" s="1793"/>
      <c r="M39" s="1793"/>
      <c r="N39" s="1793"/>
      <c r="O39" s="1793"/>
      <c r="P39" s="1793"/>
    </row>
    <row r="40" spans="2:16">
      <c r="B40" s="1793"/>
      <c r="C40" s="1793"/>
      <c r="D40" s="1793"/>
      <c r="E40" s="1793"/>
      <c r="F40" s="1793"/>
      <c r="G40" s="1793"/>
      <c r="H40" s="1793"/>
      <c r="I40" s="1793"/>
      <c r="J40" s="1793"/>
      <c r="K40" s="1793"/>
      <c r="L40" s="1793"/>
      <c r="M40" s="1793"/>
      <c r="N40" s="1793"/>
      <c r="O40" s="1793"/>
      <c r="P40" s="1793"/>
    </row>
    <row r="42" spans="2:16" ht="15">
      <c r="B42" s="575" t="s">
        <v>615</v>
      </c>
    </row>
    <row r="43" spans="2:16">
      <c r="B43" s="1877">
        <v>1</v>
      </c>
      <c r="C43" s="1904" t="s">
        <v>1037</v>
      </c>
    </row>
    <row r="44" spans="2:16">
      <c r="B44" s="1877">
        <v>2</v>
      </c>
      <c r="C44" s="1904" t="s">
        <v>903</v>
      </c>
    </row>
    <row r="46" spans="2:16">
      <c r="B46" s="1877">
        <v>1</v>
      </c>
      <c r="C46" s="1877" t="s">
        <v>1036</v>
      </c>
    </row>
    <row r="47" spans="2:16">
      <c r="B47" s="1877"/>
      <c r="C47" s="1877"/>
    </row>
    <row r="48" spans="2:16">
      <c r="C48" s="1877" t="s">
        <v>941</v>
      </c>
      <c r="E48" s="1904" t="str">
        <f>Preferences.EnergyUnits</f>
        <v>TWh</v>
      </c>
      <c r="F48" s="563" t="e">
        <f ca="1">-F$9</f>
        <v>#REF!</v>
      </c>
      <c r="G48" s="563" t="e">
        <f t="shared" ref="G48:O48" ca="1" si="1">-G$9</f>
        <v>#REF!</v>
      </c>
      <c r="H48" s="563" t="e">
        <f t="shared" ca="1" si="1"/>
        <v>#REF!</v>
      </c>
      <c r="I48" s="563" t="e">
        <f t="shared" ca="1" si="1"/>
        <v>#REF!</v>
      </c>
      <c r="J48" s="563" t="e">
        <f t="shared" ca="1" si="1"/>
        <v>#REF!</v>
      </c>
      <c r="K48" s="563" t="e">
        <f t="shared" ca="1" si="1"/>
        <v>#REF!</v>
      </c>
      <c r="L48" s="563" t="e">
        <f t="shared" ca="1" si="1"/>
        <v>#REF!</v>
      </c>
      <c r="M48" s="563" t="e">
        <f t="shared" ca="1" si="1"/>
        <v>#REF!</v>
      </c>
      <c r="N48" s="563" t="e">
        <f t="shared" ca="1" si="1"/>
        <v>#REF!</v>
      </c>
      <c r="O48" s="563">
        <f t="shared" ca="1" si="1"/>
        <v>400.12025503680002</v>
      </c>
    </row>
    <row r="49" spans="2:15">
      <c r="C49" s="1877" t="s">
        <v>1038</v>
      </c>
      <c r="E49" s="1904" t="str">
        <f>Preferences.EnergyUnits</f>
        <v>TWh</v>
      </c>
      <c r="F49" s="563" t="e">
        <f ca="1">-F$10</f>
        <v>#REF!</v>
      </c>
      <c r="G49" s="563" t="e">
        <f t="shared" ref="G49:O49" ca="1" si="2">-G$10</f>
        <v>#REF!</v>
      </c>
      <c r="H49" s="563" t="e">
        <f t="shared" ca="1" si="2"/>
        <v>#REF!</v>
      </c>
      <c r="I49" s="563" t="e">
        <f t="shared" ca="1" si="2"/>
        <v>#REF!</v>
      </c>
      <c r="J49" s="563" t="e">
        <f t="shared" ca="1" si="2"/>
        <v>#REF!</v>
      </c>
      <c r="K49" s="563" t="e">
        <f t="shared" ca="1" si="2"/>
        <v>#REF!</v>
      </c>
      <c r="L49" s="563" t="e">
        <f t="shared" ca="1" si="2"/>
        <v>#REF!</v>
      </c>
      <c r="M49" s="563" t="e">
        <f t="shared" ca="1" si="2"/>
        <v>#REF!</v>
      </c>
      <c r="N49" s="563" t="e">
        <f t="shared" ca="1" si="2"/>
        <v>#REF!</v>
      </c>
      <c r="O49" s="563">
        <f t="shared" ca="1" si="2"/>
        <v>0</v>
      </c>
    </row>
    <row r="50" spans="2:15">
      <c r="C50" s="1877"/>
      <c r="F50" s="563"/>
      <c r="G50" s="563"/>
      <c r="H50" s="563"/>
      <c r="I50" s="563"/>
      <c r="J50" s="563"/>
      <c r="K50" s="563"/>
      <c r="L50" s="563"/>
      <c r="M50" s="563"/>
      <c r="N50" s="563"/>
      <c r="O50" s="563"/>
    </row>
    <row r="51" spans="2:15">
      <c r="C51" s="579" t="s">
        <v>942</v>
      </c>
      <c r="E51" s="1904" t="str">
        <f>Preferences.EnergyUnits</f>
        <v>TWh</v>
      </c>
      <c r="F51" s="27" t="e">
        <f ca="1">-F$11</f>
        <v>#REF!</v>
      </c>
      <c r="G51" s="27" t="e">
        <f t="shared" ref="G51:O51" ca="1" si="3">-G$11</f>
        <v>#REF!</v>
      </c>
      <c r="H51" s="27" t="e">
        <f t="shared" ca="1" si="3"/>
        <v>#REF!</v>
      </c>
      <c r="I51" s="27" t="e">
        <f t="shared" ca="1" si="3"/>
        <v>#REF!</v>
      </c>
      <c r="J51" s="27" t="e">
        <f t="shared" ca="1" si="3"/>
        <v>#REF!</v>
      </c>
      <c r="K51" s="27" t="e">
        <f t="shared" ca="1" si="3"/>
        <v>#REF!</v>
      </c>
      <c r="L51" s="27" t="e">
        <f t="shared" ca="1" si="3"/>
        <v>#REF!</v>
      </c>
      <c r="M51" s="27" t="e">
        <f t="shared" ca="1" si="3"/>
        <v>#REF!</v>
      </c>
      <c r="N51" s="27" t="e">
        <f t="shared" ca="1" si="3"/>
        <v>#REF!</v>
      </c>
      <c r="O51" s="27">
        <f t="shared" ca="1" si="3"/>
        <v>151.89074227938463</v>
      </c>
    </row>
    <row r="52" spans="2:15">
      <c r="B52" s="24" t="s">
        <v>943</v>
      </c>
      <c r="C52" s="24" t="s">
        <v>944</v>
      </c>
      <c r="F52" s="577" t="e">
        <f ca="1">F51*F$19</f>
        <v>#REF!</v>
      </c>
      <c r="G52" s="577" t="e">
        <f t="shared" ref="G52:O52" ca="1" si="4">G51*G$19</f>
        <v>#REF!</v>
      </c>
      <c r="H52" s="577" t="e">
        <f t="shared" ca="1" si="4"/>
        <v>#REF!</v>
      </c>
      <c r="I52" s="577" t="e">
        <f t="shared" ca="1" si="4"/>
        <v>#REF!</v>
      </c>
      <c r="J52" s="577" t="e">
        <f t="shared" ca="1" si="4"/>
        <v>#REF!</v>
      </c>
      <c r="K52" s="577" t="e">
        <f t="shared" ca="1" si="4"/>
        <v>#REF!</v>
      </c>
      <c r="L52" s="577" t="e">
        <f t="shared" ca="1" si="4"/>
        <v>#REF!</v>
      </c>
      <c r="M52" s="577" t="e">
        <f t="shared" ca="1" si="4"/>
        <v>#REF!</v>
      </c>
      <c r="N52" s="577" t="e">
        <f t="shared" ca="1" si="4"/>
        <v>#REF!</v>
      </c>
      <c r="O52" s="577" t="e">
        <f t="shared" ca="1" si="4"/>
        <v>#REF!</v>
      </c>
    </row>
    <row r="53" spans="2:15">
      <c r="B53" s="1877" t="s">
        <v>673</v>
      </c>
      <c r="C53" s="1877" t="s">
        <v>945</v>
      </c>
      <c r="F53" s="563" t="e">
        <f ca="1">F51+F52</f>
        <v>#REF!</v>
      </c>
      <c r="G53" s="563" t="e">
        <f t="shared" ref="G53:O53" ca="1" si="5">G51+G52</f>
        <v>#REF!</v>
      </c>
      <c r="H53" s="563" t="e">
        <f t="shared" ca="1" si="5"/>
        <v>#REF!</v>
      </c>
      <c r="I53" s="563" t="e">
        <f t="shared" ca="1" si="5"/>
        <v>#REF!</v>
      </c>
      <c r="J53" s="563" t="e">
        <f t="shared" ca="1" si="5"/>
        <v>#REF!</v>
      </c>
      <c r="K53" s="563" t="e">
        <f t="shared" ca="1" si="5"/>
        <v>#REF!</v>
      </c>
      <c r="L53" s="563" t="e">
        <f t="shared" ca="1" si="5"/>
        <v>#REF!</v>
      </c>
      <c r="M53" s="563" t="e">
        <f t="shared" ca="1" si="5"/>
        <v>#REF!</v>
      </c>
      <c r="N53" s="563" t="e">
        <f t="shared" ca="1" si="5"/>
        <v>#REF!</v>
      </c>
      <c r="O53" s="563" t="e">
        <f t="shared" ca="1" si="5"/>
        <v>#REF!</v>
      </c>
    </row>
    <row r="54" spans="2:15">
      <c r="C54" s="573"/>
      <c r="F54" s="577"/>
      <c r="G54" s="577"/>
      <c r="H54" s="577"/>
      <c r="I54" s="577"/>
      <c r="J54" s="577"/>
      <c r="K54" s="577"/>
      <c r="L54" s="577"/>
      <c r="M54" s="577"/>
      <c r="N54" s="577"/>
      <c r="O54" s="577"/>
    </row>
    <row r="55" spans="2:15">
      <c r="B55" s="1877">
        <v>2</v>
      </c>
      <c r="C55" s="1877" t="s">
        <v>904</v>
      </c>
      <c r="F55" s="577"/>
      <c r="G55" s="577"/>
      <c r="H55" s="577"/>
      <c r="I55" s="577"/>
      <c r="J55" s="577"/>
      <c r="K55" s="577"/>
      <c r="L55" s="577"/>
      <c r="M55" s="577"/>
      <c r="N55" s="577"/>
      <c r="O55" s="577"/>
    </row>
    <row r="56" spans="2:15">
      <c r="C56" s="1904" t="s">
        <v>946</v>
      </c>
      <c r="F56" s="577"/>
      <c r="G56" s="577"/>
      <c r="H56" s="577"/>
      <c r="I56" s="577"/>
      <c r="J56" s="577"/>
      <c r="K56" s="577"/>
      <c r="L56" s="577"/>
      <c r="M56" s="577"/>
      <c r="N56" s="577"/>
      <c r="O56" s="577"/>
    </row>
    <row r="57" spans="2:15">
      <c r="C57" s="1904" t="s">
        <v>947</v>
      </c>
      <c r="F57" s="577"/>
      <c r="G57" s="577"/>
      <c r="H57" s="577"/>
      <c r="I57" s="577"/>
      <c r="J57" s="577"/>
      <c r="K57" s="577"/>
      <c r="L57" s="577"/>
      <c r="M57" s="577"/>
      <c r="N57" s="577"/>
      <c r="O57" s="577"/>
    </row>
    <row r="58" spans="2:15">
      <c r="C58" s="1904" t="s">
        <v>1069</v>
      </c>
      <c r="F58" s="577"/>
      <c r="G58" s="577"/>
      <c r="H58" s="577"/>
      <c r="I58" s="577"/>
      <c r="J58" s="577"/>
      <c r="K58" s="577"/>
      <c r="L58" s="577"/>
      <c r="M58" s="577"/>
      <c r="N58" s="577"/>
      <c r="O58" s="577"/>
    </row>
    <row r="59" spans="2:15">
      <c r="F59" s="577"/>
      <c r="G59" s="577"/>
      <c r="H59" s="577"/>
      <c r="I59" s="577"/>
      <c r="J59" s="577"/>
      <c r="K59" s="577"/>
      <c r="L59" s="577"/>
      <c r="M59" s="577"/>
      <c r="N59" s="577"/>
      <c r="O59" s="577"/>
    </row>
    <row r="60" spans="2:15">
      <c r="C60" s="1877" t="s">
        <v>938</v>
      </c>
      <c r="E60" s="1904" t="s">
        <v>831</v>
      </c>
      <c r="F60" s="577">
        <f>F$24</f>
        <v>4.3706513640884639</v>
      </c>
      <c r="G60" s="577" t="e">
        <f ca="1">$F60*(G$51/$F$51)</f>
        <v>#REF!</v>
      </c>
      <c r="H60" s="577" t="e">
        <f t="shared" ref="H60:O60" ca="1" si="6">$F60*(H$51/$F$51)</f>
        <v>#REF!</v>
      </c>
      <c r="I60" s="577" t="e">
        <f t="shared" ca="1" si="6"/>
        <v>#REF!</v>
      </c>
      <c r="J60" s="577" t="e">
        <f t="shared" ca="1" si="6"/>
        <v>#REF!</v>
      </c>
      <c r="K60" s="577" t="e">
        <f t="shared" ca="1" si="6"/>
        <v>#REF!</v>
      </c>
      <c r="L60" s="577" t="e">
        <f t="shared" ca="1" si="6"/>
        <v>#REF!</v>
      </c>
      <c r="M60" s="577" t="e">
        <f t="shared" ca="1" si="6"/>
        <v>#REF!</v>
      </c>
      <c r="N60" s="577" t="e">
        <f t="shared" ca="1" si="6"/>
        <v>#REF!</v>
      </c>
      <c r="O60" s="577" t="e">
        <f t="shared" ca="1" si="6"/>
        <v>#REF!</v>
      </c>
    </row>
    <row r="61" spans="2:15">
      <c r="C61" s="573"/>
      <c r="F61" s="577"/>
      <c r="G61" s="577"/>
      <c r="H61" s="577"/>
      <c r="I61" s="577"/>
      <c r="J61" s="577"/>
      <c r="K61" s="577"/>
      <c r="L61" s="577"/>
      <c r="M61" s="577"/>
      <c r="N61" s="577"/>
      <c r="O61" s="577"/>
    </row>
    <row r="62" spans="2:15">
      <c r="B62" s="1905">
        <v>3</v>
      </c>
      <c r="C62" s="1877" t="s">
        <v>2095</v>
      </c>
      <c r="F62" s="577"/>
      <c r="G62" s="577"/>
      <c r="H62" s="577"/>
      <c r="I62" s="577"/>
      <c r="J62" s="577"/>
      <c r="K62" s="577"/>
      <c r="L62" s="577"/>
      <c r="M62" s="577"/>
      <c r="N62" s="577"/>
      <c r="O62" s="577"/>
    </row>
    <row r="63" spans="2:15">
      <c r="C63" s="573"/>
      <c r="F63" s="577"/>
      <c r="G63" s="577"/>
      <c r="H63" s="577"/>
      <c r="I63" s="577"/>
      <c r="J63" s="577"/>
      <c r="K63" s="577"/>
      <c r="L63" s="577"/>
      <c r="M63" s="577"/>
      <c r="N63" s="577"/>
      <c r="O63" s="577"/>
    </row>
    <row r="64" spans="2:15" ht="14">
      <c r="C64" s="1877" t="s">
        <v>2096</v>
      </c>
      <c r="E64" s="1904" t="str">
        <f>Preferences.EnergyUnits&amp;"/yr average flow"</f>
        <v>TWh/yr average flow</v>
      </c>
      <c r="F64" s="608">
        <v>2007</v>
      </c>
      <c r="G64" s="608">
        <v>2010</v>
      </c>
      <c r="H64" s="608">
        <v>2015</v>
      </c>
      <c r="I64" s="608">
        <v>2020</v>
      </c>
      <c r="J64" s="608">
        <v>2025</v>
      </c>
      <c r="K64" s="608">
        <v>2030</v>
      </c>
      <c r="L64" s="608">
        <v>2035</v>
      </c>
      <c r="M64" s="608">
        <v>2040</v>
      </c>
      <c r="N64" s="608">
        <v>2045</v>
      </c>
      <c r="O64" s="608">
        <v>2050</v>
      </c>
    </row>
    <row r="65" spans="2:15">
      <c r="C65" s="1904" t="s">
        <v>2097</v>
      </c>
      <c r="E65" s="1904" t="s">
        <v>132</v>
      </c>
      <c r="F65" s="1639" t="e">
        <f ca="1">F51</f>
        <v>#REF!</v>
      </c>
      <c r="G65" s="1639" t="e">
        <f t="shared" ref="G65:O65" ca="1" si="7">G51</f>
        <v>#REF!</v>
      </c>
      <c r="H65" s="1639" t="e">
        <f t="shared" ca="1" si="7"/>
        <v>#REF!</v>
      </c>
      <c r="I65" s="1639" t="e">
        <f t="shared" ca="1" si="7"/>
        <v>#REF!</v>
      </c>
      <c r="J65" s="1639" t="e">
        <f t="shared" ca="1" si="7"/>
        <v>#REF!</v>
      </c>
      <c r="K65" s="1639" t="e">
        <f t="shared" ca="1" si="7"/>
        <v>#REF!</v>
      </c>
      <c r="L65" s="1639" t="e">
        <f t="shared" ca="1" si="7"/>
        <v>#REF!</v>
      </c>
      <c r="M65" s="1639" t="e">
        <f t="shared" ca="1" si="7"/>
        <v>#REF!</v>
      </c>
      <c r="N65" s="1639" t="e">
        <f t="shared" ca="1" si="7"/>
        <v>#REF!</v>
      </c>
      <c r="O65" s="1639">
        <f t="shared" ca="1" si="7"/>
        <v>151.89074227938463</v>
      </c>
    </row>
    <row r="66" spans="2:15">
      <c r="C66" s="1904" t="s">
        <v>2098</v>
      </c>
      <c r="E66" s="1904" t="s">
        <v>2099</v>
      </c>
      <c r="F66" s="577"/>
      <c r="G66" s="1639" t="e">
        <f ca="1">F65*(1/$E$37)</f>
        <v>#REF!</v>
      </c>
      <c r="H66" s="1639" t="e">
        <f t="shared" ref="H66:O66" ca="1" si="8">G65*(1/$E$37)</f>
        <v>#REF!</v>
      </c>
      <c r="I66" s="1639" t="e">
        <f t="shared" ca="1" si="8"/>
        <v>#REF!</v>
      </c>
      <c r="J66" s="1639" t="e">
        <f t="shared" ca="1" si="8"/>
        <v>#REF!</v>
      </c>
      <c r="K66" s="1639" t="e">
        <f t="shared" ca="1" si="8"/>
        <v>#REF!</v>
      </c>
      <c r="L66" s="1639" t="e">
        <f t="shared" ca="1" si="8"/>
        <v>#REF!</v>
      </c>
      <c r="M66" s="1639" t="e">
        <f t="shared" ca="1" si="8"/>
        <v>#REF!</v>
      </c>
      <c r="N66" s="1639" t="e">
        <f t="shared" ca="1" si="8"/>
        <v>#REF!</v>
      </c>
      <c r="O66" s="1639" t="e">
        <f t="shared" ca="1" si="8"/>
        <v>#REF!</v>
      </c>
    </row>
    <row r="67" spans="2:15">
      <c r="C67" s="1904" t="s">
        <v>2100</v>
      </c>
      <c r="E67" s="1904" t="s">
        <v>2099</v>
      </c>
      <c r="F67" s="577"/>
      <c r="G67" s="1639" t="e">
        <f ca="1">MAX((G65-F65)/(G64-F64),0)</f>
        <v>#REF!</v>
      </c>
      <c r="H67" s="1639" t="e">
        <f t="shared" ref="H67:O67" ca="1" si="9">MAX((H65-G65)/(H64-G64),0)</f>
        <v>#REF!</v>
      </c>
      <c r="I67" s="1639" t="e">
        <f t="shared" ca="1" si="9"/>
        <v>#REF!</v>
      </c>
      <c r="J67" s="1639" t="e">
        <f t="shared" ca="1" si="9"/>
        <v>#REF!</v>
      </c>
      <c r="K67" s="1639" t="e">
        <f t="shared" ca="1" si="9"/>
        <v>#REF!</v>
      </c>
      <c r="L67" s="1639" t="e">
        <f t="shared" ca="1" si="9"/>
        <v>#REF!</v>
      </c>
      <c r="M67" s="1639" t="e">
        <f t="shared" ca="1" si="9"/>
        <v>#REF!</v>
      </c>
      <c r="N67" s="1639" t="e">
        <f t="shared" ca="1" si="9"/>
        <v>#REF!</v>
      </c>
      <c r="O67" s="1639" t="e">
        <f t="shared" ca="1" si="9"/>
        <v>#REF!</v>
      </c>
    </row>
    <row r="68" spans="2:15">
      <c r="C68" s="1904" t="s">
        <v>2101</v>
      </c>
      <c r="E68" s="1904" t="s">
        <v>2099</v>
      </c>
      <c r="F68" s="577"/>
      <c r="G68" s="1639" t="e">
        <f ca="1">SUM(G66:G67)</f>
        <v>#REF!</v>
      </c>
      <c r="H68" s="1639" t="e">
        <f t="shared" ref="H68:O68" ca="1" si="10">SUM(H66:H67)</f>
        <v>#REF!</v>
      </c>
      <c r="I68" s="1639" t="e">
        <f t="shared" ca="1" si="10"/>
        <v>#REF!</v>
      </c>
      <c r="J68" s="1639" t="e">
        <f t="shared" ca="1" si="10"/>
        <v>#REF!</v>
      </c>
      <c r="K68" s="1639" t="e">
        <f t="shared" ca="1" si="10"/>
        <v>#REF!</v>
      </c>
      <c r="L68" s="1639" t="e">
        <f t="shared" ca="1" si="10"/>
        <v>#REF!</v>
      </c>
      <c r="M68" s="1639" t="e">
        <f t="shared" ca="1" si="10"/>
        <v>#REF!</v>
      </c>
      <c r="N68" s="1639" t="e">
        <f t="shared" ca="1" si="10"/>
        <v>#REF!</v>
      </c>
      <c r="O68" s="1639" t="e">
        <f t="shared" ca="1" si="10"/>
        <v>#REF!</v>
      </c>
    </row>
    <row r="69" spans="2:15">
      <c r="C69" s="573"/>
      <c r="F69" s="577"/>
      <c r="G69" s="577"/>
      <c r="H69" s="577"/>
      <c r="I69" s="577"/>
      <c r="J69" s="577"/>
      <c r="K69" s="577"/>
      <c r="L69" s="577"/>
      <c r="M69" s="577"/>
      <c r="N69" s="577"/>
      <c r="O69" s="577"/>
    </row>
    <row r="70" spans="2:15">
      <c r="B70" s="1877">
        <v>4</v>
      </c>
      <c r="C70" s="1877" t="s">
        <v>2055</v>
      </c>
      <c r="F70" s="577"/>
      <c r="G70" s="577"/>
      <c r="H70" s="577"/>
      <c r="I70" s="577"/>
      <c r="J70" s="577"/>
      <c r="K70" s="577"/>
      <c r="L70" s="577"/>
      <c r="M70" s="577"/>
      <c r="N70" s="577"/>
      <c r="O70" s="577"/>
    </row>
    <row r="71" spans="2:15">
      <c r="C71" s="1904" t="s">
        <v>1155</v>
      </c>
      <c r="F71" s="563"/>
    </row>
    <row r="72" spans="2:15">
      <c r="C72" s="1904" t="s">
        <v>2049</v>
      </c>
      <c r="E72" s="1904" t="str">
        <f>Preferences.moneyunits</f>
        <v>£m</v>
      </c>
      <c r="F72" s="1639" t="e">
        <f ca="1">F$65*$F$34</f>
        <v>#REF!</v>
      </c>
      <c r="G72" s="1639" t="e">
        <f ca="1">G$65*$F$34</f>
        <v>#REF!</v>
      </c>
      <c r="H72" s="1639" t="e">
        <f t="shared" ref="H72:O72" ca="1" si="11">H$65*$F$34</f>
        <v>#REF!</v>
      </c>
      <c r="I72" s="1639" t="e">
        <f t="shared" ca="1" si="11"/>
        <v>#REF!</v>
      </c>
      <c r="J72" s="1639" t="e">
        <f t="shared" ca="1" si="11"/>
        <v>#REF!</v>
      </c>
      <c r="K72" s="1639" t="e">
        <f t="shared" ca="1" si="11"/>
        <v>#REF!</v>
      </c>
      <c r="L72" s="1639" t="e">
        <f t="shared" ca="1" si="11"/>
        <v>#REF!</v>
      </c>
      <c r="M72" s="1639" t="e">
        <f t="shared" ca="1" si="11"/>
        <v>#REF!</v>
      </c>
      <c r="N72" s="1639" t="e">
        <f t="shared" ca="1" si="11"/>
        <v>#REF!</v>
      </c>
      <c r="O72" s="1639">
        <f t="shared" ca="1" si="11"/>
        <v>3388.8585723042684</v>
      </c>
    </row>
    <row r="73" spans="2:15">
      <c r="C73" s="1904" t="s">
        <v>2051</v>
      </c>
      <c r="E73" s="1904" t="str">
        <f>Preferences.moneyunits&amp;"/yr"</f>
        <v>£m/yr</v>
      </c>
      <c r="F73" s="1639"/>
      <c r="G73" s="1639" t="e">
        <f ca="1">G$68*$F$34</f>
        <v>#REF!</v>
      </c>
      <c r="H73" s="1639" t="e">
        <f t="shared" ref="H73:O73" ca="1" si="12">H$68*$F$34</f>
        <v>#REF!</v>
      </c>
      <c r="I73" s="1639" t="e">
        <f t="shared" ca="1" si="12"/>
        <v>#REF!</v>
      </c>
      <c r="J73" s="1639" t="e">
        <f t="shared" ca="1" si="12"/>
        <v>#REF!</v>
      </c>
      <c r="K73" s="1639" t="e">
        <f t="shared" ca="1" si="12"/>
        <v>#REF!</v>
      </c>
      <c r="L73" s="1639" t="e">
        <f t="shared" ca="1" si="12"/>
        <v>#REF!</v>
      </c>
      <c r="M73" s="1639" t="e">
        <f t="shared" ca="1" si="12"/>
        <v>#REF!</v>
      </c>
      <c r="N73" s="1639" t="e">
        <f t="shared" ca="1" si="12"/>
        <v>#REF!</v>
      </c>
      <c r="O73" s="1639" t="e">
        <f t="shared" ca="1" si="12"/>
        <v>#REF!</v>
      </c>
    </row>
    <row r="74" spans="2:15">
      <c r="C74" s="1904" t="s">
        <v>2052</v>
      </c>
      <c r="E74" s="1904" t="str">
        <f>Preferences.moneyunits&amp;"/yr"</f>
        <v>£m/yr</v>
      </c>
      <c r="F74" s="563"/>
      <c r="G74" s="1131" t="e">
        <f ca="1">G$65*$F$35</f>
        <v>#REF!</v>
      </c>
      <c r="H74" s="1131" t="e">
        <f t="shared" ref="H74:O74" ca="1" si="13">H$65*$F$35</f>
        <v>#REF!</v>
      </c>
      <c r="I74" s="1131" t="e">
        <f t="shared" ca="1" si="13"/>
        <v>#REF!</v>
      </c>
      <c r="J74" s="1131" t="e">
        <f t="shared" ca="1" si="13"/>
        <v>#REF!</v>
      </c>
      <c r="K74" s="1131" t="e">
        <f t="shared" ca="1" si="13"/>
        <v>#REF!</v>
      </c>
      <c r="L74" s="1131" t="e">
        <f t="shared" ca="1" si="13"/>
        <v>#REF!</v>
      </c>
      <c r="M74" s="1131" t="e">
        <f t="shared" ca="1" si="13"/>
        <v>#REF!</v>
      </c>
      <c r="N74" s="1131" t="e">
        <f t="shared" ca="1" si="13"/>
        <v>#REF!</v>
      </c>
      <c r="O74" s="1131">
        <f t="shared" ca="1" si="13"/>
        <v>0.35411270348006985</v>
      </c>
    </row>
    <row r="75" spans="2:15">
      <c r="C75" s="1904" t="s">
        <v>2053</v>
      </c>
      <c r="E75" s="1904" t="str">
        <f>Preferences.moneyunits&amp;"/yr"</f>
        <v>£m/yr</v>
      </c>
      <c r="F75" s="563"/>
      <c r="G75" s="1131" t="e">
        <f ca="1">SUM(G73:G74)</f>
        <v>#REF!</v>
      </c>
      <c r="H75" s="1131" t="e">
        <f t="shared" ref="H75:O75" ca="1" si="14">SUM(H73:H74)</f>
        <v>#REF!</v>
      </c>
      <c r="I75" s="1131" t="e">
        <f t="shared" ca="1" si="14"/>
        <v>#REF!</v>
      </c>
      <c r="J75" s="1131" t="e">
        <f t="shared" ca="1" si="14"/>
        <v>#REF!</v>
      </c>
      <c r="K75" s="1131" t="e">
        <f t="shared" ca="1" si="14"/>
        <v>#REF!</v>
      </c>
      <c r="L75" s="1131" t="e">
        <f t="shared" ca="1" si="14"/>
        <v>#REF!</v>
      </c>
      <c r="M75" s="1131" t="e">
        <f t="shared" ca="1" si="14"/>
        <v>#REF!</v>
      </c>
      <c r="N75" s="1131" t="e">
        <f t="shared" ca="1" si="14"/>
        <v>#REF!</v>
      </c>
      <c r="O75" s="1131" t="e">
        <f t="shared" ca="1" si="14"/>
        <v>#REF!</v>
      </c>
    </row>
    <row r="76" spans="2:15">
      <c r="F76" s="563"/>
    </row>
    <row r="77" spans="2:15">
      <c r="C77" s="1904" t="s">
        <v>1156</v>
      </c>
      <c r="F77" s="563"/>
    </row>
    <row r="78" spans="2:15">
      <c r="C78" s="1904" t="s">
        <v>2049</v>
      </c>
      <c r="E78" s="1904" t="str">
        <f>Preferences.moneyunits</f>
        <v>£m</v>
      </c>
      <c r="F78" s="1639" t="e">
        <f ca="1">F$65*$G$34</f>
        <v>#REF!</v>
      </c>
      <c r="G78" s="1639" t="e">
        <f ca="1">G$65*$G$34</f>
        <v>#REF!</v>
      </c>
      <c r="H78" s="1639" t="e">
        <f t="shared" ref="H78:O78" ca="1" si="15">H$65*$G$34</f>
        <v>#REF!</v>
      </c>
      <c r="I78" s="1639" t="e">
        <f t="shared" ca="1" si="15"/>
        <v>#REF!</v>
      </c>
      <c r="J78" s="1639" t="e">
        <f t="shared" ca="1" si="15"/>
        <v>#REF!</v>
      </c>
      <c r="K78" s="1639" t="e">
        <f t="shared" ca="1" si="15"/>
        <v>#REF!</v>
      </c>
      <c r="L78" s="1639" t="e">
        <f t="shared" ca="1" si="15"/>
        <v>#REF!</v>
      </c>
      <c r="M78" s="1639" t="e">
        <f t="shared" ca="1" si="15"/>
        <v>#REF!</v>
      </c>
      <c r="N78" s="1639" t="e">
        <f t="shared" ca="1" si="15"/>
        <v>#REF!</v>
      </c>
      <c r="O78" s="1639">
        <f t="shared" ca="1" si="15"/>
        <v>10166.575716912805</v>
      </c>
    </row>
    <row r="79" spans="2:15">
      <c r="C79" s="1904" t="s">
        <v>2051</v>
      </c>
      <c r="E79" s="1904" t="str">
        <f>Preferences.moneyunits&amp;"/yr"</f>
        <v>£m/yr</v>
      </c>
      <c r="F79" s="1639"/>
      <c r="G79" s="1639" t="e">
        <f ca="1">G$68*$G$34</f>
        <v>#REF!</v>
      </c>
      <c r="H79" s="1639" t="e">
        <f t="shared" ref="H79:O79" ca="1" si="16">H$68*$G$34</f>
        <v>#REF!</v>
      </c>
      <c r="I79" s="1639" t="e">
        <f t="shared" ca="1" si="16"/>
        <v>#REF!</v>
      </c>
      <c r="J79" s="1639" t="e">
        <f t="shared" ca="1" si="16"/>
        <v>#REF!</v>
      </c>
      <c r="K79" s="1639" t="e">
        <f t="shared" ca="1" si="16"/>
        <v>#REF!</v>
      </c>
      <c r="L79" s="1639" t="e">
        <f t="shared" ca="1" si="16"/>
        <v>#REF!</v>
      </c>
      <c r="M79" s="1639" t="e">
        <f t="shared" ca="1" si="16"/>
        <v>#REF!</v>
      </c>
      <c r="N79" s="1639" t="e">
        <f t="shared" ca="1" si="16"/>
        <v>#REF!</v>
      </c>
      <c r="O79" s="1639" t="e">
        <f t="shared" ca="1" si="16"/>
        <v>#REF!</v>
      </c>
    </row>
    <row r="80" spans="2:15">
      <c r="C80" s="1904" t="s">
        <v>2052</v>
      </c>
      <c r="E80" s="1904" t="str">
        <f>Preferences.moneyunits&amp;"/yr"</f>
        <v>£m/yr</v>
      </c>
      <c r="F80" s="563"/>
      <c r="G80" s="1131" t="e">
        <f ca="1">G$65*$G$35</f>
        <v>#REF!</v>
      </c>
      <c r="H80" s="1131" t="e">
        <f t="shared" ref="H80:O80" ca="1" si="17">H$65*$G$35</f>
        <v>#REF!</v>
      </c>
      <c r="I80" s="1131" t="e">
        <f t="shared" ca="1" si="17"/>
        <v>#REF!</v>
      </c>
      <c r="J80" s="1131" t="e">
        <f t="shared" ca="1" si="17"/>
        <v>#REF!</v>
      </c>
      <c r="K80" s="1131" t="e">
        <f t="shared" ca="1" si="17"/>
        <v>#REF!</v>
      </c>
      <c r="L80" s="1131" t="e">
        <f t="shared" ca="1" si="17"/>
        <v>#REF!</v>
      </c>
      <c r="M80" s="1131" t="e">
        <f t="shared" ca="1" si="17"/>
        <v>#REF!</v>
      </c>
      <c r="N80" s="1131" t="e">
        <f t="shared" ca="1" si="17"/>
        <v>#REF!</v>
      </c>
      <c r="O80" s="1131">
        <f t="shared" ca="1" si="17"/>
        <v>0.35411270348006985</v>
      </c>
    </row>
    <row r="81" spans="1:16">
      <c r="C81" s="1904" t="s">
        <v>2053</v>
      </c>
      <c r="E81" s="1904" t="str">
        <f>Preferences.moneyunits&amp;"/yr"</f>
        <v>£m/yr</v>
      </c>
      <c r="F81" s="563"/>
      <c r="G81" s="1131" t="e">
        <f ca="1">SUM(G79:G80)</f>
        <v>#REF!</v>
      </c>
      <c r="H81" s="1131" t="e">
        <f t="shared" ref="H81:O81" ca="1" si="18">SUM(H79:H80)</f>
        <v>#REF!</v>
      </c>
      <c r="I81" s="1131" t="e">
        <f t="shared" ca="1" si="18"/>
        <v>#REF!</v>
      </c>
      <c r="J81" s="1131" t="e">
        <f t="shared" ca="1" si="18"/>
        <v>#REF!</v>
      </c>
      <c r="K81" s="1131" t="e">
        <f t="shared" ca="1" si="18"/>
        <v>#REF!</v>
      </c>
      <c r="L81" s="1131" t="e">
        <f t="shared" ca="1" si="18"/>
        <v>#REF!</v>
      </c>
      <c r="M81" s="1131" t="e">
        <f t="shared" ca="1" si="18"/>
        <v>#REF!</v>
      </c>
      <c r="N81" s="1131" t="e">
        <f t="shared" ca="1" si="18"/>
        <v>#REF!</v>
      </c>
      <c r="O81" s="1131" t="e">
        <f t="shared" ca="1" si="18"/>
        <v>#REF!</v>
      </c>
    </row>
    <row r="82" spans="1:16">
      <c r="C82" s="573"/>
      <c r="F82" s="577"/>
      <c r="G82" s="577"/>
      <c r="H82" s="577"/>
      <c r="I82" s="577"/>
      <c r="J82" s="577"/>
      <c r="K82" s="577"/>
      <c r="L82" s="577"/>
      <c r="M82" s="577"/>
      <c r="N82" s="577"/>
      <c r="O82" s="577"/>
    </row>
    <row r="84" spans="1:16" ht="22">
      <c r="A84" s="1874"/>
      <c r="B84" s="899" t="s">
        <v>572</v>
      </c>
      <c r="C84" s="863"/>
      <c r="D84" s="863"/>
      <c r="E84" s="863"/>
      <c r="F84" s="863"/>
      <c r="G84" s="863"/>
      <c r="H84" s="863"/>
      <c r="I84" s="863"/>
      <c r="J84" s="863"/>
      <c r="K84" s="863"/>
      <c r="L84" s="863"/>
      <c r="M84" s="863"/>
      <c r="N84" s="863"/>
      <c r="O84" s="863"/>
      <c r="P84" s="865"/>
    </row>
    <row r="85" spans="1:16">
      <c r="B85" s="852"/>
      <c r="C85" s="854"/>
      <c r="D85" s="854"/>
      <c r="E85" s="854"/>
      <c r="F85" s="854"/>
      <c r="G85" s="854"/>
      <c r="H85" s="854"/>
      <c r="I85" s="854"/>
      <c r="J85" s="854"/>
      <c r="K85" s="854"/>
      <c r="L85" s="854"/>
      <c r="M85" s="854"/>
      <c r="N85" s="854"/>
      <c r="O85" s="854"/>
      <c r="P85" s="856"/>
    </row>
    <row r="86" spans="1:16">
      <c r="B86" s="852"/>
      <c r="C86" s="866" t="s">
        <v>641</v>
      </c>
      <c r="D86" s="854"/>
      <c r="E86" s="855"/>
      <c r="F86" s="854"/>
      <c r="G86" s="855"/>
      <c r="H86" s="854"/>
      <c r="I86" s="854"/>
      <c r="J86" s="854"/>
      <c r="K86" s="854"/>
      <c r="L86" s="854"/>
      <c r="M86" s="854"/>
      <c r="N86" s="854"/>
      <c r="O86" s="855" t="str">
        <f>Preferences.EnergyUnits</f>
        <v>TWh</v>
      </c>
      <c r="P86" s="856"/>
    </row>
    <row r="87" spans="1:16" ht="6" customHeight="1">
      <c r="B87" s="852"/>
      <c r="C87" s="854"/>
      <c r="D87" s="854"/>
      <c r="E87" s="854"/>
      <c r="F87" s="854"/>
      <c r="G87" s="854"/>
      <c r="H87" s="854"/>
      <c r="I87" s="854"/>
      <c r="J87" s="854"/>
      <c r="K87" s="854"/>
      <c r="L87" s="854"/>
      <c r="M87" s="854"/>
      <c r="N87" s="854"/>
      <c r="O87" s="854"/>
      <c r="P87" s="856"/>
    </row>
    <row r="88" spans="1:16" ht="15">
      <c r="A88" s="3"/>
      <c r="B88" s="857"/>
      <c r="C88" s="868" t="s">
        <v>72</v>
      </c>
      <c r="D88" s="868" t="s">
        <v>399</v>
      </c>
      <c r="E88" s="868" t="s">
        <v>421</v>
      </c>
      <c r="F88" s="868" t="s">
        <v>576</v>
      </c>
      <c r="G88" s="868" t="s">
        <v>577</v>
      </c>
      <c r="H88" s="868" t="s">
        <v>604</v>
      </c>
      <c r="I88" s="868" t="s">
        <v>605</v>
      </c>
      <c r="J88" s="868" t="s">
        <v>606</v>
      </c>
      <c r="K88" s="868" t="s">
        <v>607</v>
      </c>
      <c r="L88" s="868" t="s">
        <v>608</v>
      </c>
      <c r="M88" s="868" t="s">
        <v>609</v>
      </c>
      <c r="N88" s="868" t="s">
        <v>610</v>
      </c>
      <c r="O88" s="868" t="s">
        <v>611</v>
      </c>
      <c r="P88" s="856"/>
    </row>
    <row r="89" spans="1:16" ht="15">
      <c r="A89" s="3"/>
      <c r="B89" s="857"/>
      <c r="C89" s="546" t="s">
        <v>42</v>
      </c>
      <c r="D89" s="546" t="str">
        <f>INDEX(Vectors[Description], MATCH(XVI.a.Outputs[Vector], Vectors[Code], 0))</f>
        <v>Solid hydrocarbons</v>
      </c>
      <c r="E89" s="546"/>
      <c r="F89" s="652" t="e">
        <f ca="1">F$48</f>
        <v>#REF!</v>
      </c>
      <c r="G89" s="652" t="e">
        <f t="shared" ref="G89:O89" ca="1" si="19">G$48</f>
        <v>#REF!</v>
      </c>
      <c r="H89" s="652" t="e">
        <f t="shared" ca="1" si="19"/>
        <v>#REF!</v>
      </c>
      <c r="I89" s="652" t="e">
        <f t="shared" ca="1" si="19"/>
        <v>#REF!</v>
      </c>
      <c r="J89" s="652" t="e">
        <f t="shared" ca="1" si="19"/>
        <v>#REF!</v>
      </c>
      <c r="K89" s="652" t="e">
        <f t="shared" ca="1" si="19"/>
        <v>#REF!</v>
      </c>
      <c r="L89" s="652" t="e">
        <f t="shared" ca="1" si="19"/>
        <v>#REF!</v>
      </c>
      <c r="M89" s="652" t="e">
        <f t="shared" ca="1" si="19"/>
        <v>#REF!</v>
      </c>
      <c r="N89" s="652" t="e">
        <f t="shared" ca="1" si="19"/>
        <v>#REF!</v>
      </c>
      <c r="O89" s="652">
        <f t="shared" ca="1" si="19"/>
        <v>400.12025503680002</v>
      </c>
      <c r="P89" s="856"/>
    </row>
    <row r="90" spans="1:16" ht="15">
      <c r="A90" s="3"/>
      <c r="B90" s="857"/>
      <c r="C90" s="546" t="s">
        <v>44</v>
      </c>
      <c r="D90" s="546" t="str">
        <f>INDEX(Vectors[Description], MATCH(XVI.a.Outputs[Vector], Vectors[Code], 0))</f>
        <v>Liquid hydrocarbons</v>
      </c>
      <c r="E90" s="546"/>
      <c r="F90" s="652" t="e">
        <f ca="1">F$49</f>
        <v>#REF!</v>
      </c>
      <c r="G90" s="652" t="e">
        <f t="shared" ref="G90:O90" ca="1" si="20">G$49</f>
        <v>#REF!</v>
      </c>
      <c r="H90" s="652" t="e">
        <f t="shared" ca="1" si="20"/>
        <v>#REF!</v>
      </c>
      <c r="I90" s="652" t="e">
        <f t="shared" ca="1" si="20"/>
        <v>#REF!</v>
      </c>
      <c r="J90" s="652" t="e">
        <f t="shared" ca="1" si="20"/>
        <v>#REF!</v>
      </c>
      <c r="K90" s="652" t="e">
        <f t="shared" ca="1" si="20"/>
        <v>#REF!</v>
      </c>
      <c r="L90" s="652" t="e">
        <f t="shared" ca="1" si="20"/>
        <v>#REF!</v>
      </c>
      <c r="M90" s="652" t="e">
        <f t="shared" ca="1" si="20"/>
        <v>#REF!</v>
      </c>
      <c r="N90" s="652" t="e">
        <f t="shared" ca="1" si="20"/>
        <v>#REF!</v>
      </c>
      <c r="O90" s="652">
        <f t="shared" ca="1" si="20"/>
        <v>0</v>
      </c>
      <c r="P90" s="856"/>
    </row>
    <row r="91" spans="1:16" ht="15">
      <c r="A91" s="3"/>
      <c r="B91" s="857"/>
      <c r="C91" s="546" t="s">
        <v>45</v>
      </c>
      <c r="D91" s="546" t="str">
        <f>INDEX(Vectors[Description], MATCH(XVI.a.Outputs[Vector], Vectors[Code], 0))</f>
        <v>Gaseous hydrocarbons</v>
      </c>
      <c r="E91" s="546"/>
      <c r="F91" s="652" t="e">
        <f ca="1">F$51</f>
        <v>#REF!</v>
      </c>
      <c r="G91" s="652" t="e">
        <f t="shared" ref="G91:O91" ca="1" si="21">G$51</f>
        <v>#REF!</v>
      </c>
      <c r="H91" s="652" t="e">
        <f t="shared" ca="1" si="21"/>
        <v>#REF!</v>
      </c>
      <c r="I91" s="652" t="e">
        <f t="shared" ca="1" si="21"/>
        <v>#REF!</v>
      </c>
      <c r="J91" s="652" t="e">
        <f t="shared" ca="1" si="21"/>
        <v>#REF!</v>
      </c>
      <c r="K91" s="652" t="e">
        <f t="shared" ca="1" si="21"/>
        <v>#REF!</v>
      </c>
      <c r="L91" s="652" t="e">
        <f t="shared" ca="1" si="21"/>
        <v>#REF!</v>
      </c>
      <c r="M91" s="652" t="e">
        <f t="shared" ca="1" si="21"/>
        <v>#REF!</v>
      </c>
      <c r="N91" s="652" t="e">
        <f t="shared" ca="1" si="21"/>
        <v>#REF!</v>
      </c>
      <c r="O91" s="652">
        <f t="shared" ca="1" si="21"/>
        <v>151.89074227938463</v>
      </c>
      <c r="P91" s="856"/>
    </row>
    <row r="92" spans="1:16" ht="15">
      <c r="A92" s="3"/>
      <c r="B92" s="857"/>
      <c r="C92" s="546" t="s">
        <v>58</v>
      </c>
      <c r="D92" s="546" t="str">
        <f>INDEX(Vectors[Description], MATCH(XVI.a.Outputs[Vector], Vectors[Code], 0))</f>
        <v>Coal and fossil waste</v>
      </c>
      <c r="E92" s="546"/>
      <c r="F92" s="652" t="e">
        <f ca="1">-F$48</f>
        <v>#REF!</v>
      </c>
      <c r="G92" s="652" t="e">
        <f t="shared" ref="G92:O92" ca="1" si="22">-G$48</f>
        <v>#REF!</v>
      </c>
      <c r="H92" s="652" t="e">
        <f t="shared" ca="1" si="22"/>
        <v>#REF!</v>
      </c>
      <c r="I92" s="652" t="e">
        <f t="shared" ca="1" si="22"/>
        <v>#REF!</v>
      </c>
      <c r="J92" s="652" t="e">
        <f t="shared" ca="1" si="22"/>
        <v>#REF!</v>
      </c>
      <c r="K92" s="652" t="e">
        <f t="shared" ca="1" si="22"/>
        <v>#REF!</v>
      </c>
      <c r="L92" s="652" t="e">
        <f t="shared" ca="1" si="22"/>
        <v>#REF!</v>
      </c>
      <c r="M92" s="652" t="e">
        <f t="shared" ca="1" si="22"/>
        <v>#REF!</v>
      </c>
      <c r="N92" s="652" t="e">
        <f t="shared" ca="1" si="22"/>
        <v>#REF!</v>
      </c>
      <c r="O92" s="652">
        <f t="shared" ca="1" si="22"/>
        <v>-400.12025503680002</v>
      </c>
      <c r="P92" s="856"/>
    </row>
    <row r="93" spans="1:16" ht="15">
      <c r="A93" s="3"/>
      <c r="B93" s="857"/>
      <c r="C93" s="546" t="s">
        <v>59</v>
      </c>
      <c r="D93" s="546" t="str">
        <f>INDEX(Vectors[Description], MATCH(XVI.a.Outputs[Vector], Vectors[Code], 0))</f>
        <v>Oil and petroleum products</v>
      </c>
      <c r="E93" s="546"/>
      <c r="F93" s="652" t="e">
        <f ca="1">-F49</f>
        <v>#REF!</v>
      </c>
      <c r="G93" s="652" t="e">
        <f t="shared" ref="G93:O93" ca="1" si="23">-G49</f>
        <v>#REF!</v>
      </c>
      <c r="H93" s="652" t="e">
        <f t="shared" ca="1" si="23"/>
        <v>#REF!</v>
      </c>
      <c r="I93" s="652" t="e">
        <f t="shared" ca="1" si="23"/>
        <v>#REF!</v>
      </c>
      <c r="J93" s="652" t="e">
        <f t="shared" ca="1" si="23"/>
        <v>#REF!</v>
      </c>
      <c r="K93" s="652" t="e">
        <f t="shared" ca="1" si="23"/>
        <v>#REF!</v>
      </c>
      <c r="L93" s="652" t="e">
        <f t="shared" ca="1" si="23"/>
        <v>#REF!</v>
      </c>
      <c r="M93" s="652" t="e">
        <f t="shared" ca="1" si="23"/>
        <v>#REF!</v>
      </c>
      <c r="N93" s="652" t="e">
        <f t="shared" ca="1" si="23"/>
        <v>#REF!</v>
      </c>
      <c r="O93" s="652">
        <f t="shared" ca="1" si="23"/>
        <v>0</v>
      </c>
      <c r="P93" s="856"/>
    </row>
    <row r="94" spans="1:16" ht="15">
      <c r="A94" s="3"/>
      <c r="B94" s="857"/>
      <c r="C94" s="546" t="s">
        <v>60</v>
      </c>
      <c r="D94" s="546" t="str">
        <f>INDEX(Vectors[Description], MATCH(XVI.a.Outputs[Vector], Vectors[Code], 0))</f>
        <v>Natural gas</v>
      </c>
      <c r="E94" s="546"/>
      <c r="F94" s="652" t="e">
        <f ca="1">-F$53</f>
        <v>#REF!</v>
      </c>
      <c r="G94" s="652" t="e">
        <f t="shared" ref="G94:O94" ca="1" si="24">-G$53</f>
        <v>#REF!</v>
      </c>
      <c r="H94" s="652" t="e">
        <f t="shared" ca="1" si="24"/>
        <v>#REF!</v>
      </c>
      <c r="I94" s="652" t="e">
        <f t="shared" ca="1" si="24"/>
        <v>#REF!</v>
      </c>
      <c r="J94" s="652" t="e">
        <f t="shared" ca="1" si="24"/>
        <v>#REF!</v>
      </c>
      <c r="K94" s="652" t="e">
        <f t="shared" ca="1" si="24"/>
        <v>#REF!</v>
      </c>
      <c r="L94" s="652" t="e">
        <f t="shared" ca="1" si="24"/>
        <v>#REF!</v>
      </c>
      <c r="M94" s="652" t="e">
        <f t="shared" ca="1" si="24"/>
        <v>#REF!</v>
      </c>
      <c r="N94" s="652" t="e">
        <f t="shared" ca="1" si="24"/>
        <v>#REF!</v>
      </c>
      <c r="O94" s="652" t="e">
        <f t="shared" ca="1" si="24"/>
        <v>#REF!</v>
      </c>
      <c r="P94" s="856"/>
    </row>
    <row r="95" spans="1:16" ht="15">
      <c r="A95" s="3"/>
      <c r="B95" s="857"/>
      <c r="C95" s="546" t="s">
        <v>32</v>
      </c>
      <c r="D95" s="546" t="str">
        <f>INDEX(Vectors[Description], MATCH(XVI.a.Outputs[Vector], Vectors[Code], 0))</f>
        <v>Distribution losses and own use</v>
      </c>
      <c r="E95" s="546"/>
      <c r="F95" s="652" t="e">
        <f ca="1">F$52</f>
        <v>#REF!</v>
      </c>
      <c r="G95" s="652" t="e">
        <f t="shared" ref="G95:O95" ca="1" si="25">G$52</f>
        <v>#REF!</v>
      </c>
      <c r="H95" s="652" t="e">
        <f t="shared" ca="1" si="25"/>
        <v>#REF!</v>
      </c>
      <c r="I95" s="652" t="e">
        <f t="shared" ca="1" si="25"/>
        <v>#REF!</v>
      </c>
      <c r="J95" s="652" t="e">
        <f t="shared" ca="1" si="25"/>
        <v>#REF!</v>
      </c>
      <c r="K95" s="652" t="e">
        <f t="shared" ca="1" si="25"/>
        <v>#REF!</v>
      </c>
      <c r="L95" s="652" t="e">
        <f t="shared" ca="1" si="25"/>
        <v>#REF!</v>
      </c>
      <c r="M95" s="652" t="e">
        <f t="shared" ca="1" si="25"/>
        <v>#REF!</v>
      </c>
      <c r="N95" s="652" t="e">
        <f t="shared" ca="1" si="25"/>
        <v>#REF!</v>
      </c>
      <c r="O95" s="652" t="e">
        <f t="shared" ca="1" si="25"/>
        <v>#REF!</v>
      </c>
      <c r="P95" s="856"/>
    </row>
    <row r="96" spans="1:16" ht="15">
      <c r="A96" s="3"/>
      <c r="B96" s="857"/>
      <c r="C96" s="546" t="s">
        <v>132</v>
      </c>
      <c r="D96" s="546"/>
      <c r="E96" s="546"/>
      <c r="F96" s="1078" t="e">
        <f ca="1">SUBTOTAL(109,XVI.a.Outputs[2007])</f>
        <v>#REF!</v>
      </c>
      <c r="G96" s="1078" t="e">
        <f ca="1">SUBTOTAL(109,XVI.a.Outputs[2010])</f>
        <v>#REF!</v>
      </c>
      <c r="H96" s="1078" t="e">
        <f ca="1">SUBTOTAL(109,XVI.a.Outputs[2015])</f>
        <v>#REF!</v>
      </c>
      <c r="I96" s="1078" t="e">
        <f ca="1">SUBTOTAL(109,XVI.a.Outputs[2020])</f>
        <v>#REF!</v>
      </c>
      <c r="J96" s="1078" t="e">
        <f ca="1">SUBTOTAL(109,XVI.a.Outputs[2025])</f>
        <v>#REF!</v>
      </c>
      <c r="K96" s="1078" t="e">
        <f ca="1">SUBTOTAL(109,XVI.a.Outputs[2030])</f>
        <v>#REF!</v>
      </c>
      <c r="L96" s="1078" t="e">
        <f ca="1">SUBTOTAL(109,XVI.a.Outputs[2035])</f>
        <v>#REF!</v>
      </c>
      <c r="M96" s="1078" t="e">
        <f ca="1">SUBTOTAL(109,XVI.a.Outputs[2040])</f>
        <v>#REF!</v>
      </c>
      <c r="N96" s="1078" t="e">
        <f ca="1">SUBTOTAL(109,XVI.a.Outputs[2045])</f>
        <v>#REF!</v>
      </c>
      <c r="O96" s="1078" t="e">
        <f ca="1">SUBTOTAL(109,XVI.a.Outputs[2050])</f>
        <v>#REF!</v>
      </c>
      <c r="P96" s="856"/>
    </row>
    <row r="97" spans="1:22" ht="15">
      <c r="A97" s="3"/>
      <c r="B97" s="858"/>
      <c r="C97" s="927"/>
      <c r="D97" s="928"/>
      <c r="E97" s="928"/>
      <c r="F97" s="928"/>
      <c r="G97" s="928"/>
      <c r="H97" s="928"/>
      <c r="I97" s="928"/>
      <c r="J97" s="928"/>
      <c r="K97" s="928"/>
      <c r="L97" s="928"/>
      <c r="M97" s="928"/>
      <c r="N97" s="928"/>
      <c r="O97" s="928"/>
      <c r="P97" s="861"/>
    </row>
    <row r="99" spans="1:22" ht="22">
      <c r="A99" s="1874"/>
      <c r="B99" s="907" t="s">
        <v>690</v>
      </c>
      <c r="C99" s="872"/>
      <c r="D99" s="873"/>
      <c r="E99" s="873"/>
      <c r="F99" s="873"/>
      <c r="G99" s="873"/>
      <c r="H99" s="873"/>
      <c r="I99" s="873"/>
      <c r="J99" s="873"/>
      <c r="K99" s="873"/>
      <c r="L99" s="873"/>
      <c r="M99" s="873"/>
      <c r="N99" s="873"/>
      <c r="O99" s="873"/>
      <c r="P99" s="874"/>
    </row>
    <row r="100" spans="1:22">
      <c r="B100" s="880"/>
      <c r="C100" s="881"/>
      <c r="D100" s="881"/>
      <c r="E100" s="881"/>
      <c r="F100" s="881"/>
      <c r="G100" s="881"/>
      <c r="H100" s="881"/>
      <c r="I100" s="881"/>
      <c r="J100" s="881"/>
      <c r="K100" s="881"/>
      <c r="L100" s="881"/>
      <c r="M100" s="881"/>
      <c r="N100" s="881"/>
      <c r="O100" s="881"/>
      <c r="P100" s="882"/>
    </row>
    <row r="101" spans="1:22" ht="17">
      <c r="B101" s="883"/>
      <c r="C101" s="875" t="s">
        <v>829</v>
      </c>
      <c r="D101" s="876"/>
      <c r="E101" s="877"/>
      <c r="F101" s="876"/>
      <c r="G101" s="877"/>
      <c r="H101" s="876"/>
      <c r="I101" s="876"/>
      <c r="J101" s="876"/>
      <c r="K101" s="876"/>
      <c r="L101" s="876"/>
      <c r="M101" s="876"/>
      <c r="N101" s="876"/>
      <c r="O101" s="877" t="s">
        <v>832</v>
      </c>
      <c r="P101" s="884"/>
    </row>
    <row r="102" spans="1:22" ht="5.25" customHeight="1">
      <c r="B102" s="883"/>
      <c r="C102" s="876"/>
      <c r="D102" s="876"/>
      <c r="E102" s="876"/>
      <c r="F102" s="876"/>
      <c r="G102" s="876"/>
      <c r="H102" s="876"/>
      <c r="I102" s="876"/>
      <c r="J102" s="876"/>
      <c r="K102" s="876"/>
      <c r="L102" s="876"/>
      <c r="M102" s="876"/>
      <c r="N102" s="876"/>
      <c r="O102" s="876"/>
      <c r="P102" s="884"/>
    </row>
    <row r="103" spans="1:22" ht="15">
      <c r="B103" s="885"/>
      <c r="C103" s="916" t="s">
        <v>828</v>
      </c>
      <c r="D103" s="916" t="s">
        <v>798</v>
      </c>
      <c r="E103" s="916" t="s">
        <v>421</v>
      </c>
      <c r="F103" s="916" t="s">
        <v>576</v>
      </c>
      <c r="G103" s="916" t="s">
        <v>577</v>
      </c>
      <c r="H103" s="916" t="s">
        <v>604</v>
      </c>
      <c r="I103" s="916" t="s">
        <v>605</v>
      </c>
      <c r="J103" s="916" t="s">
        <v>606</v>
      </c>
      <c r="K103" s="916" t="s">
        <v>607</v>
      </c>
      <c r="L103" s="916" t="s">
        <v>608</v>
      </c>
      <c r="M103" s="916" t="s">
        <v>609</v>
      </c>
      <c r="N103" s="916" t="s">
        <v>610</v>
      </c>
      <c r="O103" s="916" t="s">
        <v>611</v>
      </c>
      <c r="P103" s="884"/>
    </row>
    <row r="104" spans="1:22" ht="15">
      <c r="B104" s="885"/>
      <c r="C104" s="879" t="s">
        <v>812</v>
      </c>
      <c r="D104" s="888" t="s">
        <v>820</v>
      </c>
      <c r="E104" s="879" t="str">
        <f>INDEX(IPCC[Sector_description], MATCH(XVI.a.Emissions[IPCC Sector], IPCC[Sector_code], 0))</f>
        <v>Fugitive Emissions from Fuels</v>
      </c>
      <c r="F104" s="890">
        <f>F$60</f>
        <v>4.3706513640884639</v>
      </c>
      <c r="G104" s="890" t="e">
        <f t="shared" ref="G104:O104" ca="1" si="26">G$60</f>
        <v>#REF!</v>
      </c>
      <c r="H104" s="890" t="e">
        <f t="shared" ca="1" si="26"/>
        <v>#REF!</v>
      </c>
      <c r="I104" s="890" t="e">
        <f t="shared" ca="1" si="26"/>
        <v>#REF!</v>
      </c>
      <c r="J104" s="890" t="e">
        <f t="shared" ca="1" si="26"/>
        <v>#REF!</v>
      </c>
      <c r="K104" s="890" t="e">
        <f t="shared" ca="1" si="26"/>
        <v>#REF!</v>
      </c>
      <c r="L104" s="890" t="e">
        <f t="shared" ca="1" si="26"/>
        <v>#REF!</v>
      </c>
      <c r="M104" s="890" t="e">
        <f t="shared" ca="1" si="26"/>
        <v>#REF!</v>
      </c>
      <c r="N104" s="890" t="e">
        <f t="shared" ca="1" si="26"/>
        <v>#REF!</v>
      </c>
      <c r="O104" s="890" t="e">
        <f t="shared" ca="1" si="26"/>
        <v>#REF!</v>
      </c>
      <c r="P104" s="884"/>
    </row>
    <row r="105" spans="1:22" ht="15">
      <c r="B105" s="885"/>
      <c r="C105" s="879" t="s">
        <v>132</v>
      </c>
      <c r="D105" s="879"/>
      <c r="E105" s="879"/>
      <c r="F105" s="925">
        <f>SUBTOTAL(109,XVI.a.Emissions[2007])</f>
        <v>4.3706513640884639</v>
      </c>
      <c r="G105" s="925" t="e">
        <f ca="1">SUBTOTAL(109,XVI.a.Emissions[2010])</f>
        <v>#REF!</v>
      </c>
      <c r="H105" s="925" t="e">
        <f ca="1">SUBTOTAL(109,XVI.a.Emissions[2015])</f>
        <v>#REF!</v>
      </c>
      <c r="I105" s="925" t="e">
        <f ca="1">SUBTOTAL(109,XVI.a.Emissions[2020])</f>
        <v>#REF!</v>
      </c>
      <c r="J105" s="925" t="e">
        <f ca="1">SUBTOTAL(109,XVI.a.Emissions[2025])</f>
        <v>#REF!</v>
      </c>
      <c r="K105" s="925" t="e">
        <f ca="1">SUBTOTAL(109,XVI.a.Emissions[2030])</f>
        <v>#REF!</v>
      </c>
      <c r="L105" s="925" t="e">
        <f ca="1">SUBTOTAL(109,XVI.a.Emissions[2035])</f>
        <v>#REF!</v>
      </c>
      <c r="M105" s="925" t="e">
        <f ca="1">SUBTOTAL(109,XVI.a.Emissions[2040])</f>
        <v>#REF!</v>
      </c>
      <c r="N105" s="925" t="e">
        <f ca="1">SUBTOTAL(109,XVI.a.Emissions[2045])</f>
        <v>#REF!</v>
      </c>
      <c r="O105" s="925" t="e">
        <f ca="1">SUBTOTAL(109,XVI.a.Emissions[2050])</f>
        <v>#REF!</v>
      </c>
      <c r="P105" s="884"/>
    </row>
    <row r="106" spans="1:22" ht="15">
      <c r="B106" s="885"/>
      <c r="C106" s="876"/>
      <c r="D106" s="876"/>
      <c r="E106" s="876"/>
      <c r="F106" s="876"/>
      <c r="G106" s="876"/>
      <c r="H106" s="876"/>
      <c r="I106" s="876"/>
      <c r="J106" s="876"/>
      <c r="K106" s="876"/>
      <c r="L106" s="876"/>
      <c r="M106" s="876"/>
      <c r="N106" s="876"/>
      <c r="O106" s="876"/>
      <c r="P106" s="884"/>
    </row>
    <row r="108" spans="1:22" ht="21.75" customHeight="1">
      <c r="B108" s="1878" t="s">
        <v>1561</v>
      </c>
      <c r="C108" s="1610"/>
      <c r="D108" s="1879"/>
      <c r="E108" s="1879"/>
      <c r="F108" s="1879"/>
      <c r="G108" s="1879"/>
      <c r="H108" s="1879"/>
      <c r="I108" s="1879"/>
      <c r="J108" s="1879"/>
      <c r="K108" s="1879"/>
      <c r="L108" s="1879"/>
      <c r="M108" s="1879"/>
      <c r="N108" s="1879"/>
      <c r="O108" s="1879"/>
      <c r="P108" s="1880"/>
      <c r="S108" s="1601"/>
      <c r="T108" s="1608"/>
      <c r="U108" s="1601"/>
      <c r="V108" s="1601"/>
    </row>
    <row r="109" spans="1:22">
      <c r="B109" s="1611"/>
      <c r="C109" s="1612"/>
      <c r="D109" s="1612"/>
      <c r="E109" s="1612"/>
      <c r="F109" s="1612"/>
      <c r="G109" s="1612"/>
      <c r="H109" s="1612"/>
      <c r="I109" s="1612"/>
      <c r="J109" s="1612"/>
      <c r="K109" s="1612"/>
      <c r="L109" s="1612"/>
      <c r="M109" s="1612"/>
      <c r="N109" s="1612"/>
      <c r="O109" s="1612"/>
      <c r="P109" s="1613"/>
      <c r="T109" s="532"/>
    </row>
    <row r="110" spans="1:22">
      <c r="B110" s="1881"/>
      <c r="C110" s="1614" t="s">
        <v>1566</v>
      </c>
      <c r="D110" s="1882"/>
      <c r="E110" s="1615"/>
      <c r="F110" s="1882"/>
      <c r="G110" s="1615"/>
      <c r="H110" s="1882"/>
      <c r="I110" s="1882"/>
      <c r="J110" s="1882"/>
      <c r="K110" s="1882"/>
      <c r="L110" s="1882"/>
      <c r="M110" s="1882"/>
      <c r="N110" s="1882"/>
      <c r="O110" s="1615"/>
      <c r="P110" s="1883"/>
      <c r="T110" s="532"/>
    </row>
    <row r="111" spans="1:22">
      <c r="B111" s="1881"/>
      <c r="C111" s="1882"/>
      <c r="D111" s="1882"/>
      <c r="E111" s="1882"/>
      <c r="F111" s="1882"/>
      <c r="G111" s="1882"/>
      <c r="H111" s="1882"/>
      <c r="I111" s="1882"/>
      <c r="J111" s="1882"/>
      <c r="K111" s="1882"/>
      <c r="L111" s="1882"/>
      <c r="M111" s="1882"/>
      <c r="N111" s="1882"/>
      <c r="O111" s="1882"/>
      <c r="P111" s="1883"/>
      <c r="T111" s="532"/>
    </row>
    <row r="112" spans="1:22" ht="15">
      <c r="B112" s="1884"/>
      <c r="C112" s="1885" t="s">
        <v>72</v>
      </c>
      <c r="D112" s="1885" t="s">
        <v>1562</v>
      </c>
      <c r="E112" s="1885" t="s">
        <v>421</v>
      </c>
      <c r="F112" s="1885" t="s">
        <v>576</v>
      </c>
      <c r="G112" s="1885" t="s">
        <v>577</v>
      </c>
      <c r="H112" s="1885" t="s">
        <v>604</v>
      </c>
      <c r="I112" s="1885" t="s">
        <v>605</v>
      </c>
      <c r="J112" s="1885" t="s">
        <v>606</v>
      </c>
      <c r="K112" s="1885" t="s">
        <v>607</v>
      </c>
      <c r="L112" s="1885" t="s">
        <v>608</v>
      </c>
      <c r="M112" s="1885" t="s">
        <v>609</v>
      </c>
      <c r="N112" s="1885" t="s">
        <v>610</v>
      </c>
      <c r="O112" s="1885" t="s">
        <v>611</v>
      </c>
      <c r="P112" s="1883"/>
    </row>
    <row r="113" spans="2:16" ht="15">
      <c r="B113" s="1884"/>
      <c r="C113" s="1886" t="s">
        <v>1563</v>
      </c>
      <c r="D113" s="1887" t="str">
        <f>INDEX(Vectors[Description], MATCH(XVI.a.info[Vector], Vectors[Code], 0))</f>
        <v>UK Land area</v>
      </c>
      <c r="E113" s="1887">
        <f>INDEX(Vectors[Comment], MATCH(XVI.a.info[Information type], Vectors[Description], 0))</f>
        <v>0</v>
      </c>
      <c r="F113" s="1618"/>
      <c r="G113" s="1618"/>
      <c r="H113" s="1618"/>
      <c r="I113" s="1618"/>
      <c r="J113" s="1618"/>
      <c r="K113" s="1618"/>
      <c r="L113" s="1618"/>
      <c r="M113" s="1618"/>
      <c r="N113" s="1618"/>
      <c r="O113" s="1618"/>
      <c r="P113" s="1883"/>
    </row>
    <row r="114" spans="2:16" ht="15">
      <c r="B114" s="1884"/>
      <c r="C114" s="1886" t="s">
        <v>1569</v>
      </c>
      <c r="D114" s="1887" t="str">
        <f>INDEX(Vectors[Description], MATCH(XVI.a.info[Vector], Vectors[Code], 0))</f>
        <v>Number of units</v>
      </c>
      <c r="E114" s="1887"/>
      <c r="F114" s="1618"/>
      <c r="G114" s="1618"/>
      <c r="H114" s="1618"/>
      <c r="I114" s="1618"/>
      <c r="J114" s="1618"/>
      <c r="K114" s="1618"/>
      <c r="L114" s="1618"/>
      <c r="M114" s="1618"/>
      <c r="N114" s="1618"/>
      <c r="O114" s="1618"/>
      <c r="P114" s="1883"/>
    </row>
    <row r="115" spans="2:16" ht="15">
      <c r="B115" s="1619"/>
      <c r="C115" s="1888"/>
      <c r="D115" s="1888"/>
      <c r="E115" s="1888"/>
      <c r="F115" s="1888"/>
      <c r="G115" s="1888"/>
      <c r="H115" s="1888"/>
      <c r="I115" s="1888"/>
      <c r="J115" s="1888"/>
      <c r="K115" s="1888"/>
      <c r="L115" s="1888"/>
      <c r="M115" s="1888"/>
      <c r="N115" s="1888"/>
      <c r="O115" s="1888"/>
      <c r="P115" s="1616"/>
    </row>
    <row r="116" spans="2:16" collapsed="1"/>
    <row r="117" spans="2:16" ht="22.5" customHeight="1">
      <c r="B117" s="1878" t="s">
        <v>1998</v>
      </c>
      <c r="C117" s="1879"/>
      <c r="D117" s="1879"/>
      <c r="E117" s="1879"/>
      <c r="F117" s="1879"/>
      <c r="G117" s="1879"/>
      <c r="H117" s="1879"/>
      <c r="I117" s="1879"/>
      <c r="J117" s="1879"/>
      <c r="K117" s="1879"/>
      <c r="L117" s="1879"/>
      <c r="M117" s="1879"/>
      <c r="N117" s="1879"/>
      <c r="O117" s="1879"/>
      <c r="P117" s="1880"/>
    </row>
    <row r="118" spans="2:16">
      <c r="B118" s="1881"/>
      <c r="C118" s="1882"/>
      <c r="D118" s="1882"/>
      <c r="E118" s="1882"/>
      <c r="F118" s="1882"/>
      <c r="G118" s="1882"/>
      <c r="H118" s="1882"/>
      <c r="I118" s="1882"/>
      <c r="J118" s="1882"/>
      <c r="K118" s="1882"/>
      <c r="L118" s="1882"/>
      <c r="M118" s="1882"/>
      <c r="N118" s="1882"/>
      <c r="O118" s="1882"/>
      <c r="P118" s="1883"/>
    </row>
    <row r="119" spans="2:16" ht="15.75" customHeight="1">
      <c r="B119" s="1881"/>
      <c r="C119" s="1889" t="s">
        <v>1999</v>
      </c>
      <c r="D119" s="1890"/>
      <c r="E119" s="1890"/>
      <c r="F119" s="1890"/>
      <c r="G119" s="1890"/>
      <c r="H119" s="1890"/>
      <c r="I119" s="1890"/>
      <c r="J119" s="1890"/>
      <c r="K119" s="1890"/>
      <c r="L119" s="1890"/>
      <c r="M119" s="1890"/>
      <c r="N119" s="1890"/>
      <c r="O119" s="1890"/>
      <c r="P119" s="1883"/>
    </row>
    <row r="120" spans="2:16" ht="5.25" customHeight="1">
      <c r="B120" s="1881"/>
      <c r="C120" s="1882"/>
      <c r="D120" s="1882"/>
      <c r="E120" s="1882"/>
      <c r="F120" s="1882"/>
      <c r="G120" s="1882"/>
      <c r="H120" s="1882"/>
      <c r="I120" s="1882"/>
      <c r="J120" s="1882"/>
      <c r="K120" s="1882"/>
      <c r="L120" s="1882"/>
      <c r="M120" s="1882"/>
      <c r="N120" s="1882"/>
      <c r="O120" s="1882"/>
      <c r="P120" s="1883"/>
    </row>
    <row r="121" spans="2:16" ht="15">
      <c r="B121" s="1884"/>
      <c r="C121" s="1885" t="s">
        <v>72</v>
      </c>
      <c r="D121" s="1885" t="s">
        <v>399</v>
      </c>
      <c r="E121" s="1885" t="s">
        <v>421</v>
      </c>
      <c r="F121" s="1885" t="s">
        <v>576</v>
      </c>
      <c r="G121" s="1885" t="s">
        <v>577</v>
      </c>
      <c r="H121" s="1885" t="s">
        <v>604</v>
      </c>
      <c r="I121" s="1885" t="s">
        <v>605</v>
      </c>
      <c r="J121" s="1885" t="s">
        <v>606</v>
      </c>
      <c r="K121" s="1885" t="s">
        <v>607</v>
      </c>
      <c r="L121" s="1885" t="s">
        <v>608</v>
      </c>
      <c r="M121" s="1885" t="s">
        <v>609</v>
      </c>
      <c r="N121" s="1885" t="s">
        <v>610</v>
      </c>
      <c r="O121" s="1885" t="s">
        <v>611</v>
      </c>
      <c r="P121" s="1891"/>
    </row>
    <row r="122" spans="2:16" ht="15">
      <c r="B122" s="1884"/>
      <c r="C122" s="1886" t="s">
        <v>1944</v>
      </c>
      <c r="D122" s="1887" t="str">
        <f>INDEX(CostVectors[Description], MATCH(C122,CostVectors[Code], 0))</f>
        <v>Low estimate of capital costs</v>
      </c>
      <c r="E122" s="1887"/>
      <c r="F122" s="1587"/>
      <c r="G122" s="1587" t="e">
        <f ca="1">G73</f>
        <v>#REF!</v>
      </c>
      <c r="H122" s="1587" t="e">
        <f t="shared" ref="H122:O123" ca="1" si="27">H73</f>
        <v>#REF!</v>
      </c>
      <c r="I122" s="1587" t="e">
        <f t="shared" ca="1" si="27"/>
        <v>#REF!</v>
      </c>
      <c r="J122" s="1587" t="e">
        <f t="shared" ca="1" si="27"/>
        <v>#REF!</v>
      </c>
      <c r="K122" s="1587" t="e">
        <f t="shared" ca="1" si="27"/>
        <v>#REF!</v>
      </c>
      <c r="L122" s="1587" t="e">
        <f t="shared" ca="1" si="27"/>
        <v>#REF!</v>
      </c>
      <c r="M122" s="1587" t="e">
        <f t="shared" ca="1" si="27"/>
        <v>#REF!</v>
      </c>
      <c r="N122" s="1587" t="e">
        <f t="shared" ca="1" si="27"/>
        <v>#REF!</v>
      </c>
      <c r="O122" s="1587" t="e">
        <f t="shared" ca="1" si="27"/>
        <v>#REF!</v>
      </c>
      <c r="P122" s="1891"/>
    </row>
    <row r="123" spans="2:16" ht="15">
      <c r="B123" s="1884"/>
      <c r="C123" s="1886" t="s">
        <v>1946</v>
      </c>
      <c r="D123" s="1887" t="str">
        <f>INDEX(CostVectors[Description], MATCH(C123, CostVectors[Code], 0))</f>
        <v>Low estimate of operating costs</v>
      </c>
      <c r="E123" s="1887"/>
      <c r="F123" s="1587"/>
      <c r="G123" s="1587" t="e">
        <f ca="1">G74</f>
        <v>#REF!</v>
      </c>
      <c r="H123" s="1587" t="e">
        <f t="shared" ca="1" si="27"/>
        <v>#REF!</v>
      </c>
      <c r="I123" s="1587" t="e">
        <f t="shared" ca="1" si="27"/>
        <v>#REF!</v>
      </c>
      <c r="J123" s="1587" t="e">
        <f t="shared" ca="1" si="27"/>
        <v>#REF!</v>
      </c>
      <c r="K123" s="1587" t="e">
        <f t="shared" ca="1" si="27"/>
        <v>#REF!</v>
      </c>
      <c r="L123" s="1587" t="e">
        <f t="shared" ca="1" si="27"/>
        <v>#REF!</v>
      </c>
      <c r="M123" s="1587" t="e">
        <f t="shared" ca="1" si="27"/>
        <v>#REF!</v>
      </c>
      <c r="N123" s="1587" t="e">
        <f t="shared" ca="1" si="27"/>
        <v>#REF!</v>
      </c>
      <c r="O123" s="1587">
        <f t="shared" ca="1" si="27"/>
        <v>0.35411270348006985</v>
      </c>
      <c r="P123" s="1891"/>
    </row>
    <row r="124" spans="2:16" ht="15">
      <c r="B124" s="1884"/>
      <c r="C124" s="1886" t="s">
        <v>1948</v>
      </c>
      <c r="D124" s="1887" t="str">
        <f>INDEX(CostVectors[Description], MATCH(C124, CostVectors[Code], 0))</f>
        <v>Low estimate of fuel costs</v>
      </c>
      <c r="E124" s="1887"/>
      <c r="F124" s="1587"/>
      <c r="G124" s="1587"/>
      <c r="H124" s="1587"/>
      <c r="I124" s="1587"/>
      <c r="J124" s="1587"/>
      <c r="K124" s="1587"/>
      <c r="L124" s="1587"/>
      <c r="M124" s="1587"/>
      <c r="N124" s="1587"/>
      <c r="O124" s="1587"/>
      <c r="P124" s="1891"/>
    </row>
    <row r="125" spans="2:16">
      <c r="B125" s="1892"/>
      <c r="C125" s="1886" t="s">
        <v>1953</v>
      </c>
      <c r="D125" s="1887" t="str">
        <f>INDEX(CostVectors[Description], MATCH(C125, CostVectors[Code], 0))</f>
        <v>High estimate of capital costs</v>
      </c>
      <c r="E125" s="1887"/>
      <c r="F125" s="1587"/>
      <c r="G125" s="1587" t="e">
        <f ca="1">G79</f>
        <v>#REF!</v>
      </c>
      <c r="H125" s="1587" t="e">
        <f t="shared" ref="H125:O126" ca="1" si="28">H79</f>
        <v>#REF!</v>
      </c>
      <c r="I125" s="1587" t="e">
        <f t="shared" ca="1" si="28"/>
        <v>#REF!</v>
      </c>
      <c r="J125" s="1587" t="e">
        <f t="shared" ca="1" si="28"/>
        <v>#REF!</v>
      </c>
      <c r="K125" s="1587" t="e">
        <f t="shared" ca="1" si="28"/>
        <v>#REF!</v>
      </c>
      <c r="L125" s="1587" t="e">
        <f t="shared" ca="1" si="28"/>
        <v>#REF!</v>
      </c>
      <c r="M125" s="1587" t="e">
        <f t="shared" ca="1" si="28"/>
        <v>#REF!</v>
      </c>
      <c r="N125" s="1587" t="e">
        <f t="shared" ca="1" si="28"/>
        <v>#REF!</v>
      </c>
      <c r="O125" s="1587" t="e">
        <f t="shared" ca="1" si="28"/>
        <v>#REF!</v>
      </c>
      <c r="P125" s="1893"/>
    </row>
    <row r="126" spans="2:16">
      <c r="B126" s="1892"/>
      <c r="C126" s="1886" t="s">
        <v>1955</v>
      </c>
      <c r="D126" s="1887" t="str">
        <f>INDEX(CostVectors[Description], MATCH(C126, CostVectors[Code], 0))</f>
        <v>High estimate of operating costs</v>
      </c>
      <c r="E126" s="1887"/>
      <c r="F126" s="1587"/>
      <c r="G126" s="1587" t="e">
        <f ca="1">G80</f>
        <v>#REF!</v>
      </c>
      <c r="H126" s="1587" t="e">
        <f t="shared" ca="1" si="28"/>
        <v>#REF!</v>
      </c>
      <c r="I126" s="1587" t="e">
        <f t="shared" ca="1" si="28"/>
        <v>#REF!</v>
      </c>
      <c r="J126" s="1587" t="e">
        <f t="shared" ca="1" si="28"/>
        <v>#REF!</v>
      </c>
      <c r="K126" s="1587" t="e">
        <f t="shared" ca="1" si="28"/>
        <v>#REF!</v>
      </c>
      <c r="L126" s="1587" t="e">
        <f t="shared" ca="1" si="28"/>
        <v>#REF!</v>
      </c>
      <c r="M126" s="1587" t="e">
        <f t="shared" ca="1" si="28"/>
        <v>#REF!</v>
      </c>
      <c r="N126" s="1587" t="e">
        <f t="shared" ca="1" si="28"/>
        <v>#REF!</v>
      </c>
      <c r="O126" s="1587">
        <f t="shared" ca="1" si="28"/>
        <v>0.35411270348006985</v>
      </c>
      <c r="P126" s="1893"/>
    </row>
    <row r="127" spans="2:16">
      <c r="B127" s="1892"/>
      <c r="C127" s="1886" t="s">
        <v>1957</v>
      </c>
      <c r="D127" s="1887" t="str">
        <f>INDEX(CostVectors[Description], MATCH(C127, CostVectors[Code], 0))</f>
        <v>High estimate of fuel costs</v>
      </c>
      <c r="E127" s="1887"/>
      <c r="F127" s="1587"/>
      <c r="G127" s="1587"/>
      <c r="H127" s="1587"/>
      <c r="I127" s="1587"/>
      <c r="J127" s="1587"/>
      <c r="K127" s="1587"/>
      <c r="L127" s="1587"/>
      <c r="M127" s="1587"/>
      <c r="N127" s="1587"/>
      <c r="O127" s="1587"/>
      <c r="P127" s="1893"/>
    </row>
    <row r="128" spans="2:16">
      <c r="B128" s="1894"/>
      <c r="C128" s="1888"/>
      <c r="D128" s="1888"/>
      <c r="E128" s="1888"/>
      <c r="F128" s="1888"/>
      <c r="G128" s="1888"/>
      <c r="H128" s="1888"/>
      <c r="I128" s="1888"/>
      <c r="J128" s="1888"/>
      <c r="K128" s="1888"/>
      <c r="L128" s="1888"/>
      <c r="M128" s="1888"/>
      <c r="N128" s="1888"/>
      <c r="O128" s="1888"/>
      <c r="P128" s="1895"/>
    </row>
  </sheetData>
  <hyperlinks>
    <hyperlink ref="E39" r:id="rId1"/>
    <hyperlink ref="E2" r:id="rId2"/>
  </hyperlinks>
  <pageMargins left="0.7" right="0.7" top="0.75" bottom="0.75" header="0.3" footer="0.3"/>
  <pageSetup paperSize="9" orientation="portrait"/>
  <tableParts count="5">
    <tablePart r:id="rId3"/>
    <tablePart r:id="rId4"/>
    <tablePart r:id="rId5"/>
    <tablePart r:id="rId6"/>
    <tablePart r:id="rId7"/>
  </tableParts>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enableFormatConditionsCalculation="0">
    <tabColor theme="9"/>
    <outlinePr summaryBelow="0"/>
    <pageSetUpPr autoPageBreaks="0"/>
  </sheetPr>
  <dimension ref="A1:V82"/>
  <sheetViews>
    <sheetView workbookViewId="0"/>
  </sheetViews>
  <sheetFormatPr baseColWidth="10" defaultColWidth="8.83203125" defaultRowHeight="13" outlineLevelRow="1" x14ac:dyDescent="0"/>
  <cols>
    <col min="1" max="1" width="5.83203125" style="1790" customWidth="1"/>
    <col min="2" max="2" width="2.5" style="1790" customWidth="1"/>
    <col min="3" max="3" width="8.83203125" style="1790"/>
    <col min="4" max="4" width="28.1640625" style="1790" bestFit="1" customWidth="1"/>
    <col min="5" max="5" width="8.1640625" style="1790" customWidth="1"/>
    <col min="6" max="6" width="12.5" style="1790" bestFit="1" customWidth="1"/>
    <col min="7" max="7" width="11.83203125" style="1790" customWidth="1"/>
    <col min="8" max="9" width="10.6640625" style="1790" customWidth="1"/>
    <col min="10" max="10" width="13.83203125" style="1790" customWidth="1"/>
    <col min="11" max="11" width="8.33203125" style="1790" customWidth="1"/>
    <col min="12" max="15" width="10.6640625" style="1790" customWidth="1"/>
    <col min="16" max="16" width="2" style="1790" customWidth="1"/>
    <col min="17" max="16384" width="8.83203125" style="1790"/>
  </cols>
  <sheetData>
    <row r="1" spans="1:16" ht="20">
      <c r="A1" s="567" t="s">
        <v>770</v>
      </c>
      <c r="B1" s="567" t="str">
        <f>INDEX(Workstreams[Workstream], MATCH($A1, Workstreams[Code], 0))</f>
        <v>Transfers</v>
      </c>
      <c r="C1" s="567"/>
    </row>
    <row r="2" spans="1:16" s="532" customFormat="1" ht="19.5" customHeight="1">
      <c r="A2" s="10" t="s">
        <v>772</v>
      </c>
      <c r="B2" s="10" t="str">
        <f>INDEX(Modules[Module], MATCH($A2, Modules[Code], 0))</f>
        <v>Balancing imports</v>
      </c>
      <c r="C2" s="10"/>
      <c r="E2" s="1791" t="s">
        <v>2003</v>
      </c>
    </row>
    <row r="4" spans="1:16" ht="22">
      <c r="A4" s="851"/>
      <c r="B4" s="899" t="s">
        <v>571</v>
      </c>
      <c r="C4" s="863"/>
      <c r="D4" s="863"/>
      <c r="E4" s="863"/>
      <c r="F4" s="863"/>
      <c r="G4" s="863"/>
      <c r="H4" s="863"/>
      <c r="I4" s="863"/>
      <c r="J4" s="863"/>
      <c r="K4" s="863"/>
      <c r="L4" s="863"/>
      <c r="M4" s="863"/>
      <c r="N4" s="863"/>
      <c r="O4" s="863"/>
      <c r="P4" s="865"/>
    </row>
    <row r="5" spans="1:16">
      <c r="B5" s="852"/>
      <c r="C5" s="854"/>
      <c r="D5" s="854"/>
      <c r="E5" s="854"/>
      <c r="F5" s="854"/>
      <c r="G5" s="854"/>
      <c r="H5" s="854"/>
      <c r="I5" s="854"/>
      <c r="J5" s="854"/>
      <c r="K5" s="854"/>
      <c r="L5" s="854"/>
      <c r="M5" s="854"/>
      <c r="N5" s="854"/>
      <c r="O5" s="854"/>
      <c r="P5" s="856"/>
    </row>
    <row r="6" spans="1:16">
      <c r="B6" s="852"/>
      <c r="C6" s="866" t="s">
        <v>2004</v>
      </c>
      <c r="D6" s="854"/>
      <c r="E6" s="855"/>
      <c r="F6" s="854"/>
      <c r="G6" s="854"/>
      <c r="H6" s="854"/>
      <c r="I6" s="854"/>
      <c r="J6" s="854"/>
      <c r="K6" s="854"/>
      <c r="L6" s="854"/>
      <c r="M6" s="854"/>
      <c r="N6" s="854"/>
      <c r="O6" s="855" t="str">
        <f>Preferences.EnergyUnits</f>
        <v>TWh</v>
      </c>
      <c r="P6" s="856"/>
    </row>
    <row r="7" spans="1:16" ht="6" customHeight="1">
      <c r="B7" s="852"/>
      <c r="C7" s="853"/>
      <c r="D7" s="854"/>
      <c r="E7" s="855"/>
      <c r="F7" s="854"/>
      <c r="G7" s="854"/>
      <c r="H7" s="854"/>
      <c r="I7" s="854"/>
      <c r="J7" s="854"/>
      <c r="K7" s="854"/>
      <c r="L7" s="854"/>
      <c r="M7" s="854"/>
      <c r="N7" s="854"/>
      <c r="O7" s="854"/>
      <c r="P7" s="856"/>
    </row>
    <row r="8" spans="1:16" s="532" customFormat="1" ht="15">
      <c r="A8" s="537"/>
      <c r="B8" s="867"/>
      <c r="C8" s="868" t="s">
        <v>72</v>
      </c>
      <c r="D8" s="868" t="s">
        <v>399</v>
      </c>
      <c r="E8" s="868" t="s">
        <v>421</v>
      </c>
      <c r="F8" s="868" t="s">
        <v>576</v>
      </c>
      <c r="G8" s="868" t="s">
        <v>577</v>
      </c>
      <c r="H8" s="868" t="s">
        <v>604</v>
      </c>
      <c r="I8" s="868" t="s">
        <v>605</v>
      </c>
      <c r="J8" s="868" t="s">
        <v>606</v>
      </c>
      <c r="K8" s="868" t="s">
        <v>607</v>
      </c>
      <c r="L8" s="868" t="s">
        <v>608</v>
      </c>
      <c r="M8" s="868" t="s">
        <v>609</v>
      </c>
      <c r="N8" s="868" t="s">
        <v>610</v>
      </c>
      <c r="O8" s="868" t="s">
        <v>611</v>
      </c>
      <c r="P8" s="920"/>
    </row>
    <row r="9" spans="1:16" s="532" customFormat="1" ht="15">
      <c r="A9" s="537"/>
      <c r="B9" s="867"/>
      <c r="C9" s="868" t="s">
        <v>749</v>
      </c>
      <c r="D9" s="546" t="str">
        <f>INDEX(Vectors[Description], MATCH(XVI.a.Inputs_1[Vector], Vectors[Code], 0))</f>
        <v>Coal oversupply (imports)</v>
      </c>
      <c r="E9" s="868"/>
      <c r="F9" s="1162" t="e">
        <f t="shared" ref="F9:O11" ca="1" si="0">INDEX(INDIRECT("'"&amp;F$8&amp;"'!Year.NetBalance"), MATCH($C9, INDIRECT("'"&amp;F$8&amp;"'!Year.Vectors"), 0))</f>
        <v>#REF!</v>
      </c>
      <c r="G9" s="1162" t="e">
        <f t="shared" ca="1" si="0"/>
        <v>#REF!</v>
      </c>
      <c r="H9" s="1162" t="e">
        <f t="shared" ca="1" si="0"/>
        <v>#REF!</v>
      </c>
      <c r="I9" s="1162" t="e">
        <f t="shared" ca="1" si="0"/>
        <v>#REF!</v>
      </c>
      <c r="J9" s="1162" t="e">
        <f t="shared" ca="1" si="0"/>
        <v>#REF!</v>
      </c>
      <c r="K9" s="1162" t="e">
        <f t="shared" ca="1" si="0"/>
        <v>#REF!</v>
      </c>
      <c r="L9" s="1162" t="e">
        <f t="shared" ca="1" si="0"/>
        <v>#REF!</v>
      </c>
      <c r="M9" s="1162" t="e">
        <f t="shared" ca="1" si="0"/>
        <v>#REF!</v>
      </c>
      <c r="N9" s="1162" t="e">
        <f t="shared" ca="1" si="0"/>
        <v>#REF!</v>
      </c>
      <c r="O9" s="1162">
        <f t="shared" ca="1" si="0"/>
        <v>-336.15525503679999</v>
      </c>
      <c r="P9" s="920"/>
    </row>
    <row r="10" spans="1:16" s="532" customFormat="1" ht="15">
      <c r="A10" s="537"/>
      <c r="B10" s="867"/>
      <c r="C10" s="868" t="s">
        <v>750</v>
      </c>
      <c r="D10" s="546" t="str">
        <f>INDEX(Vectors[Description], MATCH(XVI.a.Inputs_1[Vector], Vectors[Code], 0))</f>
        <v>Oil and petroleum products oversupply (imports)</v>
      </c>
      <c r="E10" s="868"/>
      <c r="F10" s="1162" t="e">
        <f t="shared" ca="1" si="0"/>
        <v>#REF!</v>
      </c>
      <c r="G10" s="1162" t="e">
        <f t="shared" ca="1" si="0"/>
        <v>#REF!</v>
      </c>
      <c r="H10" s="1162" t="e">
        <f t="shared" ca="1" si="0"/>
        <v>#REF!</v>
      </c>
      <c r="I10" s="1162" t="e">
        <f t="shared" ca="1" si="0"/>
        <v>#REF!</v>
      </c>
      <c r="J10" s="1162" t="e">
        <f t="shared" ca="1" si="0"/>
        <v>#REF!</v>
      </c>
      <c r="K10" s="1162" t="e">
        <f t="shared" ca="1" si="0"/>
        <v>#REF!</v>
      </c>
      <c r="L10" s="1162" t="e">
        <f t="shared" ca="1" si="0"/>
        <v>#REF!</v>
      </c>
      <c r="M10" s="1162" t="e">
        <f t="shared" ca="1" si="0"/>
        <v>#REF!</v>
      </c>
      <c r="N10" s="1162" t="e">
        <f t="shared" ca="1" si="0"/>
        <v>#REF!</v>
      </c>
      <c r="O10" s="1162">
        <f t="shared" ca="1" si="0"/>
        <v>107.70336000383915</v>
      </c>
      <c r="P10" s="920"/>
    </row>
    <row r="11" spans="1:16" s="532" customFormat="1" ht="18" customHeight="1">
      <c r="A11" s="537"/>
      <c r="B11" s="867"/>
      <c r="C11" s="546" t="s">
        <v>751</v>
      </c>
      <c r="D11" s="546" t="str">
        <f>INDEX(Vectors[Description], MATCH(XVI.a.Inputs_1[Vector], Vectors[Code], 0))</f>
        <v>Gas oversupply (imports)</v>
      </c>
      <c r="E11" s="546"/>
      <c r="F11" s="1162" t="e">
        <f t="shared" ca="1" si="0"/>
        <v>#REF!</v>
      </c>
      <c r="G11" s="1162" t="e">
        <f t="shared" ca="1" si="0"/>
        <v>#REF!</v>
      </c>
      <c r="H11" s="1162" t="e">
        <f t="shared" ca="1" si="0"/>
        <v>#REF!</v>
      </c>
      <c r="I11" s="1162" t="e">
        <f t="shared" ca="1" si="0"/>
        <v>#REF!</v>
      </c>
      <c r="J11" s="1162" t="e">
        <f t="shared" ca="1" si="0"/>
        <v>#REF!</v>
      </c>
      <c r="K11" s="1162" t="e">
        <f t="shared" ca="1" si="0"/>
        <v>#REF!</v>
      </c>
      <c r="L11" s="1162" t="e">
        <f t="shared" ca="1" si="0"/>
        <v>#REF!</v>
      </c>
      <c r="M11" s="1162" t="e">
        <f t="shared" ca="1" si="0"/>
        <v>#REF!</v>
      </c>
      <c r="N11" s="1162" t="e">
        <f t="shared" ca="1" si="0"/>
        <v>#REF!</v>
      </c>
      <c r="O11" s="1162">
        <f t="shared" ca="1" si="0"/>
        <v>82.232541885272198</v>
      </c>
      <c r="P11" s="870"/>
    </row>
    <row r="12" spans="1:16" s="532" customFormat="1" ht="18" customHeight="1" outlineLevel="1">
      <c r="A12" s="537"/>
      <c r="B12" s="867"/>
      <c r="C12" s="546"/>
      <c r="D12" s="546"/>
      <c r="E12" s="546"/>
      <c r="F12" s="1162"/>
      <c r="G12" s="1162"/>
      <c r="H12" s="1162"/>
      <c r="I12" s="1162"/>
      <c r="J12" s="1162"/>
      <c r="K12" s="1162"/>
      <c r="L12" s="1162"/>
      <c r="M12" s="1162"/>
      <c r="N12" s="1162"/>
      <c r="O12" s="1162"/>
      <c r="P12" s="870"/>
    </row>
    <row r="13" spans="1:16" s="532" customFormat="1" ht="18" customHeight="1" outlineLevel="1">
      <c r="A13" s="537"/>
      <c r="B13" s="867"/>
      <c r="C13" s="1156" t="s">
        <v>2058</v>
      </c>
      <c r="D13" s="546"/>
      <c r="E13" s="546"/>
      <c r="F13" s="1162"/>
      <c r="G13" s="1162"/>
      <c r="H13" s="1162"/>
      <c r="I13" s="1162"/>
      <c r="J13" s="1162"/>
      <c r="K13" s="1162"/>
      <c r="L13" s="1162"/>
      <c r="M13" s="1162"/>
      <c r="N13" s="1162"/>
      <c r="O13" s="1162"/>
      <c r="P13" s="870"/>
    </row>
    <row r="14" spans="1:16" s="532" customFormat="1" ht="18" customHeight="1" outlineLevel="1">
      <c r="A14" s="537"/>
      <c r="B14" s="867"/>
      <c r="C14" s="1822" t="s">
        <v>72</v>
      </c>
      <c r="D14" s="1822" t="s">
        <v>399</v>
      </c>
      <c r="E14" s="1822" t="s">
        <v>421</v>
      </c>
      <c r="F14" s="1822" t="s">
        <v>576</v>
      </c>
      <c r="G14" s="1822" t="s">
        <v>577</v>
      </c>
      <c r="H14" s="1822" t="s">
        <v>604</v>
      </c>
      <c r="I14" s="1822" t="s">
        <v>605</v>
      </c>
      <c r="J14" s="1822" t="s">
        <v>606</v>
      </c>
      <c r="K14" s="1822" t="s">
        <v>607</v>
      </c>
      <c r="L14" s="1822" t="s">
        <v>608</v>
      </c>
      <c r="M14" s="1822" t="s">
        <v>609</v>
      </c>
      <c r="N14" s="1822" t="s">
        <v>610</v>
      </c>
      <c r="O14" s="1822" t="s">
        <v>611</v>
      </c>
      <c r="P14" s="870"/>
    </row>
    <row r="15" spans="1:16" s="532" customFormat="1" ht="18" customHeight="1" outlineLevel="1">
      <c r="A15" s="537"/>
      <c r="B15" s="867"/>
      <c r="C15" s="868" t="s">
        <v>7</v>
      </c>
      <c r="D15" s="546" t="str">
        <f>INDEX(Vectors[Description], MATCH(Table[Vector], Vectors[Code], 0))</f>
        <v>Nuclear fission</v>
      </c>
      <c r="E15" s="868"/>
      <c r="F15" s="1823" t="e">
        <f ca="1">INDEX(INDIRECT("'"&amp;F$8&amp;"'!Year.NetBalance"), MATCH($C15, INDIRECT("'"&amp;F$8&amp;"'!Year.Vectors"), 0))</f>
        <v>#REF!</v>
      </c>
      <c r="G15" s="1823" t="e">
        <f ca="1">INDEX(INDIRECT("'"&amp;G$8&amp;"'!Year.NetBalance"), MATCH($C15, INDIRECT("'"&amp;G$8&amp;"'!Year.Vectors"), 0))</f>
        <v>#REF!</v>
      </c>
      <c r="H15" s="1823" t="e">
        <f ca="1">INDEX(INDIRECT("'"&amp;H$8&amp;"'!Year.NetBalance"), MATCH($C15, INDIRECT("'"&amp;H$8&amp;"'!Year.Vectors"), 0))</f>
        <v>#REF!</v>
      </c>
      <c r="I15" s="1823" t="e">
        <f ca="1">INDEX(INDIRECT("'"&amp;I$8&amp;"'!Year.NetBalance"), MATCH($C15, INDIRECT("'"&amp;I$8&amp;"'!Year.Vectors"), 0))</f>
        <v>#REF!</v>
      </c>
      <c r="J15" s="1823" t="e">
        <f t="shared" ref="J15:O15" ca="1" si="1">INDEX(INDIRECT("'"&amp;J$8&amp;"'!Year.NetBalance"), MATCH($C15, INDIRECT("'"&amp;J$8&amp;"'!Year.Vectors"), 0))</f>
        <v>#REF!</v>
      </c>
      <c r="K15" s="1823" t="e">
        <f t="shared" ca="1" si="1"/>
        <v>#REF!</v>
      </c>
      <c r="L15" s="1823" t="e">
        <f t="shared" ca="1" si="1"/>
        <v>#REF!</v>
      </c>
      <c r="M15" s="1823" t="e">
        <f t="shared" ca="1" si="1"/>
        <v>#REF!</v>
      </c>
      <c r="N15" s="1823" t="e">
        <f t="shared" ca="1" si="1"/>
        <v>#REF!</v>
      </c>
      <c r="O15" s="1823">
        <f t="shared" ca="1" si="1"/>
        <v>0</v>
      </c>
      <c r="P15" s="870"/>
    </row>
    <row r="16" spans="1:16" s="532" customFormat="1" ht="18" customHeight="1" outlineLevel="1">
      <c r="A16" s="537"/>
      <c r="B16" s="867"/>
      <c r="C16" s="546"/>
      <c r="D16" s="546"/>
      <c r="E16" s="546"/>
      <c r="F16" s="1162"/>
      <c r="G16" s="1162"/>
      <c r="H16" s="1162"/>
      <c r="I16" s="1162"/>
      <c r="J16" s="1162"/>
      <c r="K16" s="1162"/>
      <c r="L16" s="1162"/>
      <c r="M16" s="1162"/>
      <c r="N16" s="1162"/>
      <c r="O16" s="1162"/>
      <c r="P16" s="870"/>
    </row>
    <row r="17" spans="1:16" s="532" customFormat="1" ht="18" customHeight="1">
      <c r="A17" s="537"/>
      <c r="B17" s="867"/>
      <c r="C17" s="546"/>
      <c r="D17" s="1792" t="s">
        <v>2005</v>
      </c>
      <c r="E17" s="546"/>
      <c r="F17" s="652"/>
      <c r="G17" s="652"/>
      <c r="H17" s="652"/>
      <c r="I17" s="652"/>
      <c r="J17" s="652"/>
      <c r="K17" s="652"/>
      <c r="L17" s="652"/>
      <c r="M17" s="652"/>
      <c r="N17" s="652"/>
      <c r="O17" s="652"/>
      <c r="P17" s="870"/>
    </row>
    <row r="19" spans="1:16" s="532" customFormat="1" ht="22">
      <c r="A19" s="850"/>
      <c r="B19" s="902" t="s">
        <v>1983</v>
      </c>
      <c r="C19" s="847"/>
      <c r="D19" s="847"/>
      <c r="E19" s="847"/>
      <c r="F19" s="847"/>
      <c r="G19" s="847"/>
      <c r="H19" s="847"/>
      <c r="I19" s="847"/>
      <c r="J19" s="847"/>
      <c r="K19" s="847"/>
      <c r="L19" s="847"/>
      <c r="M19" s="847"/>
      <c r="N19" s="847"/>
      <c r="O19" s="847"/>
      <c r="P19" s="848"/>
    </row>
    <row r="20" spans="1:16">
      <c r="B20" s="837"/>
      <c r="C20" s="610"/>
      <c r="D20" s="610"/>
      <c r="E20" s="610"/>
      <c r="F20" s="610"/>
      <c r="G20" s="610"/>
      <c r="H20" s="610"/>
      <c r="I20" s="610"/>
      <c r="J20" s="610"/>
      <c r="K20" s="610"/>
      <c r="L20" s="610"/>
      <c r="M20" s="610"/>
      <c r="N20" s="610"/>
      <c r="O20" s="610"/>
      <c r="P20" s="838"/>
    </row>
    <row r="21" spans="1:16">
      <c r="B21" s="837"/>
      <c r="C21" s="612"/>
      <c r="D21" s="1796" t="s">
        <v>2010</v>
      </c>
      <c r="E21" s="1797"/>
      <c r="F21" s="1797" t="s">
        <v>1155</v>
      </c>
      <c r="G21" s="1797" t="s">
        <v>1156</v>
      </c>
      <c r="H21" s="1798"/>
      <c r="I21" s="1798"/>
      <c r="J21" s="1797" t="s">
        <v>1155</v>
      </c>
      <c r="K21" s="1797" t="s">
        <v>1156</v>
      </c>
      <c r="L21" s="610"/>
      <c r="M21" s="610"/>
      <c r="N21" s="610"/>
      <c r="O21" s="610"/>
      <c r="P21" s="838"/>
    </row>
    <row r="22" spans="1:16">
      <c r="B22" s="837"/>
      <c r="C22" s="612"/>
      <c r="D22" s="610" t="s">
        <v>125</v>
      </c>
      <c r="E22" s="1147" t="s">
        <v>2006</v>
      </c>
      <c r="F22" s="613">
        <v>32</v>
      </c>
      <c r="G22" s="613">
        <v>83</v>
      </c>
      <c r="H22" s="610"/>
      <c r="I22" s="610" t="str">
        <f>Preferences.moneyunits&amp;"/"&amp;Preferences.EnergyUnits</f>
        <v>£m/TWh</v>
      </c>
      <c r="J22" s="1140">
        <f>(F22*(GBP/(Constants.GCV.Coal*1000)))*(Price2009)</f>
        <v>4.5424816073855068</v>
      </c>
      <c r="K22" s="1140">
        <f>(G22*(GBP/(Constants.GCV.Coal*1000)))*(Price2009)</f>
        <v>11.782061669156159</v>
      </c>
      <c r="L22" s="610"/>
      <c r="M22" s="610"/>
      <c r="N22" s="610"/>
      <c r="O22" s="610"/>
      <c r="P22" s="838"/>
    </row>
    <row r="23" spans="1:16">
      <c r="B23" s="1793"/>
      <c r="C23" s="1793"/>
      <c r="D23" s="1793" t="s">
        <v>186</v>
      </c>
      <c r="E23" s="1794" t="s">
        <v>2007</v>
      </c>
      <c r="F23" s="1795">
        <v>60</v>
      </c>
      <c r="G23" s="1795">
        <v>153</v>
      </c>
      <c r="H23" s="1793"/>
      <c r="I23" s="610" t="str">
        <f>Preferences.moneyunits&amp;"/"&amp;Preferences.EnergyUnits</f>
        <v>£m/TWh</v>
      </c>
      <c r="J23" s="1802">
        <f>(F23*(USD2009_/Unit.boe))*(Price2009)</f>
        <v>23.703076768209044</v>
      </c>
      <c r="K23" s="1802">
        <f>(G23*(USD2009_/Unit.boe))*(Price2009)</f>
        <v>60.442845758933061</v>
      </c>
      <c r="L23" s="1793"/>
      <c r="M23" s="1793"/>
      <c r="N23" s="1793"/>
      <c r="O23" s="1793"/>
      <c r="P23" s="1793"/>
    </row>
    <row r="24" spans="1:16">
      <c r="B24" s="1793"/>
      <c r="C24" s="1793"/>
      <c r="D24" s="933" t="s">
        <v>14</v>
      </c>
      <c r="E24" s="1640" t="s">
        <v>2008</v>
      </c>
      <c r="F24" s="1411">
        <v>35</v>
      </c>
      <c r="G24" s="1411">
        <v>121</v>
      </c>
      <c r="H24" s="933"/>
      <c r="I24" s="933" t="str">
        <f>Preferences.moneyunits&amp;"/"&amp;Preferences.EnergyUnits</f>
        <v>£m/TWh</v>
      </c>
      <c r="J24" s="1141">
        <f>((F24/100)*(GBP/Unit.therm))*(Price2009)</f>
        <v>12.290626819799765</v>
      </c>
      <c r="K24" s="1141">
        <f>((G24/100)*(GBP/Unit.therm))*(Price2009)</f>
        <v>42.490452719879187</v>
      </c>
      <c r="L24" s="1793"/>
      <c r="M24" s="1793"/>
      <c r="N24" s="1793"/>
      <c r="O24" s="1793"/>
      <c r="P24" s="1793"/>
    </row>
    <row r="25" spans="1:16">
      <c r="B25" s="1793"/>
      <c r="C25" s="1793"/>
      <c r="D25" s="1908" t="s">
        <v>2102</v>
      </c>
      <c r="E25" s="1793"/>
      <c r="F25" s="1793"/>
      <c r="G25" s="1793"/>
      <c r="H25" s="1793"/>
      <c r="I25" s="1793"/>
      <c r="J25" s="1793"/>
      <c r="K25" s="1793"/>
      <c r="L25" s="1793"/>
      <c r="M25" s="1793"/>
      <c r="N25" s="1793"/>
      <c r="O25" s="1793"/>
      <c r="P25" s="1793"/>
    </row>
    <row r="26" spans="1:16" s="1821" customFormat="1">
      <c r="B26" s="1793"/>
      <c r="C26" s="1793"/>
      <c r="D26" s="1793"/>
      <c r="E26" s="1793"/>
      <c r="F26" s="1793"/>
      <c r="G26" s="1793"/>
      <c r="H26" s="1793"/>
      <c r="I26" s="1793"/>
      <c r="J26" s="1793"/>
      <c r="K26" s="1793"/>
      <c r="L26" s="1793"/>
      <c r="M26" s="1793"/>
      <c r="N26" s="1793"/>
      <c r="O26" s="1793"/>
      <c r="P26" s="1793"/>
    </row>
    <row r="27" spans="1:16">
      <c r="B27" s="1793"/>
      <c r="C27" s="1793"/>
      <c r="D27" s="1793" t="s">
        <v>2011</v>
      </c>
      <c r="E27" s="1799" t="s">
        <v>2003</v>
      </c>
      <c r="F27" s="1793"/>
      <c r="G27" s="1793"/>
      <c r="H27" s="1793"/>
      <c r="I27" s="1793"/>
      <c r="J27" s="1793"/>
      <c r="K27" s="1793"/>
      <c r="L27" s="1793"/>
      <c r="M27" s="1793"/>
      <c r="N27" s="1793"/>
      <c r="O27" s="1793"/>
      <c r="P27" s="1793"/>
    </row>
    <row r="28" spans="1:16">
      <c r="B28" s="1793"/>
      <c r="C28" s="1793"/>
      <c r="D28" s="1793"/>
      <c r="E28" s="1793"/>
      <c r="F28" s="1793"/>
      <c r="G28" s="1793"/>
      <c r="H28" s="1793"/>
      <c r="I28" s="1793"/>
      <c r="J28" s="1793"/>
      <c r="K28" s="1793"/>
      <c r="L28" s="1793"/>
      <c r="M28" s="1793"/>
      <c r="N28" s="1793"/>
      <c r="O28" s="1793"/>
      <c r="P28" s="1793"/>
    </row>
    <row r="29" spans="1:16" s="1116" customFormat="1"/>
    <row r="30" spans="1:16" ht="15">
      <c r="B30" s="575" t="s">
        <v>615</v>
      </c>
    </row>
    <row r="31" spans="1:16">
      <c r="B31" s="530">
        <v>1</v>
      </c>
      <c r="C31" s="1790" t="s">
        <v>2017</v>
      </c>
    </row>
    <row r="32" spans="1:16">
      <c r="B32" s="530">
        <v>2</v>
      </c>
      <c r="C32" s="1790" t="s">
        <v>2009</v>
      </c>
    </row>
    <row r="34" spans="1:16">
      <c r="B34" s="530">
        <v>1</v>
      </c>
      <c r="C34" s="530" t="s">
        <v>2018</v>
      </c>
    </row>
    <row r="35" spans="1:16">
      <c r="C35" s="1790" t="s">
        <v>1155</v>
      </c>
      <c r="F35" s="20" t="s">
        <v>576</v>
      </c>
      <c r="G35" s="20" t="s">
        <v>577</v>
      </c>
      <c r="H35" s="20" t="s">
        <v>604</v>
      </c>
      <c r="I35" s="20" t="s">
        <v>605</v>
      </c>
      <c r="J35" s="20" t="s">
        <v>606</v>
      </c>
      <c r="K35" s="20" t="s">
        <v>607</v>
      </c>
      <c r="L35" s="20" t="s">
        <v>608</v>
      </c>
      <c r="M35" s="20" t="s">
        <v>609</v>
      </c>
      <c r="N35" s="20" t="s">
        <v>610</v>
      </c>
      <c r="O35" s="20" t="s">
        <v>611</v>
      </c>
    </row>
    <row r="36" spans="1:16">
      <c r="C36" s="1790" t="s">
        <v>125</v>
      </c>
      <c r="E36" s="1790" t="str">
        <f>Preferences.moneyunits</f>
        <v>£m</v>
      </c>
      <c r="F36" s="1639" t="e">
        <f ca="1">-$J22*F9</f>
        <v>#REF!</v>
      </c>
      <c r="G36" s="1639" t="e">
        <f t="shared" ref="G36:O36" ca="1" si="2">-$J22*G9</f>
        <v>#REF!</v>
      </c>
      <c r="H36" s="1639" t="e">
        <f t="shared" ca="1" si="2"/>
        <v>#REF!</v>
      </c>
      <c r="I36" s="1639" t="e">
        <f t="shared" ca="1" si="2"/>
        <v>#REF!</v>
      </c>
      <c r="J36" s="1639" t="e">
        <f t="shared" ca="1" si="2"/>
        <v>#REF!</v>
      </c>
      <c r="K36" s="1639" t="e">
        <f t="shared" ca="1" si="2"/>
        <v>#REF!</v>
      </c>
      <c r="L36" s="1639" t="e">
        <f t="shared" ca="1" si="2"/>
        <v>#REF!</v>
      </c>
      <c r="M36" s="1639" t="e">
        <f t="shared" ca="1" si="2"/>
        <v>#REF!</v>
      </c>
      <c r="N36" s="1639" t="e">
        <f t="shared" ca="1" si="2"/>
        <v>#REF!</v>
      </c>
      <c r="O36" s="1639">
        <f t="shared" ca="1" si="2"/>
        <v>1526.9790632306481</v>
      </c>
    </row>
    <row r="37" spans="1:16">
      <c r="C37" s="1790" t="s">
        <v>186</v>
      </c>
      <c r="E37" s="1790" t="str">
        <f>Preferences.moneyunits</f>
        <v>£m</v>
      </c>
      <c r="F37" s="1639" t="e">
        <f t="shared" ref="F37:O37" ca="1" si="3">-$J23*F10</f>
        <v>#REF!</v>
      </c>
      <c r="G37" s="1639" t="e">
        <f t="shared" ca="1" si="3"/>
        <v>#REF!</v>
      </c>
      <c r="H37" s="1639" t="e">
        <f t="shared" ca="1" si="3"/>
        <v>#REF!</v>
      </c>
      <c r="I37" s="1639" t="e">
        <f t="shared" ca="1" si="3"/>
        <v>#REF!</v>
      </c>
      <c r="J37" s="1639" t="e">
        <f t="shared" ca="1" si="3"/>
        <v>#REF!</v>
      </c>
      <c r="K37" s="1639" t="e">
        <f t="shared" ca="1" si="3"/>
        <v>#REF!</v>
      </c>
      <c r="L37" s="1639" t="e">
        <f t="shared" ca="1" si="3"/>
        <v>#REF!</v>
      </c>
      <c r="M37" s="1639" t="e">
        <f t="shared" ca="1" si="3"/>
        <v>#REF!</v>
      </c>
      <c r="N37" s="1639" t="e">
        <f t="shared" ca="1" si="3"/>
        <v>#REF!</v>
      </c>
      <c r="O37" s="1639">
        <f t="shared" ca="1" si="3"/>
        <v>-2552.9010103650548</v>
      </c>
    </row>
    <row r="38" spans="1:16">
      <c r="C38" s="24" t="s">
        <v>14</v>
      </c>
      <c r="E38" s="1790" t="str">
        <f>Preferences.moneyunits</f>
        <v>£m</v>
      </c>
      <c r="F38" s="1639" t="e">
        <f t="shared" ref="F38:O38" ca="1" si="4">-$J24*F11</f>
        <v>#REF!</v>
      </c>
      <c r="G38" s="1639" t="e">
        <f t="shared" ca="1" si="4"/>
        <v>#REF!</v>
      </c>
      <c r="H38" s="1639" t="e">
        <f t="shared" ca="1" si="4"/>
        <v>#REF!</v>
      </c>
      <c r="I38" s="1639" t="e">
        <f t="shared" ca="1" si="4"/>
        <v>#REF!</v>
      </c>
      <c r="J38" s="1639" t="e">
        <f t="shared" ca="1" si="4"/>
        <v>#REF!</v>
      </c>
      <c r="K38" s="1639" t="e">
        <f t="shared" ca="1" si="4"/>
        <v>#REF!</v>
      </c>
      <c r="L38" s="1639" t="e">
        <f t="shared" ca="1" si="4"/>
        <v>#REF!</v>
      </c>
      <c r="M38" s="1639" t="e">
        <f t="shared" ca="1" si="4"/>
        <v>#REF!</v>
      </c>
      <c r="N38" s="1639" t="e">
        <f t="shared" ca="1" si="4"/>
        <v>#REF!</v>
      </c>
      <c r="O38" s="1639">
        <f t="shared" ca="1" si="4"/>
        <v>-1010.689484755434</v>
      </c>
    </row>
    <row r="39" spans="1:16">
      <c r="C39" s="24" t="s">
        <v>132</v>
      </c>
      <c r="E39" s="1790" t="str">
        <f>Preferences.moneyunits</f>
        <v>£m</v>
      </c>
      <c r="F39" s="1639" t="e">
        <f t="shared" ref="F39:O39" ca="1" si="5">SUM(F36:F38)</f>
        <v>#REF!</v>
      </c>
      <c r="G39" s="1639" t="e">
        <f t="shared" ca="1" si="5"/>
        <v>#REF!</v>
      </c>
      <c r="H39" s="1639" t="e">
        <f t="shared" ca="1" si="5"/>
        <v>#REF!</v>
      </c>
      <c r="I39" s="1639" t="e">
        <f t="shared" ca="1" si="5"/>
        <v>#REF!</v>
      </c>
      <c r="J39" s="1639" t="e">
        <f t="shared" ca="1" si="5"/>
        <v>#REF!</v>
      </c>
      <c r="K39" s="1639" t="e">
        <f t="shared" ca="1" si="5"/>
        <v>#REF!</v>
      </c>
      <c r="L39" s="1639" t="e">
        <f t="shared" ca="1" si="5"/>
        <v>#REF!</v>
      </c>
      <c r="M39" s="1639" t="e">
        <f t="shared" ca="1" si="5"/>
        <v>#REF!</v>
      </c>
      <c r="N39" s="1639" t="e">
        <f t="shared" ca="1" si="5"/>
        <v>#REF!</v>
      </c>
      <c r="O39" s="1639">
        <f t="shared" ca="1" si="5"/>
        <v>-2036.6114318898408</v>
      </c>
    </row>
    <row r="40" spans="1:16">
      <c r="C40" s="24"/>
      <c r="F40" s="577"/>
      <c r="G40" s="577"/>
      <c r="H40" s="577"/>
      <c r="I40" s="577"/>
      <c r="J40" s="577"/>
      <c r="K40" s="577"/>
      <c r="L40" s="577"/>
      <c r="M40" s="577"/>
      <c r="N40" s="577"/>
      <c r="O40" s="577"/>
    </row>
    <row r="41" spans="1:16">
      <c r="C41" s="1790" t="s">
        <v>1156</v>
      </c>
      <c r="F41" s="20" t="s">
        <v>576</v>
      </c>
      <c r="G41" s="20" t="s">
        <v>577</v>
      </c>
      <c r="H41" s="20" t="s">
        <v>604</v>
      </c>
      <c r="I41" s="20" t="s">
        <v>605</v>
      </c>
      <c r="J41" s="20" t="s">
        <v>606</v>
      </c>
      <c r="K41" s="20" t="s">
        <v>607</v>
      </c>
      <c r="L41" s="20" t="s">
        <v>608</v>
      </c>
      <c r="M41" s="20" t="s">
        <v>609</v>
      </c>
      <c r="N41" s="20" t="s">
        <v>610</v>
      </c>
      <c r="O41" s="20" t="s">
        <v>611</v>
      </c>
    </row>
    <row r="42" spans="1:16">
      <c r="C42" s="1790" t="s">
        <v>125</v>
      </c>
      <c r="E42" s="1790" t="str">
        <f>Preferences.moneyunits</f>
        <v>£m</v>
      </c>
      <c r="F42" s="1639" t="e">
        <f ca="1">-F9*$K22</f>
        <v>#REF!</v>
      </c>
      <c r="G42" s="1639" t="e">
        <f t="shared" ref="G42:O42" ca="1" si="6">-G9*$K22</f>
        <v>#REF!</v>
      </c>
      <c r="H42" s="1639" t="e">
        <f t="shared" ca="1" si="6"/>
        <v>#REF!</v>
      </c>
      <c r="I42" s="1639" t="e">
        <f t="shared" ca="1" si="6"/>
        <v>#REF!</v>
      </c>
      <c r="J42" s="1639" t="e">
        <f t="shared" ca="1" si="6"/>
        <v>#REF!</v>
      </c>
      <c r="K42" s="1639" t="e">
        <f t="shared" ca="1" si="6"/>
        <v>#REF!</v>
      </c>
      <c r="L42" s="1639" t="e">
        <f t="shared" ca="1" si="6"/>
        <v>#REF!</v>
      </c>
      <c r="M42" s="1639" t="e">
        <f t="shared" ca="1" si="6"/>
        <v>#REF!</v>
      </c>
      <c r="N42" s="1639" t="e">
        <f t="shared" ca="1" si="6"/>
        <v>#REF!</v>
      </c>
      <c r="O42" s="1639">
        <f t="shared" ca="1" si="6"/>
        <v>3960.6019452544938</v>
      </c>
    </row>
    <row r="43" spans="1:16">
      <c r="C43" s="1790" t="s">
        <v>186</v>
      </c>
      <c r="E43" s="1790" t="str">
        <f>Preferences.moneyunits</f>
        <v>£m</v>
      </c>
      <c r="F43" s="1639" t="e">
        <f ca="1">-F10*$K23</f>
        <v>#REF!</v>
      </c>
      <c r="G43" s="1639" t="e">
        <f t="shared" ref="G43:O43" ca="1" si="7">-G10*$K23</f>
        <v>#REF!</v>
      </c>
      <c r="H43" s="1639" t="e">
        <f t="shared" ca="1" si="7"/>
        <v>#REF!</v>
      </c>
      <c r="I43" s="1639" t="e">
        <f t="shared" ca="1" si="7"/>
        <v>#REF!</v>
      </c>
      <c r="J43" s="1639" t="e">
        <f t="shared" ca="1" si="7"/>
        <v>#REF!</v>
      </c>
      <c r="K43" s="1639" t="e">
        <f t="shared" ca="1" si="7"/>
        <v>#REF!</v>
      </c>
      <c r="L43" s="1639" t="e">
        <f t="shared" ca="1" si="7"/>
        <v>#REF!</v>
      </c>
      <c r="M43" s="1639" t="e">
        <f t="shared" ca="1" si="7"/>
        <v>#REF!</v>
      </c>
      <c r="N43" s="1639" t="e">
        <f t="shared" ca="1" si="7"/>
        <v>#REF!</v>
      </c>
      <c r="O43" s="1639">
        <f t="shared" ca="1" si="7"/>
        <v>-6509.8975764308898</v>
      </c>
    </row>
    <row r="44" spans="1:16">
      <c r="C44" s="24" t="s">
        <v>14</v>
      </c>
      <c r="E44" s="1790" t="str">
        <f>Preferences.moneyunits</f>
        <v>£m</v>
      </c>
      <c r="F44" s="1639" t="e">
        <f ca="1">-F11*$K24</f>
        <v>#REF!</v>
      </c>
      <c r="G44" s="1639" t="e">
        <f t="shared" ref="G44:O44" ca="1" si="8">-G11*$K24</f>
        <v>#REF!</v>
      </c>
      <c r="H44" s="1639" t="e">
        <f t="shared" ca="1" si="8"/>
        <v>#REF!</v>
      </c>
      <c r="I44" s="1639" t="e">
        <f t="shared" ca="1" si="8"/>
        <v>#REF!</v>
      </c>
      <c r="J44" s="1639" t="e">
        <f t="shared" ca="1" si="8"/>
        <v>#REF!</v>
      </c>
      <c r="K44" s="1639" t="e">
        <f t="shared" ca="1" si="8"/>
        <v>#REF!</v>
      </c>
      <c r="L44" s="1639" t="e">
        <f t="shared" ca="1" si="8"/>
        <v>#REF!</v>
      </c>
      <c r="M44" s="1639" t="e">
        <f t="shared" ca="1" si="8"/>
        <v>#REF!</v>
      </c>
      <c r="N44" s="1639" t="e">
        <f t="shared" ca="1" si="8"/>
        <v>#REF!</v>
      </c>
      <c r="O44" s="1639">
        <f t="shared" ca="1" si="8"/>
        <v>-3494.0979330116434</v>
      </c>
    </row>
    <row r="45" spans="1:16">
      <c r="C45" s="24" t="s">
        <v>132</v>
      </c>
      <c r="E45" s="1790" t="str">
        <f>Preferences.moneyunits</f>
        <v>£m</v>
      </c>
      <c r="F45" s="1639" t="e">
        <f t="shared" ref="F45:O45" ca="1" si="9">SUM(F42:F44)</f>
        <v>#REF!</v>
      </c>
      <c r="G45" s="1639" t="e">
        <f t="shared" ca="1" si="9"/>
        <v>#REF!</v>
      </c>
      <c r="H45" s="1639" t="e">
        <f t="shared" ca="1" si="9"/>
        <v>#REF!</v>
      </c>
      <c r="I45" s="1639" t="e">
        <f t="shared" ca="1" si="9"/>
        <v>#REF!</v>
      </c>
      <c r="J45" s="1639" t="e">
        <f t="shared" ca="1" si="9"/>
        <v>#REF!</v>
      </c>
      <c r="K45" s="1639" t="e">
        <f t="shared" ca="1" si="9"/>
        <v>#REF!</v>
      </c>
      <c r="L45" s="1639" t="e">
        <f t="shared" ca="1" si="9"/>
        <v>#REF!</v>
      </c>
      <c r="M45" s="1639" t="e">
        <f t="shared" ca="1" si="9"/>
        <v>#REF!</v>
      </c>
      <c r="N45" s="1639" t="e">
        <f t="shared" ca="1" si="9"/>
        <v>#REF!</v>
      </c>
      <c r="O45" s="1639">
        <f t="shared" ca="1" si="9"/>
        <v>-6043.3935641880398</v>
      </c>
    </row>
    <row r="46" spans="1:16">
      <c r="D46" s="1790" t="s">
        <v>2015</v>
      </c>
      <c r="F46" s="563"/>
    </row>
    <row r="48" spans="1:16" ht="22">
      <c r="A48" s="851"/>
      <c r="B48" s="899" t="s">
        <v>572</v>
      </c>
      <c r="C48" s="863"/>
      <c r="D48" s="863"/>
      <c r="E48" s="863"/>
      <c r="F48" s="863"/>
      <c r="G48" s="863"/>
      <c r="H48" s="863"/>
      <c r="I48" s="863"/>
      <c r="J48" s="863"/>
      <c r="K48" s="863"/>
      <c r="L48" s="863"/>
      <c r="M48" s="863"/>
      <c r="N48" s="863"/>
      <c r="O48" s="863"/>
      <c r="P48" s="865"/>
    </row>
    <row r="49" spans="1:16">
      <c r="B49" s="852"/>
      <c r="C49" s="854"/>
      <c r="D49" s="854"/>
      <c r="E49" s="854"/>
      <c r="F49" s="854"/>
      <c r="G49" s="854"/>
      <c r="H49" s="854"/>
      <c r="I49" s="854"/>
      <c r="J49" s="854"/>
      <c r="K49" s="854"/>
      <c r="L49" s="854"/>
      <c r="M49" s="854"/>
      <c r="N49" s="854"/>
      <c r="O49" s="854"/>
      <c r="P49" s="856"/>
    </row>
    <row r="50" spans="1:16">
      <c r="B50" s="852"/>
      <c r="C50" s="866" t="s">
        <v>641</v>
      </c>
      <c r="D50" s="854"/>
      <c r="E50" s="855"/>
      <c r="F50" s="854"/>
      <c r="G50" s="855"/>
      <c r="H50" s="854"/>
      <c r="I50" s="854"/>
      <c r="J50" s="854"/>
      <c r="K50" s="854"/>
      <c r="L50" s="854"/>
      <c r="M50" s="854"/>
      <c r="N50" s="854"/>
      <c r="O50" s="855" t="str">
        <f>Preferences.EnergyUnits</f>
        <v>TWh</v>
      </c>
      <c r="P50" s="856"/>
    </row>
    <row r="51" spans="1:16" ht="6" customHeight="1">
      <c r="B51" s="852"/>
      <c r="C51" s="854"/>
      <c r="D51" s="854"/>
      <c r="E51" s="854"/>
      <c r="F51" s="854"/>
      <c r="G51" s="854"/>
      <c r="H51" s="854"/>
      <c r="I51" s="854"/>
      <c r="J51" s="854"/>
      <c r="K51" s="854"/>
      <c r="L51" s="854"/>
      <c r="M51" s="854"/>
      <c r="N51" s="854"/>
      <c r="O51" s="854"/>
      <c r="P51" s="856"/>
    </row>
    <row r="52" spans="1:16" ht="15">
      <c r="A52" s="3"/>
      <c r="B52" s="857"/>
      <c r="C52" s="868" t="s">
        <v>72</v>
      </c>
      <c r="D52" s="868" t="s">
        <v>399</v>
      </c>
      <c r="E52" s="868" t="s">
        <v>421</v>
      </c>
      <c r="F52" s="868" t="s">
        <v>576</v>
      </c>
      <c r="G52" s="868" t="s">
        <v>577</v>
      </c>
      <c r="H52" s="868" t="s">
        <v>604</v>
      </c>
      <c r="I52" s="868" t="s">
        <v>605</v>
      </c>
      <c r="J52" s="868" t="s">
        <v>606</v>
      </c>
      <c r="K52" s="868" t="s">
        <v>607</v>
      </c>
      <c r="L52" s="868" t="s">
        <v>608</v>
      </c>
      <c r="M52" s="868" t="s">
        <v>609</v>
      </c>
      <c r="N52" s="868" t="s">
        <v>610</v>
      </c>
      <c r="O52" s="868" t="s">
        <v>611</v>
      </c>
      <c r="P52" s="856"/>
    </row>
    <row r="53" spans="1:16" ht="15">
      <c r="A53" s="3"/>
      <c r="B53" s="857"/>
      <c r="C53" s="546"/>
      <c r="D53" s="546"/>
      <c r="E53" s="546"/>
      <c r="F53" s="652"/>
      <c r="G53" s="652"/>
      <c r="H53" s="652"/>
      <c r="I53" s="652"/>
      <c r="J53" s="652"/>
      <c r="K53" s="652"/>
      <c r="L53" s="652"/>
      <c r="M53" s="652"/>
      <c r="N53" s="652"/>
      <c r="O53" s="652"/>
      <c r="P53" s="856"/>
    </row>
    <row r="54" spans="1:16" ht="15">
      <c r="A54" s="3"/>
      <c r="B54" s="857"/>
      <c r="C54" s="546" t="s">
        <v>132</v>
      </c>
      <c r="D54" s="546"/>
      <c r="E54" s="546"/>
      <c r="F54" s="1078">
        <f>SUBTOTAL(109,XVI.b.Outputs[2007])</f>
        <v>0</v>
      </c>
      <c r="G54" s="1078">
        <f>SUBTOTAL(109,XVI.b.Outputs[2010])</f>
        <v>0</v>
      </c>
      <c r="H54" s="1078">
        <f>SUBTOTAL(109,XVI.b.Outputs[2015])</f>
        <v>0</v>
      </c>
      <c r="I54" s="1078">
        <f>SUBTOTAL(109,XVI.b.Outputs[2020])</f>
        <v>0</v>
      </c>
      <c r="J54" s="1078">
        <f>SUBTOTAL(109,XVI.b.Outputs[2025])</f>
        <v>0</v>
      </c>
      <c r="K54" s="1078">
        <f>SUBTOTAL(109,XVI.b.Outputs[2030])</f>
        <v>0</v>
      </c>
      <c r="L54" s="1078">
        <f>SUBTOTAL(109,XVI.b.Outputs[2035])</f>
        <v>0</v>
      </c>
      <c r="M54" s="1078">
        <f>SUBTOTAL(109,XVI.b.Outputs[2040])</f>
        <v>0</v>
      </c>
      <c r="N54" s="1078">
        <f>SUBTOTAL(109,XVI.b.Outputs[2045])</f>
        <v>0</v>
      </c>
      <c r="O54" s="1078">
        <f>SUBTOTAL(109,XVI.b.Outputs[2050])</f>
        <v>0</v>
      </c>
      <c r="P54" s="856"/>
    </row>
    <row r="55" spans="1:16" ht="15">
      <c r="A55" s="3"/>
      <c r="B55" s="858"/>
      <c r="C55" s="927"/>
      <c r="D55" s="928"/>
      <c r="E55" s="928"/>
      <c r="F55" s="928"/>
      <c r="G55" s="928"/>
      <c r="H55" s="928"/>
      <c r="I55" s="928"/>
      <c r="J55" s="928"/>
      <c r="K55" s="928"/>
      <c r="L55" s="928"/>
      <c r="M55" s="928"/>
      <c r="N55" s="928"/>
      <c r="O55" s="928"/>
      <c r="P55" s="861"/>
    </row>
    <row r="57" spans="1:16" ht="22">
      <c r="A57" s="851"/>
      <c r="B57" s="907" t="s">
        <v>690</v>
      </c>
      <c r="C57" s="872"/>
      <c r="D57" s="873"/>
      <c r="E57" s="873"/>
      <c r="F57" s="873"/>
      <c r="G57" s="873"/>
      <c r="H57" s="873"/>
      <c r="I57" s="873"/>
      <c r="J57" s="873"/>
      <c r="K57" s="873"/>
      <c r="L57" s="873"/>
      <c r="M57" s="873"/>
      <c r="N57" s="873"/>
      <c r="O57" s="873"/>
      <c r="P57" s="874"/>
    </row>
    <row r="58" spans="1:16">
      <c r="B58" s="880"/>
      <c r="C58" s="881"/>
      <c r="D58" s="881"/>
      <c r="E58" s="881"/>
      <c r="F58" s="881"/>
      <c r="G58" s="881"/>
      <c r="H58" s="881"/>
      <c r="I58" s="881"/>
      <c r="J58" s="881"/>
      <c r="K58" s="881"/>
      <c r="L58" s="881"/>
      <c r="M58" s="881"/>
      <c r="N58" s="881"/>
      <c r="O58" s="881"/>
      <c r="P58" s="882"/>
    </row>
    <row r="59" spans="1:16" ht="17">
      <c r="B59" s="883"/>
      <c r="C59" s="875" t="s">
        <v>829</v>
      </c>
      <c r="D59" s="876"/>
      <c r="E59" s="877"/>
      <c r="F59" s="876"/>
      <c r="G59" s="877"/>
      <c r="H59" s="876"/>
      <c r="I59" s="876"/>
      <c r="J59" s="876"/>
      <c r="K59" s="876"/>
      <c r="L59" s="876"/>
      <c r="M59" s="876"/>
      <c r="N59" s="876"/>
      <c r="O59" s="877" t="s">
        <v>832</v>
      </c>
      <c r="P59" s="884"/>
    </row>
    <row r="60" spans="1:16" ht="5.25" customHeight="1">
      <c r="B60" s="883"/>
      <c r="C60" s="876"/>
      <c r="D60" s="876"/>
      <c r="E60" s="876"/>
      <c r="F60" s="876"/>
      <c r="G60" s="876"/>
      <c r="H60" s="876"/>
      <c r="I60" s="876"/>
      <c r="J60" s="876"/>
      <c r="K60" s="876"/>
      <c r="L60" s="876"/>
      <c r="M60" s="876"/>
      <c r="N60" s="876"/>
      <c r="O60" s="876"/>
      <c r="P60" s="884"/>
    </row>
    <row r="61" spans="1:16" ht="15">
      <c r="B61" s="885"/>
      <c r="C61" s="916" t="s">
        <v>828</v>
      </c>
      <c r="D61" s="916" t="s">
        <v>798</v>
      </c>
      <c r="E61" s="916" t="s">
        <v>421</v>
      </c>
      <c r="F61" s="916" t="s">
        <v>576</v>
      </c>
      <c r="G61" s="916" t="s">
        <v>577</v>
      </c>
      <c r="H61" s="916" t="s">
        <v>604</v>
      </c>
      <c r="I61" s="916" t="s">
        <v>605</v>
      </c>
      <c r="J61" s="916" t="s">
        <v>606</v>
      </c>
      <c r="K61" s="916" t="s">
        <v>607</v>
      </c>
      <c r="L61" s="916" t="s">
        <v>608</v>
      </c>
      <c r="M61" s="916" t="s">
        <v>609</v>
      </c>
      <c r="N61" s="916" t="s">
        <v>610</v>
      </c>
      <c r="O61" s="916" t="s">
        <v>611</v>
      </c>
      <c r="P61" s="884"/>
    </row>
    <row r="62" spans="1:16" ht="15">
      <c r="B62" s="885"/>
      <c r="C62" s="879"/>
      <c r="D62" s="888"/>
      <c r="E62" s="879"/>
      <c r="F62" s="890"/>
      <c r="G62" s="890"/>
      <c r="H62" s="890"/>
      <c r="I62" s="890"/>
      <c r="J62" s="890"/>
      <c r="K62" s="890"/>
      <c r="L62" s="890"/>
      <c r="M62" s="890"/>
      <c r="N62" s="890"/>
      <c r="O62" s="890"/>
      <c r="P62" s="884"/>
    </row>
    <row r="63" spans="1:16" ht="15">
      <c r="B63" s="885"/>
      <c r="C63" s="879" t="s">
        <v>132</v>
      </c>
      <c r="D63" s="879"/>
      <c r="E63" s="879"/>
      <c r="F63" s="925">
        <f>SUBTOTAL(109,XVI.b.Emissions[2007])</f>
        <v>0</v>
      </c>
      <c r="G63" s="925">
        <f>SUBTOTAL(109,XVI.b.Emissions[2010])</f>
        <v>0</v>
      </c>
      <c r="H63" s="925">
        <f>SUBTOTAL(109,XVI.b.Emissions[2015])</f>
        <v>0</v>
      </c>
      <c r="I63" s="925">
        <f>SUBTOTAL(109,XVI.b.Emissions[2020])</f>
        <v>0</v>
      </c>
      <c r="J63" s="925">
        <f>SUBTOTAL(109,XVI.b.Emissions[2025])</f>
        <v>0</v>
      </c>
      <c r="K63" s="925">
        <f>SUBTOTAL(109,XVI.b.Emissions[2030])</f>
        <v>0</v>
      </c>
      <c r="L63" s="925">
        <f>SUBTOTAL(109,XVI.b.Emissions[2035])</f>
        <v>0</v>
      </c>
      <c r="M63" s="925">
        <f>SUBTOTAL(109,XVI.b.Emissions[2040])</f>
        <v>0</v>
      </c>
      <c r="N63" s="925">
        <f>SUBTOTAL(109,XVI.b.Emissions[2045])</f>
        <v>0</v>
      </c>
      <c r="O63" s="925">
        <f>SUBTOTAL(109,XVI.b.Emissions[2050])</f>
        <v>0</v>
      </c>
      <c r="P63" s="884"/>
    </row>
    <row r="64" spans="1:16" ht="15">
      <c r="B64" s="885"/>
      <c r="C64" s="876"/>
      <c r="D64" s="876"/>
      <c r="E64" s="876"/>
      <c r="F64" s="876"/>
      <c r="G64" s="876"/>
      <c r="H64" s="876"/>
      <c r="I64" s="876"/>
      <c r="J64" s="876"/>
      <c r="K64" s="876"/>
      <c r="L64" s="876"/>
      <c r="M64" s="876"/>
      <c r="N64" s="876"/>
      <c r="O64" s="876"/>
      <c r="P64" s="884"/>
    </row>
    <row r="66" spans="2:22" ht="21.75" customHeight="1">
      <c r="B66" s="1577" t="s">
        <v>1561</v>
      </c>
      <c r="C66" s="1610"/>
      <c r="D66" s="1578"/>
      <c r="E66" s="1578"/>
      <c r="F66" s="1578"/>
      <c r="G66" s="1578"/>
      <c r="H66" s="1578"/>
      <c r="I66" s="1578"/>
      <c r="J66" s="1578"/>
      <c r="K66" s="1578"/>
      <c r="L66" s="1578"/>
      <c r="M66" s="1578"/>
      <c r="N66" s="1578"/>
      <c r="O66" s="1578"/>
      <c r="P66" s="1579"/>
      <c r="S66" s="1601"/>
      <c r="T66" s="1608"/>
      <c r="U66" s="1601"/>
      <c r="V66" s="1601"/>
    </row>
    <row r="67" spans="2:22">
      <c r="B67" s="1611"/>
      <c r="C67" s="1612"/>
      <c r="D67" s="1612"/>
      <c r="E67" s="1612"/>
      <c r="F67" s="1612"/>
      <c r="G67" s="1612"/>
      <c r="H67" s="1612"/>
      <c r="I67" s="1612"/>
      <c r="J67" s="1612"/>
      <c r="K67" s="1612"/>
      <c r="L67" s="1612"/>
      <c r="M67" s="1612"/>
      <c r="N67" s="1612"/>
      <c r="O67" s="1612"/>
      <c r="P67" s="1613"/>
      <c r="T67" s="532"/>
    </row>
    <row r="68" spans="2:22">
      <c r="B68" s="1580"/>
      <c r="C68" s="1614" t="s">
        <v>1566</v>
      </c>
      <c r="D68" s="1581"/>
      <c r="E68" s="1615"/>
      <c r="F68" s="1581"/>
      <c r="G68" s="1615"/>
      <c r="H68" s="1581"/>
      <c r="I68" s="1581"/>
      <c r="J68" s="1581"/>
      <c r="K68" s="1581"/>
      <c r="L68" s="1581"/>
      <c r="M68" s="1581"/>
      <c r="N68" s="1581"/>
      <c r="O68" s="1615"/>
      <c r="P68" s="1582"/>
      <c r="T68" s="532"/>
    </row>
    <row r="69" spans="2:22">
      <c r="B69" s="1580"/>
      <c r="C69" s="1581"/>
      <c r="D69" s="1581"/>
      <c r="E69" s="1581"/>
      <c r="F69" s="1581"/>
      <c r="G69" s="1581"/>
      <c r="H69" s="1581"/>
      <c r="I69" s="1581"/>
      <c r="J69" s="1581"/>
      <c r="K69" s="1581"/>
      <c r="L69" s="1581"/>
      <c r="M69" s="1581"/>
      <c r="N69" s="1581"/>
      <c r="O69" s="1581"/>
      <c r="P69" s="1582"/>
      <c r="T69" s="532"/>
    </row>
    <row r="70" spans="2:22" ht="15">
      <c r="B70" s="1583"/>
      <c r="C70" s="1584" t="s">
        <v>72</v>
      </c>
      <c r="D70" s="1584" t="s">
        <v>1562</v>
      </c>
      <c r="E70" s="1584" t="s">
        <v>421</v>
      </c>
      <c r="F70" s="1584" t="s">
        <v>576</v>
      </c>
      <c r="G70" s="1584" t="s">
        <v>577</v>
      </c>
      <c r="H70" s="1584" t="s">
        <v>604</v>
      </c>
      <c r="I70" s="1584" t="s">
        <v>605</v>
      </c>
      <c r="J70" s="1584" t="s">
        <v>606</v>
      </c>
      <c r="K70" s="1584" t="s">
        <v>607</v>
      </c>
      <c r="L70" s="1584" t="s">
        <v>608</v>
      </c>
      <c r="M70" s="1584" t="s">
        <v>609</v>
      </c>
      <c r="N70" s="1584" t="s">
        <v>610</v>
      </c>
      <c r="O70" s="1584" t="s">
        <v>611</v>
      </c>
      <c r="P70" s="1582"/>
    </row>
    <row r="71" spans="2:22" ht="15">
      <c r="B71" s="1583"/>
      <c r="C71" s="1585"/>
      <c r="D71" s="1586"/>
      <c r="E71" s="1586"/>
      <c r="F71" s="1618"/>
      <c r="G71" s="1618"/>
      <c r="H71" s="1618"/>
      <c r="I71" s="1618"/>
      <c r="J71" s="1618"/>
      <c r="K71" s="1618"/>
      <c r="L71" s="1618"/>
      <c r="M71" s="1618"/>
      <c r="N71" s="1618"/>
      <c r="O71" s="1618"/>
      <c r="P71" s="1582"/>
    </row>
    <row r="72" spans="2:22" ht="15">
      <c r="B72" s="1619"/>
      <c r="C72" s="1588"/>
      <c r="D72" s="1588"/>
      <c r="E72" s="1588"/>
      <c r="F72" s="1588"/>
      <c r="G72" s="1588"/>
      <c r="H72" s="1588"/>
      <c r="I72" s="1588"/>
      <c r="J72" s="1588"/>
      <c r="K72" s="1588"/>
      <c r="L72" s="1588"/>
      <c r="M72" s="1588"/>
      <c r="N72" s="1588"/>
      <c r="O72" s="1588"/>
      <c r="P72" s="1616"/>
    </row>
    <row r="73" spans="2:22" s="1764" customFormat="1"/>
    <row r="74" spans="2:22" s="1764" customFormat="1" ht="22.5" customHeight="1">
      <c r="B74" s="1577" t="s">
        <v>1998</v>
      </c>
      <c r="C74" s="1578"/>
      <c r="D74" s="1578"/>
      <c r="E74" s="1578"/>
      <c r="F74" s="1578"/>
      <c r="G74" s="1578"/>
      <c r="H74" s="1578"/>
      <c r="I74" s="1578"/>
      <c r="J74" s="1578"/>
      <c r="K74" s="1578"/>
      <c r="L74" s="1578"/>
      <c r="M74" s="1578"/>
      <c r="N74" s="1578"/>
      <c r="O74" s="1578"/>
      <c r="P74" s="1579"/>
    </row>
    <row r="75" spans="2:22" s="1764" customFormat="1">
      <c r="B75" s="1580"/>
      <c r="C75" s="1581"/>
      <c r="D75" s="1581"/>
      <c r="E75" s="1581"/>
      <c r="F75" s="1581"/>
      <c r="G75" s="1581"/>
      <c r="H75" s="1581"/>
      <c r="I75" s="1581"/>
      <c r="J75" s="1581"/>
      <c r="K75" s="1581"/>
      <c r="L75" s="1581"/>
      <c r="M75" s="1581"/>
      <c r="N75" s="1581"/>
      <c r="O75" s="1581"/>
      <c r="P75" s="1582"/>
    </row>
    <row r="76" spans="2:22" s="1764" customFormat="1" ht="15.75" customHeight="1">
      <c r="B76" s="1580"/>
      <c r="C76" s="1781" t="s">
        <v>1999</v>
      </c>
      <c r="D76" s="1782"/>
      <c r="E76" s="1782"/>
      <c r="F76" s="1782"/>
      <c r="G76" s="1782"/>
      <c r="H76" s="1782"/>
      <c r="I76" s="1782"/>
      <c r="J76" s="1782"/>
      <c r="K76" s="1782"/>
      <c r="L76" s="1782"/>
      <c r="M76" s="1782"/>
      <c r="N76" s="1782"/>
      <c r="O76" s="1782"/>
      <c r="P76" s="1582"/>
    </row>
    <row r="77" spans="2:22" s="1764" customFormat="1" ht="5.25" customHeight="1">
      <c r="B77" s="1580"/>
      <c r="C77" s="1581"/>
      <c r="D77" s="1581"/>
      <c r="E77" s="1581"/>
      <c r="F77" s="1581"/>
      <c r="G77" s="1581"/>
      <c r="H77" s="1581"/>
      <c r="I77" s="1581"/>
      <c r="J77" s="1581"/>
      <c r="K77" s="1581"/>
      <c r="L77" s="1581"/>
      <c r="M77" s="1581"/>
      <c r="N77" s="1581"/>
      <c r="O77" s="1581"/>
      <c r="P77" s="1582"/>
    </row>
    <row r="78" spans="2:22" s="1764" customFormat="1" ht="15">
      <c r="B78" s="1583"/>
      <c r="C78" s="1584" t="s">
        <v>72</v>
      </c>
      <c r="D78" s="1584" t="s">
        <v>399</v>
      </c>
      <c r="E78" s="1584" t="s">
        <v>421</v>
      </c>
      <c r="F78" s="1584" t="s">
        <v>576</v>
      </c>
      <c r="G78" s="1584" t="s">
        <v>577</v>
      </c>
      <c r="H78" s="1584" t="s">
        <v>604</v>
      </c>
      <c r="I78" s="1584" t="s">
        <v>605</v>
      </c>
      <c r="J78" s="1584" t="s">
        <v>606</v>
      </c>
      <c r="K78" s="1584" t="s">
        <v>607</v>
      </c>
      <c r="L78" s="1584" t="s">
        <v>608</v>
      </c>
      <c r="M78" s="1584" t="s">
        <v>609</v>
      </c>
      <c r="N78" s="1584" t="s">
        <v>610</v>
      </c>
      <c r="O78" s="1584" t="s">
        <v>611</v>
      </c>
      <c r="P78" s="1783"/>
    </row>
    <row r="79" spans="2:22" s="1764" customFormat="1" ht="15">
      <c r="B79" s="1583"/>
      <c r="C79" s="1585" t="s">
        <v>1948</v>
      </c>
      <c r="D79" s="1586" t="str">
        <f>INDEX(CostVectors[Description], MATCH(C79, CostVectors[Code], 0))</f>
        <v>Low estimate of fuel costs</v>
      </c>
      <c r="E79" s="1809"/>
      <c r="F79" s="1810" t="e">
        <f t="shared" ref="F79:O79" ca="1" si="10">F39</f>
        <v>#REF!</v>
      </c>
      <c r="G79" s="1810" t="e">
        <f t="shared" ca="1" si="10"/>
        <v>#REF!</v>
      </c>
      <c r="H79" s="1810" t="e">
        <f t="shared" ca="1" si="10"/>
        <v>#REF!</v>
      </c>
      <c r="I79" s="1810" t="e">
        <f t="shared" ca="1" si="10"/>
        <v>#REF!</v>
      </c>
      <c r="J79" s="1810" t="e">
        <f t="shared" ca="1" si="10"/>
        <v>#REF!</v>
      </c>
      <c r="K79" s="1810" t="e">
        <f t="shared" ca="1" si="10"/>
        <v>#REF!</v>
      </c>
      <c r="L79" s="1810" t="e">
        <f t="shared" ca="1" si="10"/>
        <v>#REF!</v>
      </c>
      <c r="M79" s="1810" t="e">
        <f t="shared" ca="1" si="10"/>
        <v>#REF!</v>
      </c>
      <c r="N79" s="1810" t="e">
        <f t="shared" ca="1" si="10"/>
        <v>#REF!</v>
      </c>
      <c r="O79" s="1800">
        <f t="shared" ca="1" si="10"/>
        <v>-2036.6114318898408</v>
      </c>
      <c r="P79" s="1783"/>
    </row>
    <row r="80" spans="2:22" s="1764" customFormat="1">
      <c r="B80" s="1784"/>
      <c r="C80" s="1585" t="s">
        <v>1957</v>
      </c>
      <c r="D80" s="1586" t="str">
        <f>INDEX(CostVectors[Description], MATCH(C80, CostVectors[Code], 0))</f>
        <v>High estimate of fuel costs</v>
      </c>
      <c r="E80" s="1809"/>
      <c r="F80" s="1810" t="e">
        <f t="shared" ref="F80:O80" ca="1" si="11">F45</f>
        <v>#REF!</v>
      </c>
      <c r="G80" s="1810" t="e">
        <f t="shared" ca="1" si="11"/>
        <v>#REF!</v>
      </c>
      <c r="H80" s="1810" t="e">
        <f t="shared" ca="1" si="11"/>
        <v>#REF!</v>
      </c>
      <c r="I80" s="1810" t="e">
        <f t="shared" ca="1" si="11"/>
        <v>#REF!</v>
      </c>
      <c r="J80" s="1810" t="e">
        <f t="shared" ca="1" si="11"/>
        <v>#REF!</v>
      </c>
      <c r="K80" s="1810" t="e">
        <f t="shared" ca="1" si="11"/>
        <v>#REF!</v>
      </c>
      <c r="L80" s="1810" t="e">
        <f t="shared" ca="1" si="11"/>
        <v>#REF!</v>
      </c>
      <c r="M80" s="1810" t="e">
        <f t="shared" ca="1" si="11"/>
        <v>#REF!</v>
      </c>
      <c r="N80" s="1810" t="e">
        <f t="shared" ca="1" si="11"/>
        <v>#REF!</v>
      </c>
      <c r="O80" s="1800">
        <f t="shared" ca="1" si="11"/>
        <v>-6043.3935641880398</v>
      </c>
      <c r="P80" s="1785"/>
    </row>
    <row r="81" spans="2:16" s="1764" customFormat="1">
      <c r="B81" s="1786"/>
      <c r="C81" s="1588"/>
      <c r="D81" s="1588"/>
      <c r="E81" s="1588"/>
      <c r="F81" s="1588"/>
      <c r="G81" s="1588"/>
      <c r="H81" s="1588"/>
      <c r="I81" s="1588"/>
      <c r="J81" s="1588"/>
      <c r="K81" s="1588"/>
      <c r="L81" s="1588"/>
      <c r="M81" s="1588"/>
      <c r="N81" s="1588"/>
      <c r="O81" s="1588"/>
      <c r="P81" s="1787"/>
    </row>
    <row r="82" spans="2:16" s="121" customFormat="1"/>
  </sheetData>
  <hyperlinks>
    <hyperlink ref="E2" r:id="rId1"/>
    <hyperlink ref="E27" r:id="rId2"/>
  </hyperlinks>
  <pageMargins left="0.7" right="0.7" top="0.75" bottom="0.75" header="0.3" footer="0.3"/>
  <pageSetup paperSize="9" orientation="portrait" horizontalDpi="4294967292" verticalDpi="4294967292"/>
  <tableParts count="6">
    <tablePart r:id="rId3"/>
    <tablePart r:id="rId4"/>
    <tablePart r:id="rId5"/>
    <tablePart r:id="rId6"/>
    <tablePart r:id="rId7"/>
    <tablePart r:id="rId8"/>
  </tableParts>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enableFormatConditionsCalculation="0">
    <tabColor theme="9"/>
    <outlinePr summaryBelow="0"/>
    <pageSetUpPr autoPageBreaks="0"/>
  </sheetPr>
  <dimension ref="A1:V90"/>
  <sheetViews>
    <sheetView workbookViewId="0"/>
  </sheetViews>
  <sheetFormatPr baseColWidth="10" defaultColWidth="8.83203125" defaultRowHeight="13" x14ac:dyDescent="0"/>
  <cols>
    <col min="1" max="1" width="7.1640625" style="1900" customWidth="1"/>
    <col min="2" max="2" width="2.5" style="1900" customWidth="1"/>
    <col min="3" max="3" width="8.83203125" style="1900"/>
    <col min="4" max="4" width="28.1640625" style="1900" bestFit="1" customWidth="1"/>
    <col min="5" max="5" width="8.1640625" style="1900" customWidth="1"/>
    <col min="6" max="6" width="9.1640625" style="1900" customWidth="1"/>
    <col min="7" max="15" width="8.83203125" style="1900"/>
    <col min="16" max="16" width="2" style="1900" customWidth="1"/>
    <col min="17" max="16384" width="8.83203125" style="1900"/>
  </cols>
  <sheetData>
    <row r="1" spans="1:16" ht="20">
      <c r="A1" s="567" t="s">
        <v>979</v>
      </c>
      <c r="B1" s="567" t="str">
        <f>INDEX(Workstreams[Workstream], MATCH($A1, Workstreams[Code], 0))</f>
        <v>District heating</v>
      </c>
      <c r="C1" s="567"/>
    </row>
    <row r="2" spans="1:16" s="532" customFormat="1" ht="19.5" customHeight="1">
      <c r="A2" s="10" t="s">
        <v>981</v>
      </c>
      <c r="B2" s="10" t="str">
        <f>INDEX(Modules[Module], MATCH($A2, Modules[Code], 0))</f>
        <v>District heating effective demand</v>
      </c>
      <c r="C2" s="10"/>
      <c r="E2" s="532" t="s">
        <v>2079</v>
      </c>
    </row>
    <row r="4" spans="1:16" ht="22">
      <c r="A4" s="1874"/>
      <c r="B4" s="899" t="s">
        <v>571</v>
      </c>
      <c r="C4" s="863"/>
      <c r="D4" s="863"/>
      <c r="E4" s="863"/>
      <c r="F4" s="863"/>
      <c r="G4" s="863"/>
      <c r="H4" s="863"/>
      <c r="I4" s="863"/>
      <c r="J4" s="863"/>
      <c r="K4" s="863"/>
      <c r="L4" s="863"/>
      <c r="M4" s="863"/>
      <c r="N4" s="863"/>
      <c r="O4" s="863"/>
      <c r="P4" s="865"/>
    </row>
    <row r="5" spans="1:16">
      <c r="B5" s="852"/>
      <c r="C5" s="854"/>
      <c r="D5" s="854"/>
      <c r="E5" s="854"/>
      <c r="F5" s="854"/>
      <c r="G5" s="854"/>
      <c r="H5" s="854"/>
      <c r="I5" s="854"/>
      <c r="J5" s="854"/>
      <c r="K5" s="854"/>
      <c r="L5" s="854"/>
      <c r="M5" s="854"/>
      <c r="N5" s="854"/>
      <c r="O5" s="854"/>
      <c r="P5" s="856"/>
    </row>
    <row r="6" spans="1:16">
      <c r="B6" s="852"/>
      <c r="C6" s="866" t="s">
        <v>984</v>
      </c>
      <c r="D6" s="854"/>
      <c r="E6" s="855"/>
      <c r="F6" s="854"/>
      <c r="G6" s="854"/>
      <c r="H6" s="854"/>
      <c r="I6" s="854"/>
      <c r="J6" s="854"/>
      <c r="K6" s="854"/>
      <c r="L6" s="854"/>
      <c r="M6" s="854"/>
      <c r="N6" s="854"/>
      <c r="O6" s="855" t="str">
        <f>Preferences.EnergyUnits</f>
        <v>TWh</v>
      </c>
      <c r="P6" s="856"/>
    </row>
    <row r="7" spans="1:16" ht="6" customHeight="1">
      <c r="B7" s="852"/>
      <c r="C7" s="853"/>
      <c r="D7" s="854"/>
      <c r="E7" s="855"/>
      <c r="F7" s="854"/>
      <c r="G7" s="854"/>
      <c r="H7" s="854"/>
      <c r="I7" s="854"/>
      <c r="J7" s="854"/>
      <c r="K7" s="854"/>
      <c r="L7" s="854"/>
      <c r="M7" s="854"/>
      <c r="N7" s="854"/>
      <c r="O7" s="854"/>
      <c r="P7" s="856"/>
    </row>
    <row r="8" spans="1:16" s="532" customFormat="1" ht="15">
      <c r="A8" s="537"/>
      <c r="B8" s="867"/>
      <c r="C8" s="868" t="s">
        <v>72</v>
      </c>
      <c r="D8" s="868" t="s">
        <v>399</v>
      </c>
      <c r="E8" s="868" t="s">
        <v>421</v>
      </c>
      <c r="F8" s="868" t="s">
        <v>576</v>
      </c>
      <c r="G8" s="868" t="s">
        <v>577</v>
      </c>
      <c r="H8" s="868" t="s">
        <v>604</v>
      </c>
      <c r="I8" s="868" t="s">
        <v>605</v>
      </c>
      <c r="J8" s="868" t="s">
        <v>606</v>
      </c>
      <c r="K8" s="868" t="s">
        <v>607</v>
      </c>
      <c r="L8" s="868" t="s">
        <v>608</v>
      </c>
      <c r="M8" s="868" t="s">
        <v>609</v>
      </c>
      <c r="N8" s="868" t="s">
        <v>610</v>
      </c>
      <c r="O8" s="868" t="s">
        <v>611</v>
      </c>
      <c r="P8" s="920"/>
    </row>
    <row r="9" spans="1:16" s="532" customFormat="1" ht="18" customHeight="1">
      <c r="A9" s="537"/>
      <c r="B9" s="867"/>
      <c r="C9" s="546" t="s">
        <v>632</v>
      </c>
      <c r="D9" s="546" t="str">
        <f>INDEX(Vectors[Description], MATCH(XVII.a.Inputs[Vector], Vectors[Code], 0))</f>
        <v>Heat transport</v>
      </c>
      <c r="E9" s="546"/>
      <c r="F9" s="914" t="e">
        <f ca="1">INDEX(INDIRECT("'"&amp;XVII.a.Inputs[#Headers]&amp;"'!Year.Matrix"), MATCH("Subtotal."&amp;$A$2, INDIRECT("'"&amp;XVII.a.Inputs[#Headers]&amp;"'!Year.Modules"), 0), MATCH(XVII.a.Inputs[Vector], INDIRECT("'"&amp;XVII.a.Inputs[#Headers]&amp;"'!Year.Vectors"), 0))</f>
        <v>#REF!</v>
      </c>
      <c r="G9" s="914" t="e">
        <f ca="1">INDEX(INDIRECT("'"&amp;XVII.a.Inputs[#Headers]&amp;"'!Year.Matrix"), MATCH("Subtotal."&amp;$A$2, INDIRECT("'"&amp;XVII.a.Inputs[#Headers]&amp;"'!Year.Modules"), 0), MATCH(XVII.a.Inputs[Vector], INDIRECT("'"&amp;XVII.a.Inputs[#Headers]&amp;"'!Year.Vectors"), 0))</f>
        <v>#REF!</v>
      </c>
      <c r="H9" s="914" t="e">
        <f ca="1">INDEX(INDIRECT("'"&amp;XVII.a.Inputs[#Headers]&amp;"'!Year.Matrix"), MATCH("Subtotal."&amp;$A$2, INDIRECT("'"&amp;XVII.a.Inputs[#Headers]&amp;"'!Year.Modules"), 0), MATCH(XVII.a.Inputs[Vector], INDIRECT("'"&amp;XVII.a.Inputs[#Headers]&amp;"'!Year.Vectors"), 0))</f>
        <v>#REF!</v>
      </c>
      <c r="I9" s="914" t="e">
        <f ca="1">INDEX(INDIRECT("'"&amp;XVII.a.Inputs[#Headers]&amp;"'!Year.Matrix"), MATCH("Subtotal."&amp;$A$2, INDIRECT("'"&amp;XVII.a.Inputs[#Headers]&amp;"'!Year.Modules"), 0), MATCH(XVII.a.Inputs[Vector], INDIRECT("'"&amp;XVII.a.Inputs[#Headers]&amp;"'!Year.Vectors"), 0))</f>
        <v>#REF!</v>
      </c>
      <c r="J9" s="914" t="e">
        <f ca="1">INDEX(INDIRECT("'"&amp;XVII.a.Inputs[#Headers]&amp;"'!Year.Matrix"), MATCH("Subtotal."&amp;$A$2, INDIRECT("'"&amp;XVII.a.Inputs[#Headers]&amp;"'!Year.Modules"), 0), MATCH(XVII.a.Inputs[Vector], INDIRECT("'"&amp;XVII.a.Inputs[#Headers]&amp;"'!Year.Vectors"), 0))</f>
        <v>#REF!</v>
      </c>
      <c r="K9" s="914" t="e">
        <f ca="1">INDEX(INDIRECT("'"&amp;XVII.a.Inputs[#Headers]&amp;"'!Year.Matrix"), MATCH("Subtotal."&amp;$A$2, INDIRECT("'"&amp;XVII.a.Inputs[#Headers]&amp;"'!Year.Modules"), 0), MATCH(XVII.a.Inputs[Vector], INDIRECT("'"&amp;XVII.a.Inputs[#Headers]&amp;"'!Year.Vectors"), 0))</f>
        <v>#REF!</v>
      </c>
      <c r="L9" s="914" t="e">
        <f ca="1">INDEX(INDIRECT("'"&amp;XVII.a.Inputs[#Headers]&amp;"'!Year.Matrix"), MATCH("Subtotal."&amp;$A$2, INDIRECT("'"&amp;XVII.a.Inputs[#Headers]&amp;"'!Year.Modules"), 0), MATCH(XVII.a.Inputs[Vector], INDIRECT("'"&amp;XVII.a.Inputs[#Headers]&amp;"'!Year.Vectors"), 0))</f>
        <v>#REF!</v>
      </c>
      <c r="M9" s="914" t="e">
        <f ca="1">INDEX(INDIRECT("'"&amp;XVII.a.Inputs[#Headers]&amp;"'!Year.Matrix"), MATCH("Subtotal."&amp;$A$2, INDIRECT("'"&amp;XVII.a.Inputs[#Headers]&amp;"'!Year.Modules"), 0), MATCH(XVII.a.Inputs[Vector], INDIRECT("'"&amp;XVII.a.Inputs[#Headers]&amp;"'!Year.Vectors"), 0))</f>
        <v>#REF!</v>
      </c>
      <c r="N9" s="914" t="e">
        <f ca="1">INDEX(INDIRECT("'"&amp;XVII.a.Inputs[#Headers]&amp;"'!Year.Matrix"), MATCH("Subtotal."&amp;$A$2, INDIRECT("'"&amp;XVII.a.Inputs[#Headers]&amp;"'!Year.Modules"), 0), MATCH(XVII.a.Inputs[Vector], INDIRECT("'"&amp;XVII.a.Inputs[#Headers]&amp;"'!Year.Vectors"), 0))</f>
        <v>#REF!</v>
      </c>
      <c r="O9" s="914">
        <f ca="1">INDEX(INDIRECT("'"&amp;XVII.a.Inputs[#Headers]&amp;"'!Year.Matrix"), MATCH("Subtotal."&amp;$A$2, INDIRECT("'"&amp;XVII.a.Inputs[#Headers]&amp;"'!Year.Modules"), 0), MATCH(XVII.a.Inputs[Vector], INDIRECT("'"&amp;XVII.a.Inputs[#Headers]&amp;"'!Year.Vectors"), 0))</f>
        <v>0</v>
      </c>
      <c r="P9" s="870"/>
    </row>
    <row r="10" spans="1:16">
      <c r="B10" s="871"/>
      <c r="C10" s="860"/>
      <c r="D10" s="860"/>
      <c r="E10" s="860"/>
      <c r="F10" s="860"/>
      <c r="G10" s="860"/>
      <c r="H10" s="860"/>
      <c r="I10" s="860"/>
      <c r="J10" s="860"/>
      <c r="K10" s="860"/>
      <c r="L10" s="860"/>
      <c r="M10" s="860"/>
      <c r="N10" s="860"/>
      <c r="O10" s="860"/>
      <c r="P10" s="861"/>
    </row>
    <row r="12" spans="1:16" s="532" customFormat="1" ht="22">
      <c r="A12" s="850"/>
      <c r="B12" s="1875" t="s">
        <v>643</v>
      </c>
      <c r="C12" s="847"/>
      <c r="D12" s="847"/>
      <c r="E12" s="847"/>
      <c r="F12" s="847"/>
      <c r="G12" s="847"/>
      <c r="H12" s="847"/>
      <c r="I12" s="847"/>
      <c r="J12" s="847"/>
      <c r="K12" s="847"/>
      <c r="L12" s="847"/>
      <c r="M12" s="847"/>
      <c r="N12" s="847"/>
      <c r="O12" s="847"/>
      <c r="P12" s="848"/>
    </row>
    <row r="13" spans="1:16">
      <c r="B13" s="1872"/>
      <c r="C13" s="1870"/>
      <c r="D13" s="1870"/>
      <c r="E13" s="1870"/>
      <c r="F13" s="1870"/>
      <c r="G13" s="1870"/>
      <c r="H13" s="1870"/>
      <c r="I13" s="1870"/>
      <c r="J13" s="1870"/>
      <c r="K13" s="1870"/>
      <c r="L13" s="1870"/>
      <c r="M13" s="1870"/>
      <c r="N13" s="1870"/>
      <c r="O13" s="1870"/>
      <c r="P13" s="1873"/>
    </row>
    <row r="14" spans="1:16">
      <c r="B14" s="1872"/>
      <c r="C14" s="1871" t="s">
        <v>985</v>
      </c>
      <c r="D14" s="1870"/>
      <c r="E14" s="613"/>
      <c r="F14" s="1870"/>
      <c r="G14" s="1870"/>
      <c r="H14" s="1870"/>
      <c r="I14" s="1870"/>
      <c r="J14" s="1870"/>
      <c r="K14" s="1870"/>
      <c r="L14" s="1870"/>
      <c r="M14" s="1870"/>
      <c r="N14" s="1870"/>
      <c r="O14" s="1870"/>
      <c r="P14" s="1873"/>
    </row>
    <row r="15" spans="1:16" ht="6" customHeight="1">
      <c r="B15" s="1872"/>
      <c r="C15" s="1870"/>
      <c r="D15" s="1870"/>
      <c r="E15" s="1870"/>
      <c r="F15" s="1870"/>
      <c r="G15" s="1870"/>
      <c r="H15" s="1870"/>
      <c r="I15" s="1870"/>
      <c r="J15" s="1870"/>
      <c r="K15" s="1870"/>
      <c r="L15" s="1870"/>
      <c r="M15" s="1870"/>
      <c r="N15" s="1870"/>
      <c r="O15" s="1870"/>
      <c r="P15" s="1873"/>
    </row>
    <row r="16" spans="1:16" ht="15">
      <c r="B16" s="839"/>
      <c r="C16" s="547" t="s">
        <v>399</v>
      </c>
      <c r="D16" s="547" t="s">
        <v>73</v>
      </c>
      <c r="E16" s="547" t="s">
        <v>421</v>
      </c>
      <c r="F16" s="643">
        <v>2007</v>
      </c>
      <c r="G16" s="644">
        <v>2010</v>
      </c>
      <c r="H16" s="643">
        <v>2015</v>
      </c>
      <c r="I16" s="643">
        <v>2020</v>
      </c>
      <c r="J16" s="643">
        <v>2025</v>
      </c>
      <c r="K16" s="643">
        <v>2030</v>
      </c>
      <c r="L16" s="643">
        <v>2035</v>
      </c>
      <c r="M16" s="643">
        <v>2040</v>
      </c>
      <c r="N16" s="643">
        <v>2045</v>
      </c>
      <c r="O16" s="643">
        <v>2050</v>
      </c>
      <c r="P16" s="1873"/>
    </row>
    <row r="17" spans="1:16" s="532" customFormat="1" ht="15">
      <c r="B17" s="841"/>
      <c r="C17" s="569" t="s">
        <v>1067</v>
      </c>
      <c r="D17" s="570" t="s">
        <v>1068</v>
      </c>
      <c r="E17" s="570" t="s">
        <v>102</v>
      </c>
      <c r="F17" s="571">
        <v>7</v>
      </c>
      <c r="G17" s="633">
        <v>7</v>
      </c>
      <c r="H17" s="571">
        <v>7</v>
      </c>
      <c r="I17" s="571">
        <v>7</v>
      </c>
      <c r="J17" s="571">
        <v>7</v>
      </c>
      <c r="K17" s="571">
        <v>7</v>
      </c>
      <c r="L17" s="571">
        <v>7</v>
      </c>
      <c r="M17" s="571">
        <v>7</v>
      </c>
      <c r="N17" s="571">
        <v>7</v>
      </c>
      <c r="O17" s="571">
        <v>7</v>
      </c>
      <c r="P17" s="842"/>
    </row>
    <row r="18" spans="1:16">
      <c r="B18" s="843"/>
      <c r="C18" s="1870"/>
      <c r="D18" s="614"/>
      <c r="E18" s="1870"/>
      <c r="F18" s="1870"/>
      <c r="G18" s="1870"/>
      <c r="H18" s="1870"/>
      <c r="I18" s="1870"/>
      <c r="J18" s="1870"/>
      <c r="K18" s="1870"/>
      <c r="L18" s="1870"/>
      <c r="M18" s="1870"/>
      <c r="N18" s="1870"/>
      <c r="O18" s="1870"/>
      <c r="P18" s="1873"/>
    </row>
    <row r="19" spans="1:16">
      <c r="B19" s="843"/>
      <c r="C19" s="1870" t="s">
        <v>421</v>
      </c>
      <c r="D19" s="614"/>
      <c r="E19" s="1870"/>
      <c r="F19" s="1870"/>
      <c r="G19" s="1870"/>
      <c r="H19" s="1870"/>
      <c r="I19" s="1870"/>
      <c r="J19" s="1870"/>
      <c r="K19" s="1870"/>
      <c r="L19" s="1870"/>
      <c r="M19" s="1870"/>
      <c r="N19" s="1870"/>
      <c r="O19" s="1870"/>
      <c r="P19" s="1873"/>
    </row>
    <row r="20" spans="1:16" s="1865" customFormat="1" ht="11">
      <c r="B20" s="894"/>
      <c r="C20" s="909" t="s">
        <v>102</v>
      </c>
      <c r="D20" s="910" t="s">
        <v>986</v>
      </c>
      <c r="E20" s="897"/>
      <c r="F20" s="897"/>
      <c r="G20" s="897"/>
      <c r="H20" s="897"/>
      <c r="I20" s="897"/>
      <c r="J20" s="897"/>
      <c r="K20" s="897"/>
      <c r="L20" s="897"/>
      <c r="M20" s="897"/>
      <c r="N20" s="897"/>
      <c r="O20" s="897"/>
      <c r="P20" s="898"/>
    </row>
    <row r="21" spans="1:16">
      <c r="B21" s="844"/>
      <c r="C21" s="845"/>
      <c r="D21" s="845"/>
      <c r="E21" s="845"/>
      <c r="F21" s="845"/>
      <c r="G21" s="845"/>
      <c r="H21" s="845"/>
      <c r="I21" s="845"/>
      <c r="J21" s="845"/>
      <c r="K21" s="845"/>
      <c r="L21" s="845"/>
      <c r="M21" s="845"/>
      <c r="N21" s="845"/>
      <c r="O21" s="845"/>
      <c r="P21" s="846"/>
    </row>
    <row r="23" spans="1:16" s="532" customFormat="1" ht="22">
      <c r="A23" s="850"/>
      <c r="B23" s="1875" t="s">
        <v>1983</v>
      </c>
      <c r="C23" s="847"/>
      <c r="D23" s="847"/>
      <c r="E23" s="847"/>
      <c r="F23" s="847"/>
      <c r="G23" s="847"/>
      <c r="H23" s="847"/>
      <c r="I23" s="847"/>
      <c r="J23" s="847"/>
      <c r="K23" s="847"/>
      <c r="L23" s="847"/>
      <c r="M23" s="847"/>
      <c r="N23" s="847"/>
      <c r="O23" s="847"/>
      <c r="P23" s="848"/>
    </row>
    <row r="24" spans="1:16">
      <c r="B24" s="1872"/>
      <c r="C24" s="1870"/>
      <c r="D24" s="1870"/>
      <c r="E24" s="1870"/>
      <c r="F24" s="1870"/>
      <c r="G24" s="1870"/>
      <c r="H24" s="1870"/>
      <c r="I24" s="1870"/>
      <c r="J24" s="1870"/>
      <c r="K24" s="1870"/>
      <c r="L24" s="1870"/>
      <c r="M24" s="1870"/>
      <c r="N24" s="1870"/>
      <c r="O24" s="1870"/>
      <c r="P24" s="1873"/>
    </row>
    <row r="25" spans="1:16">
      <c r="B25" s="1872"/>
      <c r="C25" s="1870" t="s">
        <v>2080</v>
      </c>
      <c r="D25" s="1870"/>
      <c r="E25" s="613"/>
      <c r="F25" s="1870">
        <f>(200*Unit.MW/4.1)*Conversion.to.annual.energy</f>
        <v>0.42760975609756108</v>
      </c>
      <c r="G25" s="1870" t="str">
        <f>Preferences.EnergyUnits</f>
        <v>TWh</v>
      </c>
      <c r="H25" s="1870"/>
      <c r="I25" s="1870"/>
      <c r="J25" s="1870"/>
      <c r="K25" s="1870"/>
      <c r="L25" s="1870"/>
      <c r="M25" s="1870"/>
      <c r="N25" s="1870"/>
      <c r="O25" s="1870"/>
      <c r="P25" s="1873"/>
    </row>
    <row r="26" spans="1:16">
      <c r="B26" s="1872"/>
      <c r="C26" s="1870" t="s">
        <v>2081</v>
      </c>
      <c r="D26" s="1870"/>
      <c r="E26" s="613"/>
      <c r="F26" s="1098">
        <f>5/30</f>
        <v>0.16666666666666666</v>
      </c>
      <c r="G26" s="1870" t="s">
        <v>2082</v>
      </c>
      <c r="H26" s="1870"/>
      <c r="I26" s="1870"/>
      <c r="J26" s="1870"/>
      <c r="K26" s="1870"/>
      <c r="L26" s="1870"/>
      <c r="M26" s="1870"/>
      <c r="N26" s="1870"/>
      <c r="O26" s="1870"/>
      <c r="P26" s="1873"/>
    </row>
    <row r="27" spans="1:16" ht="6" customHeight="1">
      <c r="B27" s="1872"/>
      <c r="C27" s="1870"/>
      <c r="D27" s="1870"/>
      <c r="E27" s="1870"/>
      <c r="F27" s="1870"/>
      <c r="G27" s="1870"/>
      <c r="H27" s="1870"/>
      <c r="I27" s="1870"/>
      <c r="J27" s="1870"/>
      <c r="K27" s="1870"/>
      <c r="L27" s="1870"/>
      <c r="M27" s="1870"/>
      <c r="N27" s="1870"/>
      <c r="O27" s="1870"/>
      <c r="P27" s="1873"/>
    </row>
    <row r="28" spans="1:16">
      <c r="B28" s="1872"/>
      <c r="C28" s="1871" t="s">
        <v>2083</v>
      </c>
      <c r="D28" s="1870"/>
      <c r="E28" s="613"/>
      <c r="F28" s="1870"/>
      <c r="G28" s="613" t="str">
        <f>Preferences.moneyunits&amp;"/ unit"</f>
        <v>£m/ unit</v>
      </c>
      <c r="H28" s="1870"/>
      <c r="I28" s="1870"/>
      <c r="J28" s="1870"/>
      <c r="K28" s="1870"/>
      <c r="L28" s="1870"/>
      <c r="M28" s="1870"/>
      <c r="N28" s="1870"/>
      <c r="O28" s="613"/>
      <c r="P28" s="1873"/>
    </row>
    <row r="29" spans="1:16" ht="4.5" customHeight="1">
      <c r="B29" s="1872"/>
      <c r="C29" s="1870"/>
      <c r="D29" s="1870"/>
      <c r="E29" s="1870"/>
      <c r="F29" s="1870"/>
      <c r="G29" s="1870"/>
      <c r="H29" s="1870"/>
      <c r="I29" s="1870"/>
      <c r="J29" s="1870"/>
      <c r="K29" s="1870"/>
      <c r="L29" s="1870"/>
      <c r="M29" s="1870"/>
      <c r="N29" s="1870"/>
      <c r="O29" s="1870"/>
      <c r="P29" s="1873"/>
    </row>
    <row r="30" spans="1:16" ht="15">
      <c r="B30" s="839"/>
      <c r="C30" s="547"/>
      <c r="D30" s="547"/>
      <c r="E30" s="552"/>
      <c r="F30" s="643" t="s">
        <v>1155</v>
      </c>
      <c r="G30" s="643" t="s">
        <v>1156</v>
      </c>
      <c r="H30" s="932"/>
      <c r="I30" s="932"/>
      <c r="J30" s="932"/>
      <c r="K30" s="932"/>
      <c r="L30" s="932"/>
      <c r="M30" s="932"/>
      <c r="N30" s="932"/>
      <c r="O30" s="932"/>
      <c r="P30" s="1873"/>
    </row>
    <row r="31" spans="1:16" s="532" customFormat="1" ht="15">
      <c r="B31" s="841"/>
      <c r="C31" s="1867"/>
      <c r="D31" s="556" t="s">
        <v>1985</v>
      </c>
      <c r="E31" s="1427"/>
      <c r="F31" s="1422">
        <f>24*MGBP*Price2009</f>
        <v>24.699743740158695</v>
      </c>
      <c r="G31" s="1422">
        <f>F31*2</f>
        <v>49.39948748031739</v>
      </c>
      <c r="H31" s="635"/>
      <c r="I31" s="635"/>
      <c r="J31" s="635"/>
      <c r="K31" s="635"/>
      <c r="L31" s="635"/>
      <c r="M31" s="635"/>
      <c r="N31" s="635"/>
      <c r="O31" s="635"/>
      <c r="P31" s="842"/>
    </row>
    <row r="32" spans="1:16">
      <c r="B32" s="843"/>
      <c r="C32" s="624"/>
      <c r="D32" s="625" t="s">
        <v>1986</v>
      </c>
      <c r="E32" s="1788"/>
      <c r="F32" s="1642">
        <f>1%*F31</f>
        <v>0.24699743740158694</v>
      </c>
      <c r="G32" s="1642">
        <f>1%*G31</f>
        <v>0.49399487480317389</v>
      </c>
      <c r="H32" s="1870"/>
      <c r="I32" s="1870"/>
      <c r="J32" s="1870"/>
      <c r="K32" s="1870"/>
      <c r="L32" s="1870"/>
      <c r="M32" s="1870"/>
      <c r="N32" s="1870"/>
      <c r="O32" s="1870"/>
      <c r="P32" s="1873"/>
    </row>
    <row r="33" spans="2:16">
      <c r="B33" s="1872"/>
      <c r="C33" s="1871"/>
      <c r="D33" s="1870"/>
      <c r="E33" s="1870"/>
      <c r="F33" s="1870"/>
      <c r="G33" s="613"/>
      <c r="H33" s="1870"/>
      <c r="I33" s="1870"/>
      <c r="J33" s="1870"/>
      <c r="K33" s="1870"/>
      <c r="L33" s="1870"/>
      <c r="M33" s="1870"/>
      <c r="N33" s="1870"/>
      <c r="O33" s="1870"/>
      <c r="P33" s="1873"/>
    </row>
    <row r="34" spans="2:16">
      <c r="B34" s="1872"/>
      <c r="C34" s="1870" t="s">
        <v>601</v>
      </c>
      <c r="D34" s="1807" t="s">
        <v>2079</v>
      </c>
      <c r="E34" s="1870"/>
      <c r="F34" s="1870"/>
      <c r="G34" s="1870"/>
      <c r="H34" s="1870"/>
      <c r="I34" s="1870"/>
      <c r="J34" s="1870"/>
      <c r="K34" s="1870"/>
      <c r="L34" s="1870"/>
      <c r="M34" s="1870"/>
      <c r="N34" s="1870"/>
      <c r="O34" s="1870"/>
      <c r="P34" s="1873"/>
    </row>
    <row r="35" spans="2:16">
      <c r="B35" s="844"/>
      <c r="C35" s="845"/>
      <c r="D35" s="845"/>
      <c r="E35" s="845"/>
      <c r="F35" s="845"/>
      <c r="G35" s="845"/>
      <c r="H35" s="845"/>
      <c r="I35" s="845"/>
      <c r="J35" s="845"/>
      <c r="K35" s="845"/>
      <c r="L35" s="845"/>
      <c r="M35" s="845"/>
      <c r="N35" s="845"/>
      <c r="O35" s="845"/>
      <c r="P35" s="846"/>
    </row>
    <row r="37" spans="2:16" ht="15">
      <c r="B37" s="575" t="s">
        <v>615</v>
      </c>
    </row>
    <row r="38" spans="2:16">
      <c r="B38" s="1877">
        <v>1</v>
      </c>
      <c r="C38" s="1900" t="s">
        <v>987</v>
      </c>
    </row>
    <row r="40" spans="2:16">
      <c r="C40" s="1877" t="s">
        <v>988</v>
      </c>
      <c r="E40" s="1900" t="str">
        <f>Preferences.EnergyUnits</f>
        <v>TWh</v>
      </c>
      <c r="F40" s="563" t="e">
        <f ca="1">-XVII.a.Inputs[2007]</f>
        <v>#REF!</v>
      </c>
      <c r="G40" s="563" t="e">
        <f ca="1">-XVII.a.Inputs[2010]</f>
        <v>#REF!</v>
      </c>
      <c r="H40" s="563" t="e">
        <f ca="1">-XVII.a.Inputs[2015]</f>
        <v>#REF!</v>
      </c>
      <c r="I40" s="563" t="e">
        <f ca="1">-XVII.a.Inputs[2020]</f>
        <v>#REF!</v>
      </c>
      <c r="J40" s="563" t="e">
        <f ca="1">-XVII.a.Inputs[2025]</f>
        <v>#REF!</v>
      </c>
      <c r="K40" s="563" t="e">
        <f ca="1">-XVII.a.Inputs[2030]</f>
        <v>#REF!</v>
      </c>
      <c r="L40" s="563" t="e">
        <f ca="1">-XVII.a.Inputs[2035]</f>
        <v>#REF!</v>
      </c>
      <c r="M40" s="563" t="e">
        <f ca="1">-XVII.a.Inputs[2040]</f>
        <v>#REF!</v>
      </c>
      <c r="N40" s="563" t="e">
        <f ca="1">-XVII.a.Inputs[2045]</f>
        <v>#REF!</v>
      </c>
      <c r="O40" s="563">
        <f ca="1">-XVII.a.Inputs[2050]</f>
        <v>0</v>
      </c>
    </row>
    <row r="41" spans="2:16">
      <c r="B41" s="1900" t="s">
        <v>989</v>
      </c>
      <c r="C41" s="579" t="s">
        <v>985</v>
      </c>
      <c r="F41" s="27">
        <f>F$17</f>
        <v>7</v>
      </c>
      <c r="G41" s="27">
        <f t="shared" ref="G41:O41" si="0">G$17</f>
        <v>7</v>
      </c>
      <c r="H41" s="27">
        <f t="shared" si="0"/>
        <v>7</v>
      </c>
      <c r="I41" s="27">
        <f t="shared" si="0"/>
        <v>7</v>
      </c>
      <c r="J41" s="27">
        <f t="shared" si="0"/>
        <v>7</v>
      </c>
      <c r="K41" s="27">
        <f t="shared" si="0"/>
        <v>7</v>
      </c>
      <c r="L41" s="27">
        <f t="shared" si="0"/>
        <v>7</v>
      </c>
      <c r="M41" s="27">
        <f t="shared" si="0"/>
        <v>7</v>
      </c>
      <c r="N41" s="27">
        <f t="shared" si="0"/>
        <v>7</v>
      </c>
      <c r="O41" s="27">
        <f t="shared" si="0"/>
        <v>7</v>
      </c>
    </row>
    <row r="42" spans="2:16">
      <c r="B42" s="573" t="s">
        <v>673</v>
      </c>
      <c r="C42" s="1877" t="s">
        <v>990</v>
      </c>
      <c r="F42" s="563" t="e">
        <f ca="1">F40/F41</f>
        <v>#REF!</v>
      </c>
      <c r="G42" s="563" t="e">
        <f t="shared" ref="G42:O42" ca="1" si="1">G40/G41</f>
        <v>#REF!</v>
      </c>
      <c r="H42" s="563" t="e">
        <f t="shared" ca="1" si="1"/>
        <v>#REF!</v>
      </c>
      <c r="I42" s="563" t="e">
        <f t="shared" ca="1" si="1"/>
        <v>#REF!</v>
      </c>
      <c r="J42" s="563" t="e">
        <f t="shared" ca="1" si="1"/>
        <v>#REF!</v>
      </c>
      <c r="K42" s="563" t="e">
        <f t="shared" ca="1" si="1"/>
        <v>#REF!</v>
      </c>
      <c r="L42" s="563" t="e">
        <f t="shared" ca="1" si="1"/>
        <v>#REF!</v>
      </c>
      <c r="M42" s="563" t="e">
        <f t="shared" ca="1" si="1"/>
        <v>#REF!</v>
      </c>
      <c r="N42" s="563" t="e">
        <f t="shared" ca="1" si="1"/>
        <v>#REF!</v>
      </c>
      <c r="O42" s="563">
        <f t="shared" ca="1" si="1"/>
        <v>0</v>
      </c>
    </row>
    <row r="43" spans="2:16">
      <c r="B43" s="1901"/>
      <c r="C43" s="1900" t="s">
        <v>991</v>
      </c>
      <c r="F43" s="577" t="e">
        <f ca="1">F40-F42</f>
        <v>#REF!</v>
      </c>
      <c r="G43" s="577" t="e">
        <f t="shared" ref="G43:O43" ca="1" si="2">G40-G42</f>
        <v>#REF!</v>
      </c>
      <c r="H43" s="577" t="e">
        <f t="shared" ca="1" si="2"/>
        <v>#REF!</v>
      </c>
      <c r="I43" s="577" t="e">
        <f t="shared" ca="1" si="2"/>
        <v>#REF!</v>
      </c>
      <c r="J43" s="577" t="e">
        <f t="shared" ca="1" si="2"/>
        <v>#REF!</v>
      </c>
      <c r="K43" s="577" t="e">
        <f t="shared" ca="1" si="2"/>
        <v>#REF!</v>
      </c>
      <c r="L43" s="577" t="e">
        <f t="shared" ca="1" si="2"/>
        <v>#REF!</v>
      </c>
      <c r="M43" s="577" t="e">
        <f t="shared" ca="1" si="2"/>
        <v>#REF!</v>
      </c>
      <c r="N43" s="577" t="e">
        <f t="shared" ca="1" si="2"/>
        <v>#REF!</v>
      </c>
      <c r="O43" s="577">
        <f t="shared" ca="1" si="2"/>
        <v>0</v>
      </c>
    </row>
    <row r="44" spans="2:16">
      <c r="B44" s="573"/>
      <c r="C44" s="573"/>
      <c r="F44" s="577"/>
      <c r="G44" s="577"/>
      <c r="H44" s="577"/>
      <c r="I44" s="577"/>
      <c r="J44" s="577"/>
      <c r="K44" s="577"/>
      <c r="L44" s="577"/>
      <c r="M44" s="577"/>
      <c r="N44" s="577"/>
      <c r="O44" s="577"/>
    </row>
    <row r="45" spans="2:16" ht="14">
      <c r="B45" s="573">
        <v>2</v>
      </c>
      <c r="C45" s="1877" t="s">
        <v>2084</v>
      </c>
      <c r="E45" s="1900" t="s">
        <v>1622</v>
      </c>
      <c r="F45" s="608">
        <v>2007</v>
      </c>
      <c r="G45" s="608">
        <v>2010</v>
      </c>
      <c r="H45" s="608">
        <v>2015</v>
      </c>
      <c r="I45" s="608">
        <v>2020</v>
      </c>
      <c r="J45" s="608">
        <v>2025</v>
      </c>
      <c r="K45" s="608">
        <v>2030</v>
      </c>
      <c r="L45" s="608">
        <v>2035</v>
      </c>
      <c r="M45" s="608">
        <v>2040</v>
      </c>
      <c r="N45" s="608">
        <v>2045</v>
      </c>
      <c r="O45" s="608">
        <v>2050</v>
      </c>
    </row>
    <row r="46" spans="2:16">
      <c r="B46" s="573"/>
      <c r="C46" s="1900" t="s">
        <v>2085</v>
      </c>
      <c r="F46" s="1639" t="e">
        <f ca="1">F40/$F$25</f>
        <v>#REF!</v>
      </c>
      <c r="G46" s="1639" t="e">
        <f t="shared" ref="G46:O46" ca="1" si="3">G40/$F$25</f>
        <v>#REF!</v>
      </c>
      <c r="H46" s="1639" t="e">
        <f t="shared" ca="1" si="3"/>
        <v>#REF!</v>
      </c>
      <c r="I46" s="1639" t="e">
        <f t="shared" ca="1" si="3"/>
        <v>#REF!</v>
      </c>
      <c r="J46" s="1639" t="e">
        <f t="shared" ca="1" si="3"/>
        <v>#REF!</v>
      </c>
      <c r="K46" s="1639" t="e">
        <f t="shared" ca="1" si="3"/>
        <v>#REF!</v>
      </c>
      <c r="L46" s="1639" t="e">
        <f t="shared" ca="1" si="3"/>
        <v>#REF!</v>
      </c>
      <c r="M46" s="1639" t="e">
        <f t="shared" ca="1" si="3"/>
        <v>#REF!</v>
      </c>
      <c r="N46" s="1639" t="e">
        <f t="shared" ca="1" si="3"/>
        <v>#REF!</v>
      </c>
      <c r="O46" s="1639">
        <f t="shared" ca="1" si="3"/>
        <v>0</v>
      </c>
    </row>
    <row r="47" spans="2:16">
      <c r="B47" s="573"/>
      <c r="C47" s="1900" t="s">
        <v>2087</v>
      </c>
      <c r="E47" s="1900" t="s">
        <v>2088</v>
      </c>
      <c r="F47" s="577"/>
      <c r="G47" s="577" t="e">
        <f ca="1">MAX((G46-F46)/(G45-F45),0)</f>
        <v>#REF!</v>
      </c>
      <c r="H47" s="577" t="e">
        <f t="shared" ref="H47:O47" ca="1" si="4">MAX((H46-G46)/(H45-G45),0)</f>
        <v>#REF!</v>
      </c>
      <c r="I47" s="577" t="e">
        <f t="shared" ca="1" si="4"/>
        <v>#REF!</v>
      </c>
      <c r="J47" s="577" t="e">
        <f t="shared" ca="1" si="4"/>
        <v>#REF!</v>
      </c>
      <c r="K47" s="577" t="e">
        <f t="shared" ca="1" si="4"/>
        <v>#REF!</v>
      </c>
      <c r="L47" s="577" t="e">
        <f t="shared" ca="1" si="4"/>
        <v>#REF!</v>
      </c>
      <c r="M47" s="577" t="e">
        <f t="shared" ca="1" si="4"/>
        <v>#REF!</v>
      </c>
      <c r="N47" s="577" t="e">
        <f t="shared" ca="1" si="4"/>
        <v>#REF!</v>
      </c>
      <c r="O47" s="577" t="e">
        <f t="shared" ca="1" si="4"/>
        <v>#REF!</v>
      </c>
    </row>
    <row r="48" spans="2:16">
      <c r="B48" s="573"/>
      <c r="C48" s="1900" t="s">
        <v>2086</v>
      </c>
      <c r="E48" s="1900" t="s">
        <v>2088</v>
      </c>
      <c r="F48" s="577"/>
      <c r="G48" s="577" t="e">
        <f ca="1">(F46*$F$26)/(G45-F45)</f>
        <v>#REF!</v>
      </c>
      <c r="H48" s="577" t="e">
        <f t="shared" ref="H48:O48" ca="1" si="5">(G46*$F$26)/(H45-G45)</f>
        <v>#REF!</v>
      </c>
      <c r="I48" s="577" t="e">
        <f t="shared" ca="1" si="5"/>
        <v>#REF!</v>
      </c>
      <c r="J48" s="577" t="e">
        <f t="shared" ca="1" si="5"/>
        <v>#REF!</v>
      </c>
      <c r="K48" s="577" t="e">
        <f t="shared" ca="1" si="5"/>
        <v>#REF!</v>
      </c>
      <c r="L48" s="577" t="e">
        <f t="shared" ca="1" si="5"/>
        <v>#REF!</v>
      </c>
      <c r="M48" s="577" t="e">
        <f t="shared" ca="1" si="5"/>
        <v>#REF!</v>
      </c>
      <c r="N48" s="577" t="e">
        <f t="shared" ca="1" si="5"/>
        <v>#REF!</v>
      </c>
      <c r="O48" s="577" t="e">
        <f t="shared" ca="1" si="5"/>
        <v>#REF!</v>
      </c>
    </row>
    <row r="49" spans="1:16">
      <c r="B49" s="573"/>
      <c r="C49" s="1900" t="s">
        <v>2089</v>
      </c>
      <c r="F49" s="577"/>
      <c r="G49" s="577" t="e">
        <f ca="1">SUM(G47:G48)</f>
        <v>#REF!</v>
      </c>
      <c r="H49" s="577" t="e">
        <f t="shared" ref="H49:O49" ca="1" si="6">SUM(H47:H48)</f>
        <v>#REF!</v>
      </c>
      <c r="I49" s="577" t="e">
        <f t="shared" ca="1" si="6"/>
        <v>#REF!</v>
      </c>
      <c r="J49" s="577" t="e">
        <f t="shared" ca="1" si="6"/>
        <v>#REF!</v>
      </c>
      <c r="K49" s="577" t="e">
        <f t="shared" ca="1" si="6"/>
        <v>#REF!</v>
      </c>
      <c r="L49" s="577" t="e">
        <f t="shared" ca="1" si="6"/>
        <v>#REF!</v>
      </c>
      <c r="M49" s="577" t="e">
        <f t="shared" ca="1" si="6"/>
        <v>#REF!</v>
      </c>
      <c r="N49" s="577" t="e">
        <f t="shared" ca="1" si="6"/>
        <v>#REF!</v>
      </c>
      <c r="O49" s="577" t="e">
        <f t="shared" ca="1" si="6"/>
        <v>#REF!</v>
      </c>
    </row>
    <row r="50" spans="1:16">
      <c r="B50" s="573"/>
      <c r="C50" s="573"/>
      <c r="F50" s="577"/>
      <c r="G50" s="577"/>
      <c r="H50" s="577"/>
      <c r="I50" s="577"/>
      <c r="J50" s="577"/>
      <c r="K50" s="577"/>
      <c r="L50" s="577"/>
      <c r="M50" s="577"/>
      <c r="N50" s="577"/>
      <c r="O50" s="577"/>
    </row>
    <row r="51" spans="1:16">
      <c r="B51" s="573">
        <v>3</v>
      </c>
      <c r="C51" s="1877" t="s">
        <v>1998</v>
      </c>
      <c r="F51" s="577"/>
      <c r="G51" s="577"/>
      <c r="H51" s="577"/>
      <c r="I51" s="577"/>
      <c r="J51" s="577"/>
      <c r="K51" s="577"/>
      <c r="L51" s="577"/>
      <c r="M51" s="577"/>
      <c r="N51" s="577"/>
      <c r="O51" s="577"/>
    </row>
    <row r="52" spans="1:16" ht="14">
      <c r="B52" s="573"/>
      <c r="C52" s="1877" t="s">
        <v>1155</v>
      </c>
      <c r="E52" s="1877" t="str">
        <f>Preferences.moneyunits</f>
        <v>£m</v>
      </c>
      <c r="F52" s="608">
        <v>2007</v>
      </c>
      <c r="G52" s="608">
        <v>2010</v>
      </c>
      <c r="H52" s="608">
        <v>2015</v>
      </c>
      <c r="I52" s="608">
        <v>2020</v>
      </c>
      <c r="J52" s="608">
        <v>2025</v>
      </c>
      <c r="K52" s="608">
        <v>2030</v>
      </c>
      <c r="L52" s="608">
        <v>2035</v>
      </c>
      <c r="M52" s="608">
        <v>2040</v>
      </c>
      <c r="N52" s="608">
        <v>2045</v>
      </c>
      <c r="O52" s="608">
        <v>2050</v>
      </c>
    </row>
    <row r="53" spans="1:16">
      <c r="B53" s="573"/>
      <c r="C53" s="1900" t="s">
        <v>2035</v>
      </c>
      <c r="F53" s="577"/>
      <c r="G53" s="1639" t="e">
        <f ca="1">G49*$F$31</f>
        <v>#REF!</v>
      </c>
      <c r="H53" s="1639" t="e">
        <f t="shared" ref="H53:O53" ca="1" si="7">H49*$F$31</f>
        <v>#REF!</v>
      </c>
      <c r="I53" s="1639" t="e">
        <f t="shared" ca="1" si="7"/>
        <v>#REF!</v>
      </c>
      <c r="J53" s="1639" t="e">
        <f t="shared" ca="1" si="7"/>
        <v>#REF!</v>
      </c>
      <c r="K53" s="1639" t="e">
        <f t="shared" ca="1" si="7"/>
        <v>#REF!</v>
      </c>
      <c r="L53" s="1639" t="e">
        <f t="shared" ca="1" si="7"/>
        <v>#REF!</v>
      </c>
      <c r="M53" s="1639" t="e">
        <f t="shared" ca="1" si="7"/>
        <v>#REF!</v>
      </c>
      <c r="N53" s="1639" t="e">
        <f t="shared" ca="1" si="7"/>
        <v>#REF!</v>
      </c>
      <c r="O53" s="1639" t="e">
        <f t="shared" ca="1" si="7"/>
        <v>#REF!</v>
      </c>
    </row>
    <row r="54" spans="1:16">
      <c r="B54" s="573"/>
      <c r="C54" s="1900" t="s">
        <v>2048</v>
      </c>
      <c r="F54" s="1639" t="e">
        <f ca="1">F46*$F$32</f>
        <v>#REF!</v>
      </c>
      <c r="G54" s="1639" t="e">
        <f ca="1">G46*$F$32</f>
        <v>#REF!</v>
      </c>
      <c r="H54" s="1639" t="e">
        <f t="shared" ref="H54:O54" ca="1" si="8">H46*$F$32</f>
        <v>#REF!</v>
      </c>
      <c r="I54" s="1639" t="e">
        <f t="shared" ca="1" si="8"/>
        <v>#REF!</v>
      </c>
      <c r="J54" s="1639" t="e">
        <f t="shared" ca="1" si="8"/>
        <v>#REF!</v>
      </c>
      <c r="K54" s="1639" t="e">
        <f t="shared" ca="1" si="8"/>
        <v>#REF!</v>
      </c>
      <c r="L54" s="1639" t="e">
        <f t="shared" ca="1" si="8"/>
        <v>#REF!</v>
      </c>
      <c r="M54" s="1639" t="e">
        <f t="shared" ca="1" si="8"/>
        <v>#REF!</v>
      </c>
      <c r="N54" s="1639" t="e">
        <f t="shared" ca="1" si="8"/>
        <v>#REF!</v>
      </c>
      <c r="O54" s="1639">
        <f t="shared" ca="1" si="8"/>
        <v>0</v>
      </c>
    </row>
    <row r="55" spans="1:16">
      <c r="F55" s="563"/>
    </row>
    <row r="56" spans="1:16" ht="14">
      <c r="B56" s="573"/>
      <c r="C56" s="1877" t="s">
        <v>1156</v>
      </c>
      <c r="E56" s="1877" t="str">
        <f>Preferences.moneyunits</f>
        <v>£m</v>
      </c>
      <c r="F56" s="608">
        <v>2007</v>
      </c>
      <c r="G56" s="608">
        <v>2010</v>
      </c>
      <c r="H56" s="608">
        <v>2015</v>
      </c>
      <c r="I56" s="608">
        <v>2020</v>
      </c>
      <c r="J56" s="608">
        <v>2025</v>
      </c>
      <c r="K56" s="608">
        <v>2030</v>
      </c>
      <c r="L56" s="608">
        <v>2035</v>
      </c>
      <c r="M56" s="608">
        <v>2040</v>
      </c>
      <c r="N56" s="608">
        <v>2045</v>
      </c>
      <c r="O56" s="608">
        <v>2050</v>
      </c>
    </row>
    <row r="57" spans="1:16">
      <c r="B57" s="573"/>
      <c r="C57" s="1900" t="s">
        <v>2035</v>
      </c>
      <c r="F57" s="577"/>
      <c r="G57" s="1639" t="e">
        <f ca="1">G49*$G$31</f>
        <v>#REF!</v>
      </c>
      <c r="H57" s="1639" t="e">
        <f t="shared" ref="H57:O57" ca="1" si="9">H49*$G$31</f>
        <v>#REF!</v>
      </c>
      <c r="I57" s="1639" t="e">
        <f t="shared" ca="1" si="9"/>
        <v>#REF!</v>
      </c>
      <c r="J57" s="1639" t="e">
        <f t="shared" ca="1" si="9"/>
        <v>#REF!</v>
      </c>
      <c r="K57" s="1639" t="e">
        <f t="shared" ca="1" si="9"/>
        <v>#REF!</v>
      </c>
      <c r="L57" s="1639" t="e">
        <f t="shared" ca="1" si="9"/>
        <v>#REF!</v>
      </c>
      <c r="M57" s="1639" t="e">
        <f t="shared" ca="1" si="9"/>
        <v>#REF!</v>
      </c>
      <c r="N57" s="1639" t="e">
        <f t="shared" ca="1" si="9"/>
        <v>#REF!</v>
      </c>
      <c r="O57" s="1639" t="e">
        <f t="shared" ca="1" si="9"/>
        <v>#REF!</v>
      </c>
    </row>
    <row r="58" spans="1:16">
      <c r="B58" s="573"/>
      <c r="C58" s="1900" t="s">
        <v>2048</v>
      </c>
      <c r="F58" s="1639" t="e">
        <f ca="1">F46*$G$32</f>
        <v>#REF!</v>
      </c>
      <c r="G58" s="1639" t="e">
        <f ca="1">G46*$G$32</f>
        <v>#REF!</v>
      </c>
      <c r="H58" s="1639" t="e">
        <f t="shared" ref="H58:O58" ca="1" si="10">H46*$G$32</f>
        <v>#REF!</v>
      </c>
      <c r="I58" s="1639" t="e">
        <f t="shared" ca="1" si="10"/>
        <v>#REF!</v>
      </c>
      <c r="J58" s="1639" t="e">
        <f t="shared" ca="1" si="10"/>
        <v>#REF!</v>
      </c>
      <c r="K58" s="1639" t="e">
        <f t="shared" ca="1" si="10"/>
        <v>#REF!</v>
      </c>
      <c r="L58" s="1639" t="e">
        <f t="shared" ca="1" si="10"/>
        <v>#REF!</v>
      </c>
      <c r="M58" s="1639" t="e">
        <f t="shared" ca="1" si="10"/>
        <v>#REF!</v>
      </c>
      <c r="N58" s="1639" t="e">
        <f t="shared" ca="1" si="10"/>
        <v>#REF!</v>
      </c>
      <c r="O58" s="1639">
        <f t="shared" ca="1" si="10"/>
        <v>0</v>
      </c>
    </row>
    <row r="59" spans="1:16">
      <c r="F59" s="563"/>
    </row>
    <row r="61" spans="1:16" ht="22">
      <c r="A61" s="1874"/>
      <c r="B61" s="899" t="s">
        <v>572</v>
      </c>
      <c r="C61" s="863"/>
      <c r="D61" s="863"/>
      <c r="E61" s="863"/>
      <c r="F61" s="863"/>
      <c r="G61" s="863"/>
      <c r="H61" s="863"/>
      <c r="I61" s="863"/>
      <c r="J61" s="863"/>
      <c r="K61" s="863"/>
      <c r="L61" s="863"/>
      <c r="M61" s="863"/>
      <c r="N61" s="863"/>
      <c r="O61" s="863"/>
      <c r="P61" s="865"/>
    </row>
    <row r="62" spans="1:16">
      <c r="B62" s="852"/>
      <c r="C62" s="854"/>
      <c r="D62" s="854"/>
      <c r="E62" s="854"/>
      <c r="F62" s="854"/>
      <c r="G62" s="854"/>
      <c r="H62" s="854"/>
      <c r="I62" s="854"/>
      <c r="J62" s="854"/>
      <c r="K62" s="854"/>
      <c r="L62" s="854"/>
      <c r="M62" s="854"/>
      <c r="N62" s="854"/>
      <c r="O62" s="854"/>
      <c r="P62" s="856"/>
    </row>
    <row r="63" spans="1:16">
      <c r="B63" s="852"/>
      <c r="C63" s="866" t="s">
        <v>641</v>
      </c>
      <c r="D63" s="854"/>
      <c r="E63" s="855"/>
      <c r="F63" s="854"/>
      <c r="G63" s="855"/>
      <c r="H63" s="854"/>
      <c r="I63" s="854"/>
      <c r="J63" s="854"/>
      <c r="K63" s="854"/>
      <c r="L63" s="854"/>
      <c r="M63" s="854"/>
      <c r="N63" s="854"/>
      <c r="O63" s="855" t="str">
        <f>Preferences.EnergyUnits</f>
        <v>TWh</v>
      </c>
      <c r="P63" s="856"/>
    </row>
    <row r="64" spans="1:16" ht="6" customHeight="1">
      <c r="B64" s="852"/>
      <c r="C64" s="854"/>
      <c r="D64" s="854"/>
      <c r="E64" s="854"/>
      <c r="F64" s="854"/>
      <c r="G64" s="854"/>
      <c r="H64" s="854"/>
      <c r="I64" s="854"/>
      <c r="J64" s="854"/>
      <c r="K64" s="854"/>
      <c r="L64" s="854"/>
      <c r="M64" s="854"/>
      <c r="N64" s="854"/>
      <c r="O64" s="854"/>
      <c r="P64" s="856"/>
    </row>
    <row r="65" spans="1:22" ht="15">
      <c r="A65" s="3"/>
      <c r="B65" s="857"/>
      <c r="C65" s="868" t="s">
        <v>72</v>
      </c>
      <c r="D65" s="868" t="s">
        <v>399</v>
      </c>
      <c r="E65" s="868" t="s">
        <v>421</v>
      </c>
      <c r="F65" s="868" t="s">
        <v>576</v>
      </c>
      <c r="G65" s="868" t="s">
        <v>577</v>
      </c>
      <c r="H65" s="868" t="s">
        <v>604</v>
      </c>
      <c r="I65" s="868" t="s">
        <v>605</v>
      </c>
      <c r="J65" s="868" t="s">
        <v>606</v>
      </c>
      <c r="K65" s="868" t="s">
        <v>607</v>
      </c>
      <c r="L65" s="868" t="s">
        <v>608</v>
      </c>
      <c r="M65" s="868" t="s">
        <v>609</v>
      </c>
      <c r="N65" s="868" t="s">
        <v>610</v>
      </c>
      <c r="O65" s="868" t="s">
        <v>611</v>
      </c>
      <c r="P65" s="856"/>
    </row>
    <row r="66" spans="1:22" ht="15">
      <c r="A66" s="3"/>
      <c r="B66" s="857"/>
      <c r="C66" s="546" t="s">
        <v>632</v>
      </c>
      <c r="D66" s="546" t="str">
        <f>INDEX(Vectors[Description], MATCH(XVII.a.Outputs[Vector], Vectors[Code], 0))</f>
        <v>Heat transport</v>
      </c>
      <c r="E66" s="546"/>
      <c r="F66" s="652" t="e">
        <f ca="1">F$40</f>
        <v>#REF!</v>
      </c>
      <c r="G66" s="652" t="e">
        <f t="shared" ref="G66:O66" ca="1" si="11">G$40</f>
        <v>#REF!</v>
      </c>
      <c r="H66" s="652" t="e">
        <f t="shared" ca="1" si="11"/>
        <v>#REF!</v>
      </c>
      <c r="I66" s="652" t="e">
        <f t="shared" ca="1" si="11"/>
        <v>#REF!</v>
      </c>
      <c r="J66" s="652" t="e">
        <f t="shared" ca="1" si="11"/>
        <v>#REF!</v>
      </c>
      <c r="K66" s="652" t="e">
        <f t="shared" ca="1" si="11"/>
        <v>#REF!</v>
      </c>
      <c r="L66" s="652" t="e">
        <f t="shared" ca="1" si="11"/>
        <v>#REF!</v>
      </c>
      <c r="M66" s="652" t="e">
        <f t="shared" ca="1" si="11"/>
        <v>#REF!</v>
      </c>
      <c r="N66" s="652" t="e">
        <f t="shared" ca="1" si="11"/>
        <v>#REF!</v>
      </c>
      <c r="O66" s="652">
        <f t="shared" ca="1" si="11"/>
        <v>0</v>
      </c>
      <c r="P66" s="856"/>
    </row>
    <row r="67" spans="1:22" ht="15">
      <c r="A67" s="3"/>
      <c r="B67" s="857"/>
      <c r="C67" s="546" t="s">
        <v>41</v>
      </c>
      <c r="D67" s="546" t="str">
        <f>INDEX(Vectors[Description], MATCH(XVII.a.Outputs[Vector], Vectors[Code], 0))</f>
        <v>Electricity (supplied to grid)</v>
      </c>
      <c r="E67" s="546"/>
      <c r="F67" s="652" t="e">
        <f ca="1">-F$42</f>
        <v>#REF!</v>
      </c>
      <c r="G67" s="652" t="e">
        <f t="shared" ref="G67:O67" ca="1" si="12">-G$42</f>
        <v>#REF!</v>
      </c>
      <c r="H67" s="652" t="e">
        <f t="shared" ca="1" si="12"/>
        <v>#REF!</v>
      </c>
      <c r="I67" s="652" t="e">
        <f t="shared" ca="1" si="12"/>
        <v>#REF!</v>
      </c>
      <c r="J67" s="652" t="e">
        <f t="shared" ca="1" si="12"/>
        <v>#REF!</v>
      </c>
      <c r="K67" s="652" t="e">
        <f t="shared" ca="1" si="12"/>
        <v>#REF!</v>
      </c>
      <c r="L67" s="652" t="e">
        <f t="shared" ca="1" si="12"/>
        <v>#REF!</v>
      </c>
      <c r="M67" s="652" t="e">
        <f t="shared" ca="1" si="12"/>
        <v>#REF!</v>
      </c>
      <c r="N67" s="652" t="e">
        <f t="shared" ca="1" si="12"/>
        <v>#REF!</v>
      </c>
      <c r="O67" s="652">
        <f t="shared" ca="1" si="12"/>
        <v>0</v>
      </c>
      <c r="P67" s="856"/>
    </row>
    <row r="68" spans="1:22" ht="15">
      <c r="A68" s="3"/>
      <c r="B68" s="857"/>
      <c r="C68" s="546" t="s">
        <v>31</v>
      </c>
      <c r="D68" s="546" t="str">
        <f>INDEX(Vectors[Description], MATCH(XVII.a.Outputs[Vector], Vectors[Code], 0))</f>
        <v>Conversion losses</v>
      </c>
      <c r="E68" s="546"/>
      <c r="F68" s="652" t="e">
        <f ca="1">-F$43</f>
        <v>#REF!</v>
      </c>
      <c r="G68" s="652" t="e">
        <f t="shared" ref="G68:O68" ca="1" si="13">-G$43</f>
        <v>#REF!</v>
      </c>
      <c r="H68" s="652" t="e">
        <f t="shared" ca="1" si="13"/>
        <v>#REF!</v>
      </c>
      <c r="I68" s="652" t="e">
        <f t="shared" ca="1" si="13"/>
        <v>#REF!</v>
      </c>
      <c r="J68" s="652" t="e">
        <f t="shared" ca="1" si="13"/>
        <v>#REF!</v>
      </c>
      <c r="K68" s="652" t="e">
        <f t="shared" ca="1" si="13"/>
        <v>#REF!</v>
      </c>
      <c r="L68" s="652" t="e">
        <f t="shared" ca="1" si="13"/>
        <v>#REF!</v>
      </c>
      <c r="M68" s="652" t="e">
        <f t="shared" ca="1" si="13"/>
        <v>#REF!</v>
      </c>
      <c r="N68" s="652" t="e">
        <f t="shared" ca="1" si="13"/>
        <v>#REF!</v>
      </c>
      <c r="O68" s="652">
        <f t="shared" ca="1" si="13"/>
        <v>0</v>
      </c>
      <c r="P68" s="856"/>
    </row>
    <row r="69" spans="1:22" ht="15">
      <c r="A69" s="3"/>
      <c r="B69" s="857"/>
      <c r="C69" s="546" t="s">
        <v>132</v>
      </c>
      <c r="D69" s="546"/>
      <c r="E69" s="546"/>
      <c r="F69" s="1078" t="e">
        <f ca="1">SUBTOTAL(109,XVII.a.Outputs[2007])</f>
        <v>#REF!</v>
      </c>
      <c r="G69" s="1078" t="e">
        <f ca="1">SUBTOTAL(109,XVII.a.Outputs[2010])</f>
        <v>#REF!</v>
      </c>
      <c r="H69" s="1078" t="e">
        <f ca="1">SUBTOTAL(109,XVII.a.Outputs[2015])</f>
        <v>#REF!</v>
      </c>
      <c r="I69" s="1078" t="e">
        <f ca="1">SUBTOTAL(109,XVII.a.Outputs[2020])</f>
        <v>#REF!</v>
      </c>
      <c r="J69" s="1078" t="e">
        <f ca="1">SUBTOTAL(109,XVII.a.Outputs[2025])</f>
        <v>#REF!</v>
      </c>
      <c r="K69" s="1078" t="e">
        <f ca="1">SUBTOTAL(109,XVII.a.Outputs[2030])</f>
        <v>#REF!</v>
      </c>
      <c r="L69" s="1078" t="e">
        <f ca="1">SUBTOTAL(109,XVII.a.Outputs[2035])</f>
        <v>#REF!</v>
      </c>
      <c r="M69" s="1078" t="e">
        <f ca="1">SUBTOTAL(109,XVII.a.Outputs[2040])</f>
        <v>#REF!</v>
      </c>
      <c r="N69" s="1078" t="e">
        <f ca="1">SUBTOTAL(109,XVII.a.Outputs[2045])</f>
        <v>#REF!</v>
      </c>
      <c r="O69" s="1078">
        <f ca="1">SUBTOTAL(109,XVII.a.Outputs[2050])</f>
        <v>0</v>
      </c>
      <c r="P69" s="856"/>
    </row>
    <row r="70" spans="1:22" ht="15">
      <c r="A70" s="3"/>
      <c r="B70" s="858"/>
      <c r="C70" s="927"/>
      <c r="D70" s="928"/>
      <c r="E70" s="928"/>
      <c r="F70" s="928"/>
      <c r="G70" s="928"/>
      <c r="H70" s="928"/>
      <c r="I70" s="928"/>
      <c r="J70" s="928"/>
      <c r="K70" s="928"/>
      <c r="L70" s="928"/>
      <c r="M70" s="928"/>
      <c r="N70" s="928"/>
      <c r="O70" s="928"/>
      <c r="P70" s="861"/>
    </row>
    <row r="72" spans="1:22" ht="21.75" customHeight="1">
      <c r="B72" s="1878" t="s">
        <v>1561</v>
      </c>
      <c r="C72" s="1610"/>
      <c r="D72" s="1879"/>
      <c r="E72" s="1879"/>
      <c r="F72" s="1879"/>
      <c r="G72" s="1879"/>
      <c r="H72" s="1879"/>
      <c r="I72" s="1879"/>
      <c r="J72" s="1879"/>
      <c r="K72" s="1879"/>
      <c r="L72" s="1879"/>
      <c r="M72" s="1879"/>
      <c r="N72" s="1879"/>
      <c r="O72" s="1879"/>
      <c r="P72" s="1880"/>
      <c r="S72" s="1601"/>
      <c r="T72" s="1608"/>
      <c r="U72" s="1601"/>
      <c r="V72" s="1601"/>
    </row>
    <row r="73" spans="1:22">
      <c r="B73" s="1611"/>
      <c r="C73" s="1612"/>
      <c r="D73" s="1612"/>
      <c r="E73" s="1612"/>
      <c r="F73" s="1612"/>
      <c r="G73" s="1612"/>
      <c r="H73" s="1612"/>
      <c r="I73" s="1612"/>
      <c r="J73" s="1612"/>
      <c r="K73" s="1612"/>
      <c r="L73" s="1612"/>
      <c r="M73" s="1612"/>
      <c r="N73" s="1612"/>
      <c r="O73" s="1612"/>
      <c r="P73" s="1613"/>
      <c r="T73" s="532"/>
    </row>
    <row r="74" spans="1:22">
      <c r="B74" s="1881"/>
      <c r="C74" s="1614" t="s">
        <v>1566</v>
      </c>
      <c r="D74" s="1882"/>
      <c r="E74" s="1615"/>
      <c r="F74" s="1882"/>
      <c r="G74" s="1615"/>
      <c r="H74" s="1882"/>
      <c r="I74" s="1882"/>
      <c r="J74" s="1882"/>
      <c r="K74" s="1882"/>
      <c r="L74" s="1882"/>
      <c r="M74" s="1882"/>
      <c r="N74" s="1882"/>
      <c r="O74" s="1615"/>
      <c r="P74" s="1883"/>
      <c r="T74" s="532"/>
    </row>
    <row r="75" spans="1:22">
      <c r="B75" s="1881"/>
      <c r="C75" s="1882"/>
      <c r="D75" s="1882"/>
      <c r="E75" s="1882"/>
      <c r="F75" s="1882"/>
      <c r="G75" s="1882"/>
      <c r="H75" s="1882"/>
      <c r="I75" s="1882"/>
      <c r="J75" s="1882"/>
      <c r="K75" s="1882"/>
      <c r="L75" s="1882"/>
      <c r="M75" s="1882"/>
      <c r="N75" s="1882"/>
      <c r="O75" s="1882"/>
      <c r="P75" s="1883"/>
      <c r="T75" s="532"/>
    </row>
    <row r="76" spans="1:22" ht="15">
      <c r="B76" s="1884"/>
      <c r="C76" s="1885" t="s">
        <v>72</v>
      </c>
      <c r="D76" s="1885" t="s">
        <v>1562</v>
      </c>
      <c r="E76" s="1885" t="s">
        <v>421</v>
      </c>
      <c r="F76" s="1885" t="s">
        <v>576</v>
      </c>
      <c r="G76" s="1885" t="s">
        <v>577</v>
      </c>
      <c r="H76" s="1885" t="s">
        <v>604</v>
      </c>
      <c r="I76" s="1885" t="s">
        <v>605</v>
      </c>
      <c r="J76" s="1885" t="s">
        <v>606</v>
      </c>
      <c r="K76" s="1885" t="s">
        <v>607</v>
      </c>
      <c r="L76" s="1885" t="s">
        <v>608</v>
      </c>
      <c r="M76" s="1885" t="s">
        <v>609</v>
      </c>
      <c r="N76" s="1885" t="s">
        <v>610</v>
      </c>
      <c r="O76" s="1885" t="s">
        <v>611</v>
      </c>
      <c r="P76" s="1883"/>
    </row>
    <row r="77" spans="1:22" ht="15">
      <c r="B77" s="1884"/>
      <c r="C77" s="1886" t="s">
        <v>1563</v>
      </c>
      <c r="D77" s="1887" t="str">
        <f>INDEX(Vectors[Description], MATCH(XVII.a.info[Vector], Vectors[Code], 0))</f>
        <v>UK Land area</v>
      </c>
      <c r="E77" s="1887">
        <f>INDEX(Vectors[Comment], MATCH(XVII.a.info[Information type], Vectors[Description], 0))</f>
        <v>0</v>
      </c>
      <c r="F77" s="1618" t="e">
        <f ca="1">F9</f>
        <v>#REF!</v>
      </c>
      <c r="G77" s="1618"/>
      <c r="H77" s="1618"/>
      <c r="I77" s="1618"/>
      <c r="J77" s="1618"/>
      <c r="K77" s="1618"/>
      <c r="L77" s="1618"/>
      <c r="M77" s="1618"/>
      <c r="N77" s="1618"/>
      <c r="O77" s="1618"/>
      <c r="P77" s="1883"/>
    </row>
    <row r="78" spans="1:22" ht="15">
      <c r="B78" s="1884"/>
      <c r="C78" s="1886" t="s">
        <v>1569</v>
      </c>
      <c r="D78" s="1887" t="str">
        <f>INDEX(Vectors[Description], MATCH(XVII.a.info[Vector], Vectors[Code], 0))</f>
        <v>Number of units</v>
      </c>
      <c r="E78" s="1887"/>
      <c r="F78" s="1618">
        <f>F11</f>
        <v>0</v>
      </c>
      <c r="G78" s="1618"/>
      <c r="H78" s="1618"/>
      <c r="I78" s="1618"/>
      <c r="J78" s="1618"/>
      <c r="K78" s="1618"/>
      <c r="L78" s="1618"/>
      <c r="M78" s="1618"/>
      <c r="N78" s="1618"/>
      <c r="O78" s="1618"/>
      <c r="P78" s="1883"/>
    </row>
    <row r="79" spans="1:22" ht="15">
      <c r="B79" s="1619"/>
      <c r="C79" s="1888"/>
      <c r="D79" s="1888"/>
      <c r="E79" s="1888"/>
      <c r="F79" s="1888"/>
      <c r="G79" s="1888"/>
      <c r="H79" s="1888"/>
      <c r="I79" s="1888"/>
      <c r="J79" s="1888"/>
      <c r="K79" s="1888"/>
      <c r="L79" s="1888"/>
      <c r="M79" s="1888"/>
      <c r="N79" s="1888"/>
      <c r="O79" s="1888"/>
      <c r="P79" s="1616"/>
    </row>
    <row r="81" spans="2:17" ht="23.25" customHeight="1">
      <c r="B81" s="1878" t="s">
        <v>1998</v>
      </c>
      <c r="C81" s="1879"/>
      <c r="D81" s="1879"/>
      <c r="E81" s="1879"/>
      <c r="F81" s="1879"/>
      <c r="G81" s="1879"/>
      <c r="H81" s="1879"/>
      <c r="I81" s="1879"/>
      <c r="J81" s="1879"/>
      <c r="K81" s="1879"/>
      <c r="L81" s="1879"/>
      <c r="M81" s="1879"/>
      <c r="N81" s="1879"/>
      <c r="O81" s="1879"/>
      <c r="P81" s="1880"/>
      <c r="Q81" s="1116"/>
    </row>
    <row r="82" spans="2:17">
      <c r="B82" s="1881"/>
      <c r="C82" s="1882"/>
      <c r="D82" s="1882"/>
      <c r="E82" s="1882"/>
      <c r="F82" s="1882"/>
      <c r="G82" s="1882"/>
      <c r="H82" s="1882"/>
      <c r="I82" s="1882"/>
      <c r="J82" s="1882"/>
      <c r="K82" s="1882"/>
      <c r="L82" s="1882"/>
      <c r="M82" s="1882"/>
      <c r="N82" s="1882"/>
      <c r="O82" s="1882"/>
      <c r="P82" s="1883"/>
      <c r="Q82" s="1116"/>
    </row>
    <row r="83" spans="2:17">
      <c r="B83" s="1881"/>
      <c r="C83" s="1889" t="s">
        <v>1999</v>
      </c>
      <c r="D83" s="1890"/>
      <c r="E83" s="1890"/>
      <c r="F83" s="1890"/>
      <c r="G83" s="1890"/>
      <c r="H83" s="1890"/>
      <c r="I83" s="1890"/>
      <c r="J83" s="1890"/>
      <c r="K83" s="1890"/>
      <c r="L83" s="1890"/>
      <c r="M83" s="1890"/>
      <c r="N83" s="1890"/>
      <c r="O83" s="1890"/>
      <c r="P83" s="1883"/>
      <c r="Q83" s="1116"/>
    </row>
    <row r="84" spans="2:17">
      <c r="B84" s="1881"/>
      <c r="C84" s="1882" t="s">
        <v>1974</v>
      </c>
      <c r="D84" s="1882"/>
      <c r="E84" s="1882"/>
      <c r="F84" s="1882"/>
      <c r="G84" s="1882"/>
      <c r="H84" s="1882"/>
      <c r="I84" s="1882"/>
      <c r="J84" s="1882"/>
      <c r="K84" s="1882"/>
      <c r="L84" s="1882"/>
      <c r="M84" s="1882"/>
      <c r="N84" s="1882"/>
      <c r="O84" s="1882"/>
      <c r="P84" s="1883"/>
      <c r="Q84" s="1116"/>
    </row>
    <row r="85" spans="2:17" ht="15">
      <c r="B85" s="1884"/>
      <c r="C85" s="1885" t="s">
        <v>72</v>
      </c>
      <c r="D85" s="1885" t="s">
        <v>399</v>
      </c>
      <c r="E85" s="1885" t="s">
        <v>421</v>
      </c>
      <c r="F85" s="1885" t="s">
        <v>576</v>
      </c>
      <c r="G85" s="1885" t="s">
        <v>577</v>
      </c>
      <c r="H85" s="1885" t="s">
        <v>604</v>
      </c>
      <c r="I85" s="1885" t="s">
        <v>605</v>
      </c>
      <c r="J85" s="1885" t="s">
        <v>606</v>
      </c>
      <c r="K85" s="1885" t="s">
        <v>607</v>
      </c>
      <c r="L85" s="1885" t="s">
        <v>608</v>
      </c>
      <c r="M85" s="1885" t="s">
        <v>609</v>
      </c>
      <c r="N85" s="1885" t="s">
        <v>610</v>
      </c>
      <c r="O85" s="1885" t="s">
        <v>611</v>
      </c>
      <c r="P85" s="1891"/>
      <c r="Q85" s="1116"/>
    </row>
    <row r="86" spans="2:17" ht="15">
      <c r="B86" s="1884"/>
      <c r="C86" s="1886" t="s">
        <v>1944</v>
      </c>
      <c r="D86" s="1887" t="str">
        <f>INDEX(CostVectors[Description], MATCH(C86, CostVectors[Code], 0))</f>
        <v>Low estimate of capital costs</v>
      </c>
      <c r="E86" s="1887"/>
      <c r="F86" s="1896">
        <f>F53</f>
        <v>0</v>
      </c>
      <c r="G86" s="1896" t="e">
        <f t="shared" ref="G86:O87" ca="1" si="14">G53</f>
        <v>#REF!</v>
      </c>
      <c r="H86" s="1896" t="e">
        <f t="shared" ca="1" si="14"/>
        <v>#REF!</v>
      </c>
      <c r="I86" s="1896" t="e">
        <f t="shared" ca="1" si="14"/>
        <v>#REF!</v>
      </c>
      <c r="J86" s="1896" t="e">
        <f t="shared" ca="1" si="14"/>
        <v>#REF!</v>
      </c>
      <c r="K86" s="1896" t="e">
        <f t="shared" ca="1" si="14"/>
        <v>#REF!</v>
      </c>
      <c r="L86" s="1896" t="e">
        <f t="shared" ca="1" si="14"/>
        <v>#REF!</v>
      </c>
      <c r="M86" s="1896" t="e">
        <f t="shared" ca="1" si="14"/>
        <v>#REF!</v>
      </c>
      <c r="N86" s="1896" t="e">
        <f t="shared" ca="1" si="14"/>
        <v>#REF!</v>
      </c>
      <c r="O86" s="1896" t="e">
        <f t="shared" ca="1" si="14"/>
        <v>#REF!</v>
      </c>
      <c r="P86" s="1891"/>
      <c r="Q86" s="1116"/>
    </row>
    <row r="87" spans="2:17" ht="15">
      <c r="B87" s="1884"/>
      <c r="C87" s="1886" t="s">
        <v>1946</v>
      </c>
      <c r="D87" s="1887" t="str">
        <f>INDEX(CostVectors[Description], MATCH(C87, CostVectors[Code], 0))</f>
        <v>Low estimate of operating costs</v>
      </c>
      <c r="E87" s="1887"/>
      <c r="F87" s="1896" t="e">
        <f ca="1">F54</f>
        <v>#REF!</v>
      </c>
      <c r="G87" s="1896" t="e">
        <f t="shared" ca="1" si="14"/>
        <v>#REF!</v>
      </c>
      <c r="H87" s="1896" t="e">
        <f t="shared" ca="1" si="14"/>
        <v>#REF!</v>
      </c>
      <c r="I87" s="1896" t="e">
        <f t="shared" ca="1" si="14"/>
        <v>#REF!</v>
      </c>
      <c r="J87" s="1896" t="e">
        <f t="shared" ca="1" si="14"/>
        <v>#REF!</v>
      </c>
      <c r="K87" s="1896" t="e">
        <f t="shared" ca="1" si="14"/>
        <v>#REF!</v>
      </c>
      <c r="L87" s="1896" t="e">
        <f t="shared" ca="1" si="14"/>
        <v>#REF!</v>
      </c>
      <c r="M87" s="1896" t="e">
        <f t="shared" ca="1" si="14"/>
        <v>#REF!</v>
      </c>
      <c r="N87" s="1896" t="e">
        <f t="shared" ca="1" si="14"/>
        <v>#REF!</v>
      </c>
      <c r="O87" s="1896">
        <f t="shared" ca="1" si="14"/>
        <v>0</v>
      </c>
      <c r="P87" s="1891"/>
      <c r="Q87" s="1116"/>
    </row>
    <row r="88" spans="2:17">
      <c r="B88" s="1892"/>
      <c r="C88" s="1886" t="s">
        <v>1953</v>
      </c>
      <c r="D88" s="1887" t="str">
        <f>INDEX(CostVectors[Description], MATCH(C88, CostVectors[Code], 0))</f>
        <v>High estimate of capital costs</v>
      </c>
      <c r="E88" s="1887"/>
      <c r="F88" s="1896">
        <f>F57</f>
        <v>0</v>
      </c>
      <c r="G88" s="1896" t="e">
        <f t="shared" ref="G88:O89" ca="1" si="15">G57</f>
        <v>#REF!</v>
      </c>
      <c r="H88" s="1896" t="e">
        <f t="shared" ca="1" si="15"/>
        <v>#REF!</v>
      </c>
      <c r="I88" s="1896" t="e">
        <f t="shared" ca="1" si="15"/>
        <v>#REF!</v>
      </c>
      <c r="J88" s="1896" t="e">
        <f t="shared" ca="1" si="15"/>
        <v>#REF!</v>
      </c>
      <c r="K88" s="1896" t="e">
        <f t="shared" ca="1" si="15"/>
        <v>#REF!</v>
      </c>
      <c r="L88" s="1896" t="e">
        <f t="shared" ca="1" si="15"/>
        <v>#REF!</v>
      </c>
      <c r="M88" s="1896" t="e">
        <f t="shared" ca="1" si="15"/>
        <v>#REF!</v>
      </c>
      <c r="N88" s="1896" t="e">
        <f t="shared" ca="1" si="15"/>
        <v>#REF!</v>
      </c>
      <c r="O88" s="1896" t="e">
        <f t="shared" ca="1" si="15"/>
        <v>#REF!</v>
      </c>
      <c r="P88" s="1893"/>
      <c r="Q88" s="1116"/>
    </row>
    <row r="89" spans="2:17">
      <c r="B89" s="1892"/>
      <c r="C89" s="1886" t="s">
        <v>1955</v>
      </c>
      <c r="D89" s="1887" t="str">
        <f>INDEX(CostVectors[Description], MATCH(C89, CostVectors[Code], 0))</f>
        <v>High estimate of operating costs</v>
      </c>
      <c r="E89" s="1887"/>
      <c r="F89" s="1896" t="e">
        <f ca="1">F58</f>
        <v>#REF!</v>
      </c>
      <c r="G89" s="1896" t="e">
        <f t="shared" ca="1" si="15"/>
        <v>#REF!</v>
      </c>
      <c r="H89" s="1896" t="e">
        <f t="shared" ca="1" si="15"/>
        <v>#REF!</v>
      </c>
      <c r="I89" s="1896" t="e">
        <f t="shared" ca="1" si="15"/>
        <v>#REF!</v>
      </c>
      <c r="J89" s="1896" t="e">
        <f t="shared" ca="1" si="15"/>
        <v>#REF!</v>
      </c>
      <c r="K89" s="1896" t="e">
        <f t="shared" ca="1" si="15"/>
        <v>#REF!</v>
      </c>
      <c r="L89" s="1896" t="e">
        <f t="shared" ca="1" si="15"/>
        <v>#REF!</v>
      </c>
      <c r="M89" s="1896" t="e">
        <f t="shared" ca="1" si="15"/>
        <v>#REF!</v>
      </c>
      <c r="N89" s="1896" t="e">
        <f t="shared" ca="1" si="15"/>
        <v>#REF!</v>
      </c>
      <c r="O89" s="1896">
        <f t="shared" ca="1" si="15"/>
        <v>0</v>
      </c>
      <c r="P89" s="1893"/>
      <c r="Q89" s="1116"/>
    </row>
    <row r="90" spans="2:17">
      <c r="B90" s="1894"/>
      <c r="C90" s="1888"/>
      <c r="D90" s="1888"/>
      <c r="E90" s="1888"/>
      <c r="F90" s="1888"/>
      <c r="G90" s="1888"/>
      <c r="H90" s="1888"/>
      <c r="I90" s="1888"/>
      <c r="J90" s="1888"/>
      <c r="K90" s="1888"/>
      <c r="L90" s="1888"/>
      <c r="M90" s="1888"/>
      <c r="N90" s="1888"/>
      <c r="O90" s="1888"/>
      <c r="P90" s="1895"/>
      <c r="Q90" s="1116"/>
    </row>
  </sheetData>
  <hyperlinks>
    <hyperlink ref="D34" r:id="rId1"/>
  </hyperlinks>
  <pageMargins left="0.7" right="0.7" top="0.75" bottom="0.75" header="0.3" footer="0.3"/>
  <tableParts count="4">
    <tablePart r:id="rId2"/>
    <tablePart r:id="rId3"/>
    <tablePart r:id="rId4"/>
    <tablePart r:id="rId5"/>
  </tableParts>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outlinePr summaryBelow="0"/>
    <pageSetUpPr autoPageBreaks="0"/>
  </sheetPr>
  <dimension ref="A1:Q63"/>
  <sheetViews>
    <sheetView workbookViewId="0"/>
  </sheetViews>
  <sheetFormatPr baseColWidth="10" defaultColWidth="8.83203125" defaultRowHeight="13" x14ac:dyDescent="0"/>
  <cols>
    <col min="1" max="1" width="7.1640625" style="1943" customWidth="1"/>
    <col min="2" max="2" width="2.5" style="1943" customWidth="1"/>
    <col min="3" max="3" width="8.83203125" style="1943"/>
    <col min="4" max="4" width="28.1640625" style="1943" bestFit="1" customWidth="1"/>
    <col min="5" max="5" width="8.1640625" style="1943" customWidth="1"/>
    <col min="6" max="6" width="9.1640625" style="1943" customWidth="1"/>
    <col min="7" max="7" width="10.5" style="1943" bestFit="1" customWidth="1"/>
    <col min="8" max="14" width="8.83203125" style="1943"/>
    <col min="15" max="15" width="16.1640625" style="1943" customWidth="1"/>
    <col min="16" max="16" width="2" style="1943" customWidth="1"/>
    <col min="17" max="16384" width="8.83203125" style="1943"/>
  </cols>
  <sheetData>
    <row r="1" spans="1:16" ht="20">
      <c r="A1" s="567" t="s">
        <v>2183</v>
      </c>
      <c r="B1" s="567" t="str">
        <f>INDEX(Workstreams[Workstream], MATCH($A1, Workstreams[Code], 0))</f>
        <v>Carbon Capture</v>
      </c>
      <c r="C1" s="567"/>
    </row>
    <row r="2" spans="1:16" s="532" customFormat="1" ht="19.5" customHeight="1">
      <c r="A2" s="10"/>
      <c r="B2" s="10"/>
      <c r="C2" s="10"/>
      <c r="E2" s="532" t="s">
        <v>2189</v>
      </c>
    </row>
    <row r="4" spans="1:16" ht="22">
      <c r="A4" s="1874"/>
      <c r="B4" s="899" t="s">
        <v>571</v>
      </c>
      <c r="C4" s="863"/>
      <c r="D4" s="863"/>
      <c r="E4" s="863"/>
      <c r="F4" s="863"/>
      <c r="G4" s="863"/>
      <c r="H4" s="863"/>
      <c r="I4" s="863"/>
      <c r="J4" s="863"/>
      <c r="K4" s="863"/>
      <c r="L4" s="863"/>
      <c r="M4" s="863"/>
      <c r="N4" s="863"/>
      <c r="O4" s="863"/>
      <c r="P4" s="865"/>
    </row>
    <row r="5" spans="1:16">
      <c r="B5" s="852"/>
      <c r="C5" s="854"/>
      <c r="D5" s="854"/>
      <c r="E5" s="854"/>
      <c r="F5" s="854"/>
      <c r="G5" s="854"/>
      <c r="H5" s="854"/>
      <c r="I5" s="854"/>
      <c r="J5" s="854"/>
      <c r="K5" s="854"/>
      <c r="L5" s="854"/>
      <c r="M5" s="854"/>
      <c r="N5" s="854"/>
      <c r="O5" s="854"/>
      <c r="P5" s="856"/>
    </row>
    <row r="6" spans="1:16">
      <c r="B6" s="852"/>
      <c r="C6" s="866" t="s">
        <v>984</v>
      </c>
      <c r="D6" s="854"/>
      <c r="E6" s="855"/>
      <c r="F6" s="854"/>
      <c r="G6" s="854"/>
      <c r="H6" s="854"/>
      <c r="I6" s="854"/>
      <c r="J6" s="854"/>
      <c r="K6" s="854"/>
      <c r="L6" s="854"/>
      <c r="M6" s="854"/>
      <c r="N6" s="854"/>
      <c r="O6" s="855" t="s">
        <v>811</v>
      </c>
      <c r="P6" s="856"/>
    </row>
    <row r="7" spans="1:16" ht="6" customHeight="1">
      <c r="B7" s="852"/>
      <c r="C7" s="853"/>
      <c r="D7" s="854"/>
      <c r="E7" s="855"/>
      <c r="F7" s="854"/>
      <c r="G7" s="854"/>
      <c r="H7" s="854"/>
      <c r="I7" s="854"/>
      <c r="J7" s="854"/>
      <c r="K7" s="854"/>
      <c r="L7" s="854"/>
      <c r="M7" s="854"/>
      <c r="N7" s="854"/>
      <c r="O7" s="854"/>
      <c r="P7" s="856"/>
    </row>
    <row r="8" spans="1:16" s="532" customFormat="1" ht="15">
      <c r="A8" s="537"/>
      <c r="B8" s="867"/>
      <c r="C8" s="868" t="s">
        <v>72</v>
      </c>
      <c r="D8" s="868" t="s">
        <v>399</v>
      </c>
      <c r="E8" s="868" t="s">
        <v>421</v>
      </c>
      <c r="F8" s="868" t="s">
        <v>576</v>
      </c>
      <c r="G8" s="868" t="s">
        <v>577</v>
      </c>
      <c r="H8" s="868" t="s">
        <v>604</v>
      </c>
      <c r="I8" s="868" t="s">
        <v>605</v>
      </c>
      <c r="J8" s="868" t="s">
        <v>606</v>
      </c>
      <c r="K8" s="868" t="s">
        <v>607</v>
      </c>
      <c r="L8" s="868" t="s">
        <v>608</v>
      </c>
      <c r="M8" s="868" t="s">
        <v>609</v>
      </c>
      <c r="N8" s="868" t="s">
        <v>610</v>
      </c>
      <c r="O8" s="868" t="s">
        <v>611</v>
      </c>
      <c r="P8" s="856"/>
    </row>
    <row r="9" spans="1:16" s="532" customFormat="1" ht="18" customHeight="1">
      <c r="A9" s="537"/>
      <c r="B9" s="867"/>
      <c r="C9" s="1219" t="s">
        <v>833</v>
      </c>
      <c r="D9" s="1218" t="str">
        <f>INDEX(IPCC[Sector_description], MATCH($C9, IPCC[Sector_code], 0))</f>
        <v>Carbon capture</v>
      </c>
      <c r="E9" s="1218"/>
      <c r="F9" s="1947" t="e">
        <f t="shared" ref="F9:N9" ca="1" si="0">SUMIFS(INDIRECT("'"&amp;F$8&amp;"'!Year.Emissions"), INDIRECT("'"&amp;F$8&amp;"'!Year.IPCC"), $C9)</f>
        <v>#REF!</v>
      </c>
      <c r="G9" s="1947" t="e">
        <f t="shared" ca="1" si="0"/>
        <v>#REF!</v>
      </c>
      <c r="H9" s="1947" t="e">
        <f t="shared" ca="1" si="0"/>
        <v>#REF!</v>
      </c>
      <c r="I9" s="1947" t="e">
        <f t="shared" ca="1" si="0"/>
        <v>#REF!</v>
      </c>
      <c r="J9" s="1947" t="e">
        <f t="shared" ca="1" si="0"/>
        <v>#REF!</v>
      </c>
      <c r="K9" s="1947" t="e">
        <f t="shared" ca="1" si="0"/>
        <v>#REF!</v>
      </c>
      <c r="L9" s="1947" t="e">
        <f t="shared" ca="1" si="0"/>
        <v>#REF!</v>
      </c>
      <c r="M9" s="1947" t="e">
        <f t="shared" ca="1" si="0"/>
        <v>#REF!</v>
      </c>
      <c r="N9" s="1947" t="e">
        <f t="shared" ca="1" si="0"/>
        <v>#REF!</v>
      </c>
      <c r="O9" s="1947">
        <f ca="1">SUMIFS(INDIRECT("'"&amp;O$8&amp;"'!Year.Emissions"), INDIRECT("'"&amp;O$8&amp;"'!Year.IPCC"), $C9)</f>
        <v>-136.06644161766704</v>
      </c>
      <c r="P9" s="856"/>
    </row>
    <row r="10" spans="1:16">
      <c r="B10" s="871"/>
      <c r="C10" s="860"/>
      <c r="D10" s="860"/>
      <c r="E10" s="860"/>
      <c r="F10" s="860"/>
      <c r="G10" s="860"/>
      <c r="H10" s="860"/>
      <c r="I10" s="860"/>
      <c r="J10" s="860"/>
      <c r="K10" s="860"/>
      <c r="L10" s="860"/>
      <c r="M10" s="860"/>
      <c r="N10" s="860"/>
      <c r="O10" s="860"/>
      <c r="P10" s="861"/>
    </row>
    <row r="12" spans="1:16" s="532" customFormat="1" ht="22">
      <c r="A12" s="850"/>
      <c r="B12" s="1875" t="s">
        <v>1983</v>
      </c>
      <c r="C12" s="847"/>
      <c r="D12" s="847"/>
      <c r="E12" s="847"/>
      <c r="F12" s="847"/>
      <c r="G12" s="847"/>
      <c r="H12" s="847"/>
      <c r="I12" s="847"/>
      <c r="J12" s="847"/>
      <c r="K12" s="847"/>
      <c r="L12" s="847"/>
      <c r="M12" s="847"/>
      <c r="N12" s="847"/>
      <c r="O12" s="847"/>
      <c r="P12" s="848"/>
    </row>
    <row r="13" spans="1:16">
      <c r="B13" s="1872"/>
      <c r="C13" s="1112"/>
      <c r="D13" s="1870"/>
      <c r="E13" s="613"/>
      <c r="F13" s="1870"/>
      <c r="G13" s="1870"/>
      <c r="H13" s="613"/>
      <c r="I13" s="1870"/>
      <c r="J13" s="1870"/>
      <c r="K13" s="1870"/>
      <c r="L13" s="1870"/>
      <c r="M13" s="1870"/>
      <c r="N13" s="1870"/>
      <c r="O13" s="1870"/>
      <c r="P13" s="1873"/>
    </row>
    <row r="14" spans="1:16">
      <c r="B14" s="1872"/>
      <c r="C14" s="1871" t="s">
        <v>2090</v>
      </c>
      <c r="D14" s="1870"/>
      <c r="E14" s="613"/>
      <c r="F14" s="1870"/>
      <c r="G14" s="1870"/>
      <c r="H14" s="613"/>
      <c r="I14" s="1870"/>
      <c r="J14" s="1870"/>
      <c r="K14" s="1870"/>
      <c r="L14" s="1870"/>
      <c r="M14" s="1870"/>
      <c r="N14" s="1870"/>
      <c r="O14" s="1870"/>
      <c r="P14" s="1873"/>
    </row>
    <row r="15" spans="1:16">
      <c r="B15" s="1872"/>
      <c r="C15" s="1112"/>
      <c r="D15" s="1870"/>
      <c r="E15" s="613"/>
      <c r="F15" s="1870"/>
      <c r="G15" s="1870"/>
      <c r="H15" s="613"/>
      <c r="I15" s="1870"/>
      <c r="J15" s="1870"/>
      <c r="K15" s="1870"/>
      <c r="L15" s="1870"/>
      <c r="M15" s="1870"/>
      <c r="N15" s="1870"/>
      <c r="O15" s="1870"/>
      <c r="P15" s="1873"/>
    </row>
    <row r="16" spans="1:16">
      <c r="B16" s="1872"/>
      <c r="C16" s="1871" t="s">
        <v>2036</v>
      </c>
      <c r="D16" s="1870"/>
      <c r="E16" s="1634" t="s">
        <v>1156</v>
      </c>
      <c r="F16" s="1871" t="s">
        <v>1155</v>
      </c>
      <c r="G16" s="1870"/>
      <c r="H16" s="613"/>
      <c r="I16" s="1870"/>
      <c r="J16" s="1870"/>
      <c r="K16" s="1870"/>
      <c r="L16" s="1870"/>
      <c r="M16" s="1870"/>
      <c r="N16" s="1870"/>
      <c r="O16" s="1870"/>
      <c r="P16" s="1873"/>
    </row>
    <row r="17" spans="2:16">
      <c r="B17" s="1872"/>
      <c r="C17" s="1870" t="s">
        <v>2038</v>
      </c>
      <c r="D17" s="1870"/>
      <c r="E17" s="1793">
        <v>3.1879</v>
      </c>
      <c r="F17" s="613">
        <v>1.6870000000000001</v>
      </c>
      <c r="G17" s="613"/>
      <c r="H17" s="613"/>
      <c r="I17" s="1870"/>
      <c r="J17" s="1870"/>
      <c r="K17" s="1870"/>
      <c r="L17" s="1870"/>
      <c r="M17" s="1870"/>
      <c r="N17" s="1870"/>
      <c r="O17" s="1870"/>
      <c r="P17" s="1873"/>
    </row>
    <row r="18" spans="2:16">
      <c r="B18" s="1872"/>
      <c r="C18" s="1870" t="s">
        <v>2037</v>
      </c>
      <c r="D18" s="1870"/>
      <c r="E18" s="1870">
        <v>1.7963</v>
      </c>
      <c r="F18" s="613">
        <v>0.95050000000000001</v>
      </c>
      <c r="G18" s="613"/>
      <c r="H18" s="613"/>
      <c r="I18" s="1870"/>
      <c r="J18" s="1870"/>
      <c r="K18" s="1870"/>
      <c r="L18" s="1870"/>
      <c r="M18" s="1870"/>
      <c r="N18" s="1870"/>
      <c r="O18" s="1870"/>
      <c r="P18" s="1873"/>
    </row>
    <row r="19" spans="2:16">
      <c r="B19" s="1872"/>
      <c r="C19" s="1870" t="s">
        <v>2039</v>
      </c>
      <c r="D19" s="1870"/>
      <c r="E19" s="1870">
        <v>1.6868000000000001</v>
      </c>
      <c r="F19" s="613">
        <v>0.56230000000000002</v>
      </c>
      <c r="G19" s="613"/>
      <c r="H19" s="613"/>
      <c r="I19" s="1870"/>
      <c r="J19" s="1870"/>
      <c r="K19" s="1870"/>
      <c r="L19" s="1870"/>
      <c r="M19" s="1870"/>
      <c r="N19" s="1870"/>
      <c r="O19" s="1870"/>
      <c r="P19" s="1873"/>
    </row>
    <row r="20" spans="2:16">
      <c r="B20" s="1872"/>
      <c r="C20" s="1870" t="s">
        <v>2040</v>
      </c>
      <c r="D20" s="1870"/>
      <c r="E20" s="1870">
        <v>0.95050000000000001</v>
      </c>
      <c r="F20" s="613">
        <v>0.31680000000000003</v>
      </c>
      <c r="G20" s="613"/>
      <c r="H20" s="613"/>
      <c r="I20" s="1870"/>
      <c r="J20" s="1870"/>
      <c r="K20" s="1870"/>
      <c r="L20" s="1870"/>
      <c r="M20" s="1870"/>
      <c r="N20" s="1870"/>
      <c r="O20" s="1870"/>
      <c r="P20" s="1873"/>
    </row>
    <row r="21" spans="2:16">
      <c r="B21" s="1872"/>
      <c r="C21" s="1870" t="s">
        <v>2041</v>
      </c>
      <c r="D21" s="1870"/>
      <c r="E21" s="613">
        <v>3.9358</v>
      </c>
      <c r="F21" s="1870">
        <v>2.0634000000000001</v>
      </c>
      <c r="G21" s="1870"/>
      <c r="H21" s="613"/>
      <c r="I21" s="1870"/>
      <c r="J21" s="1870"/>
      <c r="K21" s="1870"/>
      <c r="L21" s="1870"/>
      <c r="M21" s="1870"/>
      <c r="N21" s="1870"/>
      <c r="O21" s="1870"/>
      <c r="P21" s="1873"/>
    </row>
    <row r="22" spans="2:16">
      <c r="B22" s="1872"/>
      <c r="C22" s="1870" t="s">
        <v>2042</v>
      </c>
      <c r="D22" s="1870"/>
      <c r="E22" s="613">
        <v>2.2178</v>
      </c>
      <c r="F22" s="1870">
        <v>1.1627000000000001</v>
      </c>
      <c r="G22" s="1870"/>
      <c r="H22" s="613"/>
      <c r="I22" s="1870"/>
      <c r="J22" s="1870"/>
      <c r="K22" s="1870"/>
      <c r="L22" s="1870"/>
      <c r="M22" s="1870"/>
      <c r="N22" s="1870"/>
      <c r="O22" s="1870"/>
      <c r="P22" s="1873"/>
    </row>
    <row r="23" spans="2:16">
      <c r="B23" s="1872"/>
      <c r="C23" s="1870" t="s">
        <v>2043</v>
      </c>
      <c r="D23" s="1870"/>
      <c r="E23" s="613">
        <v>1.7531000000000001</v>
      </c>
      <c r="F23" s="613">
        <v>1.7531000000000001</v>
      </c>
      <c r="G23" s="1870"/>
      <c r="H23" s="613"/>
      <c r="I23" s="1870"/>
      <c r="J23" s="1870"/>
      <c r="K23" s="1870"/>
      <c r="L23" s="1870"/>
      <c r="M23" s="1870"/>
      <c r="N23" s="1870"/>
      <c r="O23" s="1870"/>
      <c r="P23" s="1873"/>
    </row>
    <row r="24" spans="2:16">
      <c r="B24" s="1872"/>
      <c r="C24" s="1870" t="s">
        <v>2044</v>
      </c>
      <c r="D24" s="1870"/>
      <c r="E24" s="613">
        <v>0.98780000000000001</v>
      </c>
      <c r="F24" s="613">
        <v>0.98780000000000001</v>
      </c>
      <c r="G24" s="1870"/>
      <c r="H24" s="613"/>
      <c r="I24" s="1870"/>
      <c r="J24" s="1870"/>
      <c r="K24" s="1870"/>
      <c r="L24" s="1870"/>
      <c r="M24" s="1870"/>
      <c r="N24" s="1870"/>
      <c r="O24" s="1870"/>
      <c r="P24" s="1873"/>
    </row>
    <row r="25" spans="2:16">
      <c r="B25" s="1872"/>
      <c r="C25" s="1870"/>
      <c r="D25" s="1870"/>
      <c r="E25" s="613"/>
      <c r="F25" s="613"/>
      <c r="G25" s="1870"/>
      <c r="H25" s="613"/>
      <c r="I25" s="1870"/>
      <c r="J25" s="1870"/>
      <c r="K25" s="1870"/>
      <c r="L25" s="1870"/>
      <c r="M25" s="1870"/>
      <c r="N25" s="1870"/>
      <c r="O25" s="1870"/>
      <c r="P25" s="1873"/>
    </row>
    <row r="26" spans="2:16" ht="14">
      <c r="B26" s="1872"/>
      <c r="C26" s="615" t="s">
        <v>2188</v>
      </c>
      <c r="D26" s="556"/>
      <c r="E26" s="1427"/>
      <c r="F26" s="1422"/>
      <c r="G26" s="1422"/>
      <c r="H26" s="1147"/>
      <c r="I26" s="1870"/>
      <c r="J26" s="1870"/>
      <c r="K26" s="1870"/>
      <c r="L26" s="1870"/>
      <c r="M26" s="1870"/>
      <c r="N26" s="1870"/>
      <c r="O26" s="1870"/>
      <c r="P26" s="1873"/>
    </row>
    <row r="27" spans="2:16" ht="14">
      <c r="B27" s="1872"/>
      <c r="C27" s="1868"/>
      <c r="D27" s="556"/>
      <c r="E27" s="1427"/>
      <c r="F27" s="1422"/>
      <c r="G27" s="1422"/>
      <c r="H27" s="1147"/>
      <c r="I27" s="1870"/>
      <c r="J27" s="1870"/>
      <c r="K27" s="1870"/>
      <c r="L27" s="1870"/>
      <c r="M27" s="1870"/>
      <c r="N27" s="1870"/>
      <c r="O27" s="1870"/>
      <c r="P27" s="1873"/>
    </row>
    <row r="28" spans="2:16" ht="14">
      <c r="B28" s="1872"/>
      <c r="C28" s="547"/>
      <c r="D28" s="547"/>
      <c r="E28" s="552"/>
      <c r="F28" s="643" t="s">
        <v>1156</v>
      </c>
      <c r="G28" s="643" t="s">
        <v>1155</v>
      </c>
      <c r="H28" s="1638"/>
      <c r="I28" s="1870"/>
      <c r="J28" s="1870"/>
      <c r="K28" s="1870"/>
      <c r="L28" s="1870"/>
      <c r="M28" s="1870"/>
      <c r="N28" s="1870"/>
      <c r="O28" s="1870"/>
      <c r="P28" s="1873"/>
    </row>
    <row r="29" spans="2:16" ht="14">
      <c r="B29" s="1872"/>
      <c r="C29" s="1867"/>
      <c r="D29" s="556"/>
      <c r="E29" s="1427" t="s">
        <v>102</v>
      </c>
      <c r="F29" s="1422">
        <f>E21*MGBP*Unit.PJ*Price2000</f>
        <v>1.4160161871538932</v>
      </c>
      <c r="G29" s="1422">
        <f>F19*GBP*1000000*Unit.PJ*Price2000</f>
        <v>0.20230344581448098</v>
      </c>
      <c r="H29" s="1641"/>
      <c r="I29" s="1870"/>
      <c r="J29" s="1870"/>
      <c r="K29" s="1870"/>
      <c r="L29" s="1870"/>
      <c r="M29" s="1870"/>
      <c r="N29" s="1870"/>
      <c r="O29" s="1870"/>
      <c r="P29" s="1873"/>
    </row>
    <row r="30" spans="2:16" ht="14">
      <c r="B30" s="1872"/>
      <c r="C30" s="1868"/>
      <c r="D30" s="556"/>
      <c r="E30" s="1427"/>
      <c r="F30" s="1422"/>
      <c r="G30" s="1422"/>
      <c r="H30" s="1147"/>
      <c r="I30" s="1870"/>
      <c r="J30" s="1870"/>
      <c r="K30" s="1870"/>
      <c r="L30" s="1870"/>
      <c r="M30" s="1870"/>
      <c r="N30" s="1870"/>
      <c r="O30" s="1870"/>
      <c r="P30" s="1873"/>
    </row>
    <row r="31" spans="2:16">
      <c r="B31" s="1872"/>
      <c r="C31" s="1870" t="s">
        <v>421</v>
      </c>
      <c r="D31" s="1870"/>
      <c r="E31" s="1870"/>
      <c r="F31" s="1870"/>
      <c r="G31" s="1870"/>
      <c r="H31" s="1870"/>
      <c r="I31" s="1870"/>
      <c r="J31" s="1870"/>
      <c r="K31" s="1870"/>
      <c r="L31" s="1870"/>
      <c r="M31" s="1870"/>
      <c r="N31" s="1870"/>
      <c r="O31" s="1870"/>
      <c r="P31" s="1873"/>
    </row>
    <row r="32" spans="2:16">
      <c r="B32" s="843"/>
      <c r="C32" s="908" t="s">
        <v>102</v>
      </c>
      <c r="D32" s="1807" t="s">
        <v>2189</v>
      </c>
      <c r="E32" s="1870"/>
      <c r="F32" s="1870"/>
      <c r="G32" s="1870"/>
      <c r="H32" s="1870"/>
      <c r="I32" s="1870"/>
      <c r="J32" s="1870"/>
      <c r="K32" s="1870"/>
      <c r="L32" s="1870"/>
      <c r="M32" s="1870"/>
      <c r="N32" s="1870"/>
      <c r="O32" s="1870"/>
      <c r="P32" s="1873"/>
    </row>
    <row r="33" spans="2:16">
      <c r="B33" s="844"/>
      <c r="C33" s="845"/>
      <c r="D33" s="845"/>
      <c r="E33" s="845"/>
      <c r="F33" s="845"/>
      <c r="G33" s="845"/>
      <c r="H33" s="845"/>
      <c r="I33" s="845"/>
      <c r="J33" s="845"/>
      <c r="K33" s="845"/>
      <c r="L33" s="845"/>
      <c r="M33" s="845"/>
      <c r="N33" s="845"/>
      <c r="O33" s="845"/>
      <c r="P33" s="846"/>
    </row>
    <row r="35" spans="2:16" ht="15">
      <c r="B35" s="575" t="s">
        <v>615</v>
      </c>
    </row>
    <row r="36" spans="2:16" ht="14">
      <c r="B36" s="1877">
        <v>1</v>
      </c>
      <c r="C36" s="1943" t="s">
        <v>2185</v>
      </c>
      <c r="F36" s="608">
        <v>2007</v>
      </c>
      <c r="G36" s="608">
        <v>2010</v>
      </c>
      <c r="H36" s="608">
        <v>2015</v>
      </c>
      <c r="I36" s="608">
        <v>2020</v>
      </c>
      <c r="J36" s="608">
        <v>2025</v>
      </c>
      <c r="K36" s="608">
        <v>2030</v>
      </c>
      <c r="L36" s="608">
        <v>2035</v>
      </c>
      <c r="M36" s="608">
        <v>2040</v>
      </c>
      <c r="N36" s="608">
        <v>2045</v>
      </c>
      <c r="O36" s="608">
        <v>2050</v>
      </c>
    </row>
    <row r="37" spans="2:16">
      <c r="F37" s="1943" t="e">
        <f ca="1">-XVII.a.Inputs83[2007]</f>
        <v>#REF!</v>
      </c>
      <c r="G37" s="1943" t="e">
        <f ca="1">-XVII.a.Inputs83[2010]</f>
        <v>#REF!</v>
      </c>
      <c r="H37" s="1943" t="e">
        <f ca="1">-XVII.a.Inputs83[2015]</f>
        <v>#REF!</v>
      </c>
      <c r="I37" s="1943" t="e">
        <f ca="1">-XVII.a.Inputs83[2020]</f>
        <v>#REF!</v>
      </c>
      <c r="J37" s="1943" t="e">
        <f ca="1">-XVII.a.Inputs83[2025]</f>
        <v>#REF!</v>
      </c>
      <c r="K37" s="1943" t="e">
        <f ca="1">-XVII.a.Inputs83[2030]</f>
        <v>#REF!</v>
      </c>
      <c r="L37" s="1943" t="e">
        <f ca="1">-XVII.a.Inputs83[2035]</f>
        <v>#REF!</v>
      </c>
      <c r="M37" s="1943" t="e">
        <f ca="1">-XVII.a.Inputs83[2040]</f>
        <v>#REF!</v>
      </c>
      <c r="N37" s="1943" t="e">
        <f ca="1">-XVII.a.Inputs83[2045]</f>
        <v>#REF!</v>
      </c>
      <c r="O37" s="1943">
        <f ca="1">-XVII.a.Inputs83[2050]</f>
        <v>136.06644161766704</v>
      </c>
    </row>
    <row r="38" spans="2:16">
      <c r="C38" s="1877"/>
      <c r="F38" s="563"/>
      <c r="G38" s="563"/>
      <c r="H38" s="563"/>
      <c r="I38" s="563"/>
      <c r="J38" s="563"/>
      <c r="K38" s="563"/>
      <c r="L38" s="563"/>
      <c r="M38" s="563"/>
      <c r="N38" s="563"/>
      <c r="O38" s="563"/>
    </row>
    <row r="39" spans="2:16">
      <c r="B39" s="573">
        <v>2</v>
      </c>
      <c r="C39" s="579" t="s">
        <v>2186</v>
      </c>
      <c r="F39" s="27"/>
      <c r="G39" s="27"/>
      <c r="H39" s="27"/>
      <c r="I39" s="27"/>
      <c r="J39" s="27"/>
      <c r="K39" s="27"/>
      <c r="L39" s="27"/>
      <c r="M39" s="27"/>
      <c r="N39" s="27"/>
      <c r="O39" s="27"/>
    </row>
    <row r="40" spans="2:16">
      <c r="B40" s="573"/>
      <c r="C40" s="1877"/>
      <c r="D40" s="1943" t="s">
        <v>125</v>
      </c>
      <c r="F40" s="1130">
        <f>EF.IndustrialCoal.CO2</f>
        <v>0.30799999999999994</v>
      </c>
      <c r="G40" s="563"/>
      <c r="H40" s="563"/>
      <c r="I40" s="563"/>
      <c r="J40" s="563"/>
      <c r="K40" s="563"/>
      <c r="L40" s="563"/>
      <c r="M40" s="563"/>
      <c r="N40" s="563"/>
      <c r="O40" s="563"/>
    </row>
    <row r="41" spans="2:16">
      <c r="B41" s="1901"/>
      <c r="D41" s="1943" t="s">
        <v>909</v>
      </c>
      <c r="F41" s="1948">
        <f>EF.NaturalGas.CO2</f>
        <v>0.18399999999999997</v>
      </c>
      <c r="G41" s="577"/>
      <c r="H41" s="577"/>
      <c r="I41" s="577"/>
      <c r="J41" s="577"/>
      <c r="K41" s="577"/>
      <c r="L41" s="577"/>
      <c r="M41" s="577"/>
      <c r="N41" s="577"/>
      <c r="O41" s="577"/>
    </row>
    <row r="42" spans="2:16">
      <c r="B42" s="573"/>
      <c r="C42" s="573"/>
      <c r="D42" s="1943" t="s">
        <v>186</v>
      </c>
      <c r="F42" s="1948">
        <f>EF.Diesel.CO2</f>
        <v>0.25</v>
      </c>
      <c r="G42" s="577"/>
      <c r="H42" s="577"/>
      <c r="I42" s="577"/>
      <c r="J42" s="577"/>
      <c r="K42" s="577"/>
      <c r="L42" s="577"/>
      <c r="M42" s="577"/>
      <c r="N42" s="577"/>
      <c r="O42" s="577"/>
    </row>
    <row r="43" spans="2:16">
      <c r="B43" s="573"/>
      <c r="C43" s="573"/>
      <c r="F43" s="577"/>
      <c r="G43" s="577"/>
      <c r="H43" s="577"/>
      <c r="I43" s="577"/>
      <c r="J43" s="577"/>
      <c r="K43" s="577"/>
      <c r="L43" s="577"/>
      <c r="M43" s="577"/>
      <c r="N43" s="577"/>
      <c r="O43" s="577"/>
    </row>
    <row r="44" spans="2:16">
      <c r="B44" s="573"/>
      <c r="C44" s="573"/>
      <c r="D44" s="1943" t="s">
        <v>958</v>
      </c>
      <c r="F44" s="1948">
        <f>MAX(F40:F42)</f>
        <v>0.30799999999999994</v>
      </c>
      <c r="G44" s="1639">
        <f>F44*F29</f>
        <v>0.43613298564339903</v>
      </c>
      <c r="H44" s="577"/>
      <c r="I44" s="577"/>
      <c r="J44" s="577"/>
      <c r="K44" s="577"/>
      <c r="L44" s="577"/>
      <c r="M44" s="577"/>
      <c r="N44" s="577"/>
      <c r="O44" s="577"/>
    </row>
    <row r="45" spans="2:16">
      <c r="B45" s="573"/>
      <c r="C45" s="573"/>
      <c r="D45" s="1943" t="s">
        <v>2187</v>
      </c>
      <c r="F45" s="1948">
        <f>MIN(F40:F42)</f>
        <v>0.18399999999999997</v>
      </c>
      <c r="G45" s="1639">
        <f>F45*G29</f>
        <v>3.7223834029864497E-2</v>
      </c>
      <c r="H45" s="577"/>
      <c r="I45" s="577"/>
      <c r="J45" s="577"/>
      <c r="K45" s="577"/>
      <c r="L45" s="577"/>
      <c r="M45" s="577"/>
      <c r="N45" s="577"/>
      <c r="O45" s="577"/>
    </row>
    <row r="46" spans="2:16">
      <c r="B46" s="573"/>
      <c r="C46" s="573"/>
      <c r="F46" s="577"/>
      <c r="G46" s="577"/>
      <c r="H46" s="577"/>
      <c r="I46" s="577"/>
      <c r="J46" s="577"/>
      <c r="K46" s="577"/>
      <c r="L46" s="577"/>
      <c r="M46" s="577"/>
      <c r="N46" s="577"/>
      <c r="O46" s="577"/>
    </row>
    <row r="47" spans="2:16">
      <c r="B47" s="573">
        <v>3</v>
      </c>
      <c r="C47" s="1877" t="s">
        <v>1998</v>
      </c>
      <c r="F47" s="577"/>
      <c r="G47" s="577"/>
      <c r="H47" s="577"/>
      <c r="I47" s="577"/>
      <c r="J47" s="577"/>
      <c r="K47" s="577"/>
      <c r="L47" s="577"/>
      <c r="M47" s="577"/>
      <c r="N47" s="577"/>
      <c r="O47" s="577"/>
    </row>
    <row r="48" spans="2:16" ht="14">
      <c r="B48" s="573"/>
      <c r="C48" s="1877" t="s">
        <v>1155</v>
      </c>
      <c r="E48" s="1877" t="str">
        <f>Preferences.moneyunits</f>
        <v>£m</v>
      </c>
      <c r="F48" s="608">
        <v>2007</v>
      </c>
      <c r="G48" s="608">
        <v>2010</v>
      </c>
      <c r="H48" s="608">
        <v>2015</v>
      </c>
      <c r="I48" s="608">
        <v>2020</v>
      </c>
      <c r="J48" s="608">
        <v>2025</v>
      </c>
      <c r="K48" s="608">
        <v>2030</v>
      </c>
      <c r="L48" s="608">
        <v>2035</v>
      </c>
      <c r="M48" s="608">
        <v>2040</v>
      </c>
      <c r="N48" s="608">
        <v>2045</v>
      </c>
      <c r="O48" s="608">
        <v>2050</v>
      </c>
    </row>
    <row r="49" spans="2:17">
      <c r="B49" s="573"/>
      <c r="C49" s="1943" t="s">
        <v>2035</v>
      </c>
      <c r="F49" s="577" t="e">
        <f ca="1">$F$45*F37*$G$29</f>
        <v>#REF!</v>
      </c>
      <c r="G49" s="577" t="e">
        <f t="shared" ref="G49:O49" ca="1" si="1">$F$45*G37*$G$29</f>
        <v>#REF!</v>
      </c>
      <c r="H49" s="577" t="e">
        <f t="shared" ca="1" si="1"/>
        <v>#REF!</v>
      </c>
      <c r="I49" s="577" t="e">
        <f t="shared" ca="1" si="1"/>
        <v>#REF!</v>
      </c>
      <c r="J49" s="577" t="e">
        <f t="shared" ca="1" si="1"/>
        <v>#REF!</v>
      </c>
      <c r="K49" s="577" t="e">
        <f t="shared" ca="1" si="1"/>
        <v>#REF!</v>
      </c>
      <c r="L49" s="577" t="e">
        <f t="shared" ca="1" si="1"/>
        <v>#REF!</v>
      </c>
      <c r="M49" s="577" t="e">
        <f t="shared" ca="1" si="1"/>
        <v>#REF!</v>
      </c>
      <c r="N49" s="577" t="e">
        <f t="shared" ca="1" si="1"/>
        <v>#REF!</v>
      </c>
      <c r="O49" s="577">
        <f t="shared" ca="1" si="1"/>
        <v>5.0649146398102847</v>
      </c>
    </row>
    <row r="50" spans="2:17">
      <c r="F50" s="563"/>
    </row>
    <row r="51" spans="2:17" ht="14">
      <c r="B51" s="573"/>
      <c r="C51" s="1877" t="s">
        <v>1156</v>
      </c>
      <c r="E51" s="1877" t="str">
        <f>Preferences.moneyunits</f>
        <v>£m</v>
      </c>
      <c r="F51" s="608">
        <v>2007</v>
      </c>
      <c r="G51" s="608">
        <v>2010</v>
      </c>
      <c r="H51" s="608">
        <v>2015</v>
      </c>
      <c r="I51" s="608">
        <v>2020</v>
      </c>
      <c r="J51" s="608">
        <v>2025</v>
      </c>
      <c r="K51" s="608">
        <v>2030</v>
      </c>
      <c r="L51" s="608">
        <v>2035</v>
      </c>
      <c r="M51" s="608">
        <v>2040</v>
      </c>
      <c r="N51" s="608">
        <v>2045</v>
      </c>
      <c r="O51" s="608">
        <v>2050</v>
      </c>
    </row>
    <row r="52" spans="2:17">
      <c r="B52" s="573"/>
      <c r="C52" s="1943" t="s">
        <v>2035</v>
      </c>
      <c r="F52" s="577" t="e">
        <f ca="1">$F$44*F37*$F$29</f>
        <v>#REF!</v>
      </c>
      <c r="G52" s="577" t="e">
        <f t="shared" ref="G52:O52" ca="1" si="2">$F$44*G37*$F$29</f>
        <v>#REF!</v>
      </c>
      <c r="H52" s="577" t="e">
        <f t="shared" ca="1" si="2"/>
        <v>#REF!</v>
      </c>
      <c r="I52" s="577" t="e">
        <f t="shared" ca="1" si="2"/>
        <v>#REF!</v>
      </c>
      <c r="J52" s="577" t="e">
        <f t="shared" ca="1" si="2"/>
        <v>#REF!</v>
      </c>
      <c r="K52" s="577" t="e">
        <f t="shared" ca="1" si="2"/>
        <v>#REF!</v>
      </c>
      <c r="L52" s="577" t="e">
        <f t="shared" ca="1" si="2"/>
        <v>#REF!</v>
      </c>
      <c r="M52" s="577" t="e">
        <f t="shared" ca="1" si="2"/>
        <v>#REF!</v>
      </c>
      <c r="N52" s="577" t="e">
        <f t="shared" ca="1" si="2"/>
        <v>#REF!</v>
      </c>
      <c r="O52" s="577">
        <f t="shared" ca="1" si="2"/>
        <v>59.343063428586369</v>
      </c>
    </row>
    <row r="54" spans="2:17" ht="23.25" customHeight="1">
      <c r="B54" s="1878" t="s">
        <v>1998</v>
      </c>
      <c r="C54" s="1879"/>
      <c r="D54" s="1879"/>
      <c r="E54" s="1879"/>
      <c r="F54" s="1879"/>
      <c r="G54" s="1879"/>
      <c r="H54" s="1879"/>
      <c r="I54" s="1879"/>
      <c r="J54" s="1879"/>
      <c r="K54" s="1879"/>
      <c r="L54" s="1879"/>
      <c r="M54" s="1879"/>
      <c r="N54" s="1879"/>
      <c r="O54" s="1879"/>
      <c r="P54" s="1880"/>
      <c r="Q54" s="1116"/>
    </row>
    <row r="55" spans="2:17">
      <c r="B55" s="1881"/>
      <c r="C55" s="1882"/>
      <c r="D55" s="1882"/>
      <c r="E55" s="1882"/>
      <c r="F55" s="1882"/>
      <c r="G55" s="1882"/>
      <c r="H55" s="1882"/>
      <c r="I55" s="1882"/>
      <c r="J55" s="1882"/>
      <c r="K55" s="1882"/>
      <c r="L55" s="1882"/>
      <c r="M55" s="1882"/>
      <c r="N55" s="1882"/>
      <c r="O55" s="1882"/>
      <c r="P55" s="1883"/>
      <c r="Q55" s="1116"/>
    </row>
    <row r="56" spans="2:17">
      <c r="B56" s="1881"/>
      <c r="C56" s="1889" t="s">
        <v>1999</v>
      </c>
      <c r="D56" s="1890"/>
      <c r="E56" s="1890"/>
      <c r="F56" s="1890"/>
      <c r="G56" s="1890"/>
      <c r="H56" s="1890"/>
      <c r="I56" s="1890"/>
      <c r="J56" s="1890"/>
      <c r="K56" s="1890"/>
      <c r="L56" s="1890"/>
      <c r="M56" s="1890"/>
      <c r="N56" s="1890"/>
      <c r="O56" s="1890"/>
      <c r="P56" s="1883"/>
      <c r="Q56" s="1116"/>
    </row>
    <row r="57" spans="2:17">
      <c r="B57" s="1881"/>
      <c r="C57" s="1882" t="s">
        <v>1974</v>
      </c>
      <c r="D57" s="1882"/>
      <c r="E57" s="1882"/>
      <c r="F57" s="1882"/>
      <c r="G57" s="1882"/>
      <c r="H57" s="1882"/>
      <c r="I57" s="1882"/>
      <c r="J57" s="1882"/>
      <c r="K57" s="1882"/>
      <c r="L57" s="1882"/>
      <c r="M57" s="1882"/>
      <c r="N57" s="1882"/>
      <c r="O57" s="1882"/>
      <c r="P57" s="1883"/>
      <c r="Q57" s="1116"/>
    </row>
    <row r="58" spans="2:17" ht="15">
      <c r="B58" s="1884"/>
      <c r="C58" s="1885" t="s">
        <v>72</v>
      </c>
      <c r="D58" s="1885" t="s">
        <v>399</v>
      </c>
      <c r="E58" s="1885" t="s">
        <v>421</v>
      </c>
      <c r="F58" s="1885" t="s">
        <v>576</v>
      </c>
      <c r="G58" s="1885" t="s">
        <v>577</v>
      </c>
      <c r="H58" s="1885" t="s">
        <v>604</v>
      </c>
      <c r="I58" s="1885" t="s">
        <v>605</v>
      </c>
      <c r="J58" s="1885" t="s">
        <v>606</v>
      </c>
      <c r="K58" s="1885" t="s">
        <v>607</v>
      </c>
      <c r="L58" s="1885" t="s">
        <v>608</v>
      </c>
      <c r="M58" s="1885" t="s">
        <v>609</v>
      </c>
      <c r="N58" s="1885" t="s">
        <v>610</v>
      </c>
      <c r="O58" s="1885" t="s">
        <v>611</v>
      </c>
      <c r="P58" s="1891"/>
      <c r="Q58" s="1116"/>
    </row>
    <row r="59" spans="2:17" ht="15">
      <c r="B59" s="1884"/>
      <c r="C59" s="1886" t="s">
        <v>1944</v>
      </c>
      <c r="D59" s="1887" t="str">
        <f>INDEX(CostVectors[Description], MATCH(C59, CostVectors[Code], 0))</f>
        <v>Low estimate of capital costs</v>
      </c>
      <c r="E59" s="1887"/>
      <c r="F59" s="1896" t="e">
        <f ca="1">F49</f>
        <v>#REF!</v>
      </c>
      <c r="G59" s="1896" t="e">
        <f t="shared" ref="G59:O59" ca="1" si="3">G49</f>
        <v>#REF!</v>
      </c>
      <c r="H59" s="1896" t="e">
        <f t="shared" ca="1" si="3"/>
        <v>#REF!</v>
      </c>
      <c r="I59" s="1896" t="e">
        <f t="shared" ca="1" si="3"/>
        <v>#REF!</v>
      </c>
      <c r="J59" s="1896" t="e">
        <f t="shared" ca="1" si="3"/>
        <v>#REF!</v>
      </c>
      <c r="K59" s="1896" t="e">
        <f t="shared" ca="1" si="3"/>
        <v>#REF!</v>
      </c>
      <c r="L59" s="1896" t="e">
        <f t="shared" ca="1" si="3"/>
        <v>#REF!</v>
      </c>
      <c r="M59" s="1896" t="e">
        <f t="shared" ca="1" si="3"/>
        <v>#REF!</v>
      </c>
      <c r="N59" s="1896" t="e">
        <f t="shared" ca="1" si="3"/>
        <v>#REF!</v>
      </c>
      <c r="O59" s="1896">
        <f t="shared" ca="1" si="3"/>
        <v>5.0649146398102847</v>
      </c>
      <c r="P59" s="1891"/>
      <c r="Q59" s="1116"/>
    </row>
    <row r="60" spans="2:17" ht="15">
      <c r="B60" s="1884"/>
      <c r="C60" s="1886" t="s">
        <v>1946</v>
      </c>
      <c r="D60" s="1887" t="str">
        <f>INDEX(CostVectors[Description], MATCH(C60, CostVectors[Code], 0))</f>
        <v>Low estimate of operating costs</v>
      </c>
      <c r="E60" s="1887"/>
      <c r="F60" s="1896">
        <v>0</v>
      </c>
      <c r="G60" s="1896">
        <v>0</v>
      </c>
      <c r="H60" s="1896">
        <v>0</v>
      </c>
      <c r="I60" s="1896">
        <v>0</v>
      </c>
      <c r="J60" s="1896">
        <v>0</v>
      </c>
      <c r="K60" s="1896">
        <v>0</v>
      </c>
      <c r="L60" s="1896">
        <v>0</v>
      </c>
      <c r="M60" s="1896">
        <v>0</v>
      </c>
      <c r="N60" s="1896">
        <v>0</v>
      </c>
      <c r="O60" s="1896">
        <v>0</v>
      </c>
      <c r="P60" s="1891"/>
      <c r="Q60" s="1116"/>
    </row>
    <row r="61" spans="2:17">
      <c r="B61" s="1892"/>
      <c r="C61" s="1886" t="s">
        <v>1953</v>
      </c>
      <c r="D61" s="1887" t="str">
        <f>INDEX(CostVectors[Description], MATCH(C61, CostVectors[Code], 0))</f>
        <v>High estimate of capital costs</v>
      </c>
      <c r="E61" s="1887"/>
      <c r="F61" s="1896" t="e">
        <f ca="1">F52</f>
        <v>#REF!</v>
      </c>
      <c r="G61" s="1896" t="e">
        <f t="shared" ref="G61:O61" ca="1" si="4">G52</f>
        <v>#REF!</v>
      </c>
      <c r="H61" s="1896" t="e">
        <f t="shared" ca="1" si="4"/>
        <v>#REF!</v>
      </c>
      <c r="I61" s="1896" t="e">
        <f t="shared" ca="1" si="4"/>
        <v>#REF!</v>
      </c>
      <c r="J61" s="1896" t="e">
        <f t="shared" ca="1" si="4"/>
        <v>#REF!</v>
      </c>
      <c r="K61" s="1896" t="e">
        <f t="shared" ca="1" si="4"/>
        <v>#REF!</v>
      </c>
      <c r="L61" s="1896" t="e">
        <f t="shared" ca="1" si="4"/>
        <v>#REF!</v>
      </c>
      <c r="M61" s="1896" t="e">
        <f t="shared" ca="1" si="4"/>
        <v>#REF!</v>
      </c>
      <c r="N61" s="1896" t="e">
        <f t="shared" ca="1" si="4"/>
        <v>#REF!</v>
      </c>
      <c r="O61" s="1896">
        <f t="shared" ca="1" si="4"/>
        <v>59.343063428586369</v>
      </c>
      <c r="P61" s="1893"/>
      <c r="Q61" s="1116"/>
    </row>
    <row r="62" spans="2:17">
      <c r="B62" s="1892"/>
      <c r="C62" s="1886" t="s">
        <v>1955</v>
      </c>
      <c r="D62" s="1887" t="str">
        <f>INDEX(CostVectors[Description], MATCH(C62, CostVectors[Code], 0))</f>
        <v>High estimate of operating costs</v>
      </c>
      <c r="E62" s="1887"/>
      <c r="F62" s="1896">
        <v>0</v>
      </c>
      <c r="G62" s="1896">
        <v>0</v>
      </c>
      <c r="H62" s="1896">
        <v>0</v>
      </c>
      <c r="I62" s="1896">
        <v>0</v>
      </c>
      <c r="J62" s="1896">
        <v>0</v>
      </c>
      <c r="K62" s="1896">
        <v>0</v>
      </c>
      <c r="L62" s="1896">
        <v>0</v>
      </c>
      <c r="M62" s="1896">
        <v>0</v>
      </c>
      <c r="N62" s="1896">
        <v>0</v>
      </c>
      <c r="O62" s="1896">
        <v>0</v>
      </c>
      <c r="P62" s="1893"/>
      <c r="Q62" s="1116"/>
    </row>
    <row r="63" spans="2:17">
      <c r="B63" s="1894"/>
      <c r="C63" s="1888"/>
      <c r="D63" s="1888"/>
      <c r="E63" s="1888"/>
      <c r="F63" s="1888"/>
      <c r="G63" s="1888"/>
      <c r="H63" s="1888"/>
      <c r="I63" s="1888"/>
      <c r="J63" s="1888"/>
      <c r="K63" s="1888"/>
      <c r="L63" s="1888"/>
      <c r="M63" s="1888"/>
      <c r="N63" s="1888"/>
      <c r="O63" s="1888"/>
      <c r="P63" s="1895"/>
      <c r="Q63" s="1116"/>
    </row>
  </sheetData>
  <hyperlinks>
    <hyperlink ref="D32" r:id="rId1"/>
  </hyperlinks>
  <pageMargins left="0.7" right="0.7" top="0.75" bottom="0.75" header="0.3" footer="0.3"/>
  <tableParts count="2">
    <tablePart r:id="rId2"/>
    <tablePart r:id="rId3"/>
  </tableParts>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enableFormatConditionsCalculation="0">
    <tabColor theme="6" tint="0.39997558519241921"/>
    <pageSetUpPr autoPageBreaks="0"/>
  </sheetPr>
  <dimension ref="A1:DH148"/>
  <sheetViews>
    <sheetView workbookViewId="0"/>
  </sheetViews>
  <sheetFormatPr baseColWidth="10" defaultColWidth="8.83203125" defaultRowHeight="13" outlineLevelRow="2" outlineLevelCol="2" x14ac:dyDescent="0"/>
  <cols>
    <col min="1" max="1" width="1.6640625" style="121" customWidth="1"/>
    <col min="2" max="2" width="1.5" style="121" customWidth="1"/>
    <col min="3" max="3" width="4.5" style="500" customWidth="1"/>
    <col min="4" max="4" width="3.83203125" style="501" customWidth="1"/>
    <col min="5" max="5" width="41.6640625" style="501" customWidth="1"/>
    <col min="6" max="6" width="1.1640625" style="121" customWidth="1" outlineLevel="1"/>
    <col min="7" max="10" width="10" style="501" customWidth="1" outlineLevel="2"/>
    <col min="11" max="11" width="10" style="515" customWidth="1" outlineLevel="2"/>
    <col min="12" max="16" width="10" style="501" customWidth="1" outlineLevel="2"/>
    <col min="17" max="17" width="10" style="501" customWidth="1" outlineLevel="1"/>
    <col min="18" max="18" width="1.1640625" style="121" customWidth="1" outlineLevel="1"/>
    <col min="19" max="36" width="10" style="501" customWidth="1" outlineLevel="2"/>
    <col min="37" max="37" width="10" style="501" customWidth="1" outlineLevel="1"/>
    <col min="38" max="38" width="1.1640625" style="121" customWidth="1" outlineLevel="1"/>
    <col min="39" max="57" width="10" style="501" customWidth="1" outlineLevel="2"/>
    <col min="58" max="58" width="10" style="501" customWidth="1" outlineLevel="1"/>
    <col min="59" max="59" width="1.1640625" style="121" customWidth="1" outlineLevel="1"/>
    <col min="60" max="61" width="10" style="501" customWidth="1" outlineLevel="2"/>
    <col min="62" max="62" width="10" style="501" customWidth="1" outlineLevel="1"/>
    <col min="63" max="63" width="1.1640625" style="121" customWidth="1" outlineLevel="1"/>
    <col min="64" max="64" width="11" style="501" customWidth="1" outlineLevel="1"/>
    <col min="65" max="65" width="5.33203125" style="501" customWidth="1"/>
    <col min="66" max="66" width="8.83203125" style="121"/>
    <col min="67" max="110" width="7.5" style="121" customWidth="1"/>
    <col min="111" max="111" width="2.5" style="121" customWidth="1"/>
    <col min="112" max="16384" width="8.83203125" style="121"/>
  </cols>
  <sheetData>
    <row r="1" spans="1:112" ht="6" customHeight="1"/>
    <row r="2" spans="1:112" ht="21" customHeight="1">
      <c r="D2" s="493"/>
      <c r="E2" s="663">
        <v>2050</v>
      </c>
      <c r="G2" s="121"/>
      <c r="H2" s="121"/>
      <c r="I2" s="121"/>
      <c r="J2" s="121"/>
      <c r="K2" s="121"/>
      <c r="L2" s="121"/>
      <c r="M2" s="121"/>
      <c r="N2" s="121"/>
      <c r="O2" s="121"/>
      <c r="P2" s="121"/>
      <c r="Q2" s="121"/>
      <c r="S2" s="121"/>
      <c r="T2" s="121"/>
      <c r="U2" s="121"/>
      <c r="V2" s="121"/>
      <c r="W2" s="121"/>
      <c r="X2" s="121"/>
      <c r="Y2" s="121"/>
      <c r="Z2" s="121"/>
      <c r="AA2" s="121"/>
      <c r="AB2" s="121"/>
      <c r="AC2" s="121"/>
      <c r="AD2" s="121"/>
      <c r="AE2" s="121"/>
      <c r="AF2" s="121"/>
      <c r="AG2" s="121"/>
      <c r="AH2" s="121"/>
      <c r="AI2" s="121"/>
      <c r="AJ2" s="121"/>
      <c r="AK2" s="121"/>
      <c r="AM2" s="121"/>
      <c r="AN2" s="121"/>
      <c r="AO2" s="121"/>
      <c r="AP2" s="121"/>
      <c r="AQ2" s="121"/>
      <c r="AR2" s="121"/>
      <c r="AS2" s="121"/>
      <c r="AT2" s="121"/>
      <c r="AU2" s="121"/>
      <c r="AV2" s="121"/>
      <c r="AW2" s="121"/>
      <c r="AX2" s="121"/>
      <c r="AY2" s="121"/>
      <c r="AZ2" s="121"/>
      <c r="BA2" s="121"/>
      <c r="BB2" s="121"/>
      <c r="BC2" s="121"/>
      <c r="BD2" s="121"/>
      <c r="BE2" s="121"/>
      <c r="BF2" s="121"/>
      <c r="BH2" s="121"/>
      <c r="BI2" s="121"/>
      <c r="BJ2" s="121"/>
      <c r="BL2" s="121"/>
      <c r="BM2" s="520"/>
    </row>
    <row r="3" spans="1:112" ht="39" customHeight="1">
      <c r="A3" s="538"/>
      <c r="B3" s="538"/>
      <c r="C3" s="538"/>
      <c r="D3" s="494"/>
      <c r="E3" s="574" t="str">
        <f>Preferences.EnergyUnits</f>
        <v>TWh</v>
      </c>
      <c r="G3" s="692" t="s">
        <v>631</v>
      </c>
      <c r="H3" s="692"/>
      <c r="I3" s="692"/>
      <c r="J3" s="692"/>
      <c r="K3" s="692"/>
      <c r="L3" s="692"/>
      <c r="M3" s="692"/>
      <c r="N3" s="692"/>
      <c r="O3" s="692"/>
      <c r="P3" s="692"/>
      <c r="Q3" s="692"/>
      <c r="S3" s="817" t="s">
        <v>575</v>
      </c>
      <c r="T3" s="818"/>
      <c r="U3" s="818"/>
      <c r="V3" s="818"/>
      <c r="W3" s="818"/>
      <c r="X3" s="822"/>
      <c r="Y3" s="818"/>
      <c r="Z3" s="818"/>
      <c r="AA3" s="818"/>
      <c r="AB3" s="818"/>
      <c r="AC3" s="818"/>
      <c r="AD3" s="818"/>
      <c r="AE3" s="818"/>
      <c r="AF3" s="818"/>
      <c r="AG3" s="818"/>
      <c r="AH3" s="818"/>
      <c r="AI3" s="818"/>
      <c r="AJ3" s="818"/>
      <c r="AK3" s="821"/>
      <c r="AM3" s="819" t="s">
        <v>819</v>
      </c>
      <c r="AN3" s="820"/>
      <c r="AO3" s="820"/>
      <c r="AP3" s="823"/>
      <c r="AQ3" s="820"/>
      <c r="AR3" s="820"/>
      <c r="AS3" s="820"/>
      <c r="AT3" s="820"/>
      <c r="AU3" s="820"/>
      <c r="AV3" s="820"/>
      <c r="AW3" s="820"/>
      <c r="AX3" s="820"/>
      <c r="AY3" s="820"/>
      <c r="AZ3" s="820"/>
      <c r="BA3" s="820"/>
      <c r="BB3" s="820"/>
      <c r="BC3" s="820"/>
      <c r="BD3" s="820"/>
      <c r="BE3" s="820"/>
      <c r="BF3" s="824"/>
      <c r="BH3" s="722" t="s">
        <v>715</v>
      </c>
      <c r="BI3" s="701"/>
      <c r="BJ3" s="701"/>
      <c r="BL3" s="497"/>
      <c r="BM3" s="497"/>
      <c r="BN3" s="538"/>
      <c r="BO3" s="826" t="s">
        <v>823</v>
      </c>
      <c r="BP3" s="827"/>
      <c r="BQ3" s="827"/>
      <c r="BR3" s="827"/>
      <c r="BS3" s="827"/>
      <c r="BT3" s="827"/>
      <c r="BU3" s="827"/>
      <c r="BV3" s="827"/>
      <c r="BW3" s="827"/>
      <c r="BX3" s="827"/>
      <c r="BY3" s="827"/>
      <c r="BZ3" s="827"/>
      <c r="CA3" s="827"/>
      <c r="CB3" s="827"/>
      <c r="CC3" s="827"/>
      <c r="CD3" s="827"/>
      <c r="CE3" s="827"/>
      <c r="CF3" s="827"/>
      <c r="CG3" s="827"/>
      <c r="CH3" s="827"/>
      <c r="CI3" s="827"/>
      <c r="CJ3" s="827"/>
      <c r="CK3" s="827"/>
      <c r="CL3" s="827"/>
      <c r="CM3" s="827"/>
      <c r="CN3" s="827"/>
      <c r="CO3" s="827"/>
      <c r="CP3" s="827"/>
      <c r="CQ3" s="827"/>
      <c r="CR3" s="827"/>
      <c r="CS3" s="827"/>
      <c r="CT3" s="827"/>
      <c r="CU3" s="827"/>
      <c r="CV3" s="827"/>
      <c r="CW3" s="827"/>
      <c r="CX3" s="827"/>
      <c r="CY3" s="827"/>
      <c r="CZ3" s="827"/>
      <c r="DA3" s="827"/>
      <c r="DB3" s="827"/>
      <c r="DC3" s="926"/>
      <c r="DD3" s="926"/>
      <c r="DE3" s="926"/>
      <c r="DF3" s="926"/>
    </row>
    <row r="4" spans="1:112" ht="36.75" customHeight="1">
      <c r="C4" s="498"/>
      <c r="D4" s="498"/>
      <c r="G4" s="664" t="str">
        <f>INDEX(Vectors[Description], MATCH(G$5,Vectors[Code],FALSE))</f>
        <v>Heating and cooling</v>
      </c>
      <c r="H4" s="664" t="str">
        <f>INDEX(Vectors[Description], MATCH(H$5,Vectors[Code],FALSE))</f>
        <v>Lighting &amp; appliances</v>
      </c>
      <c r="I4" s="664" t="str">
        <f>INDEX(Vectors[Description], MATCH(I$5,Vectors[Code],FALSE))</f>
        <v>Industry</v>
      </c>
      <c r="J4" s="664" t="str">
        <f>INDEX(Vectors[Description], MATCH(J$5,Vectors[Code],FALSE))</f>
        <v>Road transport</v>
      </c>
      <c r="K4" s="664" t="str">
        <f>INDEX(Vectors[Description], MATCH(K$5,Vectors[Code],FALSE))</f>
        <v>Rail transport</v>
      </c>
      <c r="L4" s="664" t="str">
        <f>INDEX(Vectors[Description], MATCH(L$5,Vectors[Code],FALSE))</f>
        <v>Domestic aviation</v>
      </c>
      <c r="M4" s="664" t="str">
        <f>INDEX(Vectors[Description], MATCH(M$5,Vectors[Code],FALSE))</f>
        <v>National navigation</v>
      </c>
      <c r="N4" s="664" t="str">
        <f>INDEX(Vectors[Description], MATCH(N$5,Vectors[Code],FALSE))</f>
        <v>International aviation</v>
      </c>
      <c r="O4" s="664" t="str">
        <f>INDEX(Vectors[Description], MATCH(O$5,Vectors[Code],FALSE))</f>
        <v>International shipping</v>
      </c>
      <c r="P4" s="664" t="str">
        <f>INDEX(Vectors[Description], MATCH(P$5,Vectors[Code],FALSE))</f>
        <v>Food consumption [UNUSED]</v>
      </c>
      <c r="Q4" s="681" t="s">
        <v>720</v>
      </c>
      <c r="S4" s="665" t="str">
        <f>INDEX(Vectors[Description], MATCH(S$5,Vectors[Code],FALSE))</f>
        <v>Electricity (delivered to end user)</v>
      </c>
      <c r="T4" s="665" t="str">
        <f>INDEX(Vectors[Description], MATCH(T$5,Vectors[Code],FALSE))</f>
        <v>Electricity (supplied to grid)</v>
      </c>
      <c r="U4" s="665" t="str">
        <f>INDEX(Vectors[Description], MATCH(U$5,Vectors[Code],FALSE))</f>
        <v>Solid hydrocarbons</v>
      </c>
      <c r="V4" s="665" t="str">
        <f>INDEX(Vectors[Description], MATCH(V$5,Vectors[Code],FALSE))</f>
        <v>Liquid hydrocarbons</v>
      </c>
      <c r="W4" s="665" t="str">
        <f>INDEX(Vectors[Description], MATCH(W$5,Vectors[Code],FALSE))</f>
        <v>Gaseous hydrocarbons</v>
      </c>
      <c r="X4" s="665" t="str">
        <f>INDEX(Vectors[Description], MATCH(X$5,Vectors[Code],FALSE))</f>
        <v>Coal and fossil waste</v>
      </c>
      <c r="Y4" s="665" t="str">
        <f>INDEX(Vectors[Description], MATCH(Y$5,Vectors[Code],FALSE))</f>
        <v>Oil and petroleum products</v>
      </c>
      <c r="Z4" s="665" t="str">
        <f>INDEX(Vectors[Description], MATCH(Z$5,Vectors[Code],FALSE))</f>
        <v>Natural gas</v>
      </c>
      <c r="AA4" s="665" t="str">
        <f>INDEX(Vectors[Description], MATCH(AA$5,Vectors[Code],FALSE))</f>
        <v>Blast furnace gas</v>
      </c>
      <c r="AB4" s="665" t="str">
        <f>INDEX(Vectors[Description], MATCH(AB$5,Vectors[Code],FALSE))</f>
        <v>Heat transport</v>
      </c>
      <c r="AC4" s="665" t="str">
        <f>INDEX(Vectors[Description], MATCH(AC$5,Vectors[Code],FALSE))</f>
        <v>Edible biomass</v>
      </c>
      <c r="AD4" s="665" t="str">
        <f>INDEX(Vectors[Description], MATCH(AD$5,Vectors[Code],FALSE))</f>
        <v>Energy crops (second generation)</v>
      </c>
      <c r="AE4" s="665" t="str">
        <f>INDEX(Vectors[Description], MATCH(AE$5,Vectors[Code],FALSE))</f>
        <v>Energy crops (first generation)</v>
      </c>
      <c r="AF4" s="665" t="str">
        <f>INDEX(Vectors[Description], MATCH(AF$5,Vectors[Code],FALSE))</f>
        <v>Dry biomass and waste</v>
      </c>
      <c r="AG4" s="665" t="str">
        <f>INDEX(Vectors[Description], MATCH(AG$5,Vectors[Code],FALSE))</f>
        <v>Wet biomass and waste</v>
      </c>
      <c r="AH4" s="665" t="str">
        <f>INDEX(Vectors[Description], MATCH(AH$5,Vectors[Code],FALSE))</f>
        <v>Gaseous waste</v>
      </c>
      <c r="AI4" s="665" t="str">
        <f>INDEX(Vectors[Description], MATCH(AI$5,Vectors[Code],FALSE))</f>
        <v>Domestic solar thermal</v>
      </c>
      <c r="AJ4" s="665" t="str">
        <f>INDEX(Vectors[Description], MATCH(AJ$5,Vectors[Code],FALSE))</f>
        <v>H2</v>
      </c>
      <c r="AK4" s="695" t="s">
        <v>573</v>
      </c>
      <c r="AM4" s="679" t="str">
        <f>INDEX(Vectors[Description], MATCH(AM$5,Vectors[Code],FALSE))</f>
        <v>Coal reserves</v>
      </c>
      <c r="AN4" s="679" t="str">
        <f>INDEX(Vectors[Description], MATCH(AN$5,Vectors[Code],FALSE))</f>
        <v>Oil reserves</v>
      </c>
      <c r="AO4" s="679" t="str">
        <f>INDEX(Vectors[Description], MATCH(AO$5,Vectors[Code],FALSE))</f>
        <v>Gas reserves</v>
      </c>
      <c r="AP4" s="679" t="str">
        <f>INDEX(Vectors[Description], MATCH(AP$5,Vectors[Code],FALSE))</f>
        <v>Biomass oversupply (imports)</v>
      </c>
      <c r="AQ4" s="679" t="str">
        <f>INDEX(Vectors[Description], MATCH(AQ$5,Vectors[Code],FALSE))</f>
        <v>Electricity oversupply (imports)</v>
      </c>
      <c r="AR4" s="679" t="str">
        <f>INDEX(Vectors[Description], MATCH(AR$5,Vectors[Code],FALSE))</f>
        <v>Petroleum products oversupply</v>
      </c>
      <c r="AS4" s="679" t="str">
        <f>INDEX(Vectors[Description], MATCH(AS$5,Vectors[Code],FALSE))</f>
        <v>Coal oversupply (imports)</v>
      </c>
      <c r="AT4" s="679" t="str">
        <f>INDEX(Vectors[Description], MATCH(AT$5,Vectors[Code],FALSE))</f>
        <v>Oil and petroleum products oversupply (imports)</v>
      </c>
      <c r="AU4" s="679" t="str">
        <f>INDEX(Vectors[Description], MATCH(AU$5,Vectors[Code],FALSE))</f>
        <v>Gas oversupply (imports)</v>
      </c>
      <c r="AV4" s="679" t="str">
        <f>INDEX(Vectors[Description], MATCH(AV$5,Vectors[Code],FALSE))</f>
        <v>Nuclear fission</v>
      </c>
      <c r="AW4" s="679" t="str">
        <f>INDEX(Vectors[Description], MATCH(AW$5,Vectors[Code],FALSE))</f>
        <v>Solar</v>
      </c>
      <c r="AX4" s="679" t="str">
        <f>INDEX(Vectors[Description], MATCH(AX$5,Vectors[Code],FALSE))</f>
        <v>Wind</v>
      </c>
      <c r="AY4" s="679" t="str">
        <f>INDEX(Vectors[Description], MATCH(AY$5,Vectors[Code],FALSE))</f>
        <v>Tidal</v>
      </c>
      <c r="AZ4" s="679" t="str">
        <f>INDEX(Vectors[Description], MATCH(AZ$5,Vectors[Code],FALSE))</f>
        <v>Wave</v>
      </c>
      <c r="BA4" s="679" t="str">
        <f>INDEX(Vectors[Description], MATCH(BA$5,Vectors[Code],FALSE))</f>
        <v>Geothermal</v>
      </c>
      <c r="BB4" s="679" t="str">
        <f>INDEX(Vectors[Description], MATCH(BB$5,Vectors[Code],FALSE))</f>
        <v>Hydro</v>
      </c>
      <c r="BC4" s="679" t="str">
        <f>INDEX(Vectors[Description], MATCH(BC$5,Vectors[Code],FALSE))</f>
        <v>Environmental heat</v>
      </c>
      <c r="BD4" s="679" t="str">
        <f>INDEX(Vectors[Description], MATCH(BD$5,Vectors[Code],FALSE))</f>
        <v>Agriculture</v>
      </c>
      <c r="BE4" s="679" t="str">
        <f>INDEX(Vectors[Description], MATCH(BE$5,Vectors[Code],FALSE))</f>
        <v>Waste</v>
      </c>
      <c r="BF4" s="697" t="s">
        <v>574</v>
      </c>
      <c r="BH4" s="684" t="str">
        <f>INDEX(Vectors[Description], MATCH(BH$5,Vectors[Code],FALSE))</f>
        <v>Conversion losses</v>
      </c>
      <c r="BI4" s="684" t="str">
        <f>INDEX(Vectors[Description], MATCH(BI$5,Vectors[Code],FALSE))</f>
        <v>Distribution losses and own use</v>
      </c>
      <c r="BJ4" s="699" t="s">
        <v>714</v>
      </c>
      <c r="BL4" s="499" t="str">
        <f>INDEX(Vectors[Description], MATCH(BL$5,Vectors[Code],FALSE))</f>
        <v>Unallocated</v>
      </c>
      <c r="BM4" s="499"/>
      <c r="BO4" s="831" t="str">
        <f>INDEX(IPCC[Sector_description], MATCH(BO$5, IPCC[Sector_code], 0))</f>
        <v>Fuel Combustion</v>
      </c>
      <c r="BP4" s="832"/>
      <c r="BQ4" s="832"/>
      <c r="BR4" s="833"/>
      <c r="BS4" s="831" t="str">
        <f>INDEX(IPCC[Sector_description], MATCH(BS$5, IPCC[Sector_code], 0))</f>
        <v>Fugitive Emissions from Fuels</v>
      </c>
      <c r="BT4" s="832"/>
      <c r="BU4" s="832"/>
      <c r="BV4" s="833"/>
      <c r="BW4" s="831" t="str">
        <f>INDEX(IPCC[Sector_description], MATCH(BW$5, IPCC[Sector_code], 0))</f>
        <v>Industrial Processes</v>
      </c>
      <c r="BX4" s="832"/>
      <c r="BY4" s="832"/>
      <c r="BZ4" s="833"/>
      <c r="CA4" s="831" t="str">
        <f>INDEX(IPCC[Sector_description], MATCH(CA$5, IPCC[Sector_code], 0))</f>
        <v>Solvent and Other Product Use</v>
      </c>
      <c r="CB4" s="832"/>
      <c r="CC4" s="832"/>
      <c r="CD4" s="833"/>
      <c r="CE4" s="831" t="str">
        <f>INDEX(IPCC[Sector_description], MATCH(CE$5, IPCC[Sector_code], 0))</f>
        <v>Agriculture</v>
      </c>
      <c r="CF4" s="832"/>
      <c r="CG4" s="832"/>
      <c r="CH4" s="833"/>
      <c r="CI4" s="831" t="str">
        <f>INDEX(IPCC[Sector_description], MATCH(CI$5, IPCC[Sector_code], 0))</f>
        <v>Land Use, Land-Use Change and Forestry</v>
      </c>
      <c r="CJ4" s="832"/>
      <c r="CK4" s="832"/>
      <c r="CL4" s="833"/>
      <c r="CM4" s="831" t="str">
        <f>INDEX(IPCC[Sector_description], MATCH(CM$5, IPCC[Sector_code], 0))</f>
        <v>Waste</v>
      </c>
      <c r="CN4" s="832"/>
      <c r="CO4" s="832"/>
      <c r="CP4" s="833"/>
      <c r="CQ4" s="831" t="str">
        <f>INDEX(IPCC[Sector_description], MATCH(CQ$5, IPCC[Sector_code], 0))</f>
        <v>Other</v>
      </c>
      <c r="CR4" s="832"/>
      <c r="CS4" s="832"/>
      <c r="CT4" s="833"/>
      <c r="CU4" s="831" t="str">
        <f>INDEX(IPCC[Sector_description], MATCH(CU$5, IPCC[Sector_code], 0))</f>
        <v>International Aviation and Shipping</v>
      </c>
      <c r="CV4" s="832"/>
      <c r="CW4" s="832"/>
      <c r="CX4" s="833"/>
      <c r="CY4" s="831" t="str">
        <f>INDEX(IPCC[Sector_description], MATCH(CY$5, IPCC[Sector_code], 0))</f>
        <v>Bioenergy credit</v>
      </c>
      <c r="CZ4" s="832"/>
      <c r="DA4" s="832"/>
      <c r="DB4" s="833"/>
      <c r="DC4" s="831" t="str">
        <f>INDEX(IPCC[Sector_description], MATCH(DC$5, IPCC[Sector_code], 0))</f>
        <v>Carbon capture</v>
      </c>
      <c r="DD4" s="832"/>
      <c r="DE4" s="832"/>
      <c r="DF4" s="833"/>
      <c r="DH4" s="1080" t="s">
        <v>132</v>
      </c>
    </row>
    <row r="5" spans="1:112" ht="14">
      <c r="D5" s="650" t="s">
        <v>184</v>
      </c>
      <c r="G5" s="682" t="s">
        <v>6</v>
      </c>
      <c r="H5" s="682" t="s">
        <v>51</v>
      </c>
      <c r="I5" s="682" t="s">
        <v>13</v>
      </c>
      <c r="J5" s="682" t="s">
        <v>33</v>
      </c>
      <c r="K5" s="682" t="s">
        <v>34</v>
      </c>
      <c r="L5" s="682" t="s">
        <v>35</v>
      </c>
      <c r="M5" s="682" t="s">
        <v>36</v>
      </c>
      <c r="N5" s="682" t="s">
        <v>737</v>
      </c>
      <c r="O5" s="682" t="s">
        <v>738</v>
      </c>
      <c r="P5" s="682" t="s">
        <v>37</v>
      </c>
      <c r="Q5" s="682"/>
      <c r="S5" s="683" t="s">
        <v>40</v>
      </c>
      <c r="T5" s="683" t="s">
        <v>41</v>
      </c>
      <c r="U5" s="683" t="s">
        <v>42</v>
      </c>
      <c r="V5" s="683" t="s">
        <v>44</v>
      </c>
      <c r="W5" s="683" t="s">
        <v>45</v>
      </c>
      <c r="X5" s="683" t="s">
        <v>58</v>
      </c>
      <c r="Y5" s="683" t="s">
        <v>59</v>
      </c>
      <c r="Z5" s="683" t="s">
        <v>60</v>
      </c>
      <c r="AA5" s="683" t="s">
        <v>101</v>
      </c>
      <c r="AB5" s="683" t="s">
        <v>632</v>
      </c>
      <c r="AC5" s="683" t="s">
        <v>633</v>
      </c>
      <c r="AD5" s="683" t="s">
        <v>1136</v>
      </c>
      <c r="AE5" s="683" t="s">
        <v>1229</v>
      </c>
      <c r="AF5" s="683" t="s">
        <v>634</v>
      </c>
      <c r="AG5" s="683" t="s">
        <v>711</v>
      </c>
      <c r="AH5" s="683" t="s">
        <v>1232</v>
      </c>
      <c r="AI5" s="683" t="s">
        <v>975</v>
      </c>
      <c r="AJ5" s="683" t="s">
        <v>1016</v>
      </c>
      <c r="AK5" s="683"/>
      <c r="AM5" s="680" t="s">
        <v>757</v>
      </c>
      <c r="AN5" s="680" t="s">
        <v>758</v>
      </c>
      <c r="AO5" s="680" t="s">
        <v>759</v>
      </c>
      <c r="AP5" s="680" t="s">
        <v>53</v>
      </c>
      <c r="AQ5" s="680" t="s">
        <v>54</v>
      </c>
      <c r="AR5" s="680" t="s">
        <v>648</v>
      </c>
      <c r="AS5" s="680" t="s">
        <v>749</v>
      </c>
      <c r="AT5" s="680" t="s">
        <v>750</v>
      </c>
      <c r="AU5" s="680" t="s">
        <v>751</v>
      </c>
      <c r="AV5" s="680" t="s">
        <v>7</v>
      </c>
      <c r="AW5" s="680" t="s">
        <v>30</v>
      </c>
      <c r="AX5" s="680" t="s">
        <v>8</v>
      </c>
      <c r="AY5" s="680" t="s">
        <v>9</v>
      </c>
      <c r="AZ5" s="680" t="s">
        <v>10</v>
      </c>
      <c r="BA5" s="680" t="s">
        <v>11</v>
      </c>
      <c r="BB5" s="680" t="s">
        <v>12</v>
      </c>
      <c r="BC5" s="680" t="s">
        <v>98</v>
      </c>
      <c r="BD5" s="680" t="s">
        <v>784</v>
      </c>
      <c r="BE5" s="680" t="s">
        <v>49</v>
      </c>
      <c r="BF5" s="680"/>
      <c r="BH5" s="685" t="s">
        <v>31</v>
      </c>
      <c r="BI5" s="685" t="s">
        <v>32</v>
      </c>
      <c r="BJ5" s="685"/>
      <c r="BL5" s="496" t="s">
        <v>55</v>
      </c>
      <c r="BM5" s="496"/>
      <c r="BO5" s="834" t="s">
        <v>821</v>
      </c>
      <c r="BP5" s="835" t="s">
        <v>821</v>
      </c>
      <c r="BQ5" s="835" t="s">
        <v>821</v>
      </c>
      <c r="BR5" s="836" t="s">
        <v>821</v>
      </c>
      <c r="BS5" s="834" t="s">
        <v>820</v>
      </c>
      <c r="BT5" s="835" t="s">
        <v>820</v>
      </c>
      <c r="BU5" s="835" t="s">
        <v>820</v>
      </c>
      <c r="BV5" s="836" t="s">
        <v>820</v>
      </c>
      <c r="BW5" s="834">
        <v>2</v>
      </c>
      <c r="BX5" s="835">
        <v>2</v>
      </c>
      <c r="BY5" s="835">
        <v>2</v>
      </c>
      <c r="BZ5" s="836">
        <v>2</v>
      </c>
      <c r="CA5" s="834">
        <v>3</v>
      </c>
      <c r="CB5" s="835">
        <v>3</v>
      </c>
      <c r="CC5" s="835">
        <v>3</v>
      </c>
      <c r="CD5" s="836">
        <v>3</v>
      </c>
      <c r="CE5" s="834">
        <v>4</v>
      </c>
      <c r="CF5" s="835">
        <v>4</v>
      </c>
      <c r="CG5" s="835">
        <v>4</v>
      </c>
      <c r="CH5" s="836">
        <v>4</v>
      </c>
      <c r="CI5" s="834">
        <v>5</v>
      </c>
      <c r="CJ5" s="835">
        <v>5</v>
      </c>
      <c r="CK5" s="835">
        <v>5</v>
      </c>
      <c r="CL5" s="836">
        <v>5</v>
      </c>
      <c r="CM5" s="834">
        <v>6</v>
      </c>
      <c r="CN5" s="835">
        <v>6</v>
      </c>
      <c r="CO5" s="835">
        <v>6</v>
      </c>
      <c r="CP5" s="836">
        <v>6</v>
      </c>
      <c r="CQ5" s="834">
        <v>7</v>
      </c>
      <c r="CR5" s="835">
        <v>7</v>
      </c>
      <c r="CS5" s="835">
        <v>7</v>
      </c>
      <c r="CT5" s="836">
        <v>7</v>
      </c>
      <c r="CU5" s="834" t="s">
        <v>806</v>
      </c>
      <c r="CV5" s="835" t="s">
        <v>806</v>
      </c>
      <c r="CW5" s="835" t="s">
        <v>806</v>
      </c>
      <c r="CX5" s="836" t="s">
        <v>806</v>
      </c>
      <c r="CY5" s="834" t="s">
        <v>807</v>
      </c>
      <c r="CZ5" s="835" t="s">
        <v>807</v>
      </c>
      <c r="DA5" s="835" t="s">
        <v>807</v>
      </c>
      <c r="DB5" s="836" t="s">
        <v>807</v>
      </c>
      <c r="DC5" s="834" t="s">
        <v>833</v>
      </c>
      <c r="DD5" s="835" t="s">
        <v>833</v>
      </c>
      <c r="DE5" s="835" t="s">
        <v>833</v>
      </c>
      <c r="DF5" s="836" t="s">
        <v>833</v>
      </c>
    </row>
    <row r="6" spans="1:112" ht="15.75" customHeight="1">
      <c r="G6" s="653"/>
      <c r="H6" s="653"/>
      <c r="I6" s="653"/>
      <c r="J6" s="653"/>
      <c r="K6" s="654"/>
      <c r="L6" s="653"/>
      <c r="M6" s="653"/>
      <c r="N6" s="653"/>
      <c r="O6" s="653"/>
      <c r="P6" s="653"/>
      <c r="Q6" s="653"/>
      <c r="S6" s="666"/>
      <c r="T6" s="666"/>
      <c r="U6" s="666"/>
      <c r="V6" s="666"/>
      <c r="W6" s="666"/>
      <c r="X6" s="666"/>
      <c r="Y6" s="666"/>
      <c r="Z6" s="666"/>
      <c r="AA6" s="666"/>
      <c r="AB6" s="666"/>
      <c r="AC6" s="666"/>
      <c r="AD6" s="666"/>
      <c r="AE6" s="666"/>
      <c r="AF6" s="666"/>
      <c r="AG6" s="666"/>
      <c r="AH6" s="666"/>
      <c r="AI6" s="666"/>
      <c r="AJ6" s="666"/>
      <c r="AK6" s="666"/>
      <c r="AM6" s="672"/>
      <c r="AN6" s="672"/>
      <c r="AO6" s="672"/>
      <c r="AP6" s="672"/>
      <c r="AQ6" s="672"/>
      <c r="AR6" s="672"/>
      <c r="AS6" s="672"/>
      <c r="AT6" s="672"/>
      <c r="AU6" s="672"/>
      <c r="AV6" s="672"/>
      <c r="AW6" s="672"/>
      <c r="AX6" s="672"/>
      <c r="AY6" s="672"/>
      <c r="AZ6" s="672"/>
      <c r="BA6" s="672"/>
      <c r="BB6" s="672"/>
      <c r="BC6" s="672"/>
      <c r="BD6" s="672"/>
      <c r="BE6" s="672"/>
      <c r="BF6" s="672"/>
      <c r="BH6" s="686"/>
      <c r="BI6" s="686"/>
      <c r="BJ6" s="686"/>
      <c r="BL6" s="502"/>
      <c r="BM6" s="502"/>
      <c r="BO6" s="828" t="s">
        <v>811</v>
      </c>
      <c r="BP6" s="828" t="s">
        <v>812</v>
      </c>
      <c r="BQ6" s="828" t="s">
        <v>813</v>
      </c>
      <c r="BR6" s="828" t="s">
        <v>814</v>
      </c>
      <c r="BS6" s="828" t="s">
        <v>811</v>
      </c>
      <c r="BT6" s="828" t="s">
        <v>812</v>
      </c>
      <c r="BU6" s="828" t="s">
        <v>813</v>
      </c>
      <c r="BV6" s="828" t="s">
        <v>814</v>
      </c>
      <c r="BW6" s="828" t="s">
        <v>811</v>
      </c>
      <c r="BX6" s="828" t="s">
        <v>812</v>
      </c>
      <c r="BY6" s="828" t="s">
        <v>813</v>
      </c>
      <c r="BZ6" s="828" t="s">
        <v>814</v>
      </c>
      <c r="CA6" s="828" t="s">
        <v>811</v>
      </c>
      <c r="CB6" s="828" t="s">
        <v>812</v>
      </c>
      <c r="CC6" s="828" t="s">
        <v>813</v>
      </c>
      <c r="CD6" s="828" t="s">
        <v>814</v>
      </c>
      <c r="CE6" s="828" t="s">
        <v>811</v>
      </c>
      <c r="CF6" s="828" t="s">
        <v>812</v>
      </c>
      <c r="CG6" s="828" t="s">
        <v>813</v>
      </c>
      <c r="CH6" s="828" t="s">
        <v>814</v>
      </c>
      <c r="CI6" s="828" t="s">
        <v>811</v>
      </c>
      <c r="CJ6" s="828" t="s">
        <v>812</v>
      </c>
      <c r="CK6" s="828" t="s">
        <v>813</v>
      </c>
      <c r="CL6" s="828" t="s">
        <v>814</v>
      </c>
      <c r="CM6" s="828" t="s">
        <v>811</v>
      </c>
      <c r="CN6" s="828" t="s">
        <v>812</v>
      </c>
      <c r="CO6" s="828" t="s">
        <v>813</v>
      </c>
      <c r="CP6" s="828" t="s">
        <v>814</v>
      </c>
      <c r="CQ6" s="828" t="s">
        <v>811</v>
      </c>
      <c r="CR6" s="828" t="s">
        <v>812</v>
      </c>
      <c r="CS6" s="828" t="s">
        <v>813</v>
      </c>
      <c r="CT6" s="828" t="s">
        <v>814</v>
      </c>
      <c r="CU6" s="828" t="s">
        <v>811</v>
      </c>
      <c r="CV6" s="828" t="s">
        <v>812</v>
      </c>
      <c r="CW6" s="828" t="s">
        <v>813</v>
      </c>
      <c r="CX6" s="828" t="s">
        <v>814</v>
      </c>
      <c r="CY6" s="828" t="s">
        <v>811</v>
      </c>
      <c r="CZ6" s="828" t="s">
        <v>812</v>
      </c>
      <c r="DA6" s="828" t="s">
        <v>813</v>
      </c>
      <c r="DB6" s="828" t="s">
        <v>814</v>
      </c>
      <c r="DC6" s="828" t="s">
        <v>811</v>
      </c>
      <c r="DD6" s="828" t="s">
        <v>812</v>
      </c>
      <c r="DE6" s="828" t="s">
        <v>813</v>
      </c>
      <c r="DF6" s="828" t="s">
        <v>814</v>
      </c>
    </row>
    <row r="7" spans="1:112" ht="18" customHeight="1">
      <c r="C7" s="495" t="s">
        <v>523</v>
      </c>
      <c r="D7" s="495"/>
      <c r="E7" s="517"/>
      <c r="G7" s="655"/>
      <c r="H7" s="655"/>
      <c r="I7" s="655"/>
      <c r="J7" s="655"/>
      <c r="K7" s="655"/>
      <c r="L7" s="655"/>
      <c r="M7" s="655"/>
      <c r="N7" s="655"/>
      <c r="O7" s="655"/>
      <c r="P7" s="655"/>
      <c r="Q7" s="655"/>
      <c r="S7" s="667"/>
      <c r="T7" s="667"/>
      <c r="U7" s="667"/>
      <c r="V7" s="667"/>
      <c r="W7" s="667"/>
      <c r="X7" s="667"/>
      <c r="Y7" s="667"/>
      <c r="Z7" s="667"/>
      <c r="AA7" s="667"/>
      <c r="AB7" s="667"/>
      <c r="AC7" s="667"/>
      <c r="AD7" s="667"/>
      <c r="AE7" s="667"/>
      <c r="AF7" s="667"/>
      <c r="AG7" s="667"/>
      <c r="AH7" s="667"/>
      <c r="AI7" s="667"/>
      <c r="AJ7" s="667"/>
      <c r="AK7" s="667"/>
      <c r="AM7" s="673"/>
      <c r="AN7" s="673"/>
      <c r="AO7" s="673"/>
      <c r="AP7" s="673"/>
      <c r="AQ7" s="673"/>
      <c r="AR7" s="673"/>
      <c r="AS7" s="673"/>
      <c r="AT7" s="673"/>
      <c r="AU7" s="673"/>
      <c r="AV7" s="673"/>
      <c r="AW7" s="673"/>
      <c r="AX7" s="673"/>
      <c r="AY7" s="673"/>
      <c r="AZ7" s="673"/>
      <c r="BA7" s="673"/>
      <c r="BB7" s="673"/>
      <c r="BC7" s="673"/>
      <c r="BD7" s="673"/>
      <c r="BE7" s="673"/>
      <c r="BF7" s="673"/>
      <c r="BH7" s="687"/>
      <c r="BI7" s="687"/>
      <c r="BJ7" s="687"/>
      <c r="BL7" s="504"/>
      <c r="BM7" s="504"/>
      <c r="BO7" s="829"/>
      <c r="BP7" s="829"/>
      <c r="BQ7" s="829"/>
      <c r="BR7" s="829"/>
      <c r="BS7" s="829"/>
      <c r="BT7" s="829"/>
      <c r="BU7" s="829"/>
      <c r="BV7" s="829"/>
      <c r="BW7" s="829"/>
      <c r="BX7" s="829"/>
      <c r="BY7" s="829"/>
      <c r="BZ7" s="829"/>
      <c r="CA7" s="829"/>
      <c r="CB7" s="829"/>
      <c r="CC7" s="829"/>
      <c r="CD7" s="829"/>
      <c r="CE7" s="829"/>
      <c r="CF7" s="829"/>
      <c r="CG7" s="829"/>
      <c r="CH7" s="829"/>
      <c r="CI7" s="829"/>
      <c r="CJ7" s="829"/>
      <c r="CK7" s="829"/>
      <c r="CL7" s="829"/>
      <c r="CM7" s="829"/>
      <c r="CN7" s="829"/>
      <c r="CO7" s="829"/>
      <c r="CP7" s="829"/>
      <c r="CQ7" s="829"/>
      <c r="CR7" s="829"/>
      <c r="CS7" s="829"/>
      <c r="CT7" s="829"/>
      <c r="CU7" s="829"/>
      <c r="CV7" s="829"/>
      <c r="CW7" s="829"/>
      <c r="CX7" s="829"/>
      <c r="CY7" s="829"/>
      <c r="CZ7" s="829"/>
      <c r="DA7" s="829"/>
      <c r="DB7" s="829"/>
      <c r="DC7" s="829"/>
      <c r="DD7" s="829"/>
      <c r="DE7" s="829"/>
      <c r="DF7" s="829"/>
    </row>
    <row r="8" spans="1:112" ht="6" customHeight="1" outlineLevel="1">
      <c r="G8" s="656"/>
      <c r="H8" s="656"/>
      <c r="I8" s="656"/>
      <c r="J8" s="656"/>
      <c r="K8" s="657"/>
      <c r="L8" s="656"/>
      <c r="M8" s="656"/>
      <c r="N8" s="656"/>
      <c r="O8" s="656"/>
      <c r="P8" s="656"/>
      <c r="Q8" s="656"/>
      <c r="S8" s="668"/>
      <c r="T8" s="668"/>
      <c r="U8" s="668"/>
      <c r="V8" s="668"/>
      <c r="W8" s="668"/>
      <c r="X8" s="668"/>
      <c r="Y8" s="668"/>
      <c r="Z8" s="668"/>
      <c r="AA8" s="668"/>
      <c r="AB8" s="668"/>
      <c r="AC8" s="668"/>
      <c r="AD8" s="668"/>
      <c r="AE8" s="668"/>
      <c r="AF8" s="668"/>
      <c r="AG8" s="668"/>
      <c r="AH8" s="668"/>
      <c r="AI8" s="668"/>
      <c r="AJ8" s="668"/>
      <c r="AK8" s="668"/>
      <c r="AM8" s="674"/>
      <c r="AN8" s="674"/>
      <c r="AO8" s="674"/>
      <c r="AP8" s="674"/>
      <c r="AQ8" s="674"/>
      <c r="AR8" s="674"/>
      <c r="AS8" s="674"/>
      <c r="AT8" s="674"/>
      <c r="AU8" s="674"/>
      <c r="AV8" s="674"/>
      <c r="AW8" s="674"/>
      <c r="AX8" s="674"/>
      <c r="AY8" s="674"/>
      <c r="AZ8" s="674"/>
      <c r="BA8" s="674"/>
      <c r="BB8" s="674"/>
      <c r="BC8" s="674"/>
      <c r="BD8" s="674"/>
      <c r="BE8" s="674"/>
      <c r="BF8" s="674"/>
      <c r="BH8" s="688"/>
      <c r="BI8" s="688"/>
      <c r="BJ8" s="688"/>
      <c r="BL8" s="505"/>
      <c r="BM8" s="505"/>
      <c r="BO8" s="830"/>
      <c r="BP8" s="830"/>
      <c r="BQ8" s="830"/>
      <c r="BR8" s="830"/>
      <c r="BS8" s="830"/>
      <c r="BT8" s="830"/>
      <c r="BU8" s="830"/>
      <c r="BV8" s="830"/>
      <c r="BW8" s="830"/>
      <c r="BX8" s="830"/>
      <c r="BY8" s="830"/>
      <c r="BZ8" s="830"/>
      <c r="CA8" s="830"/>
      <c r="CB8" s="830"/>
      <c r="CC8" s="830"/>
      <c r="CD8" s="830"/>
      <c r="CE8" s="830"/>
      <c r="CF8" s="830"/>
      <c r="CG8" s="830"/>
      <c r="CH8" s="830"/>
      <c r="CI8" s="830"/>
      <c r="CJ8" s="830"/>
      <c r="CK8" s="830"/>
      <c r="CL8" s="830"/>
      <c r="CM8" s="830"/>
      <c r="CN8" s="830"/>
      <c r="CO8" s="830"/>
      <c r="CP8" s="830"/>
      <c r="CQ8" s="830"/>
      <c r="CR8" s="830"/>
      <c r="CS8" s="830"/>
      <c r="CT8" s="830"/>
      <c r="CU8" s="830"/>
      <c r="CV8" s="830"/>
      <c r="CW8" s="830"/>
      <c r="CX8" s="830"/>
      <c r="CY8" s="830"/>
      <c r="CZ8" s="830"/>
      <c r="DA8" s="830"/>
      <c r="DB8" s="830"/>
      <c r="DC8" s="830"/>
      <c r="DD8" s="830"/>
      <c r="DE8" s="830"/>
      <c r="DF8" s="830"/>
    </row>
    <row r="9" spans="1:112" s="532" customFormat="1" ht="10.5" customHeight="1" outlineLevel="2">
      <c r="A9" s="1081"/>
      <c r="B9" s="1081"/>
      <c r="C9" s="534" t="s">
        <v>668</v>
      </c>
      <c r="D9" s="1081" t="str">
        <f>INDEX(Modules[Module], MATCH($C9, Modules[Code], 0))</f>
        <v>Domestic space heating and hot water</v>
      </c>
      <c r="E9" s="511"/>
      <c r="G9" s="714">
        <f ca="1">IFERROR(INDEX(INDIRECT($C9&amp;".Outputs["&amp;this.Year&amp;"]"), MATCH(G$5, INDIRECT($C9&amp;".Outputs[Vector]"), 0)), 0)</f>
        <v>0</v>
      </c>
      <c r="H9" s="714">
        <f t="shared" ref="H9:P9" ca="1" si="0">IFERROR(INDEX(INDIRECT($C9&amp;".Outputs["&amp;this.Year&amp;"]"), MATCH(H$5, INDIRECT($C9&amp;".Outputs[Vector]"), 0)), 0)</f>
        <v>0</v>
      </c>
      <c r="I9" s="714">
        <f t="shared" ca="1" si="0"/>
        <v>0</v>
      </c>
      <c r="J9" s="714">
        <f t="shared" ca="1" si="0"/>
        <v>0</v>
      </c>
      <c r="K9" s="714">
        <f t="shared" ca="1" si="0"/>
        <v>0</v>
      </c>
      <c r="L9" s="714">
        <f t="shared" ca="1" si="0"/>
        <v>0</v>
      </c>
      <c r="M9" s="714">
        <f t="shared" ca="1" si="0"/>
        <v>0</v>
      </c>
      <c r="N9" s="714">
        <f t="shared" ca="1" si="0"/>
        <v>0</v>
      </c>
      <c r="O9" s="714">
        <f t="shared" ca="1" si="0"/>
        <v>0</v>
      </c>
      <c r="P9" s="714">
        <f t="shared" ca="1" si="0"/>
        <v>0</v>
      </c>
      <c r="Q9" s="716">
        <f t="shared" ref="Q9:Q15" ca="1" si="1">SUM(G9:P9)</f>
        <v>0</v>
      </c>
      <c r="S9" s="723">
        <f t="shared" ref="S9:BE13" ca="1" si="2">IFERROR(INDEX(INDIRECT($C9&amp;".Outputs["&amp;this.Year&amp;"]"), MATCH(S$5, INDIRECT($C9&amp;".Outputs[Vector]"), 0)), 0)</f>
        <v>0</v>
      </c>
      <c r="T9" s="723">
        <f t="shared" ca="1" si="2"/>
        <v>0</v>
      </c>
      <c r="U9" s="723">
        <f t="shared" ca="1" si="2"/>
        <v>0</v>
      </c>
      <c r="V9" s="723">
        <f t="shared" ca="1" si="2"/>
        <v>0</v>
      </c>
      <c r="W9" s="723">
        <f t="shared" ca="1" si="2"/>
        <v>0</v>
      </c>
      <c r="X9" s="723">
        <f t="shared" ref="X9:Z10" ca="1" si="3">IFERROR(INDEX(INDIRECT($C9&amp;".Outputs["&amp;this.Year&amp;"]"), MATCH(X$5, INDIRECT($C9&amp;".Outputs[Vector]"), 0)), 0)</f>
        <v>0</v>
      </c>
      <c r="Y9" s="723">
        <f t="shared" ca="1" si="3"/>
        <v>0</v>
      </c>
      <c r="Z9" s="723">
        <f t="shared" ca="1" si="3"/>
        <v>0</v>
      </c>
      <c r="AA9" s="723">
        <f t="shared" ca="1" si="2"/>
        <v>0</v>
      </c>
      <c r="AB9" s="723">
        <f t="shared" ca="1" si="2"/>
        <v>0</v>
      </c>
      <c r="AC9" s="723">
        <f t="shared" ca="1" si="2"/>
        <v>0</v>
      </c>
      <c r="AD9" s="723">
        <f t="shared" ca="1" si="2"/>
        <v>0</v>
      </c>
      <c r="AE9" s="723">
        <f t="shared" ca="1" si="2"/>
        <v>0</v>
      </c>
      <c r="AF9" s="723">
        <f t="shared" ca="1" si="2"/>
        <v>0</v>
      </c>
      <c r="AG9" s="723">
        <f t="shared" ca="1" si="2"/>
        <v>0</v>
      </c>
      <c r="AH9" s="723">
        <f t="shared" ca="1" si="2"/>
        <v>0</v>
      </c>
      <c r="AI9" s="723">
        <f t="shared" ca="1" si="2"/>
        <v>0</v>
      </c>
      <c r="AJ9" s="723">
        <f t="shared" ca="1" si="2"/>
        <v>0</v>
      </c>
      <c r="AK9" s="724">
        <f t="shared" ref="AK9:AK15" ca="1" si="4">SUM(S9:AJ9)</f>
        <v>0</v>
      </c>
      <c r="AM9" s="735">
        <f t="shared" ref="AM9:AU10" ca="1" si="5">IFERROR(INDEX(INDIRECT($C9&amp;".Outputs["&amp;this.Year&amp;"]"), MATCH(AM$5, INDIRECT($C9&amp;".Outputs[Vector]"), 0)), 0)</f>
        <v>0</v>
      </c>
      <c r="AN9" s="735">
        <f t="shared" ca="1" si="5"/>
        <v>0</v>
      </c>
      <c r="AO9" s="735">
        <f t="shared" ca="1" si="5"/>
        <v>0</v>
      </c>
      <c r="AP9" s="735">
        <f t="shared" ca="1" si="5"/>
        <v>0</v>
      </c>
      <c r="AQ9" s="735">
        <f t="shared" ca="1" si="5"/>
        <v>0</v>
      </c>
      <c r="AR9" s="735">
        <f t="shared" ca="1" si="5"/>
        <v>0</v>
      </c>
      <c r="AS9" s="735">
        <f t="shared" ca="1" si="5"/>
        <v>0</v>
      </c>
      <c r="AT9" s="735">
        <f t="shared" ca="1" si="5"/>
        <v>0</v>
      </c>
      <c r="AU9" s="735">
        <f t="shared" ca="1" si="5"/>
        <v>0</v>
      </c>
      <c r="AV9" s="735">
        <f t="shared" ca="1" si="2"/>
        <v>0</v>
      </c>
      <c r="AW9" s="735">
        <f t="shared" ca="1" si="2"/>
        <v>0</v>
      </c>
      <c r="AX9" s="735">
        <f t="shared" ca="1" si="2"/>
        <v>0</v>
      </c>
      <c r="AY9" s="735">
        <f t="shared" ca="1" si="2"/>
        <v>0</v>
      </c>
      <c r="AZ9" s="735">
        <f t="shared" ca="1" si="2"/>
        <v>0</v>
      </c>
      <c r="BA9" s="735">
        <f t="shared" ca="1" si="2"/>
        <v>0</v>
      </c>
      <c r="BB9" s="735">
        <f t="shared" ca="1" si="2"/>
        <v>0</v>
      </c>
      <c r="BC9" s="735">
        <f t="shared" ca="1" si="2"/>
        <v>0</v>
      </c>
      <c r="BD9" s="735">
        <f t="shared" ca="1" si="2"/>
        <v>0</v>
      </c>
      <c r="BE9" s="735">
        <f t="shared" ca="1" si="2"/>
        <v>0</v>
      </c>
      <c r="BF9" s="675">
        <f t="shared" ref="BF9:BF15" ca="1" si="6">SUM(AM9:BE9)</f>
        <v>0</v>
      </c>
      <c r="BH9" s="729">
        <f t="shared" ref="BH9:BI13" ca="1" si="7">IFERROR(INDEX(INDIRECT($C9&amp;".Outputs["&amp;this.Year&amp;"]"), MATCH(BH$5, INDIRECT($C9&amp;".Outputs[Vector]"), 0)), 0)</f>
        <v>0</v>
      </c>
      <c r="BI9" s="729">
        <f t="shared" ca="1" si="7"/>
        <v>0</v>
      </c>
      <c r="BJ9" s="731">
        <f t="shared" ref="BJ9:BJ15" ca="1" si="8">SUM(BH9:BI9)</f>
        <v>0</v>
      </c>
      <c r="BL9" s="514">
        <f t="shared" ref="BL9:BL44" ca="1" si="9">Q9+AK9+BF9+BJ9</f>
        <v>0</v>
      </c>
      <c r="BM9" s="514"/>
      <c r="BN9" s="592"/>
      <c r="BO9" s="1082">
        <f t="shared" ref="BO9:BX10" ca="1" si="10">IFERROR(SUMIFS(INDIRECT($C9&amp;".Emissions["&amp;this.Year&amp;"]"), INDIRECT($C9&amp;".Emissions[GHG]"), BO$6, INDIRECT($C9&amp;".Emissions[IPCC Sector]"), BO$5),0)</f>
        <v>0</v>
      </c>
      <c r="BP9" s="1083">
        <f t="shared" ca="1" si="10"/>
        <v>0</v>
      </c>
      <c r="BQ9" s="1083">
        <f t="shared" ca="1" si="10"/>
        <v>0</v>
      </c>
      <c r="BR9" s="1083">
        <f t="shared" ca="1" si="10"/>
        <v>0</v>
      </c>
      <c r="BS9" s="1083">
        <f t="shared" ca="1" si="10"/>
        <v>0</v>
      </c>
      <c r="BT9" s="1083">
        <f t="shared" ca="1" si="10"/>
        <v>0</v>
      </c>
      <c r="BU9" s="1083">
        <f t="shared" ca="1" si="10"/>
        <v>0</v>
      </c>
      <c r="BV9" s="1083">
        <f t="shared" ca="1" si="10"/>
        <v>0</v>
      </c>
      <c r="BW9" s="1083">
        <f t="shared" ca="1" si="10"/>
        <v>0</v>
      </c>
      <c r="BX9" s="1083">
        <f t="shared" ca="1" si="10"/>
        <v>0</v>
      </c>
      <c r="BY9" s="1083">
        <f t="shared" ref="BY9:CH10" ca="1" si="11">IFERROR(SUMIFS(INDIRECT($C9&amp;".Emissions["&amp;this.Year&amp;"]"), INDIRECT($C9&amp;".Emissions[GHG]"), BY$6, INDIRECT($C9&amp;".Emissions[IPCC Sector]"), BY$5),0)</f>
        <v>0</v>
      </c>
      <c r="BZ9" s="1083">
        <f t="shared" ca="1" si="11"/>
        <v>0</v>
      </c>
      <c r="CA9" s="1083">
        <f t="shared" ca="1" si="11"/>
        <v>0</v>
      </c>
      <c r="CB9" s="1083">
        <f t="shared" ca="1" si="11"/>
        <v>0</v>
      </c>
      <c r="CC9" s="1083">
        <f t="shared" ca="1" si="11"/>
        <v>0</v>
      </c>
      <c r="CD9" s="1083">
        <f t="shared" ca="1" si="11"/>
        <v>0</v>
      </c>
      <c r="CE9" s="1083">
        <f t="shared" ca="1" si="11"/>
        <v>0</v>
      </c>
      <c r="CF9" s="1083">
        <f t="shared" ca="1" si="11"/>
        <v>0</v>
      </c>
      <c r="CG9" s="1083">
        <f t="shared" ca="1" si="11"/>
        <v>0</v>
      </c>
      <c r="CH9" s="1083">
        <f t="shared" ca="1" si="11"/>
        <v>0</v>
      </c>
      <c r="CI9" s="1083">
        <f t="shared" ref="CI9:CR10" ca="1" si="12">IFERROR(SUMIFS(INDIRECT($C9&amp;".Emissions["&amp;this.Year&amp;"]"), INDIRECT($C9&amp;".Emissions[GHG]"), CI$6, INDIRECT($C9&amp;".Emissions[IPCC Sector]"), CI$5),0)</f>
        <v>0</v>
      </c>
      <c r="CJ9" s="1083">
        <f t="shared" ca="1" si="12"/>
        <v>0</v>
      </c>
      <c r="CK9" s="1083">
        <f t="shared" ca="1" si="12"/>
        <v>0</v>
      </c>
      <c r="CL9" s="1083">
        <f t="shared" ca="1" si="12"/>
        <v>0</v>
      </c>
      <c r="CM9" s="1083">
        <f t="shared" ca="1" si="12"/>
        <v>0</v>
      </c>
      <c r="CN9" s="1083">
        <f t="shared" ca="1" si="12"/>
        <v>0</v>
      </c>
      <c r="CO9" s="1083">
        <f t="shared" ca="1" si="12"/>
        <v>0</v>
      </c>
      <c r="CP9" s="1083">
        <f t="shared" ca="1" si="12"/>
        <v>0</v>
      </c>
      <c r="CQ9" s="1083">
        <f t="shared" ca="1" si="12"/>
        <v>0</v>
      </c>
      <c r="CR9" s="1083">
        <f t="shared" ca="1" si="12"/>
        <v>0</v>
      </c>
      <c r="CS9" s="1083">
        <f t="shared" ref="CS9:DF10" ca="1" si="13">IFERROR(SUMIFS(INDIRECT($C9&amp;".Emissions["&amp;this.Year&amp;"]"), INDIRECT($C9&amp;".Emissions[GHG]"), CS$6, INDIRECT($C9&amp;".Emissions[IPCC Sector]"), CS$5),0)</f>
        <v>0</v>
      </c>
      <c r="CT9" s="1083">
        <f t="shared" ca="1" si="13"/>
        <v>0</v>
      </c>
      <c r="CU9" s="1083">
        <f t="shared" ca="1" si="13"/>
        <v>0</v>
      </c>
      <c r="CV9" s="1083">
        <f t="shared" ca="1" si="13"/>
        <v>0</v>
      </c>
      <c r="CW9" s="1083">
        <f t="shared" ca="1" si="13"/>
        <v>0</v>
      </c>
      <c r="CX9" s="1083">
        <f t="shared" ca="1" si="13"/>
        <v>0</v>
      </c>
      <c r="CY9" s="1083">
        <f t="shared" ca="1" si="13"/>
        <v>0</v>
      </c>
      <c r="CZ9" s="1083">
        <f t="shared" ca="1" si="13"/>
        <v>0</v>
      </c>
      <c r="DA9" s="1083">
        <f t="shared" ca="1" si="13"/>
        <v>0</v>
      </c>
      <c r="DB9" s="1083">
        <f t="shared" ca="1" si="13"/>
        <v>0</v>
      </c>
      <c r="DC9" s="1083">
        <f t="shared" ca="1" si="13"/>
        <v>0</v>
      </c>
      <c r="DD9" s="1083">
        <f t="shared" ca="1" si="13"/>
        <v>0</v>
      </c>
      <c r="DE9" s="1083">
        <f t="shared" ca="1" si="13"/>
        <v>0</v>
      </c>
      <c r="DF9" s="1083">
        <f t="shared" ca="1" si="13"/>
        <v>0</v>
      </c>
      <c r="DH9" s="590"/>
    </row>
    <row r="10" spans="1:112" s="532" customFormat="1" ht="10.5" customHeight="1" outlineLevel="2">
      <c r="A10" s="1084"/>
      <c r="B10" s="1084"/>
      <c r="C10" s="706" t="s">
        <v>687</v>
      </c>
      <c r="D10" s="1084" t="str">
        <f>INDEX(Modules[Module], MATCH($C10, Modules[Code], 0))</f>
        <v>Domestic hot water [UNUSED - See IX.a]</v>
      </c>
      <c r="E10" s="703"/>
      <c r="G10" s="715">
        <f t="shared" ref="G10:P13" ca="1" si="14">IFERROR(INDEX(INDIRECT($C10&amp;".Outputs["&amp;this.Year&amp;"]"), MATCH(G$5, INDIRECT($C10&amp;".Outputs[Vector]"), 0)), 0)</f>
        <v>0</v>
      </c>
      <c r="H10" s="715">
        <f t="shared" ca="1" si="14"/>
        <v>0</v>
      </c>
      <c r="I10" s="715">
        <f t="shared" ca="1" si="14"/>
        <v>0</v>
      </c>
      <c r="J10" s="715">
        <f t="shared" ca="1" si="14"/>
        <v>0</v>
      </c>
      <c r="K10" s="715">
        <f t="shared" ca="1" si="14"/>
        <v>0</v>
      </c>
      <c r="L10" s="715">
        <f t="shared" ca="1" si="14"/>
        <v>0</v>
      </c>
      <c r="M10" s="715">
        <f t="shared" ca="1" si="14"/>
        <v>0</v>
      </c>
      <c r="N10" s="715">
        <f t="shared" ca="1" si="14"/>
        <v>0</v>
      </c>
      <c r="O10" s="715">
        <f t="shared" ca="1" si="14"/>
        <v>0</v>
      </c>
      <c r="P10" s="715">
        <f t="shared" ca="1" si="14"/>
        <v>0</v>
      </c>
      <c r="Q10" s="721">
        <f t="shared" ca="1" si="1"/>
        <v>0</v>
      </c>
      <c r="S10" s="725">
        <f t="shared" ca="1" si="2"/>
        <v>0</v>
      </c>
      <c r="T10" s="725">
        <f t="shared" ca="1" si="2"/>
        <v>0</v>
      </c>
      <c r="U10" s="725">
        <f t="shared" ca="1" si="2"/>
        <v>0</v>
      </c>
      <c r="V10" s="725">
        <f t="shared" ca="1" si="2"/>
        <v>0</v>
      </c>
      <c r="W10" s="725">
        <f t="shared" ca="1" si="2"/>
        <v>0</v>
      </c>
      <c r="X10" s="725">
        <f t="shared" ca="1" si="3"/>
        <v>0</v>
      </c>
      <c r="Y10" s="725">
        <f t="shared" ca="1" si="3"/>
        <v>0</v>
      </c>
      <c r="Z10" s="725">
        <f t="shared" ca="1" si="3"/>
        <v>0</v>
      </c>
      <c r="AA10" s="725">
        <f t="shared" ca="1" si="2"/>
        <v>0</v>
      </c>
      <c r="AB10" s="725">
        <f t="shared" ca="1" si="2"/>
        <v>0</v>
      </c>
      <c r="AC10" s="725">
        <f t="shared" ca="1" si="2"/>
        <v>0</v>
      </c>
      <c r="AD10" s="725">
        <f t="shared" ca="1" si="2"/>
        <v>0</v>
      </c>
      <c r="AE10" s="725">
        <f t="shared" ca="1" si="2"/>
        <v>0</v>
      </c>
      <c r="AF10" s="725">
        <f t="shared" ca="1" si="2"/>
        <v>0</v>
      </c>
      <c r="AG10" s="725">
        <f t="shared" ca="1" si="2"/>
        <v>0</v>
      </c>
      <c r="AH10" s="725">
        <f t="shared" ca="1" si="2"/>
        <v>0</v>
      </c>
      <c r="AI10" s="725">
        <f t="shared" ca="1" si="2"/>
        <v>0</v>
      </c>
      <c r="AJ10" s="725">
        <f t="shared" ca="1" si="2"/>
        <v>0</v>
      </c>
      <c r="AK10" s="726">
        <f t="shared" ca="1" si="4"/>
        <v>0</v>
      </c>
      <c r="AM10" s="736">
        <f t="shared" ca="1" si="5"/>
        <v>0</v>
      </c>
      <c r="AN10" s="736">
        <f t="shared" ca="1" si="5"/>
        <v>0</v>
      </c>
      <c r="AO10" s="736">
        <f t="shared" ca="1" si="5"/>
        <v>0</v>
      </c>
      <c r="AP10" s="736">
        <f t="shared" ca="1" si="5"/>
        <v>0</v>
      </c>
      <c r="AQ10" s="736">
        <f t="shared" ca="1" si="5"/>
        <v>0</v>
      </c>
      <c r="AR10" s="736">
        <f t="shared" ca="1" si="5"/>
        <v>0</v>
      </c>
      <c r="AS10" s="736">
        <f t="shared" ca="1" si="5"/>
        <v>0</v>
      </c>
      <c r="AT10" s="736">
        <f t="shared" ca="1" si="5"/>
        <v>0</v>
      </c>
      <c r="AU10" s="736">
        <f t="shared" ca="1" si="5"/>
        <v>0</v>
      </c>
      <c r="AV10" s="736">
        <f t="shared" ca="1" si="2"/>
        <v>0</v>
      </c>
      <c r="AW10" s="736">
        <f t="shared" ca="1" si="2"/>
        <v>0</v>
      </c>
      <c r="AX10" s="736">
        <f t="shared" ca="1" si="2"/>
        <v>0</v>
      </c>
      <c r="AY10" s="736">
        <f t="shared" ca="1" si="2"/>
        <v>0</v>
      </c>
      <c r="AZ10" s="736">
        <f t="shared" ca="1" si="2"/>
        <v>0</v>
      </c>
      <c r="BA10" s="736">
        <f t="shared" ca="1" si="2"/>
        <v>0</v>
      </c>
      <c r="BB10" s="736">
        <f t="shared" ca="1" si="2"/>
        <v>0</v>
      </c>
      <c r="BC10" s="736">
        <f t="shared" ca="1" si="2"/>
        <v>0</v>
      </c>
      <c r="BD10" s="736">
        <f t="shared" ca="1" si="2"/>
        <v>0</v>
      </c>
      <c r="BE10" s="736">
        <f t="shared" ca="1" si="2"/>
        <v>0</v>
      </c>
      <c r="BF10" s="705">
        <f t="shared" ca="1" si="6"/>
        <v>0</v>
      </c>
      <c r="BH10" s="730">
        <f t="shared" ca="1" si="7"/>
        <v>0</v>
      </c>
      <c r="BI10" s="730">
        <f t="shared" ca="1" si="7"/>
        <v>0</v>
      </c>
      <c r="BJ10" s="741">
        <f t="shared" ca="1" si="8"/>
        <v>0</v>
      </c>
      <c r="BL10" s="704">
        <f t="shared" ca="1" si="9"/>
        <v>0</v>
      </c>
      <c r="BM10" s="704"/>
      <c r="BN10" s="592"/>
      <c r="BO10" s="1082">
        <f t="shared" ca="1" si="10"/>
        <v>0</v>
      </c>
      <c r="BP10" s="1083">
        <f t="shared" ca="1" si="10"/>
        <v>0</v>
      </c>
      <c r="BQ10" s="1083">
        <f t="shared" ca="1" si="10"/>
        <v>0</v>
      </c>
      <c r="BR10" s="1083">
        <f t="shared" ca="1" si="10"/>
        <v>0</v>
      </c>
      <c r="BS10" s="1083">
        <f t="shared" ca="1" si="10"/>
        <v>0</v>
      </c>
      <c r="BT10" s="1083">
        <f t="shared" ca="1" si="10"/>
        <v>0</v>
      </c>
      <c r="BU10" s="1083">
        <f t="shared" ca="1" si="10"/>
        <v>0</v>
      </c>
      <c r="BV10" s="1083">
        <f t="shared" ca="1" si="10"/>
        <v>0</v>
      </c>
      <c r="BW10" s="1083">
        <f t="shared" ca="1" si="10"/>
        <v>0</v>
      </c>
      <c r="BX10" s="1083">
        <f t="shared" ca="1" si="10"/>
        <v>0</v>
      </c>
      <c r="BY10" s="1083">
        <f t="shared" ca="1" si="11"/>
        <v>0</v>
      </c>
      <c r="BZ10" s="1083">
        <f t="shared" ca="1" si="11"/>
        <v>0</v>
      </c>
      <c r="CA10" s="1083">
        <f t="shared" ca="1" si="11"/>
        <v>0</v>
      </c>
      <c r="CB10" s="1083">
        <f t="shared" ca="1" si="11"/>
        <v>0</v>
      </c>
      <c r="CC10" s="1083">
        <f t="shared" ca="1" si="11"/>
        <v>0</v>
      </c>
      <c r="CD10" s="1083">
        <f t="shared" ca="1" si="11"/>
        <v>0</v>
      </c>
      <c r="CE10" s="1083">
        <f t="shared" ca="1" si="11"/>
        <v>0</v>
      </c>
      <c r="CF10" s="1083">
        <f t="shared" ca="1" si="11"/>
        <v>0</v>
      </c>
      <c r="CG10" s="1083">
        <f t="shared" ca="1" si="11"/>
        <v>0</v>
      </c>
      <c r="CH10" s="1083">
        <f t="shared" ca="1" si="11"/>
        <v>0</v>
      </c>
      <c r="CI10" s="1083">
        <f t="shared" ca="1" si="12"/>
        <v>0</v>
      </c>
      <c r="CJ10" s="1083">
        <f t="shared" ca="1" si="12"/>
        <v>0</v>
      </c>
      <c r="CK10" s="1083">
        <f t="shared" ca="1" si="12"/>
        <v>0</v>
      </c>
      <c r="CL10" s="1083">
        <f t="shared" ca="1" si="12"/>
        <v>0</v>
      </c>
      <c r="CM10" s="1083">
        <f t="shared" ca="1" si="12"/>
        <v>0</v>
      </c>
      <c r="CN10" s="1083">
        <f t="shared" ca="1" si="12"/>
        <v>0</v>
      </c>
      <c r="CO10" s="1083">
        <f t="shared" ca="1" si="12"/>
        <v>0</v>
      </c>
      <c r="CP10" s="1083">
        <f t="shared" ca="1" si="12"/>
        <v>0</v>
      </c>
      <c r="CQ10" s="1083">
        <f t="shared" ca="1" si="12"/>
        <v>0</v>
      </c>
      <c r="CR10" s="1083">
        <f t="shared" ca="1" si="12"/>
        <v>0</v>
      </c>
      <c r="CS10" s="1083">
        <f t="shared" ca="1" si="13"/>
        <v>0</v>
      </c>
      <c r="CT10" s="1083">
        <f t="shared" ca="1" si="13"/>
        <v>0</v>
      </c>
      <c r="CU10" s="1083">
        <f t="shared" ca="1" si="13"/>
        <v>0</v>
      </c>
      <c r="CV10" s="1083">
        <f t="shared" ca="1" si="13"/>
        <v>0</v>
      </c>
      <c r="CW10" s="1083">
        <f t="shared" ca="1" si="13"/>
        <v>0</v>
      </c>
      <c r="CX10" s="1083">
        <f t="shared" ca="1" si="13"/>
        <v>0</v>
      </c>
      <c r="CY10" s="1083">
        <f t="shared" ca="1" si="13"/>
        <v>0</v>
      </c>
      <c r="CZ10" s="1083">
        <f t="shared" ca="1" si="13"/>
        <v>0</v>
      </c>
      <c r="DA10" s="1083">
        <f t="shared" ca="1" si="13"/>
        <v>0</v>
      </c>
      <c r="DB10" s="1083">
        <f t="shared" ca="1" si="13"/>
        <v>0</v>
      </c>
      <c r="DC10" s="1083">
        <f t="shared" ca="1" si="13"/>
        <v>0</v>
      </c>
      <c r="DD10" s="1083">
        <f t="shared" ca="1" si="13"/>
        <v>0</v>
      </c>
      <c r="DE10" s="1083">
        <f t="shared" ca="1" si="13"/>
        <v>0</v>
      </c>
      <c r="DF10" s="1083">
        <f t="shared" ca="1" si="13"/>
        <v>0</v>
      </c>
      <c r="DH10" s="590"/>
    </row>
    <row r="11" spans="1:112" s="532" customFormat="1" ht="12.75" customHeight="1" outlineLevel="1">
      <c r="A11" s="1085"/>
      <c r="B11" s="1085"/>
      <c r="C11" s="534"/>
      <c r="D11" s="1085" t="s">
        <v>718</v>
      </c>
      <c r="E11" s="511"/>
      <c r="G11" s="716">
        <f ca="1">SUM(G9:G10)</f>
        <v>0</v>
      </c>
      <c r="H11" s="716">
        <f t="shared" ref="H11:P11" ca="1" si="15">SUM(H9:H10)</f>
        <v>0</v>
      </c>
      <c r="I11" s="716">
        <f t="shared" ca="1" si="15"/>
        <v>0</v>
      </c>
      <c r="J11" s="716">
        <f t="shared" ca="1" si="15"/>
        <v>0</v>
      </c>
      <c r="K11" s="716">
        <f t="shared" ca="1" si="15"/>
        <v>0</v>
      </c>
      <c r="L11" s="716">
        <f t="shared" ca="1" si="15"/>
        <v>0</v>
      </c>
      <c r="M11" s="716">
        <f t="shared" ca="1" si="15"/>
        <v>0</v>
      </c>
      <c r="N11" s="716">
        <f t="shared" ca="1" si="15"/>
        <v>0</v>
      </c>
      <c r="O11" s="716">
        <f t="shared" ca="1" si="15"/>
        <v>0</v>
      </c>
      <c r="P11" s="716">
        <f t="shared" ca="1" si="15"/>
        <v>0</v>
      </c>
      <c r="Q11" s="716">
        <f t="shared" ca="1" si="1"/>
        <v>0</v>
      </c>
      <c r="S11" s="724">
        <f ca="1">SUM(S9:S10)</f>
        <v>0</v>
      </c>
      <c r="T11" s="724">
        <f t="shared" ref="T11:AJ11" ca="1" si="16">SUM(T9:T10)</f>
        <v>0</v>
      </c>
      <c r="U11" s="724">
        <f t="shared" ca="1" si="16"/>
        <v>0</v>
      </c>
      <c r="V11" s="724">
        <f t="shared" ca="1" si="16"/>
        <v>0</v>
      </c>
      <c r="W11" s="724">
        <f t="shared" ca="1" si="16"/>
        <v>0</v>
      </c>
      <c r="X11" s="724">
        <f ca="1">SUM(X9:X10)</f>
        <v>0</v>
      </c>
      <c r="Y11" s="724">
        <f ca="1">SUM(Y9:Y10)</f>
        <v>0</v>
      </c>
      <c r="Z11" s="724">
        <f ca="1">SUM(Z9:Z10)</f>
        <v>0</v>
      </c>
      <c r="AA11" s="724">
        <f t="shared" ca="1" si="16"/>
        <v>0</v>
      </c>
      <c r="AB11" s="724">
        <f t="shared" ca="1" si="16"/>
        <v>0</v>
      </c>
      <c r="AC11" s="724">
        <f t="shared" ca="1" si="16"/>
        <v>0</v>
      </c>
      <c r="AD11" s="724">
        <f ca="1">SUM(AD9:AD10)</f>
        <v>0</v>
      </c>
      <c r="AE11" s="724">
        <f ca="1">SUM(AE9:AE10)</f>
        <v>0</v>
      </c>
      <c r="AF11" s="724">
        <f t="shared" ca="1" si="16"/>
        <v>0</v>
      </c>
      <c r="AG11" s="724">
        <f ca="1">SUM(AG9:AG10)</f>
        <v>0</v>
      </c>
      <c r="AH11" s="724">
        <f ca="1">SUM(AH9:AH10)</f>
        <v>0</v>
      </c>
      <c r="AI11" s="724">
        <f ca="1">SUM(AI9:AI10)</f>
        <v>0</v>
      </c>
      <c r="AJ11" s="724">
        <f t="shared" ca="1" si="16"/>
        <v>0</v>
      </c>
      <c r="AK11" s="724">
        <f t="shared" ca="1" si="4"/>
        <v>0</v>
      </c>
      <c r="AM11" s="737">
        <f t="shared" ref="AM11:BE11" ca="1" si="17">SUM(AM9:AM10)</f>
        <v>0</v>
      </c>
      <c r="AN11" s="737">
        <f t="shared" ca="1" si="17"/>
        <v>0</v>
      </c>
      <c r="AO11" s="737">
        <f t="shared" ca="1" si="17"/>
        <v>0</v>
      </c>
      <c r="AP11" s="737">
        <f t="shared" ca="1" si="17"/>
        <v>0</v>
      </c>
      <c r="AQ11" s="737">
        <f t="shared" ca="1" si="17"/>
        <v>0</v>
      </c>
      <c r="AR11" s="737">
        <f t="shared" ca="1" si="17"/>
        <v>0</v>
      </c>
      <c r="AS11" s="737">
        <f t="shared" ca="1" si="17"/>
        <v>0</v>
      </c>
      <c r="AT11" s="737">
        <f t="shared" ca="1" si="17"/>
        <v>0</v>
      </c>
      <c r="AU11" s="737">
        <f t="shared" ca="1" si="17"/>
        <v>0</v>
      </c>
      <c r="AV11" s="737">
        <f t="shared" ca="1" si="17"/>
        <v>0</v>
      </c>
      <c r="AW11" s="737">
        <f t="shared" ca="1" si="17"/>
        <v>0</v>
      </c>
      <c r="AX11" s="737">
        <f t="shared" ca="1" si="17"/>
        <v>0</v>
      </c>
      <c r="AY11" s="737">
        <f t="shared" ca="1" si="17"/>
        <v>0</v>
      </c>
      <c r="AZ11" s="737">
        <f t="shared" ca="1" si="17"/>
        <v>0</v>
      </c>
      <c r="BA11" s="737">
        <f t="shared" ca="1" si="17"/>
        <v>0</v>
      </c>
      <c r="BB11" s="737">
        <f t="shared" ca="1" si="17"/>
        <v>0</v>
      </c>
      <c r="BC11" s="737">
        <f t="shared" ca="1" si="17"/>
        <v>0</v>
      </c>
      <c r="BD11" s="737">
        <f t="shared" ca="1" si="17"/>
        <v>0</v>
      </c>
      <c r="BE11" s="737">
        <f t="shared" ca="1" si="17"/>
        <v>0</v>
      </c>
      <c r="BF11" s="677">
        <f t="shared" ca="1" si="6"/>
        <v>0</v>
      </c>
      <c r="BH11" s="731">
        <f ca="1">SUM(BH9:BH10)</f>
        <v>0</v>
      </c>
      <c r="BI11" s="731">
        <f ca="1">SUM(BI9:BI10)</f>
        <v>0</v>
      </c>
      <c r="BJ11" s="731">
        <f t="shared" ca="1" si="8"/>
        <v>0</v>
      </c>
      <c r="BL11" s="576">
        <f t="shared" ca="1" si="9"/>
        <v>0</v>
      </c>
      <c r="BM11" s="576"/>
      <c r="BN11" s="592"/>
      <c r="BO11" s="1082">
        <f t="shared" ref="BO11:DF11" ca="1" si="18">SUM(BO9:BO10)</f>
        <v>0</v>
      </c>
      <c r="BP11" s="1083">
        <f t="shared" ca="1" si="18"/>
        <v>0</v>
      </c>
      <c r="BQ11" s="1083">
        <f t="shared" ca="1" si="18"/>
        <v>0</v>
      </c>
      <c r="BR11" s="1083">
        <f t="shared" ca="1" si="18"/>
        <v>0</v>
      </c>
      <c r="BS11" s="1083">
        <f t="shared" ca="1" si="18"/>
        <v>0</v>
      </c>
      <c r="BT11" s="1083">
        <f t="shared" ca="1" si="18"/>
        <v>0</v>
      </c>
      <c r="BU11" s="1083">
        <f t="shared" ca="1" si="18"/>
        <v>0</v>
      </c>
      <c r="BV11" s="1083">
        <f t="shared" ca="1" si="18"/>
        <v>0</v>
      </c>
      <c r="BW11" s="1083">
        <f t="shared" ca="1" si="18"/>
        <v>0</v>
      </c>
      <c r="BX11" s="1083">
        <f t="shared" ca="1" si="18"/>
        <v>0</v>
      </c>
      <c r="BY11" s="1083">
        <f t="shared" ca="1" si="18"/>
        <v>0</v>
      </c>
      <c r="BZ11" s="1083">
        <f t="shared" ca="1" si="18"/>
        <v>0</v>
      </c>
      <c r="CA11" s="1083">
        <f t="shared" ca="1" si="18"/>
        <v>0</v>
      </c>
      <c r="CB11" s="1083">
        <f t="shared" ca="1" si="18"/>
        <v>0</v>
      </c>
      <c r="CC11" s="1083">
        <f t="shared" ca="1" si="18"/>
        <v>0</v>
      </c>
      <c r="CD11" s="1083">
        <f t="shared" ca="1" si="18"/>
        <v>0</v>
      </c>
      <c r="CE11" s="1083">
        <f t="shared" ca="1" si="18"/>
        <v>0</v>
      </c>
      <c r="CF11" s="1083">
        <f t="shared" ca="1" si="18"/>
        <v>0</v>
      </c>
      <c r="CG11" s="1083">
        <f t="shared" ca="1" si="18"/>
        <v>0</v>
      </c>
      <c r="CH11" s="1083">
        <f t="shared" ca="1" si="18"/>
        <v>0</v>
      </c>
      <c r="CI11" s="1083">
        <f t="shared" ca="1" si="18"/>
        <v>0</v>
      </c>
      <c r="CJ11" s="1083">
        <f t="shared" ca="1" si="18"/>
        <v>0</v>
      </c>
      <c r="CK11" s="1083">
        <f t="shared" ca="1" si="18"/>
        <v>0</v>
      </c>
      <c r="CL11" s="1083">
        <f t="shared" ca="1" si="18"/>
        <v>0</v>
      </c>
      <c r="CM11" s="1083">
        <f t="shared" ca="1" si="18"/>
        <v>0</v>
      </c>
      <c r="CN11" s="1083">
        <f t="shared" ca="1" si="18"/>
        <v>0</v>
      </c>
      <c r="CO11" s="1083">
        <f t="shared" ca="1" si="18"/>
        <v>0</v>
      </c>
      <c r="CP11" s="1083">
        <f t="shared" ca="1" si="18"/>
        <v>0</v>
      </c>
      <c r="CQ11" s="1083">
        <f t="shared" ca="1" si="18"/>
        <v>0</v>
      </c>
      <c r="CR11" s="1083">
        <f t="shared" ca="1" si="18"/>
        <v>0</v>
      </c>
      <c r="CS11" s="1083">
        <f t="shared" ca="1" si="18"/>
        <v>0</v>
      </c>
      <c r="CT11" s="1083">
        <f t="shared" ca="1" si="18"/>
        <v>0</v>
      </c>
      <c r="CU11" s="1083">
        <f t="shared" ca="1" si="18"/>
        <v>0</v>
      </c>
      <c r="CV11" s="1083">
        <f t="shared" ca="1" si="18"/>
        <v>0</v>
      </c>
      <c r="CW11" s="1083">
        <f t="shared" ca="1" si="18"/>
        <v>0</v>
      </c>
      <c r="CX11" s="1083">
        <f t="shared" ca="1" si="18"/>
        <v>0</v>
      </c>
      <c r="CY11" s="1083">
        <f t="shared" ca="1" si="18"/>
        <v>0</v>
      </c>
      <c r="CZ11" s="1083">
        <f t="shared" ca="1" si="18"/>
        <v>0</v>
      </c>
      <c r="DA11" s="1083">
        <f t="shared" ca="1" si="18"/>
        <v>0</v>
      </c>
      <c r="DB11" s="1083">
        <f t="shared" ca="1" si="18"/>
        <v>0</v>
      </c>
      <c r="DC11" s="1083">
        <f t="shared" ca="1" si="18"/>
        <v>0</v>
      </c>
      <c r="DD11" s="1083">
        <f t="shared" ca="1" si="18"/>
        <v>0</v>
      </c>
      <c r="DE11" s="1083">
        <f t="shared" ca="1" si="18"/>
        <v>0</v>
      </c>
      <c r="DF11" s="1083">
        <f t="shared" ca="1" si="18"/>
        <v>0</v>
      </c>
      <c r="DH11" s="590"/>
    </row>
    <row r="12" spans="1:112" s="532" customFormat="1" ht="10.5" customHeight="1" outlineLevel="2">
      <c r="A12" s="1081"/>
      <c r="B12" s="1081"/>
      <c r="C12" s="534" t="s">
        <v>716</v>
      </c>
      <c r="D12" s="1081" t="str">
        <f>INDEX(Modules[Module], MATCH($C12, Modules[Code], 0))</f>
        <v>Commercial heating and cooling</v>
      </c>
      <c r="E12" s="703"/>
      <c r="G12" s="714">
        <f t="shared" ca="1" si="14"/>
        <v>0</v>
      </c>
      <c r="H12" s="714">
        <f t="shared" ca="1" si="14"/>
        <v>0</v>
      </c>
      <c r="I12" s="714">
        <f t="shared" ca="1" si="14"/>
        <v>0</v>
      </c>
      <c r="J12" s="714">
        <f t="shared" ca="1" si="14"/>
        <v>0</v>
      </c>
      <c r="K12" s="714">
        <f t="shared" ca="1" si="14"/>
        <v>0</v>
      </c>
      <c r="L12" s="714">
        <f t="shared" ca="1" si="14"/>
        <v>0</v>
      </c>
      <c r="M12" s="714">
        <f t="shared" ca="1" si="14"/>
        <v>0</v>
      </c>
      <c r="N12" s="714">
        <f t="shared" ca="1" si="14"/>
        <v>0</v>
      </c>
      <c r="O12" s="714">
        <f t="shared" ca="1" si="14"/>
        <v>0</v>
      </c>
      <c r="P12" s="714">
        <f t="shared" ca="1" si="14"/>
        <v>0</v>
      </c>
      <c r="Q12" s="716">
        <f t="shared" ca="1" si="1"/>
        <v>0</v>
      </c>
      <c r="S12" s="723">
        <f t="shared" ca="1" si="2"/>
        <v>0</v>
      </c>
      <c r="T12" s="723">
        <f t="shared" ca="1" si="2"/>
        <v>0</v>
      </c>
      <c r="U12" s="723">
        <f t="shared" ca="1" si="2"/>
        <v>0</v>
      </c>
      <c r="V12" s="723">
        <f t="shared" ca="1" si="2"/>
        <v>0</v>
      </c>
      <c r="W12" s="723">
        <f t="shared" ca="1" si="2"/>
        <v>0</v>
      </c>
      <c r="X12" s="723">
        <f t="shared" ref="X12:Z13" ca="1" si="19">IFERROR(INDEX(INDIRECT($C12&amp;".Outputs["&amp;this.Year&amp;"]"), MATCH(X$5, INDIRECT($C12&amp;".Outputs[Vector]"), 0)), 0)</f>
        <v>0</v>
      </c>
      <c r="Y12" s="723">
        <f t="shared" ca="1" si="19"/>
        <v>0</v>
      </c>
      <c r="Z12" s="723">
        <f t="shared" ca="1" si="19"/>
        <v>0</v>
      </c>
      <c r="AA12" s="723">
        <f t="shared" ca="1" si="2"/>
        <v>0</v>
      </c>
      <c r="AB12" s="723">
        <f t="shared" ca="1" si="2"/>
        <v>0</v>
      </c>
      <c r="AC12" s="723">
        <f t="shared" ca="1" si="2"/>
        <v>0</v>
      </c>
      <c r="AD12" s="723">
        <f t="shared" ca="1" si="2"/>
        <v>0</v>
      </c>
      <c r="AE12" s="723">
        <f t="shared" ca="1" si="2"/>
        <v>0</v>
      </c>
      <c r="AF12" s="723">
        <f t="shared" ca="1" si="2"/>
        <v>0</v>
      </c>
      <c r="AG12" s="723">
        <f t="shared" ca="1" si="2"/>
        <v>0</v>
      </c>
      <c r="AH12" s="723">
        <f t="shared" ca="1" si="2"/>
        <v>0</v>
      </c>
      <c r="AI12" s="723">
        <f t="shared" ca="1" si="2"/>
        <v>0</v>
      </c>
      <c r="AJ12" s="723">
        <f t="shared" ca="1" si="2"/>
        <v>0</v>
      </c>
      <c r="AK12" s="724">
        <f t="shared" ca="1" si="4"/>
        <v>0</v>
      </c>
      <c r="AM12" s="735">
        <f t="shared" ref="AM12:AU13" ca="1" si="20">IFERROR(INDEX(INDIRECT($C12&amp;".Outputs["&amp;this.Year&amp;"]"), MATCH(AM$5, INDIRECT($C12&amp;".Outputs[Vector]"), 0)), 0)</f>
        <v>0</v>
      </c>
      <c r="AN12" s="735">
        <f t="shared" ca="1" si="20"/>
        <v>0</v>
      </c>
      <c r="AO12" s="735">
        <f t="shared" ca="1" si="20"/>
        <v>0</v>
      </c>
      <c r="AP12" s="735">
        <f t="shared" ca="1" si="20"/>
        <v>0</v>
      </c>
      <c r="AQ12" s="735">
        <f t="shared" ca="1" si="20"/>
        <v>0</v>
      </c>
      <c r="AR12" s="735">
        <f t="shared" ca="1" si="20"/>
        <v>0</v>
      </c>
      <c r="AS12" s="735">
        <f t="shared" ca="1" si="20"/>
        <v>0</v>
      </c>
      <c r="AT12" s="735">
        <f t="shared" ca="1" si="20"/>
        <v>0</v>
      </c>
      <c r="AU12" s="735">
        <f t="shared" ca="1" si="20"/>
        <v>0</v>
      </c>
      <c r="AV12" s="735">
        <f t="shared" ca="1" si="2"/>
        <v>0</v>
      </c>
      <c r="AW12" s="735">
        <f t="shared" ca="1" si="2"/>
        <v>0</v>
      </c>
      <c r="AX12" s="735">
        <f t="shared" ca="1" si="2"/>
        <v>0</v>
      </c>
      <c r="AY12" s="735">
        <f t="shared" ca="1" si="2"/>
        <v>0</v>
      </c>
      <c r="AZ12" s="735">
        <f t="shared" ca="1" si="2"/>
        <v>0</v>
      </c>
      <c r="BA12" s="735">
        <f t="shared" ca="1" si="2"/>
        <v>0</v>
      </c>
      <c r="BB12" s="735">
        <f t="shared" ca="1" si="2"/>
        <v>0</v>
      </c>
      <c r="BC12" s="735">
        <f t="shared" ca="1" si="2"/>
        <v>0</v>
      </c>
      <c r="BD12" s="735">
        <f t="shared" ca="1" si="2"/>
        <v>0</v>
      </c>
      <c r="BE12" s="735">
        <f t="shared" ca="1" si="2"/>
        <v>0</v>
      </c>
      <c r="BF12" s="675">
        <f t="shared" ca="1" si="6"/>
        <v>0</v>
      </c>
      <c r="BH12" s="729">
        <f t="shared" ca="1" si="7"/>
        <v>0</v>
      </c>
      <c r="BI12" s="729">
        <f t="shared" ca="1" si="7"/>
        <v>0</v>
      </c>
      <c r="BJ12" s="731">
        <f t="shared" ca="1" si="8"/>
        <v>0</v>
      </c>
      <c r="BL12" s="514">
        <f t="shared" ca="1" si="9"/>
        <v>0</v>
      </c>
      <c r="BM12" s="514"/>
      <c r="BN12" s="592"/>
      <c r="BO12" s="1082">
        <f t="shared" ref="BO12:BX13" ca="1" si="21">IFERROR(SUMIFS(INDIRECT($C12&amp;".Emissions["&amp;this.Year&amp;"]"), INDIRECT($C12&amp;".Emissions[GHG]"), BO$6, INDIRECT($C12&amp;".Emissions[IPCC Sector]"), BO$5),0)</f>
        <v>0</v>
      </c>
      <c r="BP12" s="1083">
        <f t="shared" ca="1" si="21"/>
        <v>0</v>
      </c>
      <c r="BQ12" s="1083">
        <f t="shared" ca="1" si="21"/>
        <v>0</v>
      </c>
      <c r="BR12" s="1083">
        <f t="shared" ca="1" si="21"/>
        <v>0</v>
      </c>
      <c r="BS12" s="1083">
        <f t="shared" ca="1" si="21"/>
        <v>0</v>
      </c>
      <c r="BT12" s="1083">
        <f t="shared" ca="1" si="21"/>
        <v>0</v>
      </c>
      <c r="BU12" s="1083">
        <f t="shared" ca="1" si="21"/>
        <v>0</v>
      </c>
      <c r="BV12" s="1083">
        <f t="shared" ca="1" si="21"/>
        <v>0</v>
      </c>
      <c r="BW12" s="1083">
        <f t="shared" ca="1" si="21"/>
        <v>0</v>
      </c>
      <c r="BX12" s="1083">
        <f t="shared" ca="1" si="21"/>
        <v>0</v>
      </c>
      <c r="BY12" s="1083">
        <f t="shared" ref="BY12:CH13" ca="1" si="22">IFERROR(SUMIFS(INDIRECT($C12&amp;".Emissions["&amp;this.Year&amp;"]"), INDIRECT($C12&amp;".Emissions[GHG]"), BY$6, INDIRECT($C12&amp;".Emissions[IPCC Sector]"), BY$5),0)</f>
        <v>0</v>
      </c>
      <c r="BZ12" s="1083">
        <f t="shared" ca="1" si="22"/>
        <v>0</v>
      </c>
      <c r="CA12" s="1083">
        <f t="shared" ca="1" si="22"/>
        <v>0</v>
      </c>
      <c r="CB12" s="1083">
        <f t="shared" ca="1" si="22"/>
        <v>0</v>
      </c>
      <c r="CC12" s="1083">
        <f t="shared" ca="1" si="22"/>
        <v>0</v>
      </c>
      <c r="CD12" s="1083">
        <f t="shared" ca="1" si="22"/>
        <v>0</v>
      </c>
      <c r="CE12" s="1083">
        <f t="shared" ca="1" si="22"/>
        <v>0</v>
      </c>
      <c r="CF12" s="1083">
        <f t="shared" ca="1" si="22"/>
        <v>0</v>
      </c>
      <c r="CG12" s="1083">
        <f t="shared" ca="1" si="22"/>
        <v>0</v>
      </c>
      <c r="CH12" s="1083">
        <f t="shared" ca="1" si="22"/>
        <v>0</v>
      </c>
      <c r="CI12" s="1083">
        <f t="shared" ref="CI12:CR13" ca="1" si="23">IFERROR(SUMIFS(INDIRECT($C12&amp;".Emissions["&amp;this.Year&amp;"]"), INDIRECT($C12&amp;".Emissions[GHG]"), CI$6, INDIRECT($C12&amp;".Emissions[IPCC Sector]"), CI$5),0)</f>
        <v>0</v>
      </c>
      <c r="CJ12" s="1083">
        <f t="shared" ca="1" si="23"/>
        <v>0</v>
      </c>
      <c r="CK12" s="1083">
        <f t="shared" ca="1" si="23"/>
        <v>0</v>
      </c>
      <c r="CL12" s="1083">
        <f t="shared" ca="1" si="23"/>
        <v>0</v>
      </c>
      <c r="CM12" s="1083">
        <f t="shared" ca="1" si="23"/>
        <v>0</v>
      </c>
      <c r="CN12" s="1083">
        <f t="shared" ca="1" si="23"/>
        <v>0</v>
      </c>
      <c r="CO12" s="1083">
        <f t="shared" ca="1" si="23"/>
        <v>0</v>
      </c>
      <c r="CP12" s="1083">
        <f t="shared" ca="1" si="23"/>
        <v>0</v>
      </c>
      <c r="CQ12" s="1083">
        <f t="shared" ca="1" si="23"/>
        <v>0</v>
      </c>
      <c r="CR12" s="1083">
        <f t="shared" ca="1" si="23"/>
        <v>0</v>
      </c>
      <c r="CS12" s="1083">
        <f t="shared" ref="CS12:DF13" ca="1" si="24">IFERROR(SUMIFS(INDIRECT($C12&amp;".Emissions["&amp;this.Year&amp;"]"), INDIRECT($C12&amp;".Emissions[GHG]"), CS$6, INDIRECT($C12&amp;".Emissions[IPCC Sector]"), CS$5),0)</f>
        <v>0</v>
      </c>
      <c r="CT12" s="1083">
        <f t="shared" ca="1" si="24"/>
        <v>0</v>
      </c>
      <c r="CU12" s="1083">
        <f t="shared" ca="1" si="24"/>
        <v>0</v>
      </c>
      <c r="CV12" s="1083">
        <f t="shared" ca="1" si="24"/>
        <v>0</v>
      </c>
      <c r="CW12" s="1083">
        <f t="shared" ca="1" si="24"/>
        <v>0</v>
      </c>
      <c r="CX12" s="1083">
        <f t="shared" ca="1" si="24"/>
        <v>0</v>
      </c>
      <c r="CY12" s="1083">
        <f t="shared" ca="1" si="24"/>
        <v>0</v>
      </c>
      <c r="CZ12" s="1083">
        <f t="shared" ca="1" si="24"/>
        <v>0</v>
      </c>
      <c r="DA12" s="1083">
        <f t="shared" ca="1" si="24"/>
        <v>0</v>
      </c>
      <c r="DB12" s="1083">
        <f t="shared" ca="1" si="24"/>
        <v>0</v>
      </c>
      <c r="DC12" s="1083">
        <f t="shared" ca="1" si="24"/>
        <v>0</v>
      </c>
      <c r="DD12" s="1083">
        <f t="shared" ca="1" si="24"/>
        <v>0</v>
      </c>
      <c r="DE12" s="1083">
        <f t="shared" ca="1" si="24"/>
        <v>0</v>
      </c>
      <c r="DF12" s="1083">
        <f t="shared" ca="1" si="24"/>
        <v>0</v>
      </c>
      <c r="DH12" s="590"/>
    </row>
    <row r="13" spans="1:112" s="532" customFormat="1" ht="10.5" customHeight="1" outlineLevel="2">
      <c r="A13" s="1084"/>
      <c r="B13" s="1084"/>
      <c r="C13" s="706" t="s">
        <v>717</v>
      </c>
      <c r="D13" s="1084" t="str">
        <f>INDEX(Modules[Module], MATCH($C13, Modules[Code], 0))</f>
        <v>Commercial hot water [UNUSED - See IX.c]</v>
      </c>
      <c r="E13" s="703"/>
      <c r="G13" s="715">
        <f t="shared" ca="1" si="14"/>
        <v>0</v>
      </c>
      <c r="H13" s="715">
        <f t="shared" ca="1" si="14"/>
        <v>0</v>
      </c>
      <c r="I13" s="715">
        <f t="shared" ca="1" si="14"/>
        <v>0</v>
      </c>
      <c r="J13" s="715">
        <f t="shared" ca="1" si="14"/>
        <v>0</v>
      </c>
      <c r="K13" s="715">
        <f t="shared" ca="1" si="14"/>
        <v>0</v>
      </c>
      <c r="L13" s="715">
        <f t="shared" ca="1" si="14"/>
        <v>0</v>
      </c>
      <c r="M13" s="715">
        <f t="shared" ca="1" si="14"/>
        <v>0</v>
      </c>
      <c r="N13" s="715">
        <f t="shared" ca="1" si="14"/>
        <v>0</v>
      </c>
      <c r="O13" s="715">
        <f t="shared" ca="1" si="14"/>
        <v>0</v>
      </c>
      <c r="P13" s="715">
        <f t="shared" ca="1" si="14"/>
        <v>0</v>
      </c>
      <c r="Q13" s="721">
        <f t="shared" ca="1" si="1"/>
        <v>0</v>
      </c>
      <c r="S13" s="725">
        <f t="shared" ca="1" si="2"/>
        <v>0</v>
      </c>
      <c r="T13" s="725">
        <f t="shared" ca="1" si="2"/>
        <v>0</v>
      </c>
      <c r="U13" s="725">
        <f t="shared" ca="1" si="2"/>
        <v>0</v>
      </c>
      <c r="V13" s="725">
        <f t="shared" ca="1" si="2"/>
        <v>0</v>
      </c>
      <c r="W13" s="725">
        <f t="shared" ca="1" si="2"/>
        <v>0</v>
      </c>
      <c r="X13" s="725">
        <f t="shared" ca="1" si="19"/>
        <v>0</v>
      </c>
      <c r="Y13" s="725">
        <f t="shared" ca="1" si="19"/>
        <v>0</v>
      </c>
      <c r="Z13" s="725">
        <f t="shared" ca="1" si="19"/>
        <v>0</v>
      </c>
      <c r="AA13" s="725">
        <f t="shared" ca="1" si="2"/>
        <v>0</v>
      </c>
      <c r="AB13" s="725">
        <f t="shared" ca="1" si="2"/>
        <v>0</v>
      </c>
      <c r="AC13" s="725">
        <f t="shared" ca="1" si="2"/>
        <v>0</v>
      </c>
      <c r="AD13" s="725">
        <f t="shared" ca="1" si="2"/>
        <v>0</v>
      </c>
      <c r="AE13" s="725">
        <f t="shared" ca="1" si="2"/>
        <v>0</v>
      </c>
      <c r="AF13" s="725">
        <f t="shared" ca="1" si="2"/>
        <v>0</v>
      </c>
      <c r="AG13" s="725">
        <f t="shared" ca="1" si="2"/>
        <v>0</v>
      </c>
      <c r="AH13" s="725">
        <f t="shared" ca="1" si="2"/>
        <v>0</v>
      </c>
      <c r="AI13" s="725">
        <f t="shared" ca="1" si="2"/>
        <v>0</v>
      </c>
      <c r="AJ13" s="725">
        <f t="shared" ca="1" si="2"/>
        <v>0</v>
      </c>
      <c r="AK13" s="726">
        <f t="shared" ca="1" si="4"/>
        <v>0</v>
      </c>
      <c r="AM13" s="736">
        <f t="shared" ca="1" si="20"/>
        <v>0</v>
      </c>
      <c r="AN13" s="736">
        <f t="shared" ca="1" si="20"/>
        <v>0</v>
      </c>
      <c r="AO13" s="736">
        <f t="shared" ca="1" si="20"/>
        <v>0</v>
      </c>
      <c r="AP13" s="736">
        <f t="shared" ca="1" si="20"/>
        <v>0</v>
      </c>
      <c r="AQ13" s="736">
        <f t="shared" ca="1" si="20"/>
        <v>0</v>
      </c>
      <c r="AR13" s="736">
        <f t="shared" ca="1" si="20"/>
        <v>0</v>
      </c>
      <c r="AS13" s="736">
        <f t="shared" ca="1" si="20"/>
        <v>0</v>
      </c>
      <c r="AT13" s="736">
        <f t="shared" ca="1" si="20"/>
        <v>0</v>
      </c>
      <c r="AU13" s="736">
        <f t="shared" ca="1" si="20"/>
        <v>0</v>
      </c>
      <c r="AV13" s="736">
        <f t="shared" ca="1" si="2"/>
        <v>0</v>
      </c>
      <c r="AW13" s="736">
        <f t="shared" ca="1" si="2"/>
        <v>0</v>
      </c>
      <c r="AX13" s="736">
        <f t="shared" ca="1" si="2"/>
        <v>0</v>
      </c>
      <c r="AY13" s="736">
        <f t="shared" ca="1" si="2"/>
        <v>0</v>
      </c>
      <c r="AZ13" s="736">
        <f t="shared" ca="1" si="2"/>
        <v>0</v>
      </c>
      <c r="BA13" s="736">
        <f t="shared" ca="1" si="2"/>
        <v>0</v>
      </c>
      <c r="BB13" s="736">
        <f t="shared" ca="1" si="2"/>
        <v>0</v>
      </c>
      <c r="BC13" s="736">
        <f t="shared" ca="1" si="2"/>
        <v>0</v>
      </c>
      <c r="BD13" s="736">
        <f t="shared" ca="1" si="2"/>
        <v>0</v>
      </c>
      <c r="BE13" s="736">
        <f t="shared" ca="1" si="2"/>
        <v>0</v>
      </c>
      <c r="BF13" s="705">
        <f t="shared" ca="1" si="6"/>
        <v>0</v>
      </c>
      <c r="BH13" s="730">
        <f t="shared" ca="1" si="7"/>
        <v>0</v>
      </c>
      <c r="BI13" s="730">
        <f t="shared" ca="1" si="7"/>
        <v>0</v>
      </c>
      <c r="BJ13" s="741">
        <f t="shared" ca="1" si="8"/>
        <v>0</v>
      </c>
      <c r="BL13" s="704">
        <f t="shared" ca="1" si="9"/>
        <v>0</v>
      </c>
      <c r="BM13" s="704"/>
      <c r="BN13" s="592"/>
      <c r="BO13" s="1082">
        <f t="shared" ca="1" si="21"/>
        <v>0</v>
      </c>
      <c r="BP13" s="1083">
        <f t="shared" ca="1" si="21"/>
        <v>0</v>
      </c>
      <c r="BQ13" s="1083">
        <f t="shared" ca="1" si="21"/>
        <v>0</v>
      </c>
      <c r="BR13" s="1083">
        <f t="shared" ca="1" si="21"/>
        <v>0</v>
      </c>
      <c r="BS13" s="1083">
        <f t="shared" ca="1" si="21"/>
        <v>0</v>
      </c>
      <c r="BT13" s="1083">
        <f t="shared" ca="1" si="21"/>
        <v>0</v>
      </c>
      <c r="BU13" s="1083">
        <f t="shared" ca="1" si="21"/>
        <v>0</v>
      </c>
      <c r="BV13" s="1083">
        <f t="shared" ca="1" si="21"/>
        <v>0</v>
      </c>
      <c r="BW13" s="1083">
        <f t="shared" ca="1" si="21"/>
        <v>0</v>
      </c>
      <c r="BX13" s="1083">
        <f t="shared" ca="1" si="21"/>
        <v>0</v>
      </c>
      <c r="BY13" s="1083">
        <f t="shared" ca="1" si="22"/>
        <v>0</v>
      </c>
      <c r="BZ13" s="1083">
        <f t="shared" ca="1" si="22"/>
        <v>0</v>
      </c>
      <c r="CA13" s="1083">
        <f t="shared" ca="1" si="22"/>
        <v>0</v>
      </c>
      <c r="CB13" s="1083">
        <f t="shared" ca="1" si="22"/>
        <v>0</v>
      </c>
      <c r="CC13" s="1083">
        <f t="shared" ca="1" si="22"/>
        <v>0</v>
      </c>
      <c r="CD13" s="1083">
        <f t="shared" ca="1" si="22"/>
        <v>0</v>
      </c>
      <c r="CE13" s="1083">
        <f t="shared" ca="1" si="22"/>
        <v>0</v>
      </c>
      <c r="CF13" s="1083">
        <f t="shared" ca="1" si="22"/>
        <v>0</v>
      </c>
      <c r="CG13" s="1083">
        <f t="shared" ca="1" si="22"/>
        <v>0</v>
      </c>
      <c r="CH13" s="1083">
        <f t="shared" ca="1" si="22"/>
        <v>0</v>
      </c>
      <c r="CI13" s="1083">
        <f t="shared" ca="1" si="23"/>
        <v>0</v>
      </c>
      <c r="CJ13" s="1083">
        <f t="shared" ca="1" si="23"/>
        <v>0</v>
      </c>
      <c r="CK13" s="1083">
        <f t="shared" ca="1" si="23"/>
        <v>0</v>
      </c>
      <c r="CL13" s="1083">
        <f t="shared" ca="1" si="23"/>
        <v>0</v>
      </c>
      <c r="CM13" s="1083">
        <f t="shared" ca="1" si="23"/>
        <v>0</v>
      </c>
      <c r="CN13" s="1083">
        <f t="shared" ca="1" si="23"/>
        <v>0</v>
      </c>
      <c r="CO13" s="1083">
        <f t="shared" ca="1" si="23"/>
        <v>0</v>
      </c>
      <c r="CP13" s="1083">
        <f t="shared" ca="1" si="23"/>
        <v>0</v>
      </c>
      <c r="CQ13" s="1083">
        <f t="shared" ca="1" si="23"/>
        <v>0</v>
      </c>
      <c r="CR13" s="1083">
        <f t="shared" ca="1" si="23"/>
        <v>0</v>
      </c>
      <c r="CS13" s="1083">
        <f t="shared" ca="1" si="24"/>
        <v>0</v>
      </c>
      <c r="CT13" s="1083">
        <f t="shared" ca="1" si="24"/>
        <v>0</v>
      </c>
      <c r="CU13" s="1083">
        <f t="shared" ca="1" si="24"/>
        <v>0</v>
      </c>
      <c r="CV13" s="1083">
        <f t="shared" ca="1" si="24"/>
        <v>0</v>
      </c>
      <c r="CW13" s="1083">
        <f t="shared" ca="1" si="24"/>
        <v>0</v>
      </c>
      <c r="CX13" s="1083">
        <f t="shared" ca="1" si="24"/>
        <v>0</v>
      </c>
      <c r="CY13" s="1083">
        <f t="shared" ca="1" si="24"/>
        <v>0</v>
      </c>
      <c r="CZ13" s="1083">
        <f t="shared" ca="1" si="24"/>
        <v>0</v>
      </c>
      <c r="DA13" s="1083">
        <f t="shared" ca="1" si="24"/>
        <v>0</v>
      </c>
      <c r="DB13" s="1083">
        <f t="shared" ca="1" si="24"/>
        <v>0</v>
      </c>
      <c r="DC13" s="1083">
        <f t="shared" ca="1" si="24"/>
        <v>0</v>
      </c>
      <c r="DD13" s="1083">
        <f t="shared" ca="1" si="24"/>
        <v>0</v>
      </c>
      <c r="DE13" s="1083">
        <f t="shared" ca="1" si="24"/>
        <v>0</v>
      </c>
      <c r="DF13" s="1083">
        <f t="shared" ca="1" si="24"/>
        <v>0</v>
      </c>
      <c r="DH13" s="590"/>
    </row>
    <row r="14" spans="1:112" s="532" customFormat="1" ht="12.75" customHeight="1" outlineLevel="1">
      <c r="A14" s="1085"/>
      <c r="B14" s="1085"/>
      <c r="C14" s="534"/>
      <c r="D14" s="707" t="s">
        <v>719</v>
      </c>
      <c r="E14" s="707"/>
      <c r="G14" s="717">
        <f ca="1">SUM(G12:G13)</f>
        <v>0</v>
      </c>
      <c r="H14" s="717">
        <f t="shared" ref="H14:P14" ca="1" si="25">SUM(H12:H13)</f>
        <v>0</v>
      </c>
      <c r="I14" s="717">
        <f t="shared" ca="1" si="25"/>
        <v>0</v>
      </c>
      <c r="J14" s="717">
        <f t="shared" ca="1" si="25"/>
        <v>0</v>
      </c>
      <c r="K14" s="717">
        <f t="shared" ca="1" si="25"/>
        <v>0</v>
      </c>
      <c r="L14" s="717">
        <f t="shared" ca="1" si="25"/>
        <v>0</v>
      </c>
      <c r="M14" s="717">
        <f t="shared" ca="1" si="25"/>
        <v>0</v>
      </c>
      <c r="N14" s="717">
        <f t="shared" ca="1" si="25"/>
        <v>0</v>
      </c>
      <c r="O14" s="717">
        <f t="shared" ca="1" si="25"/>
        <v>0</v>
      </c>
      <c r="P14" s="717">
        <f t="shared" ca="1" si="25"/>
        <v>0</v>
      </c>
      <c r="Q14" s="717">
        <f t="shared" ca="1" si="1"/>
        <v>0</v>
      </c>
      <c r="S14" s="727">
        <f t="shared" ref="S14:AJ14" ca="1" si="26">SUM(S12:S13)</f>
        <v>0</v>
      </c>
      <c r="T14" s="727">
        <f t="shared" ca="1" si="26"/>
        <v>0</v>
      </c>
      <c r="U14" s="727">
        <f t="shared" ca="1" si="26"/>
        <v>0</v>
      </c>
      <c r="V14" s="727">
        <f t="shared" ca="1" si="26"/>
        <v>0</v>
      </c>
      <c r="W14" s="727">
        <f t="shared" ca="1" si="26"/>
        <v>0</v>
      </c>
      <c r="X14" s="727">
        <f ca="1">SUM(X12:X13)</f>
        <v>0</v>
      </c>
      <c r="Y14" s="727">
        <f ca="1">SUM(Y12:Y13)</f>
        <v>0</v>
      </c>
      <c r="Z14" s="727">
        <f ca="1">SUM(Z12:Z13)</f>
        <v>0</v>
      </c>
      <c r="AA14" s="727">
        <f t="shared" ca="1" si="26"/>
        <v>0</v>
      </c>
      <c r="AB14" s="727">
        <f t="shared" ca="1" si="26"/>
        <v>0</v>
      </c>
      <c r="AC14" s="727">
        <f t="shared" ca="1" si="26"/>
        <v>0</v>
      </c>
      <c r="AD14" s="727">
        <f ca="1">SUM(AD12:AD13)</f>
        <v>0</v>
      </c>
      <c r="AE14" s="727">
        <f ca="1">SUM(AE12:AE13)</f>
        <v>0</v>
      </c>
      <c r="AF14" s="727">
        <f t="shared" ca="1" si="26"/>
        <v>0</v>
      </c>
      <c r="AG14" s="727">
        <f ca="1">SUM(AG12:AG13)</f>
        <v>0</v>
      </c>
      <c r="AH14" s="727">
        <f ca="1">SUM(AH12:AH13)</f>
        <v>0</v>
      </c>
      <c r="AI14" s="727">
        <f ca="1">SUM(AI12:AI13)</f>
        <v>0</v>
      </c>
      <c r="AJ14" s="727">
        <f t="shared" ca="1" si="26"/>
        <v>0</v>
      </c>
      <c r="AK14" s="727">
        <f t="shared" ca="1" si="4"/>
        <v>0</v>
      </c>
      <c r="AM14" s="738">
        <f t="shared" ref="AM14:AS14" ca="1" si="27">SUM(AM12:AM13)</f>
        <v>0</v>
      </c>
      <c r="AN14" s="738">
        <f t="shared" ca="1" si="27"/>
        <v>0</v>
      </c>
      <c r="AO14" s="738">
        <f t="shared" ca="1" si="27"/>
        <v>0</v>
      </c>
      <c r="AP14" s="738">
        <f t="shared" ca="1" si="27"/>
        <v>0</v>
      </c>
      <c r="AQ14" s="738">
        <f t="shared" ca="1" si="27"/>
        <v>0</v>
      </c>
      <c r="AR14" s="738">
        <f t="shared" ca="1" si="27"/>
        <v>0</v>
      </c>
      <c r="AS14" s="738">
        <f t="shared" ca="1" si="27"/>
        <v>0</v>
      </c>
      <c r="AT14" s="738">
        <f t="shared" ref="AT14:BE14" ca="1" si="28">SUM(AT12:AT13)</f>
        <v>0</v>
      </c>
      <c r="AU14" s="738">
        <f t="shared" ca="1" si="28"/>
        <v>0</v>
      </c>
      <c r="AV14" s="738">
        <f t="shared" ca="1" si="28"/>
        <v>0</v>
      </c>
      <c r="AW14" s="738">
        <f t="shared" ca="1" si="28"/>
        <v>0</v>
      </c>
      <c r="AX14" s="738">
        <f t="shared" ca="1" si="28"/>
        <v>0</v>
      </c>
      <c r="AY14" s="738">
        <f t="shared" ca="1" si="28"/>
        <v>0</v>
      </c>
      <c r="AZ14" s="738">
        <f t="shared" ca="1" si="28"/>
        <v>0</v>
      </c>
      <c r="BA14" s="738">
        <f t="shared" ca="1" si="28"/>
        <v>0</v>
      </c>
      <c r="BB14" s="738">
        <f t="shared" ca="1" si="28"/>
        <v>0</v>
      </c>
      <c r="BC14" s="738">
        <f t="shared" ca="1" si="28"/>
        <v>0</v>
      </c>
      <c r="BD14" s="738">
        <f t="shared" ca="1" si="28"/>
        <v>0</v>
      </c>
      <c r="BE14" s="738">
        <f t="shared" ca="1" si="28"/>
        <v>0</v>
      </c>
      <c r="BF14" s="709">
        <f t="shared" ca="1" si="6"/>
        <v>0</v>
      </c>
      <c r="BH14" s="732">
        <f ca="1">SUM(BH12:BH13)</f>
        <v>0</v>
      </c>
      <c r="BI14" s="732">
        <f ca="1">SUM(BI12:BI13)</f>
        <v>0</v>
      </c>
      <c r="BJ14" s="732">
        <f t="shared" ca="1" si="8"/>
        <v>0</v>
      </c>
      <c r="BL14" s="576">
        <f t="shared" ca="1" si="9"/>
        <v>0</v>
      </c>
      <c r="BM14" s="576"/>
      <c r="BN14" s="592"/>
      <c r="BO14" s="1086">
        <f t="shared" ref="BO14:DF14" ca="1" si="29">SUM(BO12:BO13)</f>
        <v>0</v>
      </c>
      <c r="BP14" s="1087">
        <f t="shared" ca="1" si="29"/>
        <v>0</v>
      </c>
      <c r="BQ14" s="1087">
        <f t="shared" ca="1" si="29"/>
        <v>0</v>
      </c>
      <c r="BR14" s="1087">
        <f t="shared" ca="1" si="29"/>
        <v>0</v>
      </c>
      <c r="BS14" s="1087">
        <f t="shared" ca="1" si="29"/>
        <v>0</v>
      </c>
      <c r="BT14" s="1087">
        <f t="shared" ca="1" si="29"/>
        <v>0</v>
      </c>
      <c r="BU14" s="1087">
        <f t="shared" ca="1" si="29"/>
        <v>0</v>
      </c>
      <c r="BV14" s="1087">
        <f t="shared" ca="1" si="29"/>
        <v>0</v>
      </c>
      <c r="BW14" s="1087">
        <f t="shared" ca="1" si="29"/>
        <v>0</v>
      </c>
      <c r="BX14" s="1087">
        <f t="shared" ca="1" si="29"/>
        <v>0</v>
      </c>
      <c r="BY14" s="1087">
        <f t="shared" ca="1" si="29"/>
        <v>0</v>
      </c>
      <c r="BZ14" s="1087">
        <f t="shared" ca="1" si="29"/>
        <v>0</v>
      </c>
      <c r="CA14" s="1087">
        <f t="shared" ca="1" si="29"/>
        <v>0</v>
      </c>
      <c r="CB14" s="1087">
        <f t="shared" ca="1" si="29"/>
        <v>0</v>
      </c>
      <c r="CC14" s="1087">
        <f t="shared" ca="1" si="29"/>
        <v>0</v>
      </c>
      <c r="CD14" s="1087">
        <f t="shared" ca="1" si="29"/>
        <v>0</v>
      </c>
      <c r="CE14" s="1087">
        <f t="shared" ca="1" si="29"/>
        <v>0</v>
      </c>
      <c r="CF14" s="1087">
        <f t="shared" ca="1" si="29"/>
        <v>0</v>
      </c>
      <c r="CG14" s="1087">
        <f t="shared" ca="1" si="29"/>
        <v>0</v>
      </c>
      <c r="CH14" s="1087">
        <f t="shared" ca="1" si="29"/>
        <v>0</v>
      </c>
      <c r="CI14" s="1087">
        <f t="shared" ca="1" si="29"/>
        <v>0</v>
      </c>
      <c r="CJ14" s="1087">
        <f t="shared" ca="1" si="29"/>
        <v>0</v>
      </c>
      <c r="CK14" s="1087">
        <f t="shared" ca="1" si="29"/>
        <v>0</v>
      </c>
      <c r="CL14" s="1087">
        <f t="shared" ca="1" si="29"/>
        <v>0</v>
      </c>
      <c r="CM14" s="1087">
        <f t="shared" ca="1" si="29"/>
        <v>0</v>
      </c>
      <c r="CN14" s="1087">
        <f t="shared" ca="1" si="29"/>
        <v>0</v>
      </c>
      <c r="CO14" s="1087">
        <f t="shared" ca="1" si="29"/>
        <v>0</v>
      </c>
      <c r="CP14" s="1087">
        <f t="shared" ca="1" si="29"/>
        <v>0</v>
      </c>
      <c r="CQ14" s="1087">
        <f t="shared" ca="1" si="29"/>
        <v>0</v>
      </c>
      <c r="CR14" s="1087">
        <f t="shared" ca="1" si="29"/>
        <v>0</v>
      </c>
      <c r="CS14" s="1087">
        <f t="shared" ca="1" si="29"/>
        <v>0</v>
      </c>
      <c r="CT14" s="1087">
        <f t="shared" ca="1" si="29"/>
        <v>0</v>
      </c>
      <c r="CU14" s="1087">
        <f t="shared" ca="1" si="29"/>
        <v>0</v>
      </c>
      <c r="CV14" s="1087">
        <f t="shared" ca="1" si="29"/>
        <v>0</v>
      </c>
      <c r="CW14" s="1087">
        <f t="shared" ca="1" si="29"/>
        <v>0</v>
      </c>
      <c r="CX14" s="1087">
        <f t="shared" ca="1" si="29"/>
        <v>0</v>
      </c>
      <c r="CY14" s="1087">
        <f t="shared" ca="1" si="29"/>
        <v>0</v>
      </c>
      <c r="CZ14" s="1087">
        <f t="shared" ca="1" si="29"/>
        <v>0</v>
      </c>
      <c r="DA14" s="1087">
        <f t="shared" ca="1" si="29"/>
        <v>0</v>
      </c>
      <c r="DB14" s="1087">
        <f t="shared" ca="1" si="29"/>
        <v>0</v>
      </c>
      <c r="DC14" s="1087">
        <f t="shared" ca="1" si="29"/>
        <v>0</v>
      </c>
      <c r="DD14" s="1087">
        <f t="shared" ca="1" si="29"/>
        <v>0</v>
      </c>
      <c r="DE14" s="1087">
        <f t="shared" ca="1" si="29"/>
        <v>0</v>
      </c>
      <c r="DF14" s="1087">
        <f t="shared" ca="1" si="29"/>
        <v>0</v>
      </c>
      <c r="DH14" s="590"/>
    </row>
    <row r="15" spans="1:112" s="532" customFormat="1" ht="15">
      <c r="A15" s="22"/>
      <c r="B15" s="537"/>
      <c r="C15" s="533" t="s">
        <v>565</v>
      </c>
      <c r="D15" s="507" t="str">
        <f>INDEX(Workstreams[Workstream], MATCH($C15, Workstreams[Code], 0))</f>
        <v>Heating</v>
      </c>
      <c r="E15" s="503"/>
      <c r="G15" s="718">
        <f t="shared" ref="G15:P15" ca="1" si="30">G14+G11</f>
        <v>0</v>
      </c>
      <c r="H15" s="718">
        <f t="shared" ca="1" si="30"/>
        <v>0</v>
      </c>
      <c r="I15" s="718">
        <f t="shared" ca="1" si="30"/>
        <v>0</v>
      </c>
      <c r="J15" s="718">
        <f t="shared" ca="1" si="30"/>
        <v>0</v>
      </c>
      <c r="K15" s="718">
        <f t="shared" ca="1" si="30"/>
        <v>0</v>
      </c>
      <c r="L15" s="718">
        <f t="shared" ca="1" si="30"/>
        <v>0</v>
      </c>
      <c r="M15" s="718">
        <f t="shared" ca="1" si="30"/>
        <v>0</v>
      </c>
      <c r="N15" s="718">
        <f t="shared" ca="1" si="30"/>
        <v>0</v>
      </c>
      <c r="O15" s="718">
        <f t="shared" ca="1" si="30"/>
        <v>0</v>
      </c>
      <c r="P15" s="718">
        <f t="shared" ca="1" si="30"/>
        <v>0</v>
      </c>
      <c r="Q15" s="718">
        <f t="shared" ca="1" si="1"/>
        <v>0</v>
      </c>
      <c r="S15" s="668">
        <f t="shared" ref="S15:Z15" ca="1" si="31">S14+S11</f>
        <v>0</v>
      </c>
      <c r="T15" s="668">
        <f t="shared" ca="1" si="31"/>
        <v>0</v>
      </c>
      <c r="U15" s="668">
        <f t="shared" ca="1" si="31"/>
        <v>0</v>
      </c>
      <c r="V15" s="668">
        <f t="shared" ca="1" si="31"/>
        <v>0</v>
      </c>
      <c r="W15" s="668">
        <f t="shared" ca="1" si="31"/>
        <v>0</v>
      </c>
      <c r="X15" s="668">
        <f t="shared" ca="1" si="31"/>
        <v>0</v>
      </c>
      <c r="Y15" s="668">
        <f t="shared" ca="1" si="31"/>
        <v>0</v>
      </c>
      <c r="Z15" s="668">
        <f t="shared" ca="1" si="31"/>
        <v>0</v>
      </c>
      <c r="AA15" s="668">
        <f t="shared" ref="AA15:AJ15" ca="1" si="32">AA14+AA11</f>
        <v>0</v>
      </c>
      <c r="AB15" s="668">
        <f t="shared" ca="1" si="32"/>
        <v>0</v>
      </c>
      <c r="AC15" s="668">
        <f t="shared" ca="1" si="32"/>
        <v>0</v>
      </c>
      <c r="AD15" s="668">
        <f ca="1">AD14+AD11</f>
        <v>0</v>
      </c>
      <c r="AE15" s="668">
        <f ca="1">AE14+AE11</f>
        <v>0</v>
      </c>
      <c r="AF15" s="668">
        <f t="shared" ca="1" si="32"/>
        <v>0</v>
      </c>
      <c r="AG15" s="668">
        <f ca="1">AG14+AG11</f>
        <v>0</v>
      </c>
      <c r="AH15" s="668">
        <f ca="1">AH14+AH11</f>
        <v>0</v>
      </c>
      <c r="AI15" s="668">
        <f ca="1">AI14+AI11</f>
        <v>0</v>
      </c>
      <c r="AJ15" s="668">
        <f t="shared" ca="1" si="32"/>
        <v>0</v>
      </c>
      <c r="AK15" s="668">
        <f t="shared" ca="1" si="4"/>
        <v>0</v>
      </c>
      <c r="AM15" s="674">
        <f t="shared" ref="AM15:AS15" ca="1" si="33">AM14+AM11</f>
        <v>0</v>
      </c>
      <c r="AN15" s="674">
        <f t="shared" ca="1" si="33"/>
        <v>0</v>
      </c>
      <c r="AO15" s="674">
        <f t="shared" ca="1" si="33"/>
        <v>0</v>
      </c>
      <c r="AP15" s="674">
        <f t="shared" ca="1" si="33"/>
        <v>0</v>
      </c>
      <c r="AQ15" s="674">
        <f t="shared" ca="1" si="33"/>
        <v>0</v>
      </c>
      <c r="AR15" s="674">
        <f t="shared" ca="1" si="33"/>
        <v>0</v>
      </c>
      <c r="AS15" s="674">
        <f t="shared" ca="1" si="33"/>
        <v>0</v>
      </c>
      <c r="AT15" s="674">
        <f t="shared" ref="AT15:BE15" ca="1" si="34">AT14+AT11</f>
        <v>0</v>
      </c>
      <c r="AU15" s="674">
        <f t="shared" ca="1" si="34"/>
        <v>0</v>
      </c>
      <c r="AV15" s="674">
        <f t="shared" ca="1" si="34"/>
        <v>0</v>
      </c>
      <c r="AW15" s="674">
        <f t="shared" ca="1" si="34"/>
        <v>0</v>
      </c>
      <c r="AX15" s="674">
        <f t="shared" ca="1" si="34"/>
        <v>0</v>
      </c>
      <c r="AY15" s="674">
        <f t="shared" ca="1" si="34"/>
        <v>0</v>
      </c>
      <c r="AZ15" s="674">
        <f t="shared" ca="1" si="34"/>
        <v>0</v>
      </c>
      <c r="BA15" s="674">
        <f t="shared" ca="1" si="34"/>
        <v>0</v>
      </c>
      <c r="BB15" s="674">
        <f t="shared" ca="1" si="34"/>
        <v>0</v>
      </c>
      <c r="BC15" s="674">
        <f t="shared" ca="1" si="34"/>
        <v>0</v>
      </c>
      <c r="BD15" s="674">
        <f t="shared" ca="1" si="34"/>
        <v>0</v>
      </c>
      <c r="BE15" s="674">
        <f t="shared" ca="1" si="34"/>
        <v>0</v>
      </c>
      <c r="BF15" s="674">
        <f t="shared" ca="1" si="6"/>
        <v>0</v>
      </c>
      <c r="BH15" s="688">
        <f ca="1">BH14+BH11</f>
        <v>0</v>
      </c>
      <c r="BI15" s="688">
        <f ca="1">BI14+BI11</f>
        <v>0</v>
      </c>
      <c r="BJ15" s="688">
        <f t="shared" ca="1" si="8"/>
        <v>0</v>
      </c>
      <c r="BL15" s="505">
        <f t="shared" ca="1" si="9"/>
        <v>0</v>
      </c>
      <c r="BM15" s="505"/>
      <c r="BN15" s="592"/>
      <c r="BO15" s="1083">
        <f t="shared" ref="BO15:DF15" ca="1" si="35">BO14+BO11</f>
        <v>0</v>
      </c>
      <c r="BP15" s="1083">
        <f t="shared" ca="1" si="35"/>
        <v>0</v>
      </c>
      <c r="BQ15" s="1083">
        <f t="shared" ca="1" si="35"/>
        <v>0</v>
      </c>
      <c r="BR15" s="1083">
        <f t="shared" ca="1" si="35"/>
        <v>0</v>
      </c>
      <c r="BS15" s="1083">
        <f t="shared" ca="1" si="35"/>
        <v>0</v>
      </c>
      <c r="BT15" s="1083">
        <f t="shared" ca="1" si="35"/>
        <v>0</v>
      </c>
      <c r="BU15" s="1083">
        <f t="shared" ca="1" si="35"/>
        <v>0</v>
      </c>
      <c r="BV15" s="1083">
        <f t="shared" ca="1" si="35"/>
        <v>0</v>
      </c>
      <c r="BW15" s="1083">
        <f t="shared" ca="1" si="35"/>
        <v>0</v>
      </c>
      <c r="BX15" s="1083">
        <f t="shared" ca="1" si="35"/>
        <v>0</v>
      </c>
      <c r="BY15" s="1083">
        <f t="shared" ca="1" si="35"/>
        <v>0</v>
      </c>
      <c r="BZ15" s="1083">
        <f t="shared" ca="1" si="35"/>
        <v>0</v>
      </c>
      <c r="CA15" s="1083">
        <f t="shared" ca="1" si="35"/>
        <v>0</v>
      </c>
      <c r="CB15" s="1083">
        <f t="shared" ca="1" si="35"/>
        <v>0</v>
      </c>
      <c r="CC15" s="1083">
        <f t="shared" ca="1" si="35"/>
        <v>0</v>
      </c>
      <c r="CD15" s="1083">
        <f t="shared" ca="1" si="35"/>
        <v>0</v>
      </c>
      <c r="CE15" s="1083">
        <f t="shared" ca="1" si="35"/>
        <v>0</v>
      </c>
      <c r="CF15" s="1083">
        <f t="shared" ca="1" si="35"/>
        <v>0</v>
      </c>
      <c r="CG15" s="1083">
        <f t="shared" ca="1" si="35"/>
        <v>0</v>
      </c>
      <c r="CH15" s="1083">
        <f t="shared" ca="1" si="35"/>
        <v>0</v>
      </c>
      <c r="CI15" s="1083">
        <f t="shared" ca="1" si="35"/>
        <v>0</v>
      </c>
      <c r="CJ15" s="1083">
        <f t="shared" ca="1" si="35"/>
        <v>0</v>
      </c>
      <c r="CK15" s="1083">
        <f t="shared" ca="1" si="35"/>
        <v>0</v>
      </c>
      <c r="CL15" s="1083">
        <f t="shared" ca="1" si="35"/>
        <v>0</v>
      </c>
      <c r="CM15" s="1083">
        <f t="shared" ca="1" si="35"/>
        <v>0</v>
      </c>
      <c r="CN15" s="1083">
        <f t="shared" ca="1" si="35"/>
        <v>0</v>
      </c>
      <c r="CO15" s="1083">
        <f t="shared" ca="1" si="35"/>
        <v>0</v>
      </c>
      <c r="CP15" s="1083">
        <f t="shared" ca="1" si="35"/>
        <v>0</v>
      </c>
      <c r="CQ15" s="1083">
        <f t="shared" ca="1" si="35"/>
        <v>0</v>
      </c>
      <c r="CR15" s="1083">
        <f t="shared" ca="1" si="35"/>
        <v>0</v>
      </c>
      <c r="CS15" s="1083">
        <f t="shared" ca="1" si="35"/>
        <v>0</v>
      </c>
      <c r="CT15" s="1083">
        <f t="shared" ca="1" si="35"/>
        <v>0</v>
      </c>
      <c r="CU15" s="1083">
        <f t="shared" ca="1" si="35"/>
        <v>0</v>
      </c>
      <c r="CV15" s="1083">
        <f t="shared" ca="1" si="35"/>
        <v>0</v>
      </c>
      <c r="CW15" s="1083">
        <f t="shared" ca="1" si="35"/>
        <v>0</v>
      </c>
      <c r="CX15" s="1083">
        <f t="shared" ca="1" si="35"/>
        <v>0</v>
      </c>
      <c r="CY15" s="1083">
        <f t="shared" ca="1" si="35"/>
        <v>0</v>
      </c>
      <c r="CZ15" s="1083">
        <f t="shared" ca="1" si="35"/>
        <v>0</v>
      </c>
      <c r="DA15" s="1083">
        <f t="shared" ca="1" si="35"/>
        <v>0</v>
      </c>
      <c r="DB15" s="1083">
        <f t="shared" ca="1" si="35"/>
        <v>0</v>
      </c>
      <c r="DC15" s="1083">
        <f t="shared" ca="1" si="35"/>
        <v>0</v>
      </c>
      <c r="DD15" s="1083">
        <f t="shared" ca="1" si="35"/>
        <v>0</v>
      </c>
      <c r="DE15" s="1083">
        <f t="shared" ca="1" si="35"/>
        <v>0</v>
      </c>
      <c r="DF15" s="1083">
        <f t="shared" ca="1" si="35"/>
        <v>0</v>
      </c>
      <c r="DH15" s="590">
        <f t="shared" ref="DH15:DH38" ca="1" si="36">SUM(BO15:DF15)</f>
        <v>0</v>
      </c>
    </row>
    <row r="16" spans="1:112" s="532" customFormat="1" outlineLevel="1">
      <c r="A16" s="1085"/>
      <c r="B16" s="1085"/>
      <c r="C16" s="534"/>
      <c r="D16" s="511"/>
      <c r="E16" s="511"/>
      <c r="G16" s="716"/>
      <c r="H16" s="716"/>
      <c r="I16" s="716"/>
      <c r="J16" s="716"/>
      <c r="K16" s="716"/>
      <c r="L16" s="716"/>
      <c r="M16" s="716"/>
      <c r="N16" s="716"/>
      <c r="O16" s="716"/>
      <c r="P16" s="716"/>
      <c r="Q16" s="716"/>
      <c r="S16" s="724"/>
      <c r="T16" s="724"/>
      <c r="U16" s="724"/>
      <c r="V16" s="724"/>
      <c r="W16" s="724"/>
      <c r="X16" s="724"/>
      <c r="Y16" s="724"/>
      <c r="Z16" s="724"/>
      <c r="AA16" s="724"/>
      <c r="AB16" s="724"/>
      <c r="AC16" s="724"/>
      <c r="AD16" s="724"/>
      <c r="AE16" s="724"/>
      <c r="AF16" s="724"/>
      <c r="AG16" s="724"/>
      <c r="AH16" s="724"/>
      <c r="AI16" s="724"/>
      <c r="AJ16" s="724"/>
      <c r="AK16" s="724"/>
      <c r="AM16" s="737"/>
      <c r="AN16" s="737"/>
      <c r="AO16" s="737"/>
      <c r="AP16" s="737"/>
      <c r="AQ16" s="737"/>
      <c r="AR16" s="737"/>
      <c r="AS16" s="737"/>
      <c r="AT16" s="737"/>
      <c r="AU16" s="737"/>
      <c r="AV16" s="737"/>
      <c r="AW16" s="737"/>
      <c r="AX16" s="737"/>
      <c r="AY16" s="737"/>
      <c r="AZ16" s="737"/>
      <c r="BA16" s="737"/>
      <c r="BB16" s="737"/>
      <c r="BC16" s="737"/>
      <c r="BD16" s="737"/>
      <c r="BE16" s="737"/>
      <c r="BF16" s="677"/>
      <c r="BH16" s="731"/>
      <c r="BI16" s="731"/>
      <c r="BJ16" s="731"/>
      <c r="BL16" s="576">
        <f t="shared" si="9"/>
        <v>0</v>
      </c>
      <c r="BM16" s="576"/>
      <c r="BN16" s="1085"/>
      <c r="BO16" s="1082"/>
      <c r="BP16" s="1083"/>
      <c r="BQ16" s="1083"/>
      <c r="BR16" s="1083"/>
      <c r="BS16" s="1083"/>
      <c r="BT16" s="1083"/>
      <c r="BU16" s="1083"/>
      <c r="BV16" s="1083"/>
      <c r="BW16" s="1083"/>
      <c r="BX16" s="1083"/>
      <c r="BY16" s="1083"/>
      <c r="BZ16" s="1083"/>
      <c r="CA16" s="1083"/>
      <c r="CB16" s="1083"/>
      <c r="CC16" s="1083"/>
      <c r="CD16" s="1083"/>
      <c r="CE16" s="1083"/>
      <c r="CF16" s="1083"/>
      <c r="CG16" s="1083"/>
      <c r="CH16" s="1083"/>
      <c r="CI16" s="1083"/>
      <c r="CJ16" s="1083"/>
      <c r="CK16" s="1083"/>
      <c r="CL16" s="1083"/>
      <c r="CM16" s="1083"/>
      <c r="CN16" s="1083"/>
      <c r="CO16" s="1083"/>
      <c r="CP16" s="1083"/>
      <c r="CQ16" s="1083"/>
      <c r="CR16" s="1083"/>
      <c r="CS16" s="1083"/>
      <c r="CT16" s="1083"/>
      <c r="CU16" s="1083"/>
      <c r="CV16" s="1083"/>
      <c r="CW16" s="1083"/>
      <c r="CX16" s="1083"/>
      <c r="CY16" s="1083"/>
      <c r="CZ16" s="1083"/>
      <c r="DA16" s="1083"/>
      <c r="DB16" s="1083"/>
      <c r="DC16" s="1083"/>
      <c r="DD16" s="1083"/>
      <c r="DE16" s="1083"/>
      <c r="DF16" s="1083"/>
      <c r="DH16" s="590">
        <f t="shared" si="36"/>
        <v>0</v>
      </c>
    </row>
    <row r="17" spans="1:112" s="532" customFormat="1" ht="12.75" customHeight="1" outlineLevel="1">
      <c r="A17" s="1085"/>
      <c r="B17" s="1085"/>
      <c r="C17" s="534" t="s">
        <v>721</v>
      </c>
      <c r="D17" s="1081" t="str">
        <f>INDEX(Modules[Module], MATCH($C17, Modules[Code], 0))</f>
        <v>Domestic lighting, appliances, and cooking</v>
      </c>
      <c r="E17" s="703"/>
      <c r="G17" s="714">
        <f t="shared" ref="G17:P18" ca="1" si="37">IFERROR(INDEX(INDIRECT($C17&amp;".Outputs["&amp;this.Year&amp;"]"), MATCH(G$5, INDIRECT($C17&amp;".Outputs[Vector]"), 0)), 0)</f>
        <v>0</v>
      </c>
      <c r="H17" s="714">
        <f t="shared" ca="1" si="37"/>
        <v>0</v>
      </c>
      <c r="I17" s="714">
        <f t="shared" ca="1" si="37"/>
        <v>0</v>
      </c>
      <c r="J17" s="714">
        <f t="shared" ca="1" si="37"/>
        <v>0</v>
      </c>
      <c r="K17" s="714">
        <f t="shared" ca="1" si="37"/>
        <v>0</v>
      </c>
      <c r="L17" s="714">
        <f t="shared" ca="1" si="37"/>
        <v>0</v>
      </c>
      <c r="M17" s="714">
        <f t="shared" ca="1" si="37"/>
        <v>0</v>
      </c>
      <c r="N17" s="714">
        <f t="shared" ca="1" si="37"/>
        <v>0</v>
      </c>
      <c r="O17" s="714">
        <f t="shared" ca="1" si="37"/>
        <v>0</v>
      </c>
      <c r="P17" s="714">
        <f t="shared" ca="1" si="37"/>
        <v>0</v>
      </c>
      <c r="Q17" s="716">
        <f ca="1">SUM(G17:P17)</f>
        <v>0</v>
      </c>
      <c r="S17" s="723">
        <f t="shared" ref="S17:BE18" ca="1" si="38">IFERROR(INDEX(INDIRECT($C17&amp;".Outputs["&amp;this.Year&amp;"]"), MATCH(S$5, INDIRECT($C17&amp;".Outputs[Vector]"), 0)), 0)</f>
        <v>0</v>
      </c>
      <c r="T17" s="723">
        <f t="shared" ca="1" si="38"/>
        <v>0</v>
      </c>
      <c r="U17" s="723">
        <f t="shared" ca="1" si="38"/>
        <v>0</v>
      </c>
      <c r="V17" s="723">
        <f t="shared" ca="1" si="38"/>
        <v>0</v>
      </c>
      <c r="W17" s="723">
        <f t="shared" ca="1" si="38"/>
        <v>0</v>
      </c>
      <c r="X17" s="723">
        <f t="shared" ref="X17:Z18" ca="1" si="39">IFERROR(INDEX(INDIRECT($C17&amp;".Outputs["&amp;this.Year&amp;"]"), MATCH(X$5, INDIRECT($C17&amp;".Outputs[Vector]"), 0)), 0)</f>
        <v>0</v>
      </c>
      <c r="Y17" s="723">
        <f t="shared" ca="1" si="39"/>
        <v>0</v>
      </c>
      <c r="Z17" s="723">
        <f t="shared" ca="1" si="39"/>
        <v>0</v>
      </c>
      <c r="AA17" s="723">
        <f t="shared" ca="1" si="38"/>
        <v>0</v>
      </c>
      <c r="AB17" s="723">
        <f t="shared" ca="1" si="38"/>
        <v>0</v>
      </c>
      <c r="AC17" s="723">
        <f t="shared" ca="1" si="38"/>
        <v>0</v>
      </c>
      <c r="AD17" s="723">
        <f t="shared" ca="1" si="38"/>
        <v>0</v>
      </c>
      <c r="AE17" s="723">
        <f t="shared" ca="1" si="38"/>
        <v>0</v>
      </c>
      <c r="AF17" s="723">
        <f t="shared" ca="1" si="38"/>
        <v>0</v>
      </c>
      <c r="AG17" s="723">
        <f t="shared" ca="1" si="38"/>
        <v>0</v>
      </c>
      <c r="AH17" s="723">
        <f t="shared" ca="1" si="38"/>
        <v>0</v>
      </c>
      <c r="AI17" s="723">
        <f t="shared" ca="1" si="38"/>
        <v>0</v>
      </c>
      <c r="AJ17" s="723">
        <f t="shared" ca="1" si="38"/>
        <v>0</v>
      </c>
      <c r="AK17" s="724">
        <f ca="1">SUM(S17:AJ17)</f>
        <v>0</v>
      </c>
      <c r="AM17" s="735">
        <f t="shared" ref="AM17:AU18" ca="1" si="40">IFERROR(INDEX(INDIRECT($C17&amp;".Outputs["&amp;this.Year&amp;"]"), MATCH(AM$5, INDIRECT($C17&amp;".Outputs[Vector]"), 0)), 0)</f>
        <v>0</v>
      </c>
      <c r="AN17" s="735">
        <f t="shared" ca="1" si="40"/>
        <v>0</v>
      </c>
      <c r="AO17" s="735">
        <f t="shared" ca="1" si="40"/>
        <v>0</v>
      </c>
      <c r="AP17" s="735">
        <f t="shared" ca="1" si="40"/>
        <v>0</v>
      </c>
      <c r="AQ17" s="735">
        <f t="shared" ca="1" si="40"/>
        <v>0</v>
      </c>
      <c r="AR17" s="735">
        <f t="shared" ca="1" si="40"/>
        <v>0</v>
      </c>
      <c r="AS17" s="735">
        <f t="shared" ca="1" si="40"/>
        <v>0</v>
      </c>
      <c r="AT17" s="735">
        <f t="shared" ca="1" si="40"/>
        <v>0</v>
      </c>
      <c r="AU17" s="735">
        <f t="shared" ca="1" si="40"/>
        <v>0</v>
      </c>
      <c r="AV17" s="735">
        <f t="shared" ca="1" si="38"/>
        <v>0</v>
      </c>
      <c r="AW17" s="735">
        <f t="shared" ca="1" si="38"/>
        <v>0</v>
      </c>
      <c r="AX17" s="735">
        <f t="shared" ca="1" si="38"/>
        <v>0</v>
      </c>
      <c r="AY17" s="735">
        <f t="shared" ca="1" si="38"/>
        <v>0</v>
      </c>
      <c r="AZ17" s="735">
        <f t="shared" ca="1" si="38"/>
        <v>0</v>
      </c>
      <c r="BA17" s="735">
        <f t="shared" ca="1" si="38"/>
        <v>0</v>
      </c>
      <c r="BB17" s="735">
        <f t="shared" ca="1" si="38"/>
        <v>0</v>
      </c>
      <c r="BC17" s="735">
        <f t="shared" ca="1" si="38"/>
        <v>0</v>
      </c>
      <c r="BD17" s="735">
        <f t="shared" ca="1" si="38"/>
        <v>0</v>
      </c>
      <c r="BE17" s="735">
        <f t="shared" ca="1" si="38"/>
        <v>0</v>
      </c>
      <c r="BF17" s="677">
        <f ca="1">SUM(AM17:BE17)</f>
        <v>0</v>
      </c>
      <c r="BH17" s="729">
        <f ca="1">IFERROR(INDEX(INDIRECT($C17&amp;".Outputs["&amp;this.Year&amp;"]"), MATCH(BH$5, INDIRECT($C17&amp;".Outputs[Vector]"), 0)), 0)</f>
        <v>0</v>
      </c>
      <c r="BI17" s="729">
        <f ca="1">IFERROR(INDEX(INDIRECT($C17&amp;".Outputs["&amp;this.Year&amp;"]"), MATCH(BI$5, INDIRECT($C17&amp;".Outputs[Vector]"), 0)), 0)</f>
        <v>0</v>
      </c>
      <c r="BJ17" s="731">
        <f ca="1">SUM(BH17:BI17)</f>
        <v>0</v>
      </c>
      <c r="BL17" s="576">
        <f t="shared" ca="1" si="9"/>
        <v>0</v>
      </c>
      <c r="BM17" s="576"/>
      <c r="BN17" s="592"/>
      <c r="BO17" s="1082">
        <f t="shared" ref="BO17:BX18" ca="1" si="41">IFERROR(SUMIFS(INDIRECT($C17&amp;".Emissions["&amp;this.Year&amp;"]"), INDIRECT($C17&amp;".Emissions[GHG]"), BO$6, INDIRECT($C17&amp;".Emissions[IPCC Sector]"), BO$5),0)</f>
        <v>0</v>
      </c>
      <c r="BP17" s="1083">
        <f t="shared" ca="1" si="41"/>
        <v>0</v>
      </c>
      <c r="BQ17" s="1083">
        <f t="shared" ca="1" si="41"/>
        <v>0</v>
      </c>
      <c r="BR17" s="1083">
        <f t="shared" ca="1" si="41"/>
        <v>0</v>
      </c>
      <c r="BS17" s="1083">
        <f t="shared" ca="1" si="41"/>
        <v>0</v>
      </c>
      <c r="BT17" s="1083">
        <f t="shared" ca="1" si="41"/>
        <v>0</v>
      </c>
      <c r="BU17" s="1083">
        <f t="shared" ca="1" si="41"/>
        <v>0</v>
      </c>
      <c r="BV17" s="1083">
        <f t="shared" ca="1" si="41"/>
        <v>0</v>
      </c>
      <c r="BW17" s="1083">
        <f t="shared" ca="1" si="41"/>
        <v>0</v>
      </c>
      <c r="BX17" s="1083">
        <f t="shared" ca="1" si="41"/>
        <v>0</v>
      </c>
      <c r="BY17" s="1083">
        <f t="shared" ref="BY17:CH18" ca="1" si="42">IFERROR(SUMIFS(INDIRECT($C17&amp;".Emissions["&amp;this.Year&amp;"]"), INDIRECT($C17&amp;".Emissions[GHG]"), BY$6, INDIRECT($C17&amp;".Emissions[IPCC Sector]"), BY$5),0)</f>
        <v>0</v>
      </c>
      <c r="BZ17" s="1083">
        <f t="shared" ca="1" si="42"/>
        <v>0</v>
      </c>
      <c r="CA17" s="1083">
        <f t="shared" ca="1" si="42"/>
        <v>0</v>
      </c>
      <c r="CB17" s="1083">
        <f t="shared" ca="1" si="42"/>
        <v>0</v>
      </c>
      <c r="CC17" s="1083">
        <f t="shared" ca="1" si="42"/>
        <v>0</v>
      </c>
      <c r="CD17" s="1083">
        <f t="shared" ca="1" si="42"/>
        <v>0</v>
      </c>
      <c r="CE17" s="1083">
        <f t="shared" ca="1" si="42"/>
        <v>0</v>
      </c>
      <c r="CF17" s="1083">
        <f t="shared" ca="1" si="42"/>
        <v>0</v>
      </c>
      <c r="CG17" s="1083">
        <f t="shared" ca="1" si="42"/>
        <v>0</v>
      </c>
      <c r="CH17" s="1083">
        <f t="shared" ca="1" si="42"/>
        <v>0</v>
      </c>
      <c r="CI17" s="1083">
        <f t="shared" ref="CI17:CR18" ca="1" si="43">IFERROR(SUMIFS(INDIRECT($C17&amp;".Emissions["&amp;this.Year&amp;"]"), INDIRECT($C17&amp;".Emissions[GHG]"), CI$6, INDIRECT($C17&amp;".Emissions[IPCC Sector]"), CI$5),0)</f>
        <v>0</v>
      </c>
      <c r="CJ17" s="1083">
        <f t="shared" ca="1" si="43"/>
        <v>0</v>
      </c>
      <c r="CK17" s="1083">
        <f t="shared" ca="1" si="43"/>
        <v>0</v>
      </c>
      <c r="CL17" s="1083">
        <f t="shared" ca="1" si="43"/>
        <v>0</v>
      </c>
      <c r="CM17" s="1083">
        <f t="shared" ca="1" si="43"/>
        <v>0</v>
      </c>
      <c r="CN17" s="1083">
        <f t="shared" ca="1" si="43"/>
        <v>0</v>
      </c>
      <c r="CO17" s="1083">
        <f t="shared" ca="1" si="43"/>
        <v>0</v>
      </c>
      <c r="CP17" s="1083">
        <f t="shared" ca="1" si="43"/>
        <v>0</v>
      </c>
      <c r="CQ17" s="1083">
        <f t="shared" ca="1" si="43"/>
        <v>0</v>
      </c>
      <c r="CR17" s="1083">
        <f t="shared" ca="1" si="43"/>
        <v>0</v>
      </c>
      <c r="CS17" s="1083">
        <f t="shared" ref="CS17:DF18" ca="1" si="44">IFERROR(SUMIFS(INDIRECT($C17&amp;".Emissions["&amp;this.Year&amp;"]"), INDIRECT($C17&amp;".Emissions[GHG]"), CS$6, INDIRECT($C17&amp;".Emissions[IPCC Sector]"), CS$5),0)</f>
        <v>0</v>
      </c>
      <c r="CT17" s="1083">
        <f t="shared" ca="1" si="44"/>
        <v>0</v>
      </c>
      <c r="CU17" s="1083">
        <f t="shared" ca="1" si="44"/>
        <v>0</v>
      </c>
      <c r="CV17" s="1083">
        <f t="shared" ca="1" si="44"/>
        <v>0</v>
      </c>
      <c r="CW17" s="1083">
        <f t="shared" ca="1" si="44"/>
        <v>0</v>
      </c>
      <c r="CX17" s="1083">
        <f t="shared" ca="1" si="44"/>
        <v>0</v>
      </c>
      <c r="CY17" s="1083">
        <f t="shared" ca="1" si="44"/>
        <v>0</v>
      </c>
      <c r="CZ17" s="1083">
        <f t="shared" ca="1" si="44"/>
        <v>0</v>
      </c>
      <c r="DA17" s="1083">
        <f t="shared" ca="1" si="44"/>
        <v>0</v>
      </c>
      <c r="DB17" s="1083">
        <f t="shared" ca="1" si="44"/>
        <v>0</v>
      </c>
      <c r="DC17" s="1083">
        <f t="shared" ca="1" si="44"/>
        <v>0</v>
      </c>
      <c r="DD17" s="1083">
        <f t="shared" ca="1" si="44"/>
        <v>0</v>
      </c>
      <c r="DE17" s="1083">
        <f t="shared" ca="1" si="44"/>
        <v>0</v>
      </c>
      <c r="DF17" s="1083">
        <f t="shared" ca="1" si="44"/>
        <v>0</v>
      </c>
      <c r="DH17" s="590">
        <f t="shared" ca="1" si="36"/>
        <v>0</v>
      </c>
    </row>
    <row r="18" spans="1:112" s="532" customFormat="1" ht="12.75" customHeight="1" outlineLevel="1">
      <c r="A18" s="1085"/>
      <c r="B18" s="1085"/>
      <c r="C18" s="534" t="s">
        <v>722</v>
      </c>
      <c r="D18" s="707" t="str">
        <f>INDEX(Modules[Module], MATCH($C18, Modules[Code], 0))</f>
        <v>Commercial lighting, appliances, and catering</v>
      </c>
      <c r="E18" s="707"/>
      <c r="G18" s="719">
        <f t="shared" ca="1" si="37"/>
        <v>0</v>
      </c>
      <c r="H18" s="719">
        <f t="shared" ca="1" si="37"/>
        <v>0</v>
      </c>
      <c r="I18" s="719">
        <f t="shared" ca="1" si="37"/>
        <v>0</v>
      </c>
      <c r="J18" s="719">
        <f t="shared" ca="1" si="37"/>
        <v>0</v>
      </c>
      <c r="K18" s="719">
        <f t="shared" ca="1" si="37"/>
        <v>0</v>
      </c>
      <c r="L18" s="719">
        <f t="shared" ca="1" si="37"/>
        <v>0</v>
      </c>
      <c r="M18" s="719">
        <f t="shared" ca="1" si="37"/>
        <v>0</v>
      </c>
      <c r="N18" s="719">
        <f t="shared" ca="1" si="37"/>
        <v>0</v>
      </c>
      <c r="O18" s="719">
        <f t="shared" ca="1" si="37"/>
        <v>0</v>
      </c>
      <c r="P18" s="719">
        <f t="shared" ca="1" si="37"/>
        <v>0</v>
      </c>
      <c r="Q18" s="717">
        <f ca="1">SUM(G18:P18)</f>
        <v>0</v>
      </c>
      <c r="S18" s="728">
        <f t="shared" ca="1" si="38"/>
        <v>0</v>
      </c>
      <c r="T18" s="728">
        <f t="shared" ca="1" si="38"/>
        <v>0</v>
      </c>
      <c r="U18" s="728">
        <f t="shared" ca="1" si="38"/>
        <v>0</v>
      </c>
      <c r="V18" s="728">
        <f t="shared" ca="1" si="38"/>
        <v>0</v>
      </c>
      <c r="W18" s="728">
        <f t="shared" ca="1" si="38"/>
        <v>0</v>
      </c>
      <c r="X18" s="728">
        <f t="shared" ca="1" si="39"/>
        <v>0</v>
      </c>
      <c r="Y18" s="728">
        <f t="shared" ca="1" si="39"/>
        <v>0</v>
      </c>
      <c r="Z18" s="728">
        <f t="shared" ca="1" si="39"/>
        <v>0</v>
      </c>
      <c r="AA18" s="728">
        <f t="shared" ca="1" si="38"/>
        <v>0</v>
      </c>
      <c r="AB18" s="728">
        <f t="shared" ca="1" si="38"/>
        <v>0</v>
      </c>
      <c r="AC18" s="728">
        <f t="shared" ca="1" si="38"/>
        <v>0</v>
      </c>
      <c r="AD18" s="728">
        <f t="shared" ca="1" si="38"/>
        <v>0</v>
      </c>
      <c r="AE18" s="728">
        <f t="shared" ca="1" si="38"/>
        <v>0</v>
      </c>
      <c r="AF18" s="728">
        <f t="shared" ca="1" si="38"/>
        <v>0</v>
      </c>
      <c r="AG18" s="728">
        <f t="shared" ca="1" si="38"/>
        <v>0</v>
      </c>
      <c r="AH18" s="728">
        <f t="shared" ca="1" si="38"/>
        <v>0</v>
      </c>
      <c r="AI18" s="728">
        <f t="shared" ca="1" si="38"/>
        <v>0</v>
      </c>
      <c r="AJ18" s="728">
        <f t="shared" ca="1" si="38"/>
        <v>0</v>
      </c>
      <c r="AK18" s="727">
        <f ca="1">SUM(S18:AJ18)</f>
        <v>0</v>
      </c>
      <c r="AM18" s="739">
        <f t="shared" ca="1" si="40"/>
        <v>0</v>
      </c>
      <c r="AN18" s="739">
        <f t="shared" ca="1" si="40"/>
        <v>0</v>
      </c>
      <c r="AO18" s="739">
        <f t="shared" ca="1" si="40"/>
        <v>0</v>
      </c>
      <c r="AP18" s="739">
        <f t="shared" ca="1" si="40"/>
        <v>0</v>
      </c>
      <c r="AQ18" s="739">
        <f t="shared" ca="1" si="40"/>
        <v>0</v>
      </c>
      <c r="AR18" s="739">
        <f t="shared" ca="1" si="40"/>
        <v>0</v>
      </c>
      <c r="AS18" s="739">
        <f t="shared" ca="1" si="40"/>
        <v>0</v>
      </c>
      <c r="AT18" s="739">
        <f t="shared" ca="1" si="40"/>
        <v>0</v>
      </c>
      <c r="AU18" s="739">
        <f t="shared" ca="1" si="40"/>
        <v>0</v>
      </c>
      <c r="AV18" s="739">
        <f t="shared" ca="1" si="38"/>
        <v>0</v>
      </c>
      <c r="AW18" s="739">
        <f t="shared" ca="1" si="38"/>
        <v>0</v>
      </c>
      <c r="AX18" s="739">
        <f t="shared" ca="1" si="38"/>
        <v>0</v>
      </c>
      <c r="AY18" s="739">
        <f t="shared" ca="1" si="38"/>
        <v>0</v>
      </c>
      <c r="AZ18" s="739">
        <f t="shared" ca="1" si="38"/>
        <v>0</v>
      </c>
      <c r="BA18" s="739">
        <f t="shared" ca="1" si="38"/>
        <v>0</v>
      </c>
      <c r="BB18" s="739">
        <f t="shared" ca="1" si="38"/>
        <v>0</v>
      </c>
      <c r="BC18" s="739">
        <f t="shared" ca="1" si="38"/>
        <v>0</v>
      </c>
      <c r="BD18" s="739">
        <f t="shared" ca="1" si="38"/>
        <v>0</v>
      </c>
      <c r="BE18" s="739">
        <f t="shared" ca="1" si="38"/>
        <v>0</v>
      </c>
      <c r="BF18" s="709">
        <f ca="1">SUM(AM18:BE18)</f>
        <v>0</v>
      </c>
      <c r="BH18" s="733">
        <f ca="1">IFERROR(INDEX(INDIRECT($C18&amp;".Outputs["&amp;this.Year&amp;"]"), MATCH(BH$5, INDIRECT($C18&amp;".Outputs[Vector]"), 0)), 0)</f>
        <v>0</v>
      </c>
      <c r="BI18" s="733">
        <f ca="1">IFERROR(INDEX(INDIRECT($C18&amp;".Outputs["&amp;this.Year&amp;"]"), MATCH(BI$5, INDIRECT($C18&amp;".Outputs[Vector]"), 0)), 0)</f>
        <v>0</v>
      </c>
      <c r="BJ18" s="732">
        <f ca="1">SUM(BH18:BI18)</f>
        <v>0</v>
      </c>
      <c r="BL18" s="576">
        <f t="shared" ca="1" si="9"/>
        <v>0</v>
      </c>
      <c r="BM18" s="576"/>
      <c r="BN18" s="592"/>
      <c r="BO18" s="1086">
        <f t="shared" ca="1" si="41"/>
        <v>0</v>
      </c>
      <c r="BP18" s="1087">
        <f t="shared" ca="1" si="41"/>
        <v>0</v>
      </c>
      <c r="BQ18" s="1087">
        <f t="shared" ca="1" si="41"/>
        <v>0</v>
      </c>
      <c r="BR18" s="1087">
        <f t="shared" ca="1" si="41"/>
        <v>0</v>
      </c>
      <c r="BS18" s="1087">
        <f t="shared" ca="1" si="41"/>
        <v>0</v>
      </c>
      <c r="BT18" s="1087">
        <f t="shared" ca="1" si="41"/>
        <v>0</v>
      </c>
      <c r="BU18" s="1087">
        <f t="shared" ca="1" si="41"/>
        <v>0</v>
      </c>
      <c r="BV18" s="1087">
        <f t="shared" ca="1" si="41"/>
        <v>0</v>
      </c>
      <c r="BW18" s="1087">
        <f t="shared" ca="1" si="41"/>
        <v>0</v>
      </c>
      <c r="BX18" s="1087">
        <f t="shared" ca="1" si="41"/>
        <v>0</v>
      </c>
      <c r="BY18" s="1087">
        <f t="shared" ca="1" si="42"/>
        <v>0</v>
      </c>
      <c r="BZ18" s="1087">
        <f t="shared" ca="1" si="42"/>
        <v>0</v>
      </c>
      <c r="CA18" s="1087">
        <f t="shared" ca="1" si="42"/>
        <v>0</v>
      </c>
      <c r="CB18" s="1087">
        <f t="shared" ca="1" si="42"/>
        <v>0</v>
      </c>
      <c r="CC18" s="1087">
        <f t="shared" ca="1" si="42"/>
        <v>0</v>
      </c>
      <c r="CD18" s="1087">
        <f t="shared" ca="1" si="42"/>
        <v>0</v>
      </c>
      <c r="CE18" s="1087">
        <f t="shared" ca="1" si="42"/>
        <v>0</v>
      </c>
      <c r="CF18" s="1087">
        <f t="shared" ca="1" si="42"/>
        <v>0</v>
      </c>
      <c r="CG18" s="1087">
        <f t="shared" ca="1" si="42"/>
        <v>0</v>
      </c>
      <c r="CH18" s="1087">
        <f t="shared" ca="1" si="42"/>
        <v>0</v>
      </c>
      <c r="CI18" s="1087">
        <f t="shared" ca="1" si="43"/>
        <v>0</v>
      </c>
      <c r="CJ18" s="1087">
        <f t="shared" ca="1" si="43"/>
        <v>0</v>
      </c>
      <c r="CK18" s="1087">
        <f t="shared" ca="1" si="43"/>
        <v>0</v>
      </c>
      <c r="CL18" s="1087">
        <f t="shared" ca="1" si="43"/>
        <v>0</v>
      </c>
      <c r="CM18" s="1087">
        <f t="shared" ca="1" si="43"/>
        <v>0</v>
      </c>
      <c r="CN18" s="1087">
        <f t="shared" ca="1" si="43"/>
        <v>0</v>
      </c>
      <c r="CO18" s="1087">
        <f t="shared" ca="1" si="43"/>
        <v>0</v>
      </c>
      <c r="CP18" s="1087">
        <f t="shared" ca="1" si="43"/>
        <v>0</v>
      </c>
      <c r="CQ18" s="1087">
        <f t="shared" ca="1" si="43"/>
        <v>0</v>
      </c>
      <c r="CR18" s="1087">
        <f t="shared" ca="1" si="43"/>
        <v>0</v>
      </c>
      <c r="CS18" s="1087">
        <f t="shared" ca="1" si="44"/>
        <v>0</v>
      </c>
      <c r="CT18" s="1087">
        <f t="shared" ca="1" si="44"/>
        <v>0</v>
      </c>
      <c r="CU18" s="1087">
        <f t="shared" ca="1" si="44"/>
        <v>0</v>
      </c>
      <c r="CV18" s="1087">
        <f t="shared" ca="1" si="44"/>
        <v>0</v>
      </c>
      <c r="CW18" s="1087">
        <f t="shared" ca="1" si="44"/>
        <v>0</v>
      </c>
      <c r="CX18" s="1087">
        <f t="shared" ca="1" si="44"/>
        <v>0</v>
      </c>
      <c r="CY18" s="1087">
        <f t="shared" ca="1" si="44"/>
        <v>0</v>
      </c>
      <c r="CZ18" s="1087">
        <f t="shared" ca="1" si="44"/>
        <v>0</v>
      </c>
      <c r="DA18" s="1087">
        <f t="shared" ca="1" si="44"/>
        <v>0</v>
      </c>
      <c r="DB18" s="1087">
        <f t="shared" ca="1" si="44"/>
        <v>0</v>
      </c>
      <c r="DC18" s="1087">
        <f t="shared" ca="1" si="44"/>
        <v>0</v>
      </c>
      <c r="DD18" s="1087">
        <f t="shared" ca="1" si="44"/>
        <v>0</v>
      </c>
      <c r="DE18" s="1087">
        <f t="shared" ca="1" si="44"/>
        <v>0</v>
      </c>
      <c r="DF18" s="1087">
        <f t="shared" ca="1" si="44"/>
        <v>0</v>
      </c>
      <c r="DH18" s="590">
        <f t="shared" ca="1" si="36"/>
        <v>0</v>
      </c>
    </row>
    <row r="19" spans="1:112" s="532" customFormat="1" ht="15">
      <c r="A19" s="22"/>
      <c r="B19" s="537"/>
      <c r="C19" s="533" t="s">
        <v>566</v>
      </c>
      <c r="D19" s="507" t="str">
        <f>INDEX(Workstreams[Workstream], MATCH($C19, Workstreams[Code], 0))</f>
        <v>Lighting and appliances</v>
      </c>
      <c r="E19" s="503"/>
      <c r="G19" s="718">
        <f ca="1">G17+G18</f>
        <v>0</v>
      </c>
      <c r="H19" s="718">
        <f t="shared" ref="H19:P19" ca="1" si="45">H17+H18</f>
        <v>0</v>
      </c>
      <c r="I19" s="718">
        <f t="shared" ca="1" si="45"/>
        <v>0</v>
      </c>
      <c r="J19" s="718">
        <f t="shared" ca="1" si="45"/>
        <v>0</v>
      </c>
      <c r="K19" s="718">
        <f t="shared" ca="1" si="45"/>
        <v>0</v>
      </c>
      <c r="L19" s="718">
        <f t="shared" ca="1" si="45"/>
        <v>0</v>
      </c>
      <c r="M19" s="718">
        <f t="shared" ca="1" si="45"/>
        <v>0</v>
      </c>
      <c r="N19" s="718">
        <f t="shared" ca="1" si="45"/>
        <v>0</v>
      </c>
      <c r="O19" s="718">
        <f t="shared" ca="1" si="45"/>
        <v>0</v>
      </c>
      <c r="P19" s="718">
        <f t="shared" ca="1" si="45"/>
        <v>0</v>
      </c>
      <c r="Q19" s="718">
        <f ca="1">SUM(G19:P19)</f>
        <v>0</v>
      </c>
      <c r="S19" s="668">
        <f ca="1">S17+S18</f>
        <v>0</v>
      </c>
      <c r="T19" s="668">
        <f t="shared" ref="T19:AJ19" ca="1" si="46">T17+T18</f>
        <v>0</v>
      </c>
      <c r="U19" s="668">
        <f t="shared" ca="1" si="46"/>
        <v>0</v>
      </c>
      <c r="V19" s="668">
        <f t="shared" ca="1" si="46"/>
        <v>0</v>
      </c>
      <c r="W19" s="668">
        <f t="shared" ca="1" si="46"/>
        <v>0</v>
      </c>
      <c r="X19" s="668">
        <f ca="1">X17+X18</f>
        <v>0</v>
      </c>
      <c r="Y19" s="668">
        <f ca="1">Y17+Y18</f>
        <v>0</v>
      </c>
      <c r="Z19" s="668">
        <f ca="1">Z17+Z18</f>
        <v>0</v>
      </c>
      <c r="AA19" s="668">
        <f t="shared" ca="1" si="46"/>
        <v>0</v>
      </c>
      <c r="AB19" s="668">
        <f t="shared" ca="1" si="46"/>
        <v>0</v>
      </c>
      <c r="AC19" s="668">
        <f t="shared" ca="1" si="46"/>
        <v>0</v>
      </c>
      <c r="AD19" s="668">
        <f ca="1">AD17+AD18</f>
        <v>0</v>
      </c>
      <c r="AE19" s="668">
        <f ca="1">AE17+AE18</f>
        <v>0</v>
      </c>
      <c r="AF19" s="668">
        <f t="shared" ca="1" si="46"/>
        <v>0</v>
      </c>
      <c r="AG19" s="668">
        <f ca="1">AG17+AG18</f>
        <v>0</v>
      </c>
      <c r="AH19" s="668">
        <f ca="1">AH17+AH18</f>
        <v>0</v>
      </c>
      <c r="AI19" s="668">
        <f ca="1">AI17+AI18</f>
        <v>0</v>
      </c>
      <c r="AJ19" s="668">
        <f t="shared" ca="1" si="46"/>
        <v>0</v>
      </c>
      <c r="AK19" s="668">
        <f ca="1">SUM(S19:AJ19)</f>
        <v>0</v>
      </c>
      <c r="AM19" s="674">
        <f t="shared" ref="AM19:BE19" ca="1" si="47">AM17+AM18</f>
        <v>0</v>
      </c>
      <c r="AN19" s="674">
        <f t="shared" ca="1" si="47"/>
        <v>0</v>
      </c>
      <c r="AO19" s="674">
        <f t="shared" ca="1" si="47"/>
        <v>0</v>
      </c>
      <c r="AP19" s="674">
        <f t="shared" ca="1" si="47"/>
        <v>0</v>
      </c>
      <c r="AQ19" s="674">
        <f t="shared" ca="1" si="47"/>
        <v>0</v>
      </c>
      <c r="AR19" s="674">
        <f t="shared" ca="1" si="47"/>
        <v>0</v>
      </c>
      <c r="AS19" s="674">
        <f t="shared" ca="1" si="47"/>
        <v>0</v>
      </c>
      <c r="AT19" s="674">
        <f t="shared" ca="1" si="47"/>
        <v>0</v>
      </c>
      <c r="AU19" s="674">
        <f t="shared" ca="1" si="47"/>
        <v>0</v>
      </c>
      <c r="AV19" s="674">
        <f t="shared" ca="1" si="47"/>
        <v>0</v>
      </c>
      <c r="AW19" s="674">
        <f t="shared" ca="1" si="47"/>
        <v>0</v>
      </c>
      <c r="AX19" s="674">
        <f t="shared" ca="1" si="47"/>
        <v>0</v>
      </c>
      <c r="AY19" s="674">
        <f t="shared" ca="1" si="47"/>
        <v>0</v>
      </c>
      <c r="AZ19" s="674">
        <f t="shared" ca="1" si="47"/>
        <v>0</v>
      </c>
      <c r="BA19" s="674">
        <f t="shared" ca="1" si="47"/>
        <v>0</v>
      </c>
      <c r="BB19" s="674">
        <f t="shared" ca="1" si="47"/>
        <v>0</v>
      </c>
      <c r="BC19" s="674">
        <f t="shared" ca="1" si="47"/>
        <v>0</v>
      </c>
      <c r="BD19" s="674">
        <f t="shared" ca="1" si="47"/>
        <v>0</v>
      </c>
      <c r="BE19" s="674">
        <f t="shared" ca="1" si="47"/>
        <v>0</v>
      </c>
      <c r="BF19" s="674">
        <f ca="1">SUM(AM19:BE19)</f>
        <v>0</v>
      </c>
      <c r="BH19" s="688">
        <f ca="1">BH17+BH18</f>
        <v>0</v>
      </c>
      <c r="BI19" s="688">
        <f ca="1">BI17+BI18</f>
        <v>0</v>
      </c>
      <c r="BJ19" s="688">
        <f ca="1">SUM(BH19:BI19)</f>
        <v>0</v>
      </c>
      <c r="BL19" s="505">
        <f t="shared" ca="1" si="9"/>
        <v>0</v>
      </c>
      <c r="BM19" s="505"/>
      <c r="BN19" s="592"/>
      <c r="BO19" s="1083">
        <f t="shared" ref="BO19:DF19" ca="1" si="48">BO17+BO18</f>
        <v>0</v>
      </c>
      <c r="BP19" s="1083">
        <f t="shared" ca="1" si="48"/>
        <v>0</v>
      </c>
      <c r="BQ19" s="1083">
        <f t="shared" ca="1" si="48"/>
        <v>0</v>
      </c>
      <c r="BR19" s="1083">
        <f t="shared" ca="1" si="48"/>
        <v>0</v>
      </c>
      <c r="BS19" s="1083">
        <f t="shared" ca="1" si="48"/>
        <v>0</v>
      </c>
      <c r="BT19" s="1083">
        <f t="shared" ca="1" si="48"/>
        <v>0</v>
      </c>
      <c r="BU19" s="1083">
        <f t="shared" ca="1" si="48"/>
        <v>0</v>
      </c>
      <c r="BV19" s="1083">
        <f t="shared" ca="1" si="48"/>
        <v>0</v>
      </c>
      <c r="BW19" s="1083">
        <f t="shared" ca="1" si="48"/>
        <v>0</v>
      </c>
      <c r="BX19" s="1083">
        <f t="shared" ca="1" si="48"/>
        <v>0</v>
      </c>
      <c r="BY19" s="1083">
        <f t="shared" ca="1" si="48"/>
        <v>0</v>
      </c>
      <c r="BZ19" s="1083">
        <f t="shared" ca="1" si="48"/>
        <v>0</v>
      </c>
      <c r="CA19" s="1083">
        <f t="shared" ca="1" si="48"/>
        <v>0</v>
      </c>
      <c r="CB19" s="1083">
        <f t="shared" ca="1" si="48"/>
        <v>0</v>
      </c>
      <c r="CC19" s="1083">
        <f t="shared" ca="1" si="48"/>
        <v>0</v>
      </c>
      <c r="CD19" s="1083">
        <f t="shared" ca="1" si="48"/>
        <v>0</v>
      </c>
      <c r="CE19" s="1083">
        <f t="shared" ca="1" si="48"/>
        <v>0</v>
      </c>
      <c r="CF19" s="1083">
        <f t="shared" ca="1" si="48"/>
        <v>0</v>
      </c>
      <c r="CG19" s="1083">
        <f t="shared" ca="1" si="48"/>
        <v>0</v>
      </c>
      <c r="CH19" s="1083">
        <f t="shared" ca="1" si="48"/>
        <v>0</v>
      </c>
      <c r="CI19" s="1083">
        <f t="shared" ca="1" si="48"/>
        <v>0</v>
      </c>
      <c r="CJ19" s="1083">
        <f t="shared" ca="1" si="48"/>
        <v>0</v>
      </c>
      <c r="CK19" s="1083">
        <f t="shared" ca="1" si="48"/>
        <v>0</v>
      </c>
      <c r="CL19" s="1083">
        <f t="shared" ca="1" si="48"/>
        <v>0</v>
      </c>
      <c r="CM19" s="1083">
        <f t="shared" ca="1" si="48"/>
        <v>0</v>
      </c>
      <c r="CN19" s="1083">
        <f t="shared" ca="1" si="48"/>
        <v>0</v>
      </c>
      <c r="CO19" s="1083">
        <f t="shared" ca="1" si="48"/>
        <v>0</v>
      </c>
      <c r="CP19" s="1083">
        <f t="shared" ca="1" si="48"/>
        <v>0</v>
      </c>
      <c r="CQ19" s="1083">
        <f t="shared" ca="1" si="48"/>
        <v>0</v>
      </c>
      <c r="CR19" s="1083">
        <f t="shared" ca="1" si="48"/>
        <v>0</v>
      </c>
      <c r="CS19" s="1083">
        <f t="shared" ca="1" si="48"/>
        <v>0</v>
      </c>
      <c r="CT19" s="1083">
        <f t="shared" ca="1" si="48"/>
        <v>0</v>
      </c>
      <c r="CU19" s="1083">
        <f t="shared" ca="1" si="48"/>
        <v>0</v>
      </c>
      <c r="CV19" s="1083">
        <f t="shared" ca="1" si="48"/>
        <v>0</v>
      </c>
      <c r="CW19" s="1083">
        <f t="shared" ca="1" si="48"/>
        <v>0</v>
      </c>
      <c r="CX19" s="1083">
        <f t="shared" ca="1" si="48"/>
        <v>0</v>
      </c>
      <c r="CY19" s="1083">
        <f t="shared" ca="1" si="48"/>
        <v>0</v>
      </c>
      <c r="CZ19" s="1083">
        <f t="shared" ca="1" si="48"/>
        <v>0</v>
      </c>
      <c r="DA19" s="1083">
        <f t="shared" ca="1" si="48"/>
        <v>0</v>
      </c>
      <c r="DB19" s="1083">
        <f t="shared" ca="1" si="48"/>
        <v>0</v>
      </c>
      <c r="DC19" s="1083">
        <f t="shared" ca="1" si="48"/>
        <v>0</v>
      </c>
      <c r="DD19" s="1083">
        <f t="shared" ca="1" si="48"/>
        <v>0</v>
      </c>
      <c r="DE19" s="1083">
        <f t="shared" ca="1" si="48"/>
        <v>0</v>
      </c>
      <c r="DF19" s="1083">
        <f t="shared" ca="1" si="48"/>
        <v>0</v>
      </c>
      <c r="DH19" s="590">
        <f t="shared" ca="1" si="36"/>
        <v>0</v>
      </c>
    </row>
    <row r="20" spans="1:112" s="532" customFormat="1" ht="12.75" customHeight="1" outlineLevel="1">
      <c r="A20" s="1085"/>
      <c r="B20" s="1085"/>
      <c r="C20" s="534"/>
      <c r="D20" s="511"/>
      <c r="E20" s="511"/>
      <c r="G20" s="716"/>
      <c r="H20" s="716"/>
      <c r="I20" s="716"/>
      <c r="J20" s="716"/>
      <c r="K20" s="716"/>
      <c r="L20" s="716"/>
      <c r="M20" s="716"/>
      <c r="N20" s="716"/>
      <c r="O20" s="716"/>
      <c r="P20" s="716"/>
      <c r="Q20" s="716"/>
      <c r="S20" s="724"/>
      <c r="T20" s="724"/>
      <c r="U20" s="724"/>
      <c r="V20" s="724"/>
      <c r="W20" s="724"/>
      <c r="X20" s="724"/>
      <c r="Y20" s="724"/>
      <c r="Z20" s="724"/>
      <c r="AA20" s="724"/>
      <c r="AB20" s="724"/>
      <c r="AC20" s="724"/>
      <c r="AD20" s="724"/>
      <c r="AE20" s="724"/>
      <c r="AF20" s="724"/>
      <c r="AG20" s="724"/>
      <c r="AH20" s="724"/>
      <c r="AI20" s="724"/>
      <c r="AJ20" s="724"/>
      <c r="AK20" s="724"/>
      <c r="AM20" s="737"/>
      <c r="AN20" s="737"/>
      <c r="AO20" s="737"/>
      <c r="AP20" s="737"/>
      <c r="AQ20" s="737"/>
      <c r="AR20" s="737"/>
      <c r="AS20" s="737"/>
      <c r="AT20" s="737"/>
      <c r="AU20" s="737"/>
      <c r="AV20" s="737"/>
      <c r="AW20" s="737"/>
      <c r="AX20" s="737"/>
      <c r="AY20" s="737"/>
      <c r="AZ20" s="737"/>
      <c r="BA20" s="737"/>
      <c r="BB20" s="737"/>
      <c r="BC20" s="737"/>
      <c r="BD20" s="737"/>
      <c r="BE20" s="737"/>
      <c r="BF20" s="677"/>
      <c r="BH20" s="731"/>
      <c r="BI20" s="731"/>
      <c r="BJ20" s="731"/>
      <c r="BL20" s="576">
        <f t="shared" si="9"/>
        <v>0</v>
      </c>
      <c r="BM20" s="576"/>
      <c r="BN20" s="1085"/>
      <c r="BO20" s="1082"/>
      <c r="BP20" s="1083"/>
      <c r="BQ20" s="1083"/>
      <c r="BR20" s="1083"/>
      <c r="BS20" s="1083"/>
      <c r="BT20" s="1083"/>
      <c r="BU20" s="1083"/>
      <c r="BV20" s="1083"/>
      <c r="BW20" s="1083"/>
      <c r="BX20" s="1083"/>
      <c r="BY20" s="1083"/>
      <c r="BZ20" s="1083"/>
      <c r="CA20" s="1083"/>
      <c r="CB20" s="1083"/>
      <c r="CC20" s="1083"/>
      <c r="CD20" s="1083"/>
      <c r="CE20" s="1083"/>
      <c r="CF20" s="1083"/>
      <c r="CG20" s="1083"/>
      <c r="CH20" s="1083"/>
      <c r="CI20" s="1083"/>
      <c r="CJ20" s="1083"/>
      <c r="CK20" s="1083"/>
      <c r="CL20" s="1083"/>
      <c r="CM20" s="1083"/>
      <c r="CN20" s="1083"/>
      <c r="CO20" s="1083"/>
      <c r="CP20" s="1083"/>
      <c r="CQ20" s="1083"/>
      <c r="CR20" s="1083"/>
      <c r="CS20" s="1083"/>
      <c r="CT20" s="1083"/>
      <c r="CU20" s="1083"/>
      <c r="CV20" s="1083"/>
      <c r="CW20" s="1083"/>
      <c r="CX20" s="1083"/>
      <c r="CY20" s="1083"/>
      <c r="CZ20" s="1083"/>
      <c r="DA20" s="1083"/>
      <c r="DB20" s="1083"/>
      <c r="DC20" s="1083"/>
      <c r="DD20" s="1083"/>
      <c r="DE20" s="1083"/>
      <c r="DF20" s="1083"/>
      <c r="DH20" s="590">
        <f t="shared" si="36"/>
        <v>0</v>
      </c>
    </row>
    <row r="21" spans="1:112" s="532" customFormat="1" ht="12.75" customHeight="1" outlineLevel="1">
      <c r="A21" s="1085"/>
      <c r="B21" s="1085"/>
      <c r="C21" s="534" t="s">
        <v>689</v>
      </c>
      <c r="D21" s="707" t="str">
        <f>INDEX(Modules[Module], MATCH($C21, Modules[Code], 0))</f>
        <v>Industrial processes</v>
      </c>
      <c r="E21" s="707"/>
      <c r="G21" s="719">
        <f t="shared" ref="G21:P21" ca="1" si="49">IFERROR(INDEX(INDIRECT($C21&amp;".Outputs["&amp;this.Year&amp;"]"), MATCH(G$5, INDIRECT($C21&amp;".Outputs[Vector]"), 0)), 0)</f>
        <v>0</v>
      </c>
      <c r="H21" s="719">
        <f t="shared" ca="1" si="49"/>
        <v>0</v>
      </c>
      <c r="I21" s="719">
        <f t="shared" ca="1" si="49"/>
        <v>0</v>
      </c>
      <c r="J21" s="719">
        <f t="shared" ca="1" si="49"/>
        <v>0</v>
      </c>
      <c r="K21" s="719">
        <f t="shared" ca="1" si="49"/>
        <v>0</v>
      </c>
      <c r="L21" s="719">
        <f t="shared" ca="1" si="49"/>
        <v>0</v>
      </c>
      <c r="M21" s="719">
        <f t="shared" ca="1" si="49"/>
        <v>0</v>
      </c>
      <c r="N21" s="719">
        <f t="shared" ca="1" si="49"/>
        <v>0</v>
      </c>
      <c r="O21" s="719">
        <f t="shared" ca="1" si="49"/>
        <v>0</v>
      </c>
      <c r="P21" s="719">
        <f t="shared" ca="1" si="49"/>
        <v>0</v>
      </c>
      <c r="Q21" s="717">
        <f ca="1">SUM(G21:P21)</f>
        <v>0</v>
      </c>
      <c r="S21" s="728">
        <f t="shared" ref="S21:BE21" ca="1" si="50">IFERROR(INDEX(INDIRECT($C21&amp;".Outputs["&amp;this.Year&amp;"]"), MATCH(S$5, INDIRECT($C21&amp;".Outputs[Vector]"), 0)), 0)</f>
        <v>0</v>
      </c>
      <c r="T21" s="728">
        <f t="shared" ca="1" si="50"/>
        <v>0</v>
      </c>
      <c r="U21" s="728">
        <f t="shared" ca="1" si="50"/>
        <v>0</v>
      </c>
      <c r="V21" s="728">
        <f t="shared" ca="1" si="50"/>
        <v>0</v>
      </c>
      <c r="W21" s="728">
        <f t="shared" ca="1" si="50"/>
        <v>0</v>
      </c>
      <c r="X21" s="728">
        <f ca="1">IFERROR(INDEX(INDIRECT($C21&amp;".Outputs["&amp;this.Year&amp;"]"), MATCH(X$5, INDIRECT($C21&amp;".Outputs[Vector]"), 0)), 0)</f>
        <v>0</v>
      </c>
      <c r="Y21" s="728">
        <f ca="1">IFERROR(INDEX(INDIRECT($C21&amp;".Outputs["&amp;this.Year&amp;"]"), MATCH(Y$5, INDIRECT($C21&amp;".Outputs[Vector]"), 0)), 0)</f>
        <v>0</v>
      </c>
      <c r="Z21" s="728">
        <f ca="1">IFERROR(INDEX(INDIRECT($C21&amp;".Outputs["&amp;this.Year&amp;"]"), MATCH(Z$5, INDIRECT($C21&amp;".Outputs[Vector]"), 0)), 0)</f>
        <v>0</v>
      </c>
      <c r="AA21" s="728">
        <f t="shared" ca="1" si="50"/>
        <v>0</v>
      </c>
      <c r="AB21" s="728">
        <f t="shared" ca="1" si="50"/>
        <v>0</v>
      </c>
      <c r="AC21" s="728">
        <f t="shared" ca="1" si="50"/>
        <v>0</v>
      </c>
      <c r="AD21" s="728">
        <f t="shared" ca="1" si="50"/>
        <v>0</v>
      </c>
      <c r="AE21" s="728">
        <f t="shared" ca="1" si="50"/>
        <v>0</v>
      </c>
      <c r="AF21" s="728">
        <f t="shared" ca="1" si="50"/>
        <v>0</v>
      </c>
      <c r="AG21" s="728">
        <f t="shared" ca="1" si="50"/>
        <v>0</v>
      </c>
      <c r="AH21" s="728">
        <f t="shared" ca="1" si="50"/>
        <v>0</v>
      </c>
      <c r="AI21" s="728">
        <f t="shared" ca="1" si="50"/>
        <v>0</v>
      </c>
      <c r="AJ21" s="728">
        <f t="shared" ca="1" si="50"/>
        <v>0</v>
      </c>
      <c r="AK21" s="727">
        <f ca="1">SUM(S21:AJ21)</f>
        <v>0</v>
      </c>
      <c r="AM21" s="739">
        <f t="shared" ref="AM21:AU21" ca="1" si="51">IFERROR(INDEX(INDIRECT($C21&amp;".Outputs["&amp;this.Year&amp;"]"), MATCH(AM$5, INDIRECT($C21&amp;".Outputs[Vector]"), 0)), 0)</f>
        <v>0</v>
      </c>
      <c r="AN21" s="739">
        <f t="shared" ca="1" si="51"/>
        <v>0</v>
      </c>
      <c r="AO21" s="739">
        <f t="shared" ca="1" si="51"/>
        <v>0</v>
      </c>
      <c r="AP21" s="739">
        <f t="shared" ca="1" si="51"/>
        <v>0</v>
      </c>
      <c r="AQ21" s="739">
        <f t="shared" ca="1" si="51"/>
        <v>0</v>
      </c>
      <c r="AR21" s="739">
        <f t="shared" ca="1" si="51"/>
        <v>0</v>
      </c>
      <c r="AS21" s="739">
        <f t="shared" ca="1" si="51"/>
        <v>0</v>
      </c>
      <c r="AT21" s="739">
        <f t="shared" ca="1" si="51"/>
        <v>0</v>
      </c>
      <c r="AU21" s="739">
        <f t="shared" ca="1" si="51"/>
        <v>0</v>
      </c>
      <c r="AV21" s="739">
        <f t="shared" ca="1" si="50"/>
        <v>0</v>
      </c>
      <c r="AW21" s="739">
        <f t="shared" ca="1" si="50"/>
        <v>0</v>
      </c>
      <c r="AX21" s="739">
        <f t="shared" ca="1" si="50"/>
        <v>0</v>
      </c>
      <c r="AY21" s="739">
        <f t="shared" ca="1" si="50"/>
        <v>0</v>
      </c>
      <c r="AZ21" s="739">
        <f t="shared" ca="1" si="50"/>
        <v>0</v>
      </c>
      <c r="BA21" s="739">
        <f t="shared" ca="1" si="50"/>
        <v>0</v>
      </c>
      <c r="BB21" s="739">
        <f t="shared" ca="1" si="50"/>
        <v>0</v>
      </c>
      <c r="BC21" s="739">
        <f t="shared" ca="1" si="50"/>
        <v>0</v>
      </c>
      <c r="BD21" s="739">
        <f t="shared" ca="1" si="50"/>
        <v>0</v>
      </c>
      <c r="BE21" s="739">
        <f t="shared" ca="1" si="50"/>
        <v>0</v>
      </c>
      <c r="BF21" s="709">
        <f ca="1">SUM(AM21:BE21)</f>
        <v>0</v>
      </c>
      <c r="BH21" s="733">
        <f ca="1">IFERROR(INDEX(INDIRECT($C21&amp;".Outputs["&amp;this.Year&amp;"]"), MATCH(BH$5, INDIRECT($C21&amp;".Outputs[Vector]"), 0)), 0)</f>
        <v>0</v>
      </c>
      <c r="BI21" s="733">
        <f ca="1">IFERROR(INDEX(INDIRECT($C21&amp;".Outputs["&amp;this.Year&amp;"]"), MATCH(BI$5, INDIRECT($C21&amp;".Outputs[Vector]"), 0)), 0)</f>
        <v>0</v>
      </c>
      <c r="BJ21" s="732">
        <f ca="1">SUM(BH21:BI21)</f>
        <v>0</v>
      </c>
      <c r="BL21" s="576">
        <f t="shared" ca="1" si="9"/>
        <v>0</v>
      </c>
      <c r="BM21" s="576"/>
      <c r="BN21" s="592"/>
      <c r="BO21" s="1086">
        <f t="shared" ref="BO21:DF21" ca="1" si="52">IFERROR(SUMIFS(INDIRECT($C21&amp;".Emissions["&amp;this.Year&amp;"]"), INDIRECT($C21&amp;".Emissions[GHG]"), BO$6, INDIRECT($C21&amp;".Emissions[IPCC Sector]"), BO$5),0)</f>
        <v>0</v>
      </c>
      <c r="BP21" s="1087">
        <f t="shared" ca="1" si="52"/>
        <v>0</v>
      </c>
      <c r="BQ21" s="1087">
        <f t="shared" ca="1" si="52"/>
        <v>0</v>
      </c>
      <c r="BR21" s="1087">
        <f t="shared" ca="1" si="52"/>
        <v>0</v>
      </c>
      <c r="BS21" s="1087">
        <f t="shared" ca="1" si="52"/>
        <v>0</v>
      </c>
      <c r="BT21" s="1087">
        <f t="shared" ca="1" si="52"/>
        <v>0</v>
      </c>
      <c r="BU21" s="1087">
        <f t="shared" ca="1" si="52"/>
        <v>0</v>
      </c>
      <c r="BV21" s="1087">
        <f t="shared" ca="1" si="52"/>
        <v>0</v>
      </c>
      <c r="BW21" s="1087">
        <f t="shared" ca="1" si="52"/>
        <v>0</v>
      </c>
      <c r="BX21" s="1087">
        <f t="shared" ca="1" si="52"/>
        <v>0</v>
      </c>
      <c r="BY21" s="1087">
        <f t="shared" ca="1" si="52"/>
        <v>0</v>
      </c>
      <c r="BZ21" s="1087">
        <f t="shared" ca="1" si="52"/>
        <v>0</v>
      </c>
      <c r="CA21" s="1087">
        <f t="shared" ca="1" si="52"/>
        <v>0</v>
      </c>
      <c r="CB21" s="1087">
        <f t="shared" ca="1" si="52"/>
        <v>0</v>
      </c>
      <c r="CC21" s="1087">
        <f t="shared" ca="1" si="52"/>
        <v>0</v>
      </c>
      <c r="CD21" s="1087">
        <f t="shared" ca="1" si="52"/>
        <v>0</v>
      </c>
      <c r="CE21" s="1087">
        <f t="shared" ca="1" si="52"/>
        <v>0</v>
      </c>
      <c r="CF21" s="1087">
        <f t="shared" ca="1" si="52"/>
        <v>0</v>
      </c>
      <c r="CG21" s="1087">
        <f t="shared" ca="1" si="52"/>
        <v>0</v>
      </c>
      <c r="CH21" s="1087">
        <f t="shared" ca="1" si="52"/>
        <v>0</v>
      </c>
      <c r="CI21" s="1087">
        <f t="shared" ca="1" si="52"/>
        <v>0</v>
      </c>
      <c r="CJ21" s="1087">
        <f t="shared" ca="1" si="52"/>
        <v>0</v>
      </c>
      <c r="CK21" s="1087">
        <f t="shared" ca="1" si="52"/>
        <v>0</v>
      </c>
      <c r="CL21" s="1087">
        <f t="shared" ca="1" si="52"/>
        <v>0</v>
      </c>
      <c r="CM21" s="1087">
        <f t="shared" ca="1" si="52"/>
        <v>0</v>
      </c>
      <c r="CN21" s="1087">
        <f t="shared" ca="1" si="52"/>
        <v>0</v>
      </c>
      <c r="CO21" s="1087">
        <f t="shared" ca="1" si="52"/>
        <v>0</v>
      </c>
      <c r="CP21" s="1087">
        <f t="shared" ca="1" si="52"/>
        <v>0</v>
      </c>
      <c r="CQ21" s="1087">
        <f t="shared" ca="1" si="52"/>
        <v>0</v>
      </c>
      <c r="CR21" s="1087">
        <f t="shared" ca="1" si="52"/>
        <v>0</v>
      </c>
      <c r="CS21" s="1087">
        <f t="shared" ca="1" si="52"/>
        <v>0</v>
      </c>
      <c r="CT21" s="1087">
        <f t="shared" ca="1" si="52"/>
        <v>0</v>
      </c>
      <c r="CU21" s="1087">
        <f t="shared" ca="1" si="52"/>
        <v>0</v>
      </c>
      <c r="CV21" s="1087">
        <f t="shared" ca="1" si="52"/>
        <v>0</v>
      </c>
      <c r="CW21" s="1087">
        <f t="shared" ca="1" si="52"/>
        <v>0</v>
      </c>
      <c r="CX21" s="1087">
        <f t="shared" ca="1" si="52"/>
        <v>0</v>
      </c>
      <c r="CY21" s="1087">
        <f t="shared" ca="1" si="52"/>
        <v>0</v>
      </c>
      <c r="CZ21" s="1087">
        <f t="shared" ca="1" si="52"/>
        <v>0</v>
      </c>
      <c r="DA21" s="1087">
        <f t="shared" ca="1" si="52"/>
        <v>0</v>
      </c>
      <c r="DB21" s="1087">
        <f t="shared" ca="1" si="52"/>
        <v>0</v>
      </c>
      <c r="DC21" s="1087">
        <f t="shared" ca="1" si="52"/>
        <v>0</v>
      </c>
      <c r="DD21" s="1087">
        <f t="shared" ca="1" si="52"/>
        <v>0</v>
      </c>
      <c r="DE21" s="1087">
        <f t="shared" ca="1" si="52"/>
        <v>0</v>
      </c>
      <c r="DF21" s="1087">
        <f t="shared" ca="1" si="52"/>
        <v>0</v>
      </c>
      <c r="DH21" s="590">
        <f t="shared" ca="1" si="36"/>
        <v>0</v>
      </c>
    </row>
    <row r="22" spans="1:112" s="532" customFormat="1" ht="15">
      <c r="A22" s="22"/>
      <c r="B22" s="537"/>
      <c r="C22" s="533" t="s">
        <v>567</v>
      </c>
      <c r="D22" s="507" t="str">
        <f>INDEX(Workstreams[Workstream], MATCH($C22, Workstreams[Code], 0))</f>
        <v>Industry</v>
      </c>
      <c r="E22" s="503"/>
      <c r="G22" s="718">
        <f ca="1">G21</f>
        <v>0</v>
      </c>
      <c r="H22" s="718">
        <f t="shared" ref="H22:P22" ca="1" si="53">H21</f>
        <v>0</v>
      </c>
      <c r="I22" s="718">
        <f t="shared" ca="1" si="53"/>
        <v>0</v>
      </c>
      <c r="J22" s="718">
        <f t="shared" ca="1" si="53"/>
        <v>0</v>
      </c>
      <c r="K22" s="718">
        <f t="shared" ca="1" si="53"/>
        <v>0</v>
      </c>
      <c r="L22" s="718">
        <f t="shared" ca="1" si="53"/>
        <v>0</v>
      </c>
      <c r="M22" s="718">
        <f t="shared" ca="1" si="53"/>
        <v>0</v>
      </c>
      <c r="N22" s="718">
        <f t="shared" ca="1" si="53"/>
        <v>0</v>
      </c>
      <c r="O22" s="718">
        <f t="shared" ca="1" si="53"/>
        <v>0</v>
      </c>
      <c r="P22" s="718">
        <f t="shared" ca="1" si="53"/>
        <v>0</v>
      </c>
      <c r="Q22" s="718">
        <f ca="1">SUM(G22:P22)</f>
        <v>0</v>
      </c>
      <c r="S22" s="668">
        <f t="shared" ref="S22:Z22" ca="1" si="54">S21</f>
        <v>0</v>
      </c>
      <c r="T22" s="668">
        <f t="shared" ca="1" si="54"/>
        <v>0</v>
      </c>
      <c r="U22" s="668">
        <f t="shared" ca="1" si="54"/>
        <v>0</v>
      </c>
      <c r="V22" s="668">
        <f t="shared" ca="1" si="54"/>
        <v>0</v>
      </c>
      <c r="W22" s="668">
        <f t="shared" ca="1" si="54"/>
        <v>0</v>
      </c>
      <c r="X22" s="668">
        <f t="shared" ca="1" si="54"/>
        <v>0</v>
      </c>
      <c r="Y22" s="668">
        <f t="shared" ca="1" si="54"/>
        <v>0</v>
      </c>
      <c r="Z22" s="668">
        <f t="shared" ca="1" si="54"/>
        <v>0</v>
      </c>
      <c r="AA22" s="668">
        <f t="shared" ref="AA22:AJ22" ca="1" si="55">AA21</f>
        <v>0</v>
      </c>
      <c r="AB22" s="668">
        <f t="shared" ca="1" si="55"/>
        <v>0</v>
      </c>
      <c r="AC22" s="668">
        <f t="shared" ca="1" si="55"/>
        <v>0</v>
      </c>
      <c r="AD22" s="668">
        <f ca="1">AD21</f>
        <v>0</v>
      </c>
      <c r="AE22" s="668">
        <f ca="1">AE21</f>
        <v>0</v>
      </c>
      <c r="AF22" s="668">
        <f t="shared" ca="1" si="55"/>
        <v>0</v>
      </c>
      <c r="AG22" s="668">
        <f ca="1">AG21</f>
        <v>0</v>
      </c>
      <c r="AH22" s="668">
        <f ca="1">AH21</f>
        <v>0</v>
      </c>
      <c r="AI22" s="668">
        <f ca="1">AI21</f>
        <v>0</v>
      </c>
      <c r="AJ22" s="668">
        <f t="shared" ca="1" si="55"/>
        <v>0</v>
      </c>
      <c r="AK22" s="668">
        <f ca="1">SUM(S22:AJ22)</f>
        <v>0</v>
      </c>
      <c r="AM22" s="674">
        <f t="shared" ref="AM22:BE22" ca="1" si="56">AM21</f>
        <v>0</v>
      </c>
      <c r="AN22" s="674">
        <f t="shared" ca="1" si="56"/>
        <v>0</v>
      </c>
      <c r="AO22" s="674">
        <f t="shared" ca="1" si="56"/>
        <v>0</v>
      </c>
      <c r="AP22" s="674">
        <f t="shared" ca="1" si="56"/>
        <v>0</v>
      </c>
      <c r="AQ22" s="674">
        <f t="shared" ca="1" si="56"/>
        <v>0</v>
      </c>
      <c r="AR22" s="674">
        <f t="shared" ca="1" si="56"/>
        <v>0</v>
      </c>
      <c r="AS22" s="674">
        <f t="shared" ca="1" si="56"/>
        <v>0</v>
      </c>
      <c r="AT22" s="674">
        <f t="shared" ca="1" si="56"/>
        <v>0</v>
      </c>
      <c r="AU22" s="674">
        <f t="shared" ca="1" si="56"/>
        <v>0</v>
      </c>
      <c r="AV22" s="674">
        <f t="shared" ca="1" si="56"/>
        <v>0</v>
      </c>
      <c r="AW22" s="674">
        <f t="shared" ca="1" si="56"/>
        <v>0</v>
      </c>
      <c r="AX22" s="674">
        <f t="shared" ca="1" si="56"/>
        <v>0</v>
      </c>
      <c r="AY22" s="674">
        <f t="shared" ca="1" si="56"/>
        <v>0</v>
      </c>
      <c r="AZ22" s="674">
        <f t="shared" ca="1" si="56"/>
        <v>0</v>
      </c>
      <c r="BA22" s="674">
        <f t="shared" ca="1" si="56"/>
        <v>0</v>
      </c>
      <c r="BB22" s="674">
        <f t="shared" ca="1" si="56"/>
        <v>0</v>
      </c>
      <c r="BC22" s="674">
        <f t="shared" ca="1" si="56"/>
        <v>0</v>
      </c>
      <c r="BD22" s="674">
        <f t="shared" ca="1" si="56"/>
        <v>0</v>
      </c>
      <c r="BE22" s="674">
        <f t="shared" ca="1" si="56"/>
        <v>0</v>
      </c>
      <c r="BF22" s="674">
        <f ca="1">SUM(AM22:BE22)</f>
        <v>0</v>
      </c>
      <c r="BH22" s="688">
        <f ca="1">BH21</f>
        <v>0</v>
      </c>
      <c r="BI22" s="688">
        <f ca="1">BI21</f>
        <v>0</v>
      </c>
      <c r="BJ22" s="688">
        <f ca="1">SUM(BH22:BI22)</f>
        <v>0</v>
      </c>
      <c r="BL22" s="505">
        <f t="shared" ca="1" si="9"/>
        <v>0</v>
      </c>
      <c r="BM22" s="505"/>
      <c r="BN22" s="592"/>
      <c r="BO22" s="1083">
        <f t="shared" ref="BO22:DF22" ca="1" si="57">BO21</f>
        <v>0</v>
      </c>
      <c r="BP22" s="1083">
        <f t="shared" ca="1" si="57"/>
        <v>0</v>
      </c>
      <c r="BQ22" s="1083">
        <f t="shared" ca="1" si="57"/>
        <v>0</v>
      </c>
      <c r="BR22" s="1083">
        <f t="shared" ca="1" si="57"/>
        <v>0</v>
      </c>
      <c r="BS22" s="1083">
        <f t="shared" ca="1" si="57"/>
        <v>0</v>
      </c>
      <c r="BT22" s="1083">
        <f t="shared" ca="1" si="57"/>
        <v>0</v>
      </c>
      <c r="BU22" s="1083">
        <f t="shared" ca="1" si="57"/>
        <v>0</v>
      </c>
      <c r="BV22" s="1083">
        <f t="shared" ca="1" si="57"/>
        <v>0</v>
      </c>
      <c r="BW22" s="1083">
        <f t="shared" ca="1" si="57"/>
        <v>0</v>
      </c>
      <c r="BX22" s="1083">
        <f t="shared" ca="1" si="57"/>
        <v>0</v>
      </c>
      <c r="BY22" s="1083">
        <f t="shared" ca="1" si="57"/>
        <v>0</v>
      </c>
      <c r="BZ22" s="1083">
        <f t="shared" ca="1" si="57"/>
        <v>0</v>
      </c>
      <c r="CA22" s="1083">
        <f t="shared" ca="1" si="57"/>
        <v>0</v>
      </c>
      <c r="CB22" s="1083">
        <f t="shared" ca="1" si="57"/>
        <v>0</v>
      </c>
      <c r="CC22" s="1083">
        <f t="shared" ca="1" si="57"/>
        <v>0</v>
      </c>
      <c r="CD22" s="1083">
        <f t="shared" ca="1" si="57"/>
        <v>0</v>
      </c>
      <c r="CE22" s="1083">
        <f t="shared" ca="1" si="57"/>
        <v>0</v>
      </c>
      <c r="CF22" s="1083">
        <f t="shared" ca="1" si="57"/>
        <v>0</v>
      </c>
      <c r="CG22" s="1083">
        <f t="shared" ca="1" si="57"/>
        <v>0</v>
      </c>
      <c r="CH22" s="1083">
        <f t="shared" ca="1" si="57"/>
        <v>0</v>
      </c>
      <c r="CI22" s="1083">
        <f t="shared" ca="1" si="57"/>
        <v>0</v>
      </c>
      <c r="CJ22" s="1083">
        <f t="shared" ca="1" si="57"/>
        <v>0</v>
      </c>
      <c r="CK22" s="1083">
        <f t="shared" ca="1" si="57"/>
        <v>0</v>
      </c>
      <c r="CL22" s="1083">
        <f t="shared" ca="1" si="57"/>
        <v>0</v>
      </c>
      <c r="CM22" s="1083">
        <f t="shared" ca="1" si="57"/>
        <v>0</v>
      </c>
      <c r="CN22" s="1083">
        <f t="shared" ca="1" si="57"/>
        <v>0</v>
      </c>
      <c r="CO22" s="1083">
        <f t="shared" ca="1" si="57"/>
        <v>0</v>
      </c>
      <c r="CP22" s="1083">
        <f t="shared" ca="1" si="57"/>
        <v>0</v>
      </c>
      <c r="CQ22" s="1083">
        <f t="shared" ca="1" si="57"/>
        <v>0</v>
      </c>
      <c r="CR22" s="1083">
        <f t="shared" ca="1" si="57"/>
        <v>0</v>
      </c>
      <c r="CS22" s="1083">
        <f t="shared" ca="1" si="57"/>
        <v>0</v>
      </c>
      <c r="CT22" s="1083">
        <f t="shared" ca="1" si="57"/>
        <v>0</v>
      </c>
      <c r="CU22" s="1083">
        <f t="shared" ca="1" si="57"/>
        <v>0</v>
      </c>
      <c r="CV22" s="1083">
        <f t="shared" ca="1" si="57"/>
        <v>0</v>
      </c>
      <c r="CW22" s="1083">
        <f t="shared" ca="1" si="57"/>
        <v>0</v>
      </c>
      <c r="CX22" s="1083">
        <f t="shared" ca="1" si="57"/>
        <v>0</v>
      </c>
      <c r="CY22" s="1083">
        <f t="shared" ca="1" si="57"/>
        <v>0</v>
      </c>
      <c r="CZ22" s="1083">
        <f t="shared" ca="1" si="57"/>
        <v>0</v>
      </c>
      <c r="DA22" s="1083">
        <f t="shared" ca="1" si="57"/>
        <v>0</v>
      </c>
      <c r="DB22" s="1083">
        <f t="shared" ca="1" si="57"/>
        <v>0</v>
      </c>
      <c r="DC22" s="1083">
        <f t="shared" ca="1" si="57"/>
        <v>0</v>
      </c>
      <c r="DD22" s="1083">
        <f t="shared" ca="1" si="57"/>
        <v>0</v>
      </c>
      <c r="DE22" s="1083">
        <f t="shared" ca="1" si="57"/>
        <v>0</v>
      </c>
      <c r="DF22" s="1083">
        <f t="shared" ca="1" si="57"/>
        <v>0</v>
      </c>
      <c r="DH22" s="590">
        <f t="shared" ca="1" si="36"/>
        <v>0</v>
      </c>
    </row>
    <row r="23" spans="1:112" s="532" customFormat="1" ht="12.75" customHeight="1" outlineLevel="1">
      <c r="A23" s="22"/>
      <c r="B23" s="22"/>
      <c r="C23" s="535"/>
      <c r="D23" s="503"/>
      <c r="E23" s="503"/>
      <c r="G23" s="718"/>
      <c r="H23" s="718"/>
      <c r="I23" s="718"/>
      <c r="J23" s="718"/>
      <c r="K23" s="718"/>
      <c r="L23" s="718"/>
      <c r="M23" s="718"/>
      <c r="N23" s="718"/>
      <c r="O23" s="718"/>
      <c r="P23" s="718"/>
      <c r="Q23" s="718"/>
      <c r="S23" s="668"/>
      <c r="T23" s="668"/>
      <c r="U23" s="668"/>
      <c r="V23" s="668"/>
      <c r="W23" s="668"/>
      <c r="X23" s="668"/>
      <c r="Y23" s="668"/>
      <c r="Z23" s="668"/>
      <c r="AA23" s="668"/>
      <c r="AB23" s="668"/>
      <c r="AC23" s="668"/>
      <c r="AD23" s="668"/>
      <c r="AE23" s="668"/>
      <c r="AF23" s="668"/>
      <c r="AG23" s="668"/>
      <c r="AH23" s="668"/>
      <c r="AI23" s="668"/>
      <c r="AJ23" s="668"/>
      <c r="AK23" s="668"/>
      <c r="AM23" s="674"/>
      <c r="AN23" s="674"/>
      <c r="AO23" s="674"/>
      <c r="AP23" s="674"/>
      <c r="AQ23" s="674"/>
      <c r="AR23" s="674"/>
      <c r="AS23" s="674"/>
      <c r="AT23" s="674"/>
      <c r="AU23" s="674"/>
      <c r="AV23" s="674"/>
      <c r="AW23" s="674"/>
      <c r="AX23" s="674"/>
      <c r="AY23" s="674"/>
      <c r="AZ23" s="674"/>
      <c r="BA23" s="674"/>
      <c r="BB23" s="674"/>
      <c r="BC23" s="674"/>
      <c r="BD23" s="674"/>
      <c r="BE23" s="674"/>
      <c r="BF23" s="674"/>
      <c r="BH23" s="688"/>
      <c r="BI23" s="688"/>
      <c r="BJ23" s="688"/>
      <c r="BL23" s="505">
        <f t="shared" si="9"/>
        <v>0</v>
      </c>
      <c r="BM23" s="505"/>
      <c r="BN23" s="22"/>
      <c r="BO23" s="1083"/>
      <c r="BP23" s="1083"/>
      <c r="BQ23" s="1083"/>
      <c r="BR23" s="1083"/>
      <c r="BS23" s="1083"/>
      <c r="BT23" s="1083"/>
      <c r="BU23" s="1083"/>
      <c r="BV23" s="1083"/>
      <c r="BW23" s="1083"/>
      <c r="BX23" s="1083"/>
      <c r="BY23" s="1083"/>
      <c r="BZ23" s="1083"/>
      <c r="CA23" s="1083"/>
      <c r="CB23" s="1083"/>
      <c r="CC23" s="1083"/>
      <c r="CD23" s="1083"/>
      <c r="CE23" s="1083"/>
      <c r="CF23" s="1083"/>
      <c r="CG23" s="1083"/>
      <c r="CH23" s="1083"/>
      <c r="CI23" s="1083"/>
      <c r="CJ23" s="1083"/>
      <c r="CK23" s="1083"/>
      <c r="CL23" s="1083"/>
      <c r="CM23" s="1083"/>
      <c r="CN23" s="1083"/>
      <c r="CO23" s="1083"/>
      <c r="CP23" s="1083"/>
      <c r="CQ23" s="1083"/>
      <c r="CR23" s="1083"/>
      <c r="CS23" s="1083"/>
      <c r="CT23" s="1083"/>
      <c r="CU23" s="1083"/>
      <c r="CV23" s="1083"/>
      <c r="CW23" s="1083"/>
      <c r="CX23" s="1083"/>
      <c r="CY23" s="1083"/>
      <c r="CZ23" s="1083"/>
      <c r="DA23" s="1083"/>
      <c r="DB23" s="1083"/>
      <c r="DC23" s="1083"/>
      <c r="DD23" s="1083"/>
      <c r="DE23" s="1083"/>
      <c r="DF23" s="1083"/>
      <c r="DH23" s="590">
        <f t="shared" si="36"/>
        <v>0</v>
      </c>
    </row>
    <row r="24" spans="1:112" s="532" customFormat="1" ht="12.75" customHeight="1" outlineLevel="1">
      <c r="A24" s="1085"/>
      <c r="B24" s="1085"/>
      <c r="C24" s="534" t="s">
        <v>691</v>
      </c>
      <c r="D24" s="513" t="str">
        <f>INDEX(Modules[Module], MATCH($C24, Modules[Code], 0))</f>
        <v>Domestic passenger transport</v>
      </c>
      <c r="E24" s="703"/>
      <c r="G24" s="714">
        <f t="shared" ref="G24:P27" ca="1" si="58">IFERROR(INDEX(INDIRECT($C24&amp;".Outputs["&amp;this.Year&amp;"]"), MATCH(G$5, INDIRECT($C24&amp;".Outputs[Vector]"), 0)), 0)</f>
        <v>0</v>
      </c>
      <c r="H24" s="714">
        <f t="shared" ca="1" si="58"/>
        <v>0</v>
      </c>
      <c r="I24" s="714">
        <f t="shared" ca="1" si="58"/>
        <v>0</v>
      </c>
      <c r="J24" s="714">
        <f t="shared" ca="1" si="58"/>
        <v>0</v>
      </c>
      <c r="K24" s="714">
        <f t="shared" ca="1" si="58"/>
        <v>0</v>
      </c>
      <c r="L24" s="714">
        <f t="shared" ca="1" si="58"/>
        <v>0</v>
      </c>
      <c r="M24" s="714">
        <f t="shared" ca="1" si="58"/>
        <v>0</v>
      </c>
      <c r="N24" s="714">
        <f t="shared" ca="1" si="58"/>
        <v>0</v>
      </c>
      <c r="O24" s="714">
        <f t="shared" ca="1" si="58"/>
        <v>0</v>
      </c>
      <c r="P24" s="714">
        <f t="shared" ca="1" si="58"/>
        <v>0</v>
      </c>
      <c r="Q24" s="716">
        <f ca="1">SUM(G24:P24)</f>
        <v>0</v>
      </c>
      <c r="S24" s="723">
        <f t="shared" ref="S24:BE30" ca="1" si="59">IFERROR(INDEX(INDIRECT($C24&amp;".Outputs["&amp;this.Year&amp;"]"), MATCH(S$5, INDIRECT($C24&amp;".Outputs[Vector]"), 0)), 0)</f>
        <v>0</v>
      </c>
      <c r="T24" s="723">
        <f t="shared" ca="1" si="59"/>
        <v>0</v>
      </c>
      <c r="U24" s="723">
        <f t="shared" ca="1" si="59"/>
        <v>0</v>
      </c>
      <c r="V24" s="723">
        <f t="shared" ca="1" si="59"/>
        <v>0</v>
      </c>
      <c r="W24" s="723">
        <f t="shared" ca="1" si="59"/>
        <v>0</v>
      </c>
      <c r="X24" s="723">
        <f t="shared" ref="X24:Z27" ca="1" si="60">IFERROR(INDEX(INDIRECT($C24&amp;".Outputs["&amp;this.Year&amp;"]"), MATCH(X$5, INDIRECT($C24&amp;".Outputs[Vector]"), 0)), 0)</f>
        <v>0</v>
      </c>
      <c r="Y24" s="723">
        <f t="shared" ca="1" si="60"/>
        <v>0</v>
      </c>
      <c r="Z24" s="723">
        <f t="shared" ca="1" si="60"/>
        <v>0</v>
      </c>
      <c r="AA24" s="723">
        <f t="shared" ca="1" si="59"/>
        <v>0</v>
      </c>
      <c r="AB24" s="723">
        <f t="shared" ca="1" si="59"/>
        <v>0</v>
      </c>
      <c r="AC24" s="723">
        <f t="shared" ca="1" si="59"/>
        <v>0</v>
      </c>
      <c r="AD24" s="723">
        <f t="shared" ca="1" si="59"/>
        <v>0</v>
      </c>
      <c r="AE24" s="723">
        <f t="shared" ca="1" si="59"/>
        <v>0</v>
      </c>
      <c r="AF24" s="723">
        <f t="shared" ca="1" si="59"/>
        <v>0</v>
      </c>
      <c r="AG24" s="723">
        <f t="shared" ca="1" si="59"/>
        <v>0</v>
      </c>
      <c r="AH24" s="723">
        <f t="shared" ca="1" si="59"/>
        <v>0</v>
      </c>
      <c r="AI24" s="723">
        <f t="shared" ca="1" si="59"/>
        <v>0</v>
      </c>
      <c r="AJ24" s="723">
        <f t="shared" ca="1" si="59"/>
        <v>0</v>
      </c>
      <c r="AK24" s="724">
        <f t="shared" ref="AK24:AK32" ca="1" si="61">SUM(S24:AJ24)</f>
        <v>0</v>
      </c>
      <c r="AM24" s="735">
        <f t="shared" ref="AM24:AU27" ca="1" si="62">IFERROR(INDEX(INDIRECT($C24&amp;".Outputs["&amp;this.Year&amp;"]"), MATCH(AM$5, INDIRECT($C24&amp;".Outputs[Vector]"), 0)), 0)</f>
        <v>0</v>
      </c>
      <c r="AN24" s="735">
        <f t="shared" ca="1" si="62"/>
        <v>0</v>
      </c>
      <c r="AO24" s="735">
        <f t="shared" ca="1" si="62"/>
        <v>0</v>
      </c>
      <c r="AP24" s="735">
        <f t="shared" ca="1" si="62"/>
        <v>0</v>
      </c>
      <c r="AQ24" s="735">
        <f t="shared" ca="1" si="62"/>
        <v>0</v>
      </c>
      <c r="AR24" s="735">
        <f t="shared" ca="1" si="62"/>
        <v>0</v>
      </c>
      <c r="AS24" s="735">
        <f t="shared" ca="1" si="62"/>
        <v>0</v>
      </c>
      <c r="AT24" s="735">
        <f t="shared" ca="1" si="62"/>
        <v>0</v>
      </c>
      <c r="AU24" s="735">
        <f t="shared" ca="1" si="62"/>
        <v>0</v>
      </c>
      <c r="AV24" s="735">
        <f t="shared" ca="1" si="59"/>
        <v>0</v>
      </c>
      <c r="AW24" s="735">
        <f t="shared" ca="1" si="59"/>
        <v>0</v>
      </c>
      <c r="AX24" s="735">
        <f t="shared" ca="1" si="59"/>
        <v>0</v>
      </c>
      <c r="AY24" s="735">
        <f t="shared" ca="1" si="59"/>
        <v>0</v>
      </c>
      <c r="AZ24" s="735">
        <f t="shared" ca="1" si="59"/>
        <v>0</v>
      </c>
      <c r="BA24" s="735">
        <f t="shared" ca="1" si="59"/>
        <v>0</v>
      </c>
      <c r="BB24" s="735">
        <f t="shared" ca="1" si="59"/>
        <v>0</v>
      </c>
      <c r="BC24" s="735">
        <f t="shared" ca="1" si="59"/>
        <v>0</v>
      </c>
      <c r="BD24" s="735">
        <f t="shared" ca="1" si="59"/>
        <v>0</v>
      </c>
      <c r="BE24" s="735">
        <f t="shared" ca="1" si="59"/>
        <v>0</v>
      </c>
      <c r="BF24" s="677">
        <f t="shared" ref="BF24:BF32" ca="1" si="63">SUM(AM24:BE24)</f>
        <v>0</v>
      </c>
      <c r="BH24" s="729">
        <f t="shared" ref="BH24:BI30" ca="1" si="64">IFERROR(INDEX(INDIRECT($C24&amp;".Outputs["&amp;this.Year&amp;"]"), MATCH(BH$5, INDIRECT($C24&amp;".Outputs[Vector]"), 0)), 0)</f>
        <v>0</v>
      </c>
      <c r="BI24" s="729">
        <f t="shared" ca="1" si="64"/>
        <v>0</v>
      </c>
      <c r="BJ24" s="731">
        <f t="shared" ref="BJ24:BJ32" ca="1" si="65">SUM(BH24:BI24)</f>
        <v>0</v>
      </c>
      <c r="BL24" s="576">
        <f t="shared" ca="1" si="9"/>
        <v>0</v>
      </c>
      <c r="BM24" s="576"/>
      <c r="BN24" s="592"/>
      <c r="BO24" s="1082">
        <f t="shared" ref="BO24:BX27" ca="1" si="66">IFERROR(SUMIFS(INDIRECT($C24&amp;".Emissions["&amp;this.Year&amp;"]"), INDIRECT($C24&amp;".Emissions[GHG]"), BO$6, INDIRECT($C24&amp;".Emissions[IPCC Sector]"), BO$5),0)</f>
        <v>0</v>
      </c>
      <c r="BP24" s="1083">
        <f t="shared" ca="1" si="66"/>
        <v>0</v>
      </c>
      <c r="BQ24" s="1083">
        <f t="shared" ca="1" si="66"/>
        <v>0</v>
      </c>
      <c r="BR24" s="1083">
        <f t="shared" ca="1" si="66"/>
        <v>0</v>
      </c>
      <c r="BS24" s="1083">
        <f t="shared" ca="1" si="66"/>
        <v>0</v>
      </c>
      <c r="BT24" s="1083">
        <f t="shared" ca="1" si="66"/>
        <v>0</v>
      </c>
      <c r="BU24" s="1083">
        <f t="shared" ca="1" si="66"/>
        <v>0</v>
      </c>
      <c r="BV24" s="1083">
        <f t="shared" ca="1" si="66"/>
        <v>0</v>
      </c>
      <c r="BW24" s="1083">
        <f t="shared" ca="1" si="66"/>
        <v>0</v>
      </c>
      <c r="BX24" s="1083">
        <f t="shared" ca="1" si="66"/>
        <v>0</v>
      </c>
      <c r="BY24" s="1083">
        <f t="shared" ref="BY24:CH27" ca="1" si="67">IFERROR(SUMIFS(INDIRECT($C24&amp;".Emissions["&amp;this.Year&amp;"]"), INDIRECT($C24&amp;".Emissions[GHG]"), BY$6, INDIRECT($C24&amp;".Emissions[IPCC Sector]"), BY$5),0)</f>
        <v>0</v>
      </c>
      <c r="BZ24" s="1083">
        <f t="shared" ca="1" si="67"/>
        <v>0</v>
      </c>
      <c r="CA24" s="1083">
        <f t="shared" ca="1" si="67"/>
        <v>0</v>
      </c>
      <c r="CB24" s="1083">
        <f t="shared" ca="1" si="67"/>
        <v>0</v>
      </c>
      <c r="CC24" s="1083">
        <f t="shared" ca="1" si="67"/>
        <v>0</v>
      </c>
      <c r="CD24" s="1083">
        <f t="shared" ca="1" si="67"/>
        <v>0</v>
      </c>
      <c r="CE24" s="1083">
        <f t="shared" ca="1" si="67"/>
        <v>0</v>
      </c>
      <c r="CF24" s="1083">
        <f t="shared" ca="1" si="67"/>
        <v>0</v>
      </c>
      <c r="CG24" s="1083">
        <f t="shared" ca="1" si="67"/>
        <v>0</v>
      </c>
      <c r="CH24" s="1083">
        <f t="shared" ca="1" si="67"/>
        <v>0</v>
      </c>
      <c r="CI24" s="1083">
        <f t="shared" ref="CI24:CR27" ca="1" si="68">IFERROR(SUMIFS(INDIRECT($C24&amp;".Emissions["&amp;this.Year&amp;"]"), INDIRECT($C24&amp;".Emissions[GHG]"), CI$6, INDIRECT($C24&amp;".Emissions[IPCC Sector]"), CI$5),0)</f>
        <v>0</v>
      </c>
      <c r="CJ24" s="1083">
        <f t="shared" ca="1" si="68"/>
        <v>0</v>
      </c>
      <c r="CK24" s="1083">
        <f t="shared" ca="1" si="68"/>
        <v>0</v>
      </c>
      <c r="CL24" s="1083">
        <f t="shared" ca="1" si="68"/>
        <v>0</v>
      </c>
      <c r="CM24" s="1083">
        <f t="shared" ca="1" si="68"/>
        <v>0</v>
      </c>
      <c r="CN24" s="1083">
        <f t="shared" ca="1" si="68"/>
        <v>0</v>
      </c>
      <c r="CO24" s="1083">
        <f t="shared" ca="1" si="68"/>
        <v>0</v>
      </c>
      <c r="CP24" s="1083">
        <f t="shared" ca="1" si="68"/>
        <v>0</v>
      </c>
      <c r="CQ24" s="1083">
        <f t="shared" ca="1" si="68"/>
        <v>0</v>
      </c>
      <c r="CR24" s="1083">
        <f t="shared" ca="1" si="68"/>
        <v>0</v>
      </c>
      <c r="CS24" s="1083">
        <f t="shared" ref="CS24:DF27" ca="1" si="69">IFERROR(SUMIFS(INDIRECT($C24&amp;".Emissions["&amp;this.Year&amp;"]"), INDIRECT($C24&amp;".Emissions[GHG]"), CS$6, INDIRECT($C24&amp;".Emissions[IPCC Sector]"), CS$5),0)</f>
        <v>0</v>
      </c>
      <c r="CT24" s="1083">
        <f t="shared" ca="1" si="69"/>
        <v>0</v>
      </c>
      <c r="CU24" s="1083">
        <f t="shared" ca="1" si="69"/>
        <v>0</v>
      </c>
      <c r="CV24" s="1083">
        <f t="shared" ca="1" si="69"/>
        <v>0</v>
      </c>
      <c r="CW24" s="1083">
        <f t="shared" ca="1" si="69"/>
        <v>0</v>
      </c>
      <c r="CX24" s="1083">
        <f t="shared" ca="1" si="69"/>
        <v>0</v>
      </c>
      <c r="CY24" s="1083">
        <f t="shared" ca="1" si="69"/>
        <v>0</v>
      </c>
      <c r="CZ24" s="1083">
        <f t="shared" ca="1" si="69"/>
        <v>0</v>
      </c>
      <c r="DA24" s="1083">
        <f t="shared" ca="1" si="69"/>
        <v>0</v>
      </c>
      <c r="DB24" s="1083">
        <f t="shared" ca="1" si="69"/>
        <v>0</v>
      </c>
      <c r="DC24" s="1083">
        <f t="shared" ca="1" si="69"/>
        <v>0</v>
      </c>
      <c r="DD24" s="1083">
        <f t="shared" ca="1" si="69"/>
        <v>0</v>
      </c>
      <c r="DE24" s="1083">
        <f t="shared" ca="1" si="69"/>
        <v>0</v>
      </c>
      <c r="DF24" s="1083">
        <f t="shared" ca="1" si="69"/>
        <v>0</v>
      </c>
      <c r="DH24" s="590">
        <f t="shared" ca="1" si="36"/>
        <v>0</v>
      </c>
    </row>
    <row r="25" spans="1:112" s="532" customFormat="1" ht="12.75" customHeight="1" outlineLevel="1">
      <c r="A25" s="1085"/>
      <c r="B25" s="1085"/>
      <c r="C25" s="534" t="s">
        <v>703</v>
      </c>
      <c r="D25" s="513" t="str">
        <f>INDEX(Modules[Module], MATCH($C25, Modules[Code], 0))</f>
        <v>Domestic freight</v>
      </c>
      <c r="E25" s="703"/>
      <c r="G25" s="714">
        <f t="shared" ca="1" si="58"/>
        <v>0</v>
      </c>
      <c r="H25" s="714">
        <f t="shared" ca="1" si="58"/>
        <v>0</v>
      </c>
      <c r="I25" s="714">
        <f t="shared" ca="1" si="58"/>
        <v>0</v>
      </c>
      <c r="J25" s="714">
        <f t="shared" ca="1" si="58"/>
        <v>0</v>
      </c>
      <c r="K25" s="714">
        <f t="shared" ca="1" si="58"/>
        <v>0</v>
      </c>
      <c r="L25" s="714">
        <f t="shared" ca="1" si="58"/>
        <v>0</v>
      </c>
      <c r="M25" s="714">
        <f t="shared" ca="1" si="58"/>
        <v>0</v>
      </c>
      <c r="N25" s="714">
        <f t="shared" ca="1" si="58"/>
        <v>0</v>
      </c>
      <c r="O25" s="714">
        <f t="shared" ca="1" si="58"/>
        <v>0</v>
      </c>
      <c r="P25" s="714">
        <f t="shared" ca="1" si="58"/>
        <v>0</v>
      </c>
      <c r="Q25" s="716">
        <f ca="1">SUM(G25:P25)</f>
        <v>0</v>
      </c>
      <c r="S25" s="723">
        <f t="shared" ca="1" si="59"/>
        <v>0</v>
      </c>
      <c r="T25" s="723">
        <f t="shared" ca="1" si="59"/>
        <v>0</v>
      </c>
      <c r="U25" s="723">
        <f t="shared" ca="1" si="59"/>
        <v>0</v>
      </c>
      <c r="V25" s="723">
        <f t="shared" ca="1" si="59"/>
        <v>0</v>
      </c>
      <c r="W25" s="723">
        <f t="shared" ca="1" si="59"/>
        <v>0</v>
      </c>
      <c r="X25" s="723">
        <f t="shared" ca="1" si="60"/>
        <v>0</v>
      </c>
      <c r="Y25" s="723">
        <f t="shared" ca="1" si="60"/>
        <v>0</v>
      </c>
      <c r="Z25" s="723">
        <f t="shared" ca="1" si="60"/>
        <v>0</v>
      </c>
      <c r="AA25" s="723">
        <f t="shared" ca="1" si="59"/>
        <v>0</v>
      </c>
      <c r="AB25" s="723">
        <f t="shared" ca="1" si="59"/>
        <v>0</v>
      </c>
      <c r="AC25" s="723">
        <f t="shared" ca="1" si="59"/>
        <v>0</v>
      </c>
      <c r="AD25" s="723">
        <f t="shared" ca="1" si="59"/>
        <v>0</v>
      </c>
      <c r="AE25" s="723">
        <f t="shared" ca="1" si="59"/>
        <v>0</v>
      </c>
      <c r="AF25" s="723">
        <f t="shared" ca="1" si="59"/>
        <v>0</v>
      </c>
      <c r="AG25" s="723">
        <f t="shared" ca="1" si="59"/>
        <v>0</v>
      </c>
      <c r="AH25" s="723">
        <f t="shared" ca="1" si="59"/>
        <v>0</v>
      </c>
      <c r="AI25" s="723">
        <f t="shared" ca="1" si="59"/>
        <v>0</v>
      </c>
      <c r="AJ25" s="723">
        <f t="shared" ca="1" si="59"/>
        <v>0</v>
      </c>
      <c r="AK25" s="724">
        <f t="shared" ca="1" si="61"/>
        <v>0</v>
      </c>
      <c r="AM25" s="735">
        <f t="shared" ca="1" si="62"/>
        <v>0</v>
      </c>
      <c r="AN25" s="735">
        <f t="shared" ca="1" si="62"/>
        <v>0</v>
      </c>
      <c r="AO25" s="735">
        <f t="shared" ca="1" si="62"/>
        <v>0</v>
      </c>
      <c r="AP25" s="735">
        <f t="shared" ca="1" si="62"/>
        <v>0</v>
      </c>
      <c r="AQ25" s="735">
        <f t="shared" ca="1" si="62"/>
        <v>0</v>
      </c>
      <c r="AR25" s="735">
        <f t="shared" ca="1" si="62"/>
        <v>0</v>
      </c>
      <c r="AS25" s="735">
        <f t="shared" ca="1" si="62"/>
        <v>0</v>
      </c>
      <c r="AT25" s="735">
        <f t="shared" ca="1" si="62"/>
        <v>0</v>
      </c>
      <c r="AU25" s="735">
        <f t="shared" ca="1" si="62"/>
        <v>0</v>
      </c>
      <c r="AV25" s="735">
        <f t="shared" ca="1" si="59"/>
        <v>0</v>
      </c>
      <c r="AW25" s="735">
        <f t="shared" ca="1" si="59"/>
        <v>0</v>
      </c>
      <c r="AX25" s="735">
        <f t="shared" ca="1" si="59"/>
        <v>0</v>
      </c>
      <c r="AY25" s="735">
        <f t="shared" ca="1" si="59"/>
        <v>0</v>
      </c>
      <c r="AZ25" s="735">
        <f t="shared" ca="1" si="59"/>
        <v>0</v>
      </c>
      <c r="BA25" s="735">
        <f t="shared" ca="1" si="59"/>
        <v>0</v>
      </c>
      <c r="BB25" s="735">
        <f t="shared" ca="1" si="59"/>
        <v>0</v>
      </c>
      <c r="BC25" s="735">
        <f t="shared" ca="1" si="59"/>
        <v>0</v>
      </c>
      <c r="BD25" s="735">
        <f t="shared" ca="1" si="59"/>
        <v>0</v>
      </c>
      <c r="BE25" s="735">
        <f t="shared" ca="1" si="59"/>
        <v>0</v>
      </c>
      <c r="BF25" s="677">
        <f t="shared" ca="1" si="63"/>
        <v>0</v>
      </c>
      <c r="BH25" s="729">
        <f t="shared" ca="1" si="64"/>
        <v>0</v>
      </c>
      <c r="BI25" s="729">
        <f t="shared" ca="1" si="64"/>
        <v>0</v>
      </c>
      <c r="BJ25" s="731">
        <f t="shared" ca="1" si="65"/>
        <v>0</v>
      </c>
      <c r="BL25" s="576">
        <f t="shared" ca="1" si="9"/>
        <v>0</v>
      </c>
      <c r="BM25" s="576"/>
      <c r="BN25" s="592"/>
      <c r="BO25" s="1082">
        <f t="shared" ca="1" si="66"/>
        <v>0</v>
      </c>
      <c r="BP25" s="1083">
        <f t="shared" ca="1" si="66"/>
        <v>0</v>
      </c>
      <c r="BQ25" s="1083">
        <f t="shared" ca="1" si="66"/>
        <v>0</v>
      </c>
      <c r="BR25" s="1083">
        <f t="shared" ca="1" si="66"/>
        <v>0</v>
      </c>
      <c r="BS25" s="1083">
        <f t="shared" ca="1" si="66"/>
        <v>0</v>
      </c>
      <c r="BT25" s="1083">
        <f t="shared" ca="1" si="66"/>
        <v>0</v>
      </c>
      <c r="BU25" s="1083">
        <f t="shared" ca="1" si="66"/>
        <v>0</v>
      </c>
      <c r="BV25" s="1083">
        <f t="shared" ca="1" si="66"/>
        <v>0</v>
      </c>
      <c r="BW25" s="1083">
        <f t="shared" ca="1" si="66"/>
        <v>0</v>
      </c>
      <c r="BX25" s="1083">
        <f t="shared" ca="1" si="66"/>
        <v>0</v>
      </c>
      <c r="BY25" s="1083">
        <f t="shared" ca="1" si="67"/>
        <v>0</v>
      </c>
      <c r="BZ25" s="1083">
        <f t="shared" ca="1" si="67"/>
        <v>0</v>
      </c>
      <c r="CA25" s="1083">
        <f t="shared" ca="1" si="67"/>
        <v>0</v>
      </c>
      <c r="CB25" s="1083">
        <f t="shared" ca="1" si="67"/>
        <v>0</v>
      </c>
      <c r="CC25" s="1083">
        <f t="shared" ca="1" si="67"/>
        <v>0</v>
      </c>
      <c r="CD25" s="1083">
        <f t="shared" ca="1" si="67"/>
        <v>0</v>
      </c>
      <c r="CE25" s="1083">
        <f t="shared" ca="1" si="67"/>
        <v>0</v>
      </c>
      <c r="CF25" s="1083">
        <f t="shared" ca="1" si="67"/>
        <v>0</v>
      </c>
      <c r="CG25" s="1083">
        <f t="shared" ca="1" si="67"/>
        <v>0</v>
      </c>
      <c r="CH25" s="1083">
        <f t="shared" ca="1" si="67"/>
        <v>0</v>
      </c>
      <c r="CI25" s="1083">
        <f t="shared" ca="1" si="68"/>
        <v>0</v>
      </c>
      <c r="CJ25" s="1083">
        <f t="shared" ca="1" si="68"/>
        <v>0</v>
      </c>
      <c r="CK25" s="1083">
        <f t="shared" ca="1" si="68"/>
        <v>0</v>
      </c>
      <c r="CL25" s="1083">
        <f t="shared" ca="1" si="68"/>
        <v>0</v>
      </c>
      <c r="CM25" s="1083">
        <f t="shared" ca="1" si="68"/>
        <v>0</v>
      </c>
      <c r="CN25" s="1083">
        <f t="shared" ca="1" si="68"/>
        <v>0</v>
      </c>
      <c r="CO25" s="1083">
        <f t="shared" ca="1" si="68"/>
        <v>0</v>
      </c>
      <c r="CP25" s="1083">
        <f t="shared" ca="1" si="68"/>
        <v>0</v>
      </c>
      <c r="CQ25" s="1083">
        <f t="shared" ca="1" si="68"/>
        <v>0</v>
      </c>
      <c r="CR25" s="1083">
        <f t="shared" ca="1" si="68"/>
        <v>0</v>
      </c>
      <c r="CS25" s="1083">
        <f t="shared" ca="1" si="69"/>
        <v>0</v>
      </c>
      <c r="CT25" s="1083">
        <f t="shared" ca="1" si="69"/>
        <v>0</v>
      </c>
      <c r="CU25" s="1083">
        <f t="shared" ca="1" si="69"/>
        <v>0</v>
      </c>
      <c r="CV25" s="1083">
        <f t="shared" ca="1" si="69"/>
        <v>0</v>
      </c>
      <c r="CW25" s="1083">
        <f t="shared" ca="1" si="69"/>
        <v>0</v>
      </c>
      <c r="CX25" s="1083">
        <f t="shared" ca="1" si="69"/>
        <v>0</v>
      </c>
      <c r="CY25" s="1083">
        <f t="shared" ca="1" si="69"/>
        <v>0</v>
      </c>
      <c r="CZ25" s="1083">
        <f t="shared" ca="1" si="69"/>
        <v>0</v>
      </c>
      <c r="DA25" s="1083">
        <f t="shared" ca="1" si="69"/>
        <v>0</v>
      </c>
      <c r="DB25" s="1083">
        <f t="shared" ca="1" si="69"/>
        <v>0</v>
      </c>
      <c r="DC25" s="1083">
        <f t="shared" ca="1" si="69"/>
        <v>0</v>
      </c>
      <c r="DD25" s="1083">
        <f t="shared" ca="1" si="69"/>
        <v>0</v>
      </c>
      <c r="DE25" s="1083">
        <f t="shared" ca="1" si="69"/>
        <v>0</v>
      </c>
      <c r="DF25" s="1083">
        <f t="shared" ca="1" si="69"/>
        <v>0</v>
      </c>
      <c r="DH25" s="590">
        <f t="shared" ca="1" si="36"/>
        <v>0</v>
      </c>
    </row>
    <row r="26" spans="1:112" s="532" customFormat="1" ht="10.5" customHeight="1" outlineLevel="2">
      <c r="A26" s="1081"/>
      <c r="B26" s="1081"/>
      <c r="C26" s="534" t="s">
        <v>704</v>
      </c>
      <c r="D26" s="513" t="str">
        <f>INDEX(Modules[Module], MATCH($C26, Modules[Code], 0))</f>
        <v>International aviation</v>
      </c>
      <c r="E26" s="703"/>
      <c r="G26" s="714">
        <f t="shared" ca="1" si="58"/>
        <v>0</v>
      </c>
      <c r="H26" s="714">
        <f t="shared" ca="1" si="58"/>
        <v>0</v>
      </c>
      <c r="I26" s="714">
        <f t="shared" ca="1" si="58"/>
        <v>0</v>
      </c>
      <c r="J26" s="714">
        <f t="shared" ca="1" si="58"/>
        <v>0</v>
      </c>
      <c r="K26" s="714">
        <f t="shared" ca="1" si="58"/>
        <v>0</v>
      </c>
      <c r="L26" s="714">
        <f t="shared" ca="1" si="58"/>
        <v>0</v>
      </c>
      <c r="M26" s="714">
        <f t="shared" ca="1" si="58"/>
        <v>0</v>
      </c>
      <c r="N26" s="714">
        <f t="shared" ca="1" si="58"/>
        <v>0</v>
      </c>
      <c r="O26" s="714">
        <f t="shared" ca="1" si="58"/>
        <v>0</v>
      </c>
      <c r="P26" s="714">
        <f t="shared" ca="1" si="58"/>
        <v>0</v>
      </c>
      <c r="Q26" s="716">
        <f t="shared" ref="Q26:Q32" ca="1" si="70">SUM(G26:P26)</f>
        <v>0</v>
      </c>
      <c r="S26" s="723">
        <f t="shared" ca="1" si="59"/>
        <v>0</v>
      </c>
      <c r="T26" s="723">
        <f t="shared" ca="1" si="59"/>
        <v>0</v>
      </c>
      <c r="U26" s="723">
        <f t="shared" ca="1" si="59"/>
        <v>0</v>
      </c>
      <c r="V26" s="723">
        <f t="shared" ca="1" si="59"/>
        <v>0</v>
      </c>
      <c r="W26" s="723">
        <f t="shared" ca="1" si="59"/>
        <v>0</v>
      </c>
      <c r="X26" s="723">
        <f t="shared" ca="1" si="60"/>
        <v>0</v>
      </c>
      <c r="Y26" s="723">
        <f t="shared" ca="1" si="60"/>
        <v>0</v>
      </c>
      <c r="Z26" s="723">
        <f t="shared" ca="1" si="60"/>
        <v>0</v>
      </c>
      <c r="AA26" s="723">
        <f t="shared" ca="1" si="59"/>
        <v>0</v>
      </c>
      <c r="AB26" s="723">
        <f t="shared" ca="1" si="59"/>
        <v>0</v>
      </c>
      <c r="AC26" s="723">
        <f t="shared" ca="1" si="59"/>
        <v>0</v>
      </c>
      <c r="AD26" s="723">
        <f t="shared" ca="1" si="59"/>
        <v>0</v>
      </c>
      <c r="AE26" s="723">
        <f t="shared" ca="1" si="59"/>
        <v>0</v>
      </c>
      <c r="AF26" s="723">
        <f t="shared" ca="1" si="59"/>
        <v>0</v>
      </c>
      <c r="AG26" s="723">
        <f t="shared" ca="1" si="59"/>
        <v>0</v>
      </c>
      <c r="AH26" s="723">
        <f t="shared" ca="1" si="59"/>
        <v>0</v>
      </c>
      <c r="AI26" s="723">
        <f t="shared" ca="1" si="59"/>
        <v>0</v>
      </c>
      <c r="AJ26" s="723">
        <f t="shared" ca="1" si="59"/>
        <v>0</v>
      </c>
      <c r="AK26" s="724">
        <f t="shared" ca="1" si="61"/>
        <v>0</v>
      </c>
      <c r="AM26" s="735">
        <f t="shared" ca="1" si="62"/>
        <v>0</v>
      </c>
      <c r="AN26" s="735">
        <f t="shared" ca="1" si="62"/>
        <v>0</v>
      </c>
      <c r="AO26" s="735">
        <f t="shared" ca="1" si="62"/>
        <v>0</v>
      </c>
      <c r="AP26" s="735">
        <f t="shared" ca="1" si="62"/>
        <v>0</v>
      </c>
      <c r="AQ26" s="735">
        <f t="shared" ca="1" si="62"/>
        <v>0</v>
      </c>
      <c r="AR26" s="735">
        <f t="shared" ca="1" si="62"/>
        <v>0</v>
      </c>
      <c r="AS26" s="735">
        <f t="shared" ca="1" si="62"/>
        <v>0</v>
      </c>
      <c r="AT26" s="735">
        <f t="shared" ca="1" si="62"/>
        <v>0</v>
      </c>
      <c r="AU26" s="735">
        <f t="shared" ca="1" si="62"/>
        <v>0</v>
      </c>
      <c r="AV26" s="735">
        <f t="shared" ca="1" si="59"/>
        <v>0</v>
      </c>
      <c r="AW26" s="735">
        <f t="shared" ca="1" si="59"/>
        <v>0</v>
      </c>
      <c r="AX26" s="735">
        <f t="shared" ca="1" si="59"/>
        <v>0</v>
      </c>
      <c r="AY26" s="735">
        <f t="shared" ca="1" si="59"/>
        <v>0</v>
      </c>
      <c r="AZ26" s="735">
        <f t="shared" ca="1" si="59"/>
        <v>0</v>
      </c>
      <c r="BA26" s="735">
        <f t="shared" ca="1" si="59"/>
        <v>0</v>
      </c>
      <c r="BB26" s="735">
        <f t="shared" ca="1" si="59"/>
        <v>0</v>
      </c>
      <c r="BC26" s="735">
        <f t="shared" ca="1" si="59"/>
        <v>0</v>
      </c>
      <c r="BD26" s="735">
        <f t="shared" ca="1" si="59"/>
        <v>0</v>
      </c>
      <c r="BE26" s="735">
        <f t="shared" ca="1" si="59"/>
        <v>0</v>
      </c>
      <c r="BF26" s="675">
        <f t="shared" ca="1" si="63"/>
        <v>0</v>
      </c>
      <c r="BH26" s="729">
        <f t="shared" ca="1" si="64"/>
        <v>0</v>
      </c>
      <c r="BI26" s="729">
        <f t="shared" ca="1" si="64"/>
        <v>0</v>
      </c>
      <c r="BJ26" s="731">
        <f t="shared" ca="1" si="65"/>
        <v>0</v>
      </c>
      <c r="BL26" s="514">
        <f t="shared" ca="1" si="9"/>
        <v>0</v>
      </c>
      <c r="BM26" s="514"/>
      <c r="BN26" s="592"/>
      <c r="BO26" s="1082">
        <f t="shared" ca="1" si="66"/>
        <v>0</v>
      </c>
      <c r="BP26" s="1083">
        <f t="shared" ca="1" si="66"/>
        <v>0</v>
      </c>
      <c r="BQ26" s="1083">
        <f t="shared" ca="1" si="66"/>
        <v>0</v>
      </c>
      <c r="BR26" s="1083">
        <f t="shared" ca="1" si="66"/>
        <v>0</v>
      </c>
      <c r="BS26" s="1083">
        <f t="shared" ca="1" si="66"/>
        <v>0</v>
      </c>
      <c r="BT26" s="1083">
        <f t="shared" ca="1" si="66"/>
        <v>0</v>
      </c>
      <c r="BU26" s="1083">
        <f t="shared" ca="1" si="66"/>
        <v>0</v>
      </c>
      <c r="BV26" s="1083">
        <f t="shared" ca="1" si="66"/>
        <v>0</v>
      </c>
      <c r="BW26" s="1083">
        <f t="shared" ca="1" si="66"/>
        <v>0</v>
      </c>
      <c r="BX26" s="1083">
        <f t="shared" ca="1" si="66"/>
        <v>0</v>
      </c>
      <c r="BY26" s="1083">
        <f t="shared" ca="1" si="67"/>
        <v>0</v>
      </c>
      <c r="BZ26" s="1083">
        <f t="shared" ca="1" si="67"/>
        <v>0</v>
      </c>
      <c r="CA26" s="1083">
        <f t="shared" ca="1" si="67"/>
        <v>0</v>
      </c>
      <c r="CB26" s="1083">
        <f t="shared" ca="1" si="67"/>
        <v>0</v>
      </c>
      <c r="CC26" s="1083">
        <f t="shared" ca="1" si="67"/>
        <v>0</v>
      </c>
      <c r="CD26" s="1083">
        <f t="shared" ca="1" si="67"/>
        <v>0</v>
      </c>
      <c r="CE26" s="1083">
        <f t="shared" ca="1" si="67"/>
        <v>0</v>
      </c>
      <c r="CF26" s="1083">
        <f t="shared" ca="1" si="67"/>
        <v>0</v>
      </c>
      <c r="CG26" s="1083">
        <f t="shared" ca="1" si="67"/>
        <v>0</v>
      </c>
      <c r="CH26" s="1083">
        <f t="shared" ca="1" si="67"/>
        <v>0</v>
      </c>
      <c r="CI26" s="1083">
        <f t="shared" ca="1" si="68"/>
        <v>0</v>
      </c>
      <c r="CJ26" s="1083">
        <f t="shared" ca="1" si="68"/>
        <v>0</v>
      </c>
      <c r="CK26" s="1083">
        <f t="shared" ca="1" si="68"/>
        <v>0</v>
      </c>
      <c r="CL26" s="1083">
        <f t="shared" ca="1" si="68"/>
        <v>0</v>
      </c>
      <c r="CM26" s="1083">
        <f t="shared" ca="1" si="68"/>
        <v>0</v>
      </c>
      <c r="CN26" s="1083">
        <f t="shared" ca="1" si="68"/>
        <v>0</v>
      </c>
      <c r="CO26" s="1083">
        <f t="shared" ca="1" si="68"/>
        <v>0</v>
      </c>
      <c r="CP26" s="1083">
        <f t="shared" ca="1" si="68"/>
        <v>0</v>
      </c>
      <c r="CQ26" s="1083">
        <f t="shared" ca="1" si="68"/>
        <v>0</v>
      </c>
      <c r="CR26" s="1083">
        <f t="shared" ca="1" si="68"/>
        <v>0</v>
      </c>
      <c r="CS26" s="1083">
        <f t="shared" ca="1" si="69"/>
        <v>0</v>
      </c>
      <c r="CT26" s="1083">
        <f t="shared" ca="1" si="69"/>
        <v>0</v>
      </c>
      <c r="CU26" s="1083">
        <f t="shared" ca="1" si="69"/>
        <v>0</v>
      </c>
      <c r="CV26" s="1083">
        <f t="shared" ca="1" si="69"/>
        <v>0</v>
      </c>
      <c r="CW26" s="1083">
        <f t="shared" ca="1" si="69"/>
        <v>0</v>
      </c>
      <c r="CX26" s="1083">
        <f t="shared" ca="1" si="69"/>
        <v>0</v>
      </c>
      <c r="CY26" s="1083">
        <f t="shared" ca="1" si="69"/>
        <v>0</v>
      </c>
      <c r="CZ26" s="1083">
        <f t="shared" ca="1" si="69"/>
        <v>0</v>
      </c>
      <c r="DA26" s="1083">
        <f t="shared" ca="1" si="69"/>
        <v>0</v>
      </c>
      <c r="DB26" s="1083">
        <f t="shared" ca="1" si="69"/>
        <v>0</v>
      </c>
      <c r="DC26" s="1083">
        <f t="shared" ca="1" si="69"/>
        <v>0</v>
      </c>
      <c r="DD26" s="1083">
        <f t="shared" ca="1" si="69"/>
        <v>0</v>
      </c>
      <c r="DE26" s="1083">
        <f t="shared" ca="1" si="69"/>
        <v>0</v>
      </c>
      <c r="DF26" s="1083">
        <f t="shared" ca="1" si="69"/>
        <v>0</v>
      </c>
      <c r="DH26" s="590">
        <f t="shared" ca="1" si="36"/>
        <v>0</v>
      </c>
    </row>
    <row r="27" spans="1:112" s="532" customFormat="1" ht="10.5" customHeight="1" outlineLevel="2">
      <c r="A27" s="1084"/>
      <c r="B27" s="1084"/>
      <c r="C27" s="706" t="s">
        <v>725</v>
      </c>
      <c r="D27" s="702" t="str">
        <f>INDEX(Modules[Module], MATCH($C27, Modules[Code], 0))</f>
        <v>Domestic aviation [UNUSED - see XII.a]</v>
      </c>
      <c r="E27" s="703"/>
      <c r="G27" s="715">
        <f t="shared" ca="1" si="58"/>
        <v>0</v>
      </c>
      <c r="H27" s="715">
        <f t="shared" ca="1" si="58"/>
        <v>0</v>
      </c>
      <c r="I27" s="715">
        <f t="shared" ca="1" si="58"/>
        <v>0</v>
      </c>
      <c r="J27" s="715">
        <f t="shared" ca="1" si="58"/>
        <v>0</v>
      </c>
      <c r="K27" s="715">
        <f t="shared" ca="1" si="58"/>
        <v>0</v>
      </c>
      <c r="L27" s="715">
        <f t="shared" ca="1" si="58"/>
        <v>0</v>
      </c>
      <c r="M27" s="715">
        <f t="shared" ca="1" si="58"/>
        <v>0</v>
      </c>
      <c r="N27" s="715">
        <f t="shared" ca="1" si="58"/>
        <v>0</v>
      </c>
      <c r="O27" s="715">
        <f t="shared" ca="1" si="58"/>
        <v>0</v>
      </c>
      <c r="P27" s="715">
        <f t="shared" ca="1" si="58"/>
        <v>0</v>
      </c>
      <c r="Q27" s="721">
        <f t="shared" ca="1" si="70"/>
        <v>0</v>
      </c>
      <c r="S27" s="725">
        <f t="shared" ca="1" si="59"/>
        <v>0</v>
      </c>
      <c r="T27" s="725">
        <f t="shared" ca="1" si="59"/>
        <v>0</v>
      </c>
      <c r="U27" s="725">
        <f t="shared" ca="1" si="59"/>
        <v>0</v>
      </c>
      <c r="V27" s="725">
        <f t="shared" ca="1" si="59"/>
        <v>0</v>
      </c>
      <c r="W27" s="725">
        <f t="shared" ca="1" si="59"/>
        <v>0</v>
      </c>
      <c r="X27" s="725">
        <f t="shared" ca="1" si="60"/>
        <v>0</v>
      </c>
      <c r="Y27" s="725">
        <f t="shared" ca="1" si="60"/>
        <v>0</v>
      </c>
      <c r="Z27" s="725">
        <f t="shared" ca="1" si="60"/>
        <v>0</v>
      </c>
      <c r="AA27" s="725">
        <f t="shared" ca="1" si="59"/>
        <v>0</v>
      </c>
      <c r="AB27" s="725">
        <f t="shared" ca="1" si="59"/>
        <v>0</v>
      </c>
      <c r="AC27" s="725">
        <f t="shared" ca="1" si="59"/>
        <v>0</v>
      </c>
      <c r="AD27" s="725">
        <f t="shared" ca="1" si="59"/>
        <v>0</v>
      </c>
      <c r="AE27" s="725">
        <f t="shared" ca="1" si="59"/>
        <v>0</v>
      </c>
      <c r="AF27" s="725">
        <f t="shared" ca="1" si="59"/>
        <v>0</v>
      </c>
      <c r="AG27" s="725">
        <f t="shared" ca="1" si="59"/>
        <v>0</v>
      </c>
      <c r="AH27" s="725">
        <f t="shared" ca="1" si="59"/>
        <v>0</v>
      </c>
      <c r="AI27" s="725">
        <f t="shared" ca="1" si="59"/>
        <v>0</v>
      </c>
      <c r="AJ27" s="725">
        <f t="shared" ca="1" si="59"/>
        <v>0</v>
      </c>
      <c r="AK27" s="726">
        <f t="shared" ca="1" si="61"/>
        <v>0</v>
      </c>
      <c r="AM27" s="736">
        <f t="shared" ca="1" si="62"/>
        <v>0</v>
      </c>
      <c r="AN27" s="736">
        <f t="shared" ca="1" si="62"/>
        <v>0</v>
      </c>
      <c r="AO27" s="736">
        <f t="shared" ca="1" si="62"/>
        <v>0</v>
      </c>
      <c r="AP27" s="736">
        <f t="shared" ca="1" si="62"/>
        <v>0</v>
      </c>
      <c r="AQ27" s="736">
        <f t="shared" ca="1" si="62"/>
        <v>0</v>
      </c>
      <c r="AR27" s="736">
        <f t="shared" ca="1" si="62"/>
        <v>0</v>
      </c>
      <c r="AS27" s="736">
        <f t="shared" ca="1" si="62"/>
        <v>0</v>
      </c>
      <c r="AT27" s="736">
        <f t="shared" ca="1" si="62"/>
        <v>0</v>
      </c>
      <c r="AU27" s="736">
        <f t="shared" ca="1" si="62"/>
        <v>0</v>
      </c>
      <c r="AV27" s="736">
        <f t="shared" ca="1" si="59"/>
        <v>0</v>
      </c>
      <c r="AW27" s="736">
        <f t="shared" ca="1" si="59"/>
        <v>0</v>
      </c>
      <c r="AX27" s="736">
        <f t="shared" ca="1" si="59"/>
        <v>0</v>
      </c>
      <c r="AY27" s="736">
        <f t="shared" ca="1" si="59"/>
        <v>0</v>
      </c>
      <c r="AZ27" s="736">
        <f t="shared" ca="1" si="59"/>
        <v>0</v>
      </c>
      <c r="BA27" s="736">
        <f t="shared" ca="1" si="59"/>
        <v>0</v>
      </c>
      <c r="BB27" s="736">
        <f t="shared" ca="1" si="59"/>
        <v>0</v>
      </c>
      <c r="BC27" s="736">
        <f t="shared" ca="1" si="59"/>
        <v>0</v>
      </c>
      <c r="BD27" s="736">
        <f t="shared" ca="1" si="59"/>
        <v>0</v>
      </c>
      <c r="BE27" s="736">
        <f t="shared" ca="1" si="59"/>
        <v>0</v>
      </c>
      <c r="BF27" s="705">
        <f t="shared" ca="1" si="63"/>
        <v>0</v>
      </c>
      <c r="BH27" s="730">
        <f t="shared" ca="1" si="64"/>
        <v>0</v>
      </c>
      <c r="BI27" s="730">
        <f t="shared" ca="1" si="64"/>
        <v>0</v>
      </c>
      <c r="BJ27" s="741">
        <f t="shared" ca="1" si="65"/>
        <v>0</v>
      </c>
      <c r="BL27" s="704">
        <f t="shared" ca="1" si="9"/>
        <v>0</v>
      </c>
      <c r="BM27" s="704"/>
      <c r="BN27" s="592"/>
      <c r="BO27" s="1082">
        <f t="shared" ca="1" si="66"/>
        <v>0</v>
      </c>
      <c r="BP27" s="1083">
        <f t="shared" ca="1" si="66"/>
        <v>0</v>
      </c>
      <c r="BQ27" s="1083">
        <f t="shared" ca="1" si="66"/>
        <v>0</v>
      </c>
      <c r="BR27" s="1083">
        <f t="shared" ca="1" si="66"/>
        <v>0</v>
      </c>
      <c r="BS27" s="1083">
        <f t="shared" ca="1" si="66"/>
        <v>0</v>
      </c>
      <c r="BT27" s="1083">
        <f t="shared" ca="1" si="66"/>
        <v>0</v>
      </c>
      <c r="BU27" s="1083">
        <f t="shared" ca="1" si="66"/>
        <v>0</v>
      </c>
      <c r="BV27" s="1083">
        <f t="shared" ca="1" si="66"/>
        <v>0</v>
      </c>
      <c r="BW27" s="1083">
        <f t="shared" ca="1" si="66"/>
        <v>0</v>
      </c>
      <c r="BX27" s="1083">
        <f t="shared" ca="1" si="66"/>
        <v>0</v>
      </c>
      <c r="BY27" s="1083">
        <f t="shared" ca="1" si="67"/>
        <v>0</v>
      </c>
      <c r="BZ27" s="1083">
        <f t="shared" ca="1" si="67"/>
        <v>0</v>
      </c>
      <c r="CA27" s="1083">
        <f t="shared" ca="1" si="67"/>
        <v>0</v>
      </c>
      <c r="CB27" s="1083">
        <f t="shared" ca="1" si="67"/>
        <v>0</v>
      </c>
      <c r="CC27" s="1083">
        <f t="shared" ca="1" si="67"/>
        <v>0</v>
      </c>
      <c r="CD27" s="1083">
        <f t="shared" ca="1" si="67"/>
        <v>0</v>
      </c>
      <c r="CE27" s="1083">
        <f t="shared" ca="1" si="67"/>
        <v>0</v>
      </c>
      <c r="CF27" s="1083">
        <f t="shared" ca="1" si="67"/>
        <v>0</v>
      </c>
      <c r="CG27" s="1083">
        <f t="shared" ca="1" si="67"/>
        <v>0</v>
      </c>
      <c r="CH27" s="1083">
        <f t="shared" ca="1" si="67"/>
        <v>0</v>
      </c>
      <c r="CI27" s="1083">
        <f t="shared" ca="1" si="68"/>
        <v>0</v>
      </c>
      <c r="CJ27" s="1083">
        <f t="shared" ca="1" si="68"/>
        <v>0</v>
      </c>
      <c r="CK27" s="1083">
        <f t="shared" ca="1" si="68"/>
        <v>0</v>
      </c>
      <c r="CL27" s="1083">
        <f t="shared" ca="1" si="68"/>
        <v>0</v>
      </c>
      <c r="CM27" s="1083">
        <f t="shared" ca="1" si="68"/>
        <v>0</v>
      </c>
      <c r="CN27" s="1083">
        <f t="shared" ca="1" si="68"/>
        <v>0</v>
      </c>
      <c r="CO27" s="1083">
        <f t="shared" ca="1" si="68"/>
        <v>0</v>
      </c>
      <c r="CP27" s="1083">
        <f t="shared" ca="1" si="68"/>
        <v>0</v>
      </c>
      <c r="CQ27" s="1083">
        <f t="shared" ca="1" si="68"/>
        <v>0</v>
      </c>
      <c r="CR27" s="1083">
        <f t="shared" ca="1" si="68"/>
        <v>0</v>
      </c>
      <c r="CS27" s="1083">
        <f t="shared" ca="1" si="69"/>
        <v>0</v>
      </c>
      <c r="CT27" s="1083">
        <f t="shared" ca="1" si="69"/>
        <v>0</v>
      </c>
      <c r="CU27" s="1083">
        <f t="shared" ca="1" si="69"/>
        <v>0</v>
      </c>
      <c r="CV27" s="1083">
        <f t="shared" ca="1" si="69"/>
        <v>0</v>
      </c>
      <c r="CW27" s="1083">
        <f t="shared" ca="1" si="69"/>
        <v>0</v>
      </c>
      <c r="CX27" s="1083">
        <f t="shared" ca="1" si="69"/>
        <v>0</v>
      </c>
      <c r="CY27" s="1083">
        <f t="shared" ca="1" si="69"/>
        <v>0</v>
      </c>
      <c r="CZ27" s="1083">
        <f t="shared" ca="1" si="69"/>
        <v>0</v>
      </c>
      <c r="DA27" s="1083">
        <f t="shared" ca="1" si="69"/>
        <v>0</v>
      </c>
      <c r="DB27" s="1083">
        <f t="shared" ca="1" si="69"/>
        <v>0</v>
      </c>
      <c r="DC27" s="1083">
        <f t="shared" ca="1" si="69"/>
        <v>0</v>
      </c>
      <c r="DD27" s="1083">
        <f t="shared" ca="1" si="69"/>
        <v>0</v>
      </c>
      <c r="DE27" s="1083">
        <f t="shared" ca="1" si="69"/>
        <v>0</v>
      </c>
      <c r="DF27" s="1083">
        <f t="shared" ca="1" si="69"/>
        <v>0</v>
      </c>
      <c r="DH27" s="590">
        <f t="shared" ca="1" si="36"/>
        <v>0</v>
      </c>
    </row>
    <row r="28" spans="1:112" s="532" customFormat="1" ht="10.5" customHeight="1" outlineLevel="1">
      <c r="A28" s="1085"/>
      <c r="B28" s="1085"/>
      <c r="C28" s="534"/>
      <c r="D28" s="513" t="s">
        <v>731</v>
      </c>
      <c r="E28" s="703"/>
      <c r="G28" s="716">
        <f ca="1">SUM(G26:G27)</f>
        <v>0</v>
      </c>
      <c r="H28" s="716">
        <f t="shared" ref="H28:P28" ca="1" si="71">SUM(H26:H27)</f>
        <v>0</v>
      </c>
      <c r="I28" s="716">
        <f t="shared" ca="1" si="71"/>
        <v>0</v>
      </c>
      <c r="J28" s="716">
        <f t="shared" ca="1" si="71"/>
        <v>0</v>
      </c>
      <c r="K28" s="716">
        <f t="shared" ca="1" si="71"/>
        <v>0</v>
      </c>
      <c r="L28" s="716">
        <f t="shared" ca="1" si="71"/>
        <v>0</v>
      </c>
      <c r="M28" s="716">
        <f t="shared" ca="1" si="71"/>
        <v>0</v>
      </c>
      <c r="N28" s="716">
        <f t="shared" ca="1" si="71"/>
        <v>0</v>
      </c>
      <c r="O28" s="716">
        <f t="shared" ca="1" si="71"/>
        <v>0</v>
      </c>
      <c r="P28" s="716">
        <f t="shared" ca="1" si="71"/>
        <v>0</v>
      </c>
      <c r="Q28" s="716">
        <f t="shared" ca="1" si="70"/>
        <v>0</v>
      </c>
      <c r="S28" s="724">
        <f t="shared" ref="S28:Z28" ca="1" si="72">SUM(S26:S27)</f>
        <v>0</v>
      </c>
      <c r="T28" s="724">
        <f t="shared" ca="1" si="72"/>
        <v>0</v>
      </c>
      <c r="U28" s="724">
        <f t="shared" ca="1" si="72"/>
        <v>0</v>
      </c>
      <c r="V28" s="724">
        <f t="shared" ca="1" si="72"/>
        <v>0</v>
      </c>
      <c r="W28" s="724">
        <f t="shared" ca="1" si="72"/>
        <v>0</v>
      </c>
      <c r="X28" s="724">
        <f t="shared" ca="1" si="72"/>
        <v>0</v>
      </c>
      <c r="Y28" s="724">
        <f t="shared" ca="1" si="72"/>
        <v>0</v>
      </c>
      <c r="Z28" s="724">
        <f t="shared" ca="1" si="72"/>
        <v>0</v>
      </c>
      <c r="AA28" s="724">
        <f t="shared" ref="AA28:AJ28" ca="1" si="73">SUM(AA26:AA27)</f>
        <v>0</v>
      </c>
      <c r="AB28" s="724">
        <f t="shared" ca="1" si="73"/>
        <v>0</v>
      </c>
      <c r="AC28" s="724">
        <f t="shared" ca="1" si="73"/>
        <v>0</v>
      </c>
      <c r="AD28" s="724">
        <f ca="1">SUM(AD26:AD27)</f>
        <v>0</v>
      </c>
      <c r="AE28" s="724">
        <f ca="1">SUM(AE26:AE27)</f>
        <v>0</v>
      </c>
      <c r="AF28" s="724">
        <f t="shared" ca="1" si="73"/>
        <v>0</v>
      </c>
      <c r="AG28" s="724">
        <f ca="1">SUM(AG26:AG27)</f>
        <v>0</v>
      </c>
      <c r="AH28" s="724">
        <f ca="1">SUM(AH26:AH27)</f>
        <v>0</v>
      </c>
      <c r="AI28" s="724">
        <f ca="1">SUM(AI26:AI27)</f>
        <v>0</v>
      </c>
      <c r="AJ28" s="724">
        <f t="shared" ca="1" si="73"/>
        <v>0</v>
      </c>
      <c r="AK28" s="724">
        <f t="shared" ca="1" si="61"/>
        <v>0</v>
      </c>
      <c r="AM28" s="737">
        <f t="shared" ref="AM28:BE28" ca="1" si="74">SUM(AM26:AM27)</f>
        <v>0</v>
      </c>
      <c r="AN28" s="737">
        <f t="shared" ca="1" si="74"/>
        <v>0</v>
      </c>
      <c r="AO28" s="737">
        <f t="shared" ca="1" si="74"/>
        <v>0</v>
      </c>
      <c r="AP28" s="737">
        <f t="shared" ca="1" si="74"/>
        <v>0</v>
      </c>
      <c r="AQ28" s="737">
        <f t="shared" ca="1" si="74"/>
        <v>0</v>
      </c>
      <c r="AR28" s="737">
        <f t="shared" ca="1" si="74"/>
        <v>0</v>
      </c>
      <c r="AS28" s="737">
        <f t="shared" ca="1" si="74"/>
        <v>0</v>
      </c>
      <c r="AT28" s="737">
        <f t="shared" ca="1" si="74"/>
        <v>0</v>
      </c>
      <c r="AU28" s="737">
        <f t="shared" ca="1" si="74"/>
        <v>0</v>
      </c>
      <c r="AV28" s="737">
        <f t="shared" ca="1" si="74"/>
        <v>0</v>
      </c>
      <c r="AW28" s="737">
        <f t="shared" ca="1" si="74"/>
        <v>0</v>
      </c>
      <c r="AX28" s="737">
        <f t="shared" ca="1" si="74"/>
        <v>0</v>
      </c>
      <c r="AY28" s="737">
        <f t="shared" ca="1" si="74"/>
        <v>0</v>
      </c>
      <c r="AZ28" s="737">
        <f t="shared" ca="1" si="74"/>
        <v>0</v>
      </c>
      <c r="BA28" s="737">
        <f t="shared" ca="1" si="74"/>
        <v>0</v>
      </c>
      <c r="BB28" s="737">
        <f t="shared" ca="1" si="74"/>
        <v>0</v>
      </c>
      <c r="BC28" s="737">
        <f t="shared" ca="1" si="74"/>
        <v>0</v>
      </c>
      <c r="BD28" s="737">
        <f t="shared" ca="1" si="74"/>
        <v>0</v>
      </c>
      <c r="BE28" s="737">
        <f t="shared" ca="1" si="74"/>
        <v>0</v>
      </c>
      <c r="BF28" s="675">
        <f t="shared" ca="1" si="63"/>
        <v>0</v>
      </c>
      <c r="BH28" s="731">
        <f ca="1">SUM(BH26:BH27)</f>
        <v>0</v>
      </c>
      <c r="BI28" s="731">
        <f ca="1">SUM(BI26:BI27)</f>
        <v>0</v>
      </c>
      <c r="BJ28" s="731">
        <f t="shared" ca="1" si="65"/>
        <v>0</v>
      </c>
      <c r="BL28" s="514">
        <f t="shared" ca="1" si="9"/>
        <v>0</v>
      </c>
      <c r="BM28" s="514"/>
      <c r="BN28" s="592"/>
      <c r="BO28" s="1082">
        <f t="shared" ref="BO28:DF28" ca="1" si="75">SUM(BO26:BO27)</f>
        <v>0</v>
      </c>
      <c r="BP28" s="1083">
        <f t="shared" ca="1" si="75"/>
        <v>0</v>
      </c>
      <c r="BQ28" s="1083">
        <f t="shared" ca="1" si="75"/>
        <v>0</v>
      </c>
      <c r="BR28" s="1083">
        <f t="shared" ca="1" si="75"/>
        <v>0</v>
      </c>
      <c r="BS28" s="1083">
        <f t="shared" ca="1" si="75"/>
        <v>0</v>
      </c>
      <c r="BT28" s="1083">
        <f t="shared" ca="1" si="75"/>
        <v>0</v>
      </c>
      <c r="BU28" s="1083">
        <f t="shared" ca="1" si="75"/>
        <v>0</v>
      </c>
      <c r="BV28" s="1083">
        <f t="shared" ca="1" si="75"/>
        <v>0</v>
      </c>
      <c r="BW28" s="1083">
        <f t="shared" ca="1" si="75"/>
        <v>0</v>
      </c>
      <c r="BX28" s="1083">
        <f t="shared" ca="1" si="75"/>
        <v>0</v>
      </c>
      <c r="BY28" s="1083">
        <f t="shared" ca="1" si="75"/>
        <v>0</v>
      </c>
      <c r="BZ28" s="1083">
        <f t="shared" ca="1" si="75"/>
        <v>0</v>
      </c>
      <c r="CA28" s="1083">
        <f t="shared" ca="1" si="75"/>
        <v>0</v>
      </c>
      <c r="CB28" s="1083">
        <f t="shared" ca="1" si="75"/>
        <v>0</v>
      </c>
      <c r="CC28" s="1083">
        <f t="shared" ca="1" si="75"/>
        <v>0</v>
      </c>
      <c r="CD28" s="1083">
        <f t="shared" ca="1" si="75"/>
        <v>0</v>
      </c>
      <c r="CE28" s="1083">
        <f t="shared" ca="1" si="75"/>
        <v>0</v>
      </c>
      <c r="CF28" s="1083">
        <f t="shared" ca="1" si="75"/>
        <v>0</v>
      </c>
      <c r="CG28" s="1083">
        <f t="shared" ca="1" si="75"/>
        <v>0</v>
      </c>
      <c r="CH28" s="1083">
        <f t="shared" ca="1" si="75"/>
        <v>0</v>
      </c>
      <c r="CI28" s="1083">
        <f t="shared" ca="1" si="75"/>
        <v>0</v>
      </c>
      <c r="CJ28" s="1083">
        <f t="shared" ca="1" si="75"/>
        <v>0</v>
      </c>
      <c r="CK28" s="1083">
        <f t="shared" ca="1" si="75"/>
        <v>0</v>
      </c>
      <c r="CL28" s="1083">
        <f t="shared" ca="1" si="75"/>
        <v>0</v>
      </c>
      <c r="CM28" s="1083">
        <f t="shared" ca="1" si="75"/>
        <v>0</v>
      </c>
      <c r="CN28" s="1083">
        <f t="shared" ca="1" si="75"/>
        <v>0</v>
      </c>
      <c r="CO28" s="1083">
        <f t="shared" ca="1" si="75"/>
        <v>0</v>
      </c>
      <c r="CP28" s="1083">
        <f t="shared" ca="1" si="75"/>
        <v>0</v>
      </c>
      <c r="CQ28" s="1083">
        <f t="shared" ca="1" si="75"/>
        <v>0</v>
      </c>
      <c r="CR28" s="1083">
        <f t="shared" ca="1" si="75"/>
        <v>0</v>
      </c>
      <c r="CS28" s="1083">
        <f t="shared" ca="1" si="75"/>
        <v>0</v>
      </c>
      <c r="CT28" s="1083">
        <f t="shared" ca="1" si="75"/>
        <v>0</v>
      </c>
      <c r="CU28" s="1083">
        <f t="shared" ca="1" si="75"/>
        <v>0</v>
      </c>
      <c r="CV28" s="1083">
        <f t="shared" ca="1" si="75"/>
        <v>0</v>
      </c>
      <c r="CW28" s="1083">
        <f t="shared" ca="1" si="75"/>
        <v>0</v>
      </c>
      <c r="CX28" s="1083">
        <f t="shared" ca="1" si="75"/>
        <v>0</v>
      </c>
      <c r="CY28" s="1083">
        <f t="shared" ca="1" si="75"/>
        <v>0</v>
      </c>
      <c r="CZ28" s="1083">
        <f t="shared" ca="1" si="75"/>
        <v>0</v>
      </c>
      <c r="DA28" s="1083">
        <f t="shared" ca="1" si="75"/>
        <v>0</v>
      </c>
      <c r="DB28" s="1083">
        <f t="shared" ca="1" si="75"/>
        <v>0</v>
      </c>
      <c r="DC28" s="1083">
        <f t="shared" ca="1" si="75"/>
        <v>0</v>
      </c>
      <c r="DD28" s="1083">
        <f t="shared" ca="1" si="75"/>
        <v>0</v>
      </c>
      <c r="DE28" s="1083">
        <f t="shared" ca="1" si="75"/>
        <v>0</v>
      </c>
      <c r="DF28" s="1083">
        <f t="shared" ca="1" si="75"/>
        <v>0</v>
      </c>
      <c r="DH28" s="590">
        <f t="shared" ca="1" si="36"/>
        <v>0</v>
      </c>
    </row>
    <row r="29" spans="1:112" s="532" customFormat="1" ht="12.75" customHeight="1" outlineLevel="2">
      <c r="A29" s="1081"/>
      <c r="B29" s="1081"/>
      <c r="C29" s="534" t="s">
        <v>728</v>
      </c>
      <c r="D29" s="513" t="str">
        <f>INDEX(Modules[Module], MATCH($C29, Modules[Code], 0))</f>
        <v>International shipping</v>
      </c>
      <c r="E29" s="703"/>
      <c r="G29" s="714">
        <f t="shared" ref="G29:P30" ca="1" si="76">IFERROR(INDEX(INDIRECT($C29&amp;".Outputs["&amp;this.Year&amp;"]"), MATCH(G$5, INDIRECT($C29&amp;".Outputs[Vector]"), 0)), 0)</f>
        <v>0</v>
      </c>
      <c r="H29" s="714">
        <f t="shared" ca="1" si="76"/>
        <v>0</v>
      </c>
      <c r="I29" s="714">
        <f t="shared" ca="1" si="76"/>
        <v>0</v>
      </c>
      <c r="J29" s="714">
        <f t="shared" ca="1" si="76"/>
        <v>0</v>
      </c>
      <c r="K29" s="714">
        <f t="shared" ca="1" si="76"/>
        <v>0</v>
      </c>
      <c r="L29" s="714">
        <f t="shared" ca="1" si="76"/>
        <v>0</v>
      </c>
      <c r="M29" s="714">
        <f t="shared" ca="1" si="76"/>
        <v>0</v>
      </c>
      <c r="N29" s="714">
        <f t="shared" ca="1" si="76"/>
        <v>0</v>
      </c>
      <c r="O29" s="714">
        <f t="shared" ca="1" si="76"/>
        <v>0</v>
      </c>
      <c r="P29" s="714">
        <f t="shared" ca="1" si="76"/>
        <v>0</v>
      </c>
      <c r="Q29" s="716">
        <f t="shared" ca="1" si="70"/>
        <v>0</v>
      </c>
      <c r="S29" s="723">
        <f t="shared" ca="1" si="59"/>
        <v>0</v>
      </c>
      <c r="T29" s="723">
        <f t="shared" ca="1" si="59"/>
        <v>0</v>
      </c>
      <c r="U29" s="723">
        <f t="shared" ca="1" si="59"/>
        <v>0</v>
      </c>
      <c r="V29" s="723">
        <f t="shared" ca="1" si="59"/>
        <v>0</v>
      </c>
      <c r="W29" s="723">
        <f t="shared" ca="1" si="59"/>
        <v>0</v>
      </c>
      <c r="X29" s="723">
        <f t="shared" ref="X29:Z30" ca="1" si="77">IFERROR(INDEX(INDIRECT($C29&amp;".Outputs["&amp;this.Year&amp;"]"), MATCH(X$5, INDIRECT($C29&amp;".Outputs[Vector]"), 0)), 0)</f>
        <v>0</v>
      </c>
      <c r="Y29" s="723">
        <f t="shared" ca="1" si="77"/>
        <v>0</v>
      </c>
      <c r="Z29" s="723">
        <f t="shared" ca="1" si="77"/>
        <v>0</v>
      </c>
      <c r="AA29" s="723">
        <f t="shared" ca="1" si="59"/>
        <v>0</v>
      </c>
      <c r="AB29" s="723">
        <f t="shared" ca="1" si="59"/>
        <v>0</v>
      </c>
      <c r="AC29" s="723">
        <f t="shared" ca="1" si="59"/>
        <v>0</v>
      </c>
      <c r="AD29" s="723">
        <f t="shared" ca="1" si="59"/>
        <v>0</v>
      </c>
      <c r="AE29" s="723">
        <f t="shared" ca="1" si="59"/>
        <v>0</v>
      </c>
      <c r="AF29" s="723">
        <f t="shared" ca="1" si="59"/>
        <v>0</v>
      </c>
      <c r="AG29" s="723">
        <f t="shared" ca="1" si="59"/>
        <v>0</v>
      </c>
      <c r="AH29" s="723">
        <f t="shared" ca="1" si="59"/>
        <v>0</v>
      </c>
      <c r="AI29" s="723">
        <f t="shared" ca="1" si="59"/>
        <v>0</v>
      </c>
      <c r="AJ29" s="723">
        <f t="shared" ca="1" si="59"/>
        <v>0</v>
      </c>
      <c r="AK29" s="724">
        <f t="shared" ca="1" si="61"/>
        <v>0</v>
      </c>
      <c r="AM29" s="735">
        <f t="shared" ref="AM29:AU30" ca="1" si="78">IFERROR(INDEX(INDIRECT($C29&amp;".Outputs["&amp;this.Year&amp;"]"), MATCH(AM$5, INDIRECT($C29&amp;".Outputs[Vector]"), 0)), 0)</f>
        <v>0</v>
      </c>
      <c r="AN29" s="735">
        <f t="shared" ca="1" si="78"/>
        <v>0</v>
      </c>
      <c r="AO29" s="735">
        <f t="shared" ca="1" si="78"/>
        <v>0</v>
      </c>
      <c r="AP29" s="735">
        <f t="shared" ca="1" si="78"/>
        <v>0</v>
      </c>
      <c r="AQ29" s="735">
        <f t="shared" ca="1" si="78"/>
        <v>0</v>
      </c>
      <c r="AR29" s="735">
        <f t="shared" ca="1" si="78"/>
        <v>0</v>
      </c>
      <c r="AS29" s="735">
        <f t="shared" ca="1" si="78"/>
        <v>0</v>
      </c>
      <c r="AT29" s="735">
        <f t="shared" ca="1" si="78"/>
        <v>0</v>
      </c>
      <c r="AU29" s="735">
        <f t="shared" ca="1" si="78"/>
        <v>0</v>
      </c>
      <c r="AV29" s="735">
        <f t="shared" ca="1" si="59"/>
        <v>0</v>
      </c>
      <c r="AW29" s="735">
        <f t="shared" ca="1" si="59"/>
        <v>0</v>
      </c>
      <c r="AX29" s="735">
        <f t="shared" ca="1" si="59"/>
        <v>0</v>
      </c>
      <c r="AY29" s="735">
        <f t="shared" ca="1" si="59"/>
        <v>0</v>
      </c>
      <c r="AZ29" s="735">
        <f t="shared" ca="1" si="59"/>
        <v>0</v>
      </c>
      <c r="BA29" s="735">
        <f t="shared" ca="1" si="59"/>
        <v>0</v>
      </c>
      <c r="BB29" s="735">
        <f t="shared" ca="1" si="59"/>
        <v>0</v>
      </c>
      <c r="BC29" s="735">
        <f t="shared" ca="1" si="59"/>
        <v>0</v>
      </c>
      <c r="BD29" s="735">
        <f t="shared" ca="1" si="59"/>
        <v>0</v>
      </c>
      <c r="BE29" s="735">
        <f t="shared" ca="1" si="59"/>
        <v>0</v>
      </c>
      <c r="BF29" s="677">
        <f t="shared" ca="1" si="63"/>
        <v>0</v>
      </c>
      <c r="BH29" s="729">
        <f t="shared" ca="1" si="64"/>
        <v>0</v>
      </c>
      <c r="BI29" s="729">
        <f t="shared" ca="1" si="64"/>
        <v>0</v>
      </c>
      <c r="BJ29" s="731">
        <f t="shared" ca="1" si="65"/>
        <v>0</v>
      </c>
      <c r="BL29" s="576">
        <f t="shared" ca="1" si="9"/>
        <v>0</v>
      </c>
      <c r="BM29" s="576"/>
      <c r="BN29" s="592"/>
      <c r="BO29" s="1082">
        <f t="shared" ref="BO29:BX30" ca="1" si="79">IFERROR(SUMIFS(INDIRECT($C29&amp;".Emissions["&amp;this.Year&amp;"]"), INDIRECT($C29&amp;".Emissions[GHG]"), BO$6, INDIRECT($C29&amp;".Emissions[IPCC Sector]"), BO$5),0)</f>
        <v>0</v>
      </c>
      <c r="BP29" s="1083">
        <f t="shared" ca="1" si="79"/>
        <v>0</v>
      </c>
      <c r="BQ29" s="1083">
        <f t="shared" ca="1" si="79"/>
        <v>0</v>
      </c>
      <c r="BR29" s="1083">
        <f t="shared" ca="1" si="79"/>
        <v>0</v>
      </c>
      <c r="BS29" s="1083">
        <f t="shared" ca="1" si="79"/>
        <v>0</v>
      </c>
      <c r="BT29" s="1083">
        <f t="shared" ca="1" si="79"/>
        <v>0</v>
      </c>
      <c r="BU29" s="1083">
        <f t="shared" ca="1" si="79"/>
        <v>0</v>
      </c>
      <c r="BV29" s="1083">
        <f t="shared" ca="1" si="79"/>
        <v>0</v>
      </c>
      <c r="BW29" s="1083">
        <f t="shared" ca="1" si="79"/>
        <v>0</v>
      </c>
      <c r="BX29" s="1083">
        <f t="shared" ca="1" si="79"/>
        <v>0</v>
      </c>
      <c r="BY29" s="1083">
        <f t="shared" ref="BY29:CH30" ca="1" si="80">IFERROR(SUMIFS(INDIRECT($C29&amp;".Emissions["&amp;this.Year&amp;"]"), INDIRECT($C29&amp;".Emissions[GHG]"), BY$6, INDIRECT($C29&amp;".Emissions[IPCC Sector]"), BY$5),0)</f>
        <v>0</v>
      </c>
      <c r="BZ29" s="1083">
        <f t="shared" ca="1" si="80"/>
        <v>0</v>
      </c>
      <c r="CA29" s="1083">
        <f t="shared" ca="1" si="80"/>
        <v>0</v>
      </c>
      <c r="CB29" s="1083">
        <f t="shared" ca="1" si="80"/>
        <v>0</v>
      </c>
      <c r="CC29" s="1083">
        <f t="shared" ca="1" si="80"/>
        <v>0</v>
      </c>
      <c r="CD29" s="1083">
        <f t="shared" ca="1" si="80"/>
        <v>0</v>
      </c>
      <c r="CE29" s="1083">
        <f t="shared" ca="1" si="80"/>
        <v>0</v>
      </c>
      <c r="CF29" s="1083">
        <f t="shared" ca="1" si="80"/>
        <v>0</v>
      </c>
      <c r="CG29" s="1083">
        <f t="shared" ca="1" si="80"/>
        <v>0</v>
      </c>
      <c r="CH29" s="1083">
        <f t="shared" ca="1" si="80"/>
        <v>0</v>
      </c>
      <c r="CI29" s="1083">
        <f t="shared" ref="CI29:CR30" ca="1" si="81">IFERROR(SUMIFS(INDIRECT($C29&amp;".Emissions["&amp;this.Year&amp;"]"), INDIRECT($C29&amp;".Emissions[GHG]"), CI$6, INDIRECT($C29&amp;".Emissions[IPCC Sector]"), CI$5),0)</f>
        <v>0</v>
      </c>
      <c r="CJ29" s="1083">
        <f t="shared" ca="1" si="81"/>
        <v>0</v>
      </c>
      <c r="CK29" s="1083">
        <f t="shared" ca="1" si="81"/>
        <v>0</v>
      </c>
      <c r="CL29" s="1083">
        <f t="shared" ca="1" si="81"/>
        <v>0</v>
      </c>
      <c r="CM29" s="1083">
        <f t="shared" ca="1" si="81"/>
        <v>0</v>
      </c>
      <c r="CN29" s="1083">
        <f t="shared" ca="1" si="81"/>
        <v>0</v>
      </c>
      <c r="CO29" s="1083">
        <f t="shared" ca="1" si="81"/>
        <v>0</v>
      </c>
      <c r="CP29" s="1083">
        <f t="shared" ca="1" si="81"/>
        <v>0</v>
      </c>
      <c r="CQ29" s="1083">
        <f t="shared" ca="1" si="81"/>
        <v>0</v>
      </c>
      <c r="CR29" s="1083">
        <f t="shared" ca="1" si="81"/>
        <v>0</v>
      </c>
      <c r="CS29" s="1083">
        <f t="shared" ref="CS29:DF30" ca="1" si="82">IFERROR(SUMIFS(INDIRECT($C29&amp;".Emissions["&amp;this.Year&amp;"]"), INDIRECT($C29&amp;".Emissions[GHG]"), CS$6, INDIRECT($C29&amp;".Emissions[IPCC Sector]"), CS$5),0)</f>
        <v>0</v>
      </c>
      <c r="CT29" s="1083">
        <f t="shared" ca="1" si="82"/>
        <v>0</v>
      </c>
      <c r="CU29" s="1083">
        <f t="shared" ca="1" si="82"/>
        <v>0</v>
      </c>
      <c r="CV29" s="1083">
        <f t="shared" ca="1" si="82"/>
        <v>0</v>
      </c>
      <c r="CW29" s="1083">
        <f t="shared" ca="1" si="82"/>
        <v>0</v>
      </c>
      <c r="CX29" s="1083">
        <f t="shared" ca="1" si="82"/>
        <v>0</v>
      </c>
      <c r="CY29" s="1083">
        <f t="shared" ca="1" si="82"/>
        <v>0</v>
      </c>
      <c r="CZ29" s="1083">
        <f t="shared" ca="1" si="82"/>
        <v>0</v>
      </c>
      <c r="DA29" s="1083">
        <f t="shared" ca="1" si="82"/>
        <v>0</v>
      </c>
      <c r="DB29" s="1083">
        <f t="shared" ca="1" si="82"/>
        <v>0</v>
      </c>
      <c r="DC29" s="1083">
        <f t="shared" ca="1" si="82"/>
        <v>0</v>
      </c>
      <c r="DD29" s="1083">
        <f t="shared" ca="1" si="82"/>
        <v>0</v>
      </c>
      <c r="DE29" s="1083">
        <f t="shared" ca="1" si="82"/>
        <v>0</v>
      </c>
      <c r="DF29" s="1083">
        <f t="shared" ca="1" si="82"/>
        <v>0</v>
      </c>
      <c r="DH29" s="590">
        <f t="shared" ca="1" si="36"/>
        <v>0</v>
      </c>
    </row>
    <row r="30" spans="1:112" s="532" customFormat="1" ht="10.5" customHeight="1" outlineLevel="2">
      <c r="A30" s="1084"/>
      <c r="B30" s="1084"/>
      <c r="C30" s="706" t="s">
        <v>730</v>
      </c>
      <c r="D30" s="702" t="str">
        <f>INDEX(Modules[Module], MATCH($C30, Modules[Code], 0))</f>
        <v>National navigation [UNUSED - see XII.a]</v>
      </c>
      <c r="E30" s="703"/>
      <c r="G30" s="715">
        <f t="shared" ca="1" si="76"/>
        <v>0</v>
      </c>
      <c r="H30" s="715">
        <f t="shared" ca="1" si="76"/>
        <v>0</v>
      </c>
      <c r="I30" s="715">
        <f t="shared" ca="1" si="76"/>
        <v>0</v>
      </c>
      <c r="J30" s="715">
        <f t="shared" ca="1" si="76"/>
        <v>0</v>
      </c>
      <c r="K30" s="715">
        <f t="shared" ca="1" si="76"/>
        <v>0</v>
      </c>
      <c r="L30" s="715">
        <f t="shared" ca="1" si="76"/>
        <v>0</v>
      </c>
      <c r="M30" s="715">
        <f t="shared" ca="1" si="76"/>
        <v>0</v>
      </c>
      <c r="N30" s="715">
        <f t="shared" ca="1" si="76"/>
        <v>0</v>
      </c>
      <c r="O30" s="715">
        <f t="shared" ca="1" si="76"/>
        <v>0</v>
      </c>
      <c r="P30" s="715">
        <f t="shared" ca="1" si="76"/>
        <v>0</v>
      </c>
      <c r="Q30" s="721">
        <f t="shared" ca="1" si="70"/>
        <v>0</v>
      </c>
      <c r="S30" s="725">
        <f t="shared" ca="1" si="59"/>
        <v>0</v>
      </c>
      <c r="T30" s="725">
        <f t="shared" ca="1" si="59"/>
        <v>0</v>
      </c>
      <c r="U30" s="725">
        <f t="shared" ca="1" si="59"/>
        <v>0</v>
      </c>
      <c r="V30" s="725">
        <f t="shared" ca="1" si="59"/>
        <v>0</v>
      </c>
      <c r="W30" s="725">
        <f t="shared" ca="1" si="59"/>
        <v>0</v>
      </c>
      <c r="X30" s="725">
        <f t="shared" ca="1" si="77"/>
        <v>0</v>
      </c>
      <c r="Y30" s="725">
        <f t="shared" ca="1" si="77"/>
        <v>0</v>
      </c>
      <c r="Z30" s="725">
        <f t="shared" ca="1" si="77"/>
        <v>0</v>
      </c>
      <c r="AA30" s="725">
        <f t="shared" ca="1" si="59"/>
        <v>0</v>
      </c>
      <c r="AB30" s="725">
        <f t="shared" ca="1" si="59"/>
        <v>0</v>
      </c>
      <c r="AC30" s="725">
        <f t="shared" ca="1" si="59"/>
        <v>0</v>
      </c>
      <c r="AD30" s="725">
        <f t="shared" ca="1" si="59"/>
        <v>0</v>
      </c>
      <c r="AE30" s="725">
        <f t="shared" ca="1" si="59"/>
        <v>0</v>
      </c>
      <c r="AF30" s="725">
        <f t="shared" ca="1" si="59"/>
        <v>0</v>
      </c>
      <c r="AG30" s="725">
        <f t="shared" ca="1" si="59"/>
        <v>0</v>
      </c>
      <c r="AH30" s="725">
        <f t="shared" ca="1" si="59"/>
        <v>0</v>
      </c>
      <c r="AI30" s="725">
        <f t="shared" ca="1" si="59"/>
        <v>0</v>
      </c>
      <c r="AJ30" s="725">
        <f t="shared" ca="1" si="59"/>
        <v>0</v>
      </c>
      <c r="AK30" s="726">
        <f t="shared" ca="1" si="61"/>
        <v>0</v>
      </c>
      <c r="AM30" s="736">
        <f t="shared" ca="1" si="78"/>
        <v>0</v>
      </c>
      <c r="AN30" s="736">
        <f t="shared" ca="1" si="78"/>
        <v>0</v>
      </c>
      <c r="AO30" s="736">
        <f t="shared" ca="1" si="78"/>
        <v>0</v>
      </c>
      <c r="AP30" s="736">
        <f t="shared" ca="1" si="78"/>
        <v>0</v>
      </c>
      <c r="AQ30" s="736">
        <f t="shared" ca="1" si="78"/>
        <v>0</v>
      </c>
      <c r="AR30" s="736">
        <f t="shared" ca="1" si="78"/>
        <v>0</v>
      </c>
      <c r="AS30" s="736">
        <f t="shared" ca="1" si="78"/>
        <v>0</v>
      </c>
      <c r="AT30" s="736">
        <f t="shared" ca="1" si="78"/>
        <v>0</v>
      </c>
      <c r="AU30" s="736">
        <f t="shared" ca="1" si="78"/>
        <v>0</v>
      </c>
      <c r="AV30" s="736">
        <f t="shared" ca="1" si="59"/>
        <v>0</v>
      </c>
      <c r="AW30" s="736">
        <f t="shared" ca="1" si="59"/>
        <v>0</v>
      </c>
      <c r="AX30" s="736">
        <f t="shared" ca="1" si="59"/>
        <v>0</v>
      </c>
      <c r="AY30" s="736">
        <f t="shared" ca="1" si="59"/>
        <v>0</v>
      </c>
      <c r="AZ30" s="736">
        <f t="shared" ca="1" si="59"/>
        <v>0</v>
      </c>
      <c r="BA30" s="736">
        <f t="shared" ca="1" si="59"/>
        <v>0</v>
      </c>
      <c r="BB30" s="736">
        <f t="shared" ca="1" si="59"/>
        <v>0</v>
      </c>
      <c r="BC30" s="736">
        <f t="shared" ca="1" si="59"/>
        <v>0</v>
      </c>
      <c r="BD30" s="736">
        <f t="shared" ca="1" si="59"/>
        <v>0</v>
      </c>
      <c r="BE30" s="736">
        <f t="shared" ca="1" si="59"/>
        <v>0</v>
      </c>
      <c r="BF30" s="705">
        <f t="shared" ca="1" si="63"/>
        <v>0</v>
      </c>
      <c r="BH30" s="730">
        <f t="shared" ca="1" si="64"/>
        <v>0</v>
      </c>
      <c r="BI30" s="730">
        <f t="shared" ca="1" si="64"/>
        <v>0</v>
      </c>
      <c r="BJ30" s="741">
        <f t="shared" ca="1" si="65"/>
        <v>0</v>
      </c>
      <c r="BL30" s="704">
        <f t="shared" ca="1" si="9"/>
        <v>0</v>
      </c>
      <c r="BM30" s="704"/>
      <c r="BN30" s="592"/>
      <c r="BO30" s="1082">
        <f t="shared" ca="1" si="79"/>
        <v>0</v>
      </c>
      <c r="BP30" s="1083">
        <f t="shared" ca="1" si="79"/>
        <v>0</v>
      </c>
      <c r="BQ30" s="1083">
        <f t="shared" ca="1" si="79"/>
        <v>0</v>
      </c>
      <c r="BR30" s="1083">
        <f t="shared" ca="1" si="79"/>
        <v>0</v>
      </c>
      <c r="BS30" s="1083">
        <f t="shared" ca="1" si="79"/>
        <v>0</v>
      </c>
      <c r="BT30" s="1083">
        <f t="shared" ca="1" si="79"/>
        <v>0</v>
      </c>
      <c r="BU30" s="1083">
        <f t="shared" ca="1" si="79"/>
        <v>0</v>
      </c>
      <c r="BV30" s="1083">
        <f t="shared" ca="1" si="79"/>
        <v>0</v>
      </c>
      <c r="BW30" s="1083">
        <f t="shared" ca="1" si="79"/>
        <v>0</v>
      </c>
      <c r="BX30" s="1083">
        <f t="shared" ca="1" si="79"/>
        <v>0</v>
      </c>
      <c r="BY30" s="1083">
        <f t="shared" ca="1" si="80"/>
        <v>0</v>
      </c>
      <c r="BZ30" s="1083">
        <f t="shared" ca="1" si="80"/>
        <v>0</v>
      </c>
      <c r="CA30" s="1083">
        <f t="shared" ca="1" si="80"/>
        <v>0</v>
      </c>
      <c r="CB30" s="1083">
        <f t="shared" ca="1" si="80"/>
        <v>0</v>
      </c>
      <c r="CC30" s="1083">
        <f t="shared" ca="1" si="80"/>
        <v>0</v>
      </c>
      <c r="CD30" s="1083">
        <f t="shared" ca="1" si="80"/>
        <v>0</v>
      </c>
      <c r="CE30" s="1083">
        <f t="shared" ca="1" si="80"/>
        <v>0</v>
      </c>
      <c r="CF30" s="1083">
        <f t="shared" ca="1" si="80"/>
        <v>0</v>
      </c>
      <c r="CG30" s="1083">
        <f t="shared" ca="1" si="80"/>
        <v>0</v>
      </c>
      <c r="CH30" s="1083">
        <f t="shared" ca="1" si="80"/>
        <v>0</v>
      </c>
      <c r="CI30" s="1083">
        <f t="shared" ca="1" si="81"/>
        <v>0</v>
      </c>
      <c r="CJ30" s="1083">
        <f t="shared" ca="1" si="81"/>
        <v>0</v>
      </c>
      <c r="CK30" s="1083">
        <f t="shared" ca="1" si="81"/>
        <v>0</v>
      </c>
      <c r="CL30" s="1083">
        <f t="shared" ca="1" si="81"/>
        <v>0</v>
      </c>
      <c r="CM30" s="1083">
        <f t="shared" ca="1" si="81"/>
        <v>0</v>
      </c>
      <c r="CN30" s="1083">
        <f t="shared" ca="1" si="81"/>
        <v>0</v>
      </c>
      <c r="CO30" s="1083">
        <f t="shared" ca="1" si="81"/>
        <v>0</v>
      </c>
      <c r="CP30" s="1083">
        <f t="shared" ca="1" si="81"/>
        <v>0</v>
      </c>
      <c r="CQ30" s="1083">
        <f t="shared" ca="1" si="81"/>
        <v>0</v>
      </c>
      <c r="CR30" s="1083">
        <f t="shared" ca="1" si="81"/>
        <v>0</v>
      </c>
      <c r="CS30" s="1083">
        <f t="shared" ca="1" si="82"/>
        <v>0</v>
      </c>
      <c r="CT30" s="1083">
        <f t="shared" ca="1" si="82"/>
        <v>0</v>
      </c>
      <c r="CU30" s="1083">
        <f t="shared" ca="1" si="82"/>
        <v>0</v>
      </c>
      <c r="CV30" s="1083">
        <f t="shared" ca="1" si="82"/>
        <v>0</v>
      </c>
      <c r="CW30" s="1083">
        <f t="shared" ca="1" si="82"/>
        <v>0</v>
      </c>
      <c r="CX30" s="1083">
        <f t="shared" ca="1" si="82"/>
        <v>0</v>
      </c>
      <c r="CY30" s="1083">
        <f t="shared" ca="1" si="82"/>
        <v>0</v>
      </c>
      <c r="CZ30" s="1083">
        <f t="shared" ca="1" si="82"/>
        <v>0</v>
      </c>
      <c r="DA30" s="1083">
        <f t="shared" ca="1" si="82"/>
        <v>0</v>
      </c>
      <c r="DB30" s="1083">
        <f t="shared" ca="1" si="82"/>
        <v>0</v>
      </c>
      <c r="DC30" s="1083">
        <f t="shared" ca="1" si="82"/>
        <v>0</v>
      </c>
      <c r="DD30" s="1083">
        <f t="shared" ca="1" si="82"/>
        <v>0</v>
      </c>
      <c r="DE30" s="1083">
        <f t="shared" ca="1" si="82"/>
        <v>0</v>
      </c>
      <c r="DF30" s="1083">
        <f t="shared" ca="1" si="82"/>
        <v>0</v>
      </c>
      <c r="DH30" s="590">
        <f t="shared" ca="1" si="36"/>
        <v>0</v>
      </c>
    </row>
    <row r="31" spans="1:112" s="532" customFormat="1" ht="11.25" customHeight="1" outlineLevel="1">
      <c r="A31" s="1085"/>
      <c r="B31" s="1085"/>
      <c r="C31" s="534"/>
      <c r="D31" s="708" t="s">
        <v>732</v>
      </c>
      <c r="E31" s="707"/>
      <c r="G31" s="717">
        <f ca="1">SUM(G29:G30)</f>
        <v>0</v>
      </c>
      <c r="H31" s="717">
        <f t="shared" ref="H31:P31" ca="1" si="83">SUM(H29:H30)</f>
        <v>0</v>
      </c>
      <c r="I31" s="717">
        <f t="shared" ca="1" si="83"/>
        <v>0</v>
      </c>
      <c r="J31" s="717">
        <f t="shared" ca="1" si="83"/>
        <v>0</v>
      </c>
      <c r="K31" s="717">
        <f t="shared" ca="1" si="83"/>
        <v>0</v>
      </c>
      <c r="L31" s="717">
        <f t="shared" ca="1" si="83"/>
        <v>0</v>
      </c>
      <c r="M31" s="717">
        <f t="shared" ca="1" si="83"/>
        <v>0</v>
      </c>
      <c r="N31" s="717">
        <f t="shared" ca="1" si="83"/>
        <v>0</v>
      </c>
      <c r="O31" s="717">
        <f t="shared" ca="1" si="83"/>
        <v>0</v>
      </c>
      <c r="P31" s="717">
        <f t="shared" ca="1" si="83"/>
        <v>0</v>
      </c>
      <c r="Q31" s="717">
        <f t="shared" ca="1" si="70"/>
        <v>0</v>
      </c>
      <c r="S31" s="727">
        <f t="shared" ref="S31:Z31" ca="1" si="84">SUM(S29:S30)</f>
        <v>0</v>
      </c>
      <c r="T31" s="727">
        <f t="shared" ca="1" si="84"/>
        <v>0</v>
      </c>
      <c r="U31" s="727">
        <f t="shared" ca="1" si="84"/>
        <v>0</v>
      </c>
      <c r="V31" s="727">
        <f t="shared" ca="1" si="84"/>
        <v>0</v>
      </c>
      <c r="W31" s="727">
        <f t="shared" ca="1" si="84"/>
        <v>0</v>
      </c>
      <c r="X31" s="816">
        <f t="shared" ca="1" si="84"/>
        <v>0</v>
      </c>
      <c r="Y31" s="816">
        <f t="shared" ca="1" si="84"/>
        <v>0</v>
      </c>
      <c r="Z31" s="816">
        <f t="shared" ca="1" si="84"/>
        <v>0</v>
      </c>
      <c r="AA31" s="727">
        <f t="shared" ref="AA31:AJ31" ca="1" si="85">SUM(AA29:AA30)</f>
        <v>0</v>
      </c>
      <c r="AB31" s="727">
        <f t="shared" ca="1" si="85"/>
        <v>0</v>
      </c>
      <c r="AC31" s="727">
        <f t="shared" ca="1" si="85"/>
        <v>0</v>
      </c>
      <c r="AD31" s="727">
        <f ca="1">SUM(AD29:AD30)</f>
        <v>0</v>
      </c>
      <c r="AE31" s="727">
        <f ca="1">SUM(AE29:AE30)</f>
        <v>0</v>
      </c>
      <c r="AF31" s="727">
        <f t="shared" ca="1" si="85"/>
        <v>0</v>
      </c>
      <c r="AG31" s="727">
        <f ca="1">SUM(AG29:AG30)</f>
        <v>0</v>
      </c>
      <c r="AH31" s="727">
        <f ca="1">SUM(AH29:AH30)</f>
        <v>0</v>
      </c>
      <c r="AI31" s="727">
        <f ca="1">SUM(AI29:AI30)</f>
        <v>0</v>
      </c>
      <c r="AJ31" s="727">
        <f t="shared" ca="1" si="85"/>
        <v>0</v>
      </c>
      <c r="AK31" s="727">
        <f t="shared" ca="1" si="61"/>
        <v>0</v>
      </c>
      <c r="AM31" s="740">
        <f t="shared" ref="AM31:BE31" ca="1" si="86">SUM(AM29:AM30)</f>
        <v>0</v>
      </c>
      <c r="AN31" s="740">
        <f t="shared" ca="1" si="86"/>
        <v>0</v>
      </c>
      <c r="AO31" s="740">
        <f t="shared" ca="1" si="86"/>
        <v>0</v>
      </c>
      <c r="AP31" s="740">
        <f t="shared" ca="1" si="86"/>
        <v>0</v>
      </c>
      <c r="AQ31" s="740">
        <f t="shared" ca="1" si="86"/>
        <v>0</v>
      </c>
      <c r="AR31" s="740">
        <f t="shared" ca="1" si="86"/>
        <v>0</v>
      </c>
      <c r="AS31" s="740">
        <f t="shared" ca="1" si="86"/>
        <v>0</v>
      </c>
      <c r="AT31" s="740">
        <f t="shared" ca="1" si="86"/>
        <v>0</v>
      </c>
      <c r="AU31" s="740">
        <f t="shared" ca="1" si="86"/>
        <v>0</v>
      </c>
      <c r="AV31" s="740">
        <f t="shared" ca="1" si="86"/>
        <v>0</v>
      </c>
      <c r="AW31" s="740">
        <f t="shared" ca="1" si="86"/>
        <v>0</v>
      </c>
      <c r="AX31" s="740">
        <f t="shared" ca="1" si="86"/>
        <v>0</v>
      </c>
      <c r="AY31" s="740">
        <f t="shared" ca="1" si="86"/>
        <v>0</v>
      </c>
      <c r="AZ31" s="740">
        <f t="shared" ca="1" si="86"/>
        <v>0</v>
      </c>
      <c r="BA31" s="740">
        <f t="shared" ca="1" si="86"/>
        <v>0</v>
      </c>
      <c r="BB31" s="740">
        <f t="shared" ca="1" si="86"/>
        <v>0</v>
      </c>
      <c r="BC31" s="740">
        <f t="shared" ca="1" si="86"/>
        <v>0</v>
      </c>
      <c r="BD31" s="740">
        <f t="shared" ca="1" si="86"/>
        <v>0</v>
      </c>
      <c r="BE31" s="740">
        <f t="shared" ca="1" si="86"/>
        <v>0</v>
      </c>
      <c r="BF31" s="710">
        <f t="shared" ca="1" si="63"/>
        <v>0</v>
      </c>
      <c r="BH31" s="734">
        <f ca="1">SUM(BH29:BH30)</f>
        <v>0</v>
      </c>
      <c r="BI31" s="734">
        <f ca="1">SUM(BI29:BI30)</f>
        <v>0</v>
      </c>
      <c r="BJ31" s="732">
        <f t="shared" ca="1" si="65"/>
        <v>0</v>
      </c>
      <c r="BL31" s="514">
        <f t="shared" ca="1" si="9"/>
        <v>0</v>
      </c>
      <c r="BM31" s="514"/>
      <c r="BN31" s="1085"/>
      <c r="BO31" s="1086">
        <f t="shared" ref="BO31:DF31" ca="1" si="87">SUM(BO29:BO30)</f>
        <v>0</v>
      </c>
      <c r="BP31" s="1087">
        <f t="shared" ca="1" si="87"/>
        <v>0</v>
      </c>
      <c r="BQ31" s="1087">
        <f t="shared" ca="1" si="87"/>
        <v>0</v>
      </c>
      <c r="BR31" s="1087">
        <f t="shared" ca="1" si="87"/>
        <v>0</v>
      </c>
      <c r="BS31" s="1087">
        <f t="shared" ca="1" si="87"/>
        <v>0</v>
      </c>
      <c r="BT31" s="1087">
        <f t="shared" ca="1" si="87"/>
        <v>0</v>
      </c>
      <c r="BU31" s="1087">
        <f t="shared" ca="1" si="87"/>
        <v>0</v>
      </c>
      <c r="BV31" s="1087">
        <f t="shared" ca="1" si="87"/>
        <v>0</v>
      </c>
      <c r="BW31" s="1087">
        <f t="shared" ca="1" si="87"/>
        <v>0</v>
      </c>
      <c r="BX31" s="1087">
        <f t="shared" ca="1" si="87"/>
        <v>0</v>
      </c>
      <c r="BY31" s="1087">
        <f t="shared" ca="1" si="87"/>
        <v>0</v>
      </c>
      <c r="BZ31" s="1087">
        <f t="shared" ca="1" si="87"/>
        <v>0</v>
      </c>
      <c r="CA31" s="1087">
        <f t="shared" ca="1" si="87"/>
        <v>0</v>
      </c>
      <c r="CB31" s="1087">
        <f t="shared" ca="1" si="87"/>
        <v>0</v>
      </c>
      <c r="CC31" s="1087">
        <f t="shared" ca="1" si="87"/>
        <v>0</v>
      </c>
      <c r="CD31" s="1087">
        <f t="shared" ca="1" si="87"/>
        <v>0</v>
      </c>
      <c r="CE31" s="1087">
        <f t="shared" ca="1" si="87"/>
        <v>0</v>
      </c>
      <c r="CF31" s="1087">
        <f t="shared" ca="1" si="87"/>
        <v>0</v>
      </c>
      <c r="CG31" s="1087">
        <f t="shared" ca="1" si="87"/>
        <v>0</v>
      </c>
      <c r="CH31" s="1087">
        <f t="shared" ca="1" si="87"/>
        <v>0</v>
      </c>
      <c r="CI31" s="1087">
        <f t="shared" ca="1" si="87"/>
        <v>0</v>
      </c>
      <c r="CJ31" s="1087">
        <f t="shared" ca="1" si="87"/>
        <v>0</v>
      </c>
      <c r="CK31" s="1087">
        <f t="shared" ca="1" si="87"/>
        <v>0</v>
      </c>
      <c r="CL31" s="1087">
        <f t="shared" ca="1" si="87"/>
        <v>0</v>
      </c>
      <c r="CM31" s="1087">
        <f t="shared" ca="1" si="87"/>
        <v>0</v>
      </c>
      <c r="CN31" s="1087">
        <f t="shared" ca="1" si="87"/>
        <v>0</v>
      </c>
      <c r="CO31" s="1087">
        <f t="shared" ca="1" si="87"/>
        <v>0</v>
      </c>
      <c r="CP31" s="1087">
        <f t="shared" ca="1" si="87"/>
        <v>0</v>
      </c>
      <c r="CQ31" s="1087">
        <f t="shared" ca="1" si="87"/>
        <v>0</v>
      </c>
      <c r="CR31" s="1087">
        <f t="shared" ca="1" si="87"/>
        <v>0</v>
      </c>
      <c r="CS31" s="1087">
        <f t="shared" ca="1" si="87"/>
        <v>0</v>
      </c>
      <c r="CT31" s="1087">
        <f t="shared" ca="1" si="87"/>
        <v>0</v>
      </c>
      <c r="CU31" s="1087">
        <f t="shared" ca="1" si="87"/>
        <v>0</v>
      </c>
      <c r="CV31" s="1087">
        <f t="shared" ca="1" si="87"/>
        <v>0</v>
      </c>
      <c r="CW31" s="1087">
        <f t="shared" ca="1" si="87"/>
        <v>0</v>
      </c>
      <c r="CX31" s="1087">
        <f t="shared" ca="1" si="87"/>
        <v>0</v>
      </c>
      <c r="CY31" s="1087">
        <f t="shared" ca="1" si="87"/>
        <v>0</v>
      </c>
      <c r="CZ31" s="1087">
        <f t="shared" ca="1" si="87"/>
        <v>0</v>
      </c>
      <c r="DA31" s="1087">
        <f t="shared" ca="1" si="87"/>
        <v>0</v>
      </c>
      <c r="DB31" s="1087">
        <f t="shared" ca="1" si="87"/>
        <v>0</v>
      </c>
      <c r="DC31" s="1087">
        <f t="shared" ca="1" si="87"/>
        <v>0</v>
      </c>
      <c r="DD31" s="1087">
        <f t="shared" ca="1" si="87"/>
        <v>0</v>
      </c>
      <c r="DE31" s="1087">
        <f t="shared" ca="1" si="87"/>
        <v>0</v>
      </c>
      <c r="DF31" s="1087">
        <f t="shared" ca="1" si="87"/>
        <v>0</v>
      </c>
      <c r="DH31" s="590">
        <f t="shared" ca="1" si="36"/>
        <v>0</v>
      </c>
    </row>
    <row r="32" spans="1:112" s="532" customFormat="1" ht="15">
      <c r="A32" s="22"/>
      <c r="B32" s="537"/>
      <c r="C32" s="533" t="s">
        <v>568</v>
      </c>
      <c r="D32" s="507" t="str">
        <f>INDEX(Workstreams[Workstream], MATCH($C32, Workstreams[Code], 0))</f>
        <v>Transport</v>
      </c>
      <c r="E32" s="503"/>
      <c r="G32" s="718">
        <f t="shared" ref="G32:P32" ca="1" si="88">G24+G25+G28+G31</f>
        <v>0</v>
      </c>
      <c r="H32" s="718">
        <f t="shared" ca="1" si="88"/>
        <v>0</v>
      </c>
      <c r="I32" s="718">
        <f t="shared" ca="1" si="88"/>
        <v>0</v>
      </c>
      <c r="J32" s="718">
        <f t="shared" ca="1" si="88"/>
        <v>0</v>
      </c>
      <c r="K32" s="718">
        <f t="shared" ca="1" si="88"/>
        <v>0</v>
      </c>
      <c r="L32" s="718">
        <f t="shared" ca="1" si="88"/>
        <v>0</v>
      </c>
      <c r="M32" s="718">
        <f t="shared" ca="1" si="88"/>
        <v>0</v>
      </c>
      <c r="N32" s="718">
        <f t="shared" ca="1" si="88"/>
        <v>0</v>
      </c>
      <c r="O32" s="718">
        <f t="shared" ca="1" si="88"/>
        <v>0</v>
      </c>
      <c r="P32" s="718">
        <f t="shared" ca="1" si="88"/>
        <v>0</v>
      </c>
      <c r="Q32" s="718">
        <f t="shared" ca="1" si="70"/>
        <v>0</v>
      </c>
      <c r="S32" s="668">
        <f t="shared" ref="S32:Z32" ca="1" si="89">S24+S25+S28+S31</f>
        <v>0</v>
      </c>
      <c r="T32" s="668">
        <f t="shared" ca="1" si="89"/>
        <v>0</v>
      </c>
      <c r="U32" s="668">
        <f t="shared" ca="1" si="89"/>
        <v>0</v>
      </c>
      <c r="V32" s="668">
        <f t="shared" ca="1" si="89"/>
        <v>0</v>
      </c>
      <c r="W32" s="668">
        <f t="shared" ca="1" si="89"/>
        <v>0</v>
      </c>
      <c r="X32" s="668">
        <f t="shared" ca="1" si="89"/>
        <v>0</v>
      </c>
      <c r="Y32" s="668">
        <f t="shared" ca="1" si="89"/>
        <v>0</v>
      </c>
      <c r="Z32" s="668">
        <f t="shared" ca="1" si="89"/>
        <v>0</v>
      </c>
      <c r="AA32" s="668">
        <f t="shared" ref="AA32:AJ32" ca="1" si="90">AA24+AA25+AA28+AA31</f>
        <v>0</v>
      </c>
      <c r="AB32" s="668">
        <f t="shared" ca="1" si="90"/>
        <v>0</v>
      </c>
      <c r="AC32" s="668">
        <f t="shared" ca="1" si="90"/>
        <v>0</v>
      </c>
      <c r="AD32" s="668">
        <f ca="1">AD24+AD25+AD28+AD31</f>
        <v>0</v>
      </c>
      <c r="AE32" s="668">
        <f ca="1">AE24+AE25+AE28+AE31</f>
        <v>0</v>
      </c>
      <c r="AF32" s="668">
        <f t="shared" ca="1" si="90"/>
        <v>0</v>
      </c>
      <c r="AG32" s="668">
        <f ca="1">AG24+AG25+AG28+AG31</f>
        <v>0</v>
      </c>
      <c r="AH32" s="668">
        <f ca="1">AH24+AH25+AH28+AH31</f>
        <v>0</v>
      </c>
      <c r="AI32" s="668">
        <f ca="1">AI24+AI25+AI28+AI31</f>
        <v>0</v>
      </c>
      <c r="AJ32" s="668">
        <f t="shared" ca="1" si="90"/>
        <v>0</v>
      </c>
      <c r="AK32" s="668">
        <f t="shared" ca="1" si="61"/>
        <v>0</v>
      </c>
      <c r="AM32" s="674">
        <f t="shared" ref="AM32:AS32" ca="1" si="91">AM24+AM25+AM28+AM31</f>
        <v>0</v>
      </c>
      <c r="AN32" s="674">
        <f t="shared" ca="1" si="91"/>
        <v>0</v>
      </c>
      <c r="AO32" s="674">
        <f t="shared" ca="1" si="91"/>
        <v>0</v>
      </c>
      <c r="AP32" s="674">
        <f t="shared" ca="1" si="91"/>
        <v>0</v>
      </c>
      <c r="AQ32" s="674">
        <f t="shared" ca="1" si="91"/>
        <v>0</v>
      </c>
      <c r="AR32" s="674">
        <f t="shared" ca="1" si="91"/>
        <v>0</v>
      </c>
      <c r="AS32" s="674">
        <f t="shared" ca="1" si="91"/>
        <v>0</v>
      </c>
      <c r="AT32" s="674">
        <f t="shared" ref="AT32:BE32" ca="1" si="92">AT24+AT25+AT28+AT31</f>
        <v>0</v>
      </c>
      <c r="AU32" s="674">
        <f t="shared" ca="1" si="92"/>
        <v>0</v>
      </c>
      <c r="AV32" s="674">
        <f t="shared" ca="1" si="92"/>
        <v>0</v>
      </c>
      <c r="AW32" s="674">
        <f t="shared" ca="1" si="92"/>
        <v>0</v>
      </c>
      <c r="AX32" s="674">
        <f t="shared" ca="1" si="92"/>
        <v>0</v>
      </c>
      <c r="AY32" s="674">
        <f t="shared" ca="1" si="92"/>
        <v>0</v>
      </c>
      <c r="AZ32" s="674">
        <f t="shared" ca="1" si="92"/>
        <v>0</v>
      </c>
      <c r="BA32" s="674">
        <f t="shared" ca="1" si="92"/>
        <v>0</v>
      </c>
      <c r="BB32" s="674">
        <f t="shared" ca="1" si="92"/>
        <v>0</v>
      </c>
      <c r="BC32" s="674">
        <f t="shared" ca="1" si="92"/>
        <v>0</v>
      </c>
      <c r="BD32" s="674">
        <f t="shared" ca="1" si="92"/>
        <v>0</v>
      </c>
      <c r="BE32" s="674">
        <f t="shared" ca="1" si="92"/>
        <v>0</v>
      </c>
      <c r="BF32" s="674">
        <f t="shared" ca="1" si="63"/>
        <v>0</v>
      </c>
      <c r="BH32" s="688">
        <f ca="1">BH24+BH25+BH28+BH31</f>
        <v>0</v>
      </c>
      <c r="BI32" s="688">
        <f ca="1">BI24+BI25+BI28+BI31</f>
        <v>0</v>
      </c>
      <c r="BJ32" s="688">
        <f t="shared" ca="1" si="65"/>
        <v>0</v>
      </c>
      <c r="BL32" s="505">
        <f t="shared" ca="1" si="9"/>
        <v>0</v>
      </c>
      <c r="BM32" s="505"/>
      <c r="BN32" s="592"/>
      <c r="BO32" s="1083">
        <f t="shared" ref="BO32:DF32" ca="1" si="93">BO24+BO25+BO28+BO31</f>
        <v>0</v>
      </c>
      <c r="BP32" s="1083">
        <f t="shared" ca="1" si="93"/>
        <v>0</v>
      </c>
      <c r="BQ32" s="1083">
        <f t="shared" ca="1" si="93"/>
        <v>0</v>
      </c>
      <c r="BR32" s="1083">
        <f t="shared" ca="1" si="93"/>
        <v>0</v>
      </c>
      <c r="BS32" s="1083">
        <f t="shared" ca="1" si="93"/>
        <v>0</v>
      </c>
      <c r="BT32" s="1083">
        <f t="shared" ca="1" si="93"/>
        <v>0</v>
      </c>
      <c r="BU32" s="1083">
        <f t="shared" ca="1" si="93"/>
        <v>0</v>
      </c>
      <c r="BV32" s="1083">
        <f t="shared" ca="1" si="93"/>
        <v>0</v>
      </c>
      <c r="BW32" s="1083">
        <f t="shared" ca="1" si="93"/>
        <v>0</v>
      </c>
      <c r="BX32" s="1083">
        <f t="shared" ca="1" si="93"/>
        <v>0</v>
      </c>
      <c r="BY32" s="1083">
        <f t="shared" ca="1" si="93"/>
        <v>0</v>
      </c>
      <c r="BZ32" s="1083">
        <f t="shared" ca="1" si="93"/>
        <v>0</v>
      </c>
      <c r="CA32" s="1083">
        <f t="shared" ca="1" si="93"/>
        <v>0</v>
      </c>
      <c r="CB32" s="1083">
        <f t="shared" ca="1" si="93"/>
        <v>0</v>
      </c>
      <c r="CC32" s="1083">
        <f t="shared" ca="1" si="93"/>
        <v>0</v>
      </c>
      <c r="CD32" s="1083">
        <f t="shared" ca="1" si="93"/>
        <v>0</v>
      </c>
      <c r="CE32" s="1083">
        <f t="shared" ca="1" si="93"/>
        <v>0</v>
      </c>
      <c r="CF32" s="1083">
        <f t="shared" ca="1" si="93"/>
        <v>0</v>
      </c>
      <c r="CG32" s="1083">
        <f t="shared" ca="1" si="93"/>
        <v>0</v>
      </c>
      <c r="CH32" s="1083">
        <f t="shared" ca="1" si="93"/>
        <v>0</v>
      </c>
      <c r="CI32" s="1083">
        <f t="shared" ca="1" si="93"/>
        <v>0</v>
      </c>
      <c r="CJ32" s="1083">
        <f t="shared" ca="1" si="93"/>
        <v>0</v>
      </c>
      <c r="CK32" s="1083">
        <f t="shared" ca="1" si="93"/>
        <v>0</v>
      </c>
      <c r="CL32" s="1083">
        <f t="shared" ca="1" si="93"/>
        <v>0</v>
      </c>
      <c r="CM32" s="1083">
        <f t="shared" ca="1" si="93"/>
        <v>0</v>
      </c>
      <c r="CN32" s="1083">
        <f t="shared" ca="1" si="93"/>
        <v>0</v>
      </c>
      <c r="CO32" s="1083">
        <f t="shared" ca="1" si="93"/>
        <v>0</v>
      </c>
      <c r="CP32" s="1083">
        <f t="shared" ca="1" si="93"/>
        <v>0</v>
      </c>
      <c r="CQ32" s="1083">
        <f t="shared" ca="1" si="93"/>
        <v>0</v>
      </c>
      <c r="CR32" s="1083">
        <f t="shared" ca="1" si="93"/>
        <v>0</v>
      </c>
      <c r="CS32" s="1083">
        <f t="shared" ca="1" si="93"/>
        <v>0</v>
      </c>
      <c r="CT32" s="1083">
        <f t="shared" ca="1" si="93"/>
        <v>0</v>
      </c>
      <c r="CU32" s="1083">
        <f t="shared" ca="1" si="93"/>
        <v>0</v>
      </c>
      <c r="CV32" s="1083">
        <f t="shared" ca="1" si="93"/>
        <v>0</v>
      </c>
      <c r="CW32" s="1083">
        <f t="shared" ca="1" si="93"/>
        <v>0</v>
      </c>
      <c r="CX32" s="1083">
        <f t="shared" ca="1" si="93"/>
        <v>0</v>
      </c>
      <c r="CY32" s="1083">
        <f t="shared" ca="1" si="93"/>
        <v>0</v>
      </c>
      <c r="CZ32" s="1083">
        <f t="shared" ca="1" si="93"/>
        <v>0</v>
      </c>
      <c r="DA32" s="1083">
        <f t="shared" ca="1" si="93"/>
        <v>0</v>
      </c>
      <c r="DB32" s="1083">
        <f t="shared" ca="1" si="93"/>
        <v>0</v>
      </c>
      <c r="DC32" s="1083">
        <f t="shared" ca="1" si="93"/>
        <v>0</v>
      </c>
      <c r="DD32" s="1083">
        <f t="shared" ca="1" si="93"/>
        <v>0</v>
      </c>
      <c r="DE32" s="1083">
        <f t="shared" ca="1" si="93"/>
        <v>0</v>
      </c>
      <c r="DF32" s="1083">
        <f t="shared" ca="1" si="93"/>
        <v>0</v>
      </c>
      <c r="DH32" s="590">
        <f t="shared" ca="1" si="36"/>
        <v>0</v>
      </c>
    </row>
    <row r="33" spans="1:112" s="532" customFormat="1" ht="12.75" customHeight="1" outlineLevel="1">
      <c r="A33" s="22"/>
      <c r="B33" s="22"/>
      <c r="C33" s="535"/>
      <c r="D33" s="503"/>
      <c r="E33" s="503"/>
      <c r="G33" s="718"/>
      <c r="H33" s="718"/>
      <c r="I33" s="718"/>
      <c r="J33" s="718"/>
      <c r="K33" s="718"/>
      <c r="L33" s="718"/>
      <c r="M33" s="718"/>
      <c r="N33" s="718"/>
      <c r="O33" s="718"/>
      <c r="P33" s="718"/>
      <c r="Q33" s="718"/>
      <c r="S33" s="668"/>
      <c r="T33" s="668"/>
      <c r="U33" s="668"/>
      <c r="V33" s="668"/>
      <c r="W33" s="668"/>
      <c r="X33" s="668"/>
      <c r="Y33" s="668"/>
      <c r="Z33" s="668"/>
      <c r="AA33" s="668"/>
      <c r="AB33" s="668"/>
      <c r="AC33" s="668"/>
      <c r="AD33" s="668"/>
      <c r="AE33" s="668"/>
      <c r="AF33" s="668"/>
      <c r="AG33" s="668"/>
      <c r="AH33" s="668"/>
      <c r="AI33" s="668"/>
      <c r="AJ33" s="668"/>
      <c r="AK33" s="668"/>
      <c r="AM33" s="674"/>
      <c r="AN33" s="674"/>
      <c r="AO33" s="674"/>
      <c r="AP33" s="674"/>
      <c r="AQ33" s="674"/>
      <c r="AR33" s="674"/>
      <c r="AS33" s="674"/>
      <c r="AT33" s="674"/>
      <c r="AU33" s="674"/>
      <c r="AV33" s="674"/>
      <c r="AW33" s="674"/>
      <c r="AX33" s="674"/>
      <c r="AY33" s="674"/>
      <c r="AZ33" s="674"/>
      <c r="BA33" s="674"/>
      <c r="BB33" s="674"/>
      <c r="BC33" s="674"/>
      <c r="BD33" s="674"/>
      <c r="BE33" s="674"/>
      <c r="BF33" s="674"/>
      <c r="BH33" s="688"/>
      <c r="BI33" s="688"/>
      <c r="BJ33" s="688"/>
      <c r="BL33" s="505"/>
      <c r="BM33" s="505"/>
      <c r="BN33" s="22"/>
      <c r="BO33" s="1083"/>
      <c r="BP33" s="1083"/>
      <c r="BQ33" s="1083"/>
      <c r="BR33" s="1083"/>
      <c r="BS33" s="1083"/>
      <c r="BT33" s="1083"/>
      <c r="BU33" s="1083"/>
      <c r="BV33" s="1083"/>
      <c r="BW33" s="1083"/>
      <c r="BX33" s="1083"/>
      <c r="BY33" s="1083"/>
      <c r="BZ33" s="1083"/>
      <c r="CA33" s="1083"/>
      <c r="CB33" s="1083"/>
      <c r="CC33" s="1083"/>
      <c r="CD33" s="1083"/>
      <c r="CE33" s="1083"/>
      <c r="CF33" s="1083"/>
      <c r="CG33" s="1083"/>
      <c r="CH33" s="1083"/>
      <c r="CI33" s="1083"/>
      <c r="CJ33" s="1083"/>
      <c r="CK33" s="1083"/>
      <c r="CL33" s="1083"/>
      <c r="CM33" s="1083"/>
      <c r="CN33" s="1083"/>
      <c r="CO33" s="1083"/>
      <c r="CP33" s="1083"/>
      <c r="CQ33" s="1083"/>
      <c r="CR33" s="1083"/>
      <c r="CS33" s="1083"/>
      <c r="CT33" s="1083"/>
      <c r="CU33" s="1083"/>
      <c r="CV33" s="1083"/>
      <c r="CW33" s="1083"/>
      <c r="CX33" s="1083"/>
      <c r="CY33" s="1083"/>
      <c r="CZ33" s="1083"/>
      <c r="DA33" s="1083"/>
      <c r="DB33" s="1083"/>
      <c r="DC33" s="1083"/>
      <c r="DD33" s="1083"/>
      <c r="DE33" s="1083"/>
      <c r="DF33" s="1083"/>
      <c r="DH33" s="590">
        <f t="shared" si="36"/>
        <v>0</v>
      </c>
    </row>
    <row r="34" spans="1:112" s="532" customFormat="1" ht="12.75" customHeight="1" outlineLevel="1">
      <c r="A34" s="1085"/>
      <c r="B34" s="1085"/>
      <c r="C34" s="534" t="s">
        <v>712</v>
      </c>
      <c r="D34" s="707" t="str">
        <f>INDEX(Modules[Module], MATCH($C34, Modules[Code], 0))</f>
        <v>Food consumption [UNUSED]</v>
      </c>
      <c r="E34" s="707"/>
      <c r="G34" s="719">
        <f t="shared" ref="G34:P34" ca="1" si="94">IFERROR(INDEX(INDIRECT($C34&amp;".Outputs["&amp;this.Year&amp;"]"), MATCH(G$5, INDIRECT($C34&amp;".Outputs[Vector]"), 0)), 0)</f>
        <v>0</v>
      </c>
      <c r="H34" s="719">
        <f t="shared" ca="1" si="94"/>
        <v>0</v>
      </c>
      <c r="I34" s="719">
        <f t="shared" ca="1" si="94"/>
        <v>0</v>
      </c>
      <c r="J34" s="719">
        <f t="shared" ca="1" si="94"/>
        <v>0</v>
      </c>
      <c r="K34" s="719">
        <f t="shared" ca="1" si="94"/>
        <v>0</v>
      </c>
      <c r="L34" s="719">
        <f t="shared" ca="1" si="94"/>
        <v>0</v>
      </c>
      <c r="M34" s="719">
        <f t="shared" ca="1" si="94"/>
        <v>0</v>
      </c>
      <c r="N34" s="719">
        <f t="shared" ca="1" si="94"/>
        <v>0</v>
      </c>
      <c r="O34" s="719">
        <f t="shared" ca="1" si="94"/>
        <v>0</v>
      </c>
      <c r="P34" s="719">
        <f t="shared" ca="1" si="94"/>
        <v>0</v>
      </c>
      <c r="Q34" s="717">
        <f ca="1">SUM(G34:P34)</f>
        <v>0</v>
      </c>
      <c r="S34" s="728">
        <f t="shared" ref="S34:BE34" ca="1" si="95">IFERROR(INDEX(INDIRECT($C34&amp;".Outputs["&amp;this.Year&amp;"]"), MATCH(S$5, INDIRECT($C34&amp;".Outputs[Vector]"), 0)), 0)</f>
        <v>0</v>
      </c>
      <c r="T34" s="728">
        <f t="shared" ca="1" si="95"/>
        <v>0</v>
      </c>
      <c r="U34" s="728">
        <f t="shared" ca="1" si="95"/>
        <v>0</v>
      </c>
      <c r="V34" s="728">
        <f t="shared" ca="1" si="95"/>
        <v>0</v>
      </c>
      <c r="W34" s="728">
        <f t="shared" ca="1" si="95"/>
        <v>0</v>
      </c>
      <c r="X34" s="728">
        <f ca="1">IFERROR(INDEX(INDIRECT($C34&amp;".Outputs["&amp;this.Year&amp;"]"), MATCH(X$5, INDIRECT($C34&amp;".Outputs[Vector]"), 0)), 0)</f>
        <v>0</v>
      </c>
      <c r="Y34" s="728">
        <f ca="1">IFERROR(INDEX(INDIRECT($C34&amp;".Outputs["&amp;this.Year&amp;"]"), MATCH(Y$5, INDIRECT($C34&amp;".Outputs[Vector]"), 0)), 0)</f>
        <v>0</v>
      </c>
      <c r="Z34" s="728">
        <f ca="1">IFERROR(INDEX(INDIRECT($C34&amp;".Outputs["&amp;this.Year&amp;"]"), MATCH(Z$5, INDIRECT($C34&amp;".Outputs[Vector]"), 0)), 0)</f>
        <v>0</v>
      </c>
      <c r="AA34" s="728">
        <f t="shared" ca="1" si="95"/>
        <v>0</v>
      </c>
      <c r="AB34" s="728">
        <f t="shared" ca="1" si="95"/>
        <v>0</v>
      </c>
      <c r="AC34" s="728">
        <f t="shared" ca="1" si="95"/>
        <v>0</v>
      </c>
      <c r="AD34" s="728">
        <f t="shared" ca="1" si="95"/>
        <v>0</v>
      </c>
      <c r="AE34" s="728">
        <f t="shared" ca="1" si="95"/>
        <v>0</v>
      </c>
      <c r="AF34" s="728">
        <f t="shared" ca="1" si="95"/>
        <v>0</v>
      </c>
      <c r="AG34" s="728">
        <f t="shared" ca="1" si="95"/>
        <v>0</v>
      </c>
      <c r="AH34" s="728">
        <f t="shared" ca="1" si="95"/>
        <v>0</v>
      </c>
      <c r="AI34" s="728">
        <f t="shared" ca="1" si="95"/>
        <v>0</v>
      </c>
      <c r="AJ34" s="728">
        <f t="shared" ca="1" si="95"/>
        <v>0</v>
      </c>
      <c r="AK34" s="727">
        <f ca="1">SUM(S34:AJ34)</f>
        <v>0</v>
      </c>
      <c r="AM34" s="739">
        <f t="shared" ref="AM34:AU34" ca="1" si="96">IFERROR(INDEX(INDIRECT($C34&amp;".Outputs["&amp;this.Year&amp;"]"), MATCH(AM$5, INDIRECT($C34&amp;".Outputs[Vector]"), 0)), 0)</f>
        <v>0</v>
      </c>
      <c r="AN34" s="739">
        <f t="shared" ca="1" si="96"/>
        <v>0</v>
      </c>
      <c r="AO34" s="739">
        <f t="shared" ca="1" si="96"/>
        <v>0</v>
      </c>
      <c r="AP34" s="739">
        <f t="shared" ca="1" si="96"/>
        <v>0</v>
      </c>
      <c r="AQ34" s="739">
        <f t="shared" ca="1" si="96"/>
        <v>0</v>
      </c>
      <c r="AR34" s="739">
        <f t="shared" ca="1" si="96"/>
        <v>0</v>
      </c>
      <c r="AS34" s="739">
        <f t="shared" ca="1" si="96"/>
        <v>0</v>
      </c>
      <c r="AT34" s="739">
        <f t="shared" ca="1" si="96"/>
        <v>0</v>
      </c>
      <c r="AU34" s="739">
        <f t="shared" ca="1" si="96"/>
        <v>0</v>
      </c>
      <c r="AV34" s="739">
        <f t="shared" ca="1" si="95"/>
        <v>0</v>
      </c>
      <c r="AW34" s="739">
        <f t="shared" ca="1" si="95"/>
        <v>0</v>
      </c>
      <c r="AX34" s="739">
        <f t="shared" ca="1" si="95"/>
        <v>0</v>
      </c>
      <c r="AY34" s="739">
        <f t="shared" ca="1" si="95"/>
        <v>0</v>
      </c>
      <c r="AZ34" s="739">
        <f t="shared" ca="1" si="95"/>
        <v>0</v>
      </c>
      <c r="BA34" s="739">
        <f t="shared" ca="1" si="95"/>
        <v>0</v>
      </c>
      <c r="BB34" s="739">
        <f t="shared" ca="1" si="95"/>
        <v>0</v>
      </c>
      <c r="BC34" s="739">
        <f t="shared" ca="1" si="95"/>
        <v>0</v>
      </c>
      <c r="BD34" s="739">
        <f t="shared" ca="1" si="95"/>
        <v>0</v>
      </c>
      <c r="BE34" s="739">
        <f t="shared" ca="1" si="95"/>
        <v>0</v>
      </c>
      <c r="BF34" s="709">
        <f ca="1">SUM(AM34:BE34)</f>
        <v>0</v>
      </c>
      <c r="BH34" s="733">
        <f ca="1">IFERROR(INDEX(INDIRECT($C34&amp;".Outputs["&amp;this.Year&amp;"]"), MATCH(BH$5, INDIRECT($C34&amp;".Outputs[Vector]"), 0)), 0)</f>
        <v>0</v>
      </c>
      <c r="BI34" s="733">
        <f ca="1">IFERROR(INDEX(INDIRECT($C34&amp;".Outputs["&amp;this.Year&amp;"]"), MATCH(BI$5, INDIRECT($C34&amp;".Outputs[Vector]"), 0)), 0)</f>
        <v>0</v>
      </c>
      <c r="BJ34" s="732">
        <f ca="1">SUM(BH34:BI34)</f>
        <v>0</v>
      </c>
      <c r="BL34" s="576">
        <f t="shared" ca="1" si="9"/>
        <v>0</v>
      </c>
      <c r="BM34" s="576"/>
      <c r="BN34" s="592"/>
      <c r="BO34" s="1086">
        <f t="shared" ref="BO34:DF34" ca="1" si="97">IFERROR(SUMIFS(INDIRECT($C34&amp;".Emissions["&amp;this.Year&amp;"]"), INDIRECT($C34&amp;".Emissions[GHG]"), BO$6, INDIRECT($C34&amp;".Emissions[IPCC Sector]"), BO$5),0)</f>
        <v>0</v>
      </c>
      <c r="BP34" s="1087">
        <f t="shared" ca="1" si="97"/>
        <v>0</v>
      </c>
      <c r="BQ34" s="1087">
        <f t="shared" ca="1" si="97"/>
        <v>0</v>
      </c>
      <c r="BR34" s="1087">
        <f t="shared" ca="1" si="97"/>
        <v>0</v>
      </c>
      <c r="BS34" s="1087">
        <f t="shared" ca="1" si="97"/>
        <v>0</v>
      </c>
      <c r="BT34" s="1087">
        <f t="shared" ca="1" si="97"/>
        <v>0</v>
      </c>
      <c r="BU34" s="1087">
        <f t="shared" ca="1" si="97"/>
        <v>0</v>
      </c>
      <c r="BV34" s="1087">
        <f t="shared" ca="1" si="97"/>
        <v>0</v>
      </c>
      <c r="BW34" s="1087">
        <f t="shared" ca="1" si="97"/>
        <v>0</v>
      </c>
      <c r="BX34" s="1087">
        <f t="shared" ca="1" si="97"/>
        <v>0</v>
      </c>
      <c r="BY34" s="1087">
        <f t="shared" ca="1" si="97"/>
        <v>0</v>
      </c>
      <c r="BZ34" s="1087">
        <f t="shared" ca="1" si="97"/>
        <v>0</v>
      </c>
      <c r="CA34" s="1087">
        <f t="shared" ca="1" si="97"/>
        <v>0</v>
      </c>
      <c r="CB34" s="1087">
        <f t="shared" ca="1" si="97"/>
        <v>0</v>
      </c>
      <c r="CC34" s="1087">
        <f t="shared" ca="1" si="97"/>
        <v>0</v>
      </c>
      <c r="CD34" s="1087">
        <f t="shared" ca="1" si="97"/>
        <v>0</v>
      </c>
      <c r="CE34" s="1087">
        <f t="shared" ca="1" si="97"/>
        <v>0</v>
      </c>
      <c r="CF34" s="1087">
        <f t="shared" ca="1" si="97"/>
        <v>0</v>
      </c>
      <c r="CG34" s="1087">
        <f t="shared" ca="1" si="97"/>
        <v>0</v>
      </c>
      <c r="CH34" s="1087">
        <f t="shared" ca="1" si="97"/>
        <v>0</v>
      </c>
      <c r="CI34" s="1087">
        <f t="shared" ca="1" si="97"/>
        <v>0</v>
      </c>
      <c r="CJ34" s="1087">
        <f t="shared" ca="1" si="97"/>
        <v>0</v>
      </c>
      <c r="CK34" s="1087">
        <f t="shared" ca="1" si="97"/>
        <v>0</v>
      </c>
      <c r="CL34" s="1087">
        <f t="shared" ca="1" si="97"/>
        <v>0</v>
      </c>
      <c r="CM34" s="1087">
        <f t="shared" ca="1" si="97"/>
        <v>0</v>
      </c>
      <c r="CN34" s="1087">
        <f t="shared" ca="1" si="97"/>
        <v>0</v>
      </c>
      <c r="CO34" s="1087">
        <f t="shared" ca="1" si="97"/>
        <v>0</v>
      </c>
      <c r="CP34" s="1087">
        <f t="shared" ca="1" si="97"/>
        <v>0</v>
      </c>
      <c r="CQ34" s="1087">
        <f t="shared" ca="1" si="97"/>
        <v>0</v>
      </c>
      <c r="CR34" s="1087">
        <f t="shared" ca="1" si="97"/>
        <v>0</v>
      </c>
      <c r="CS34" s="1087">
        <f t="shared" ca="1" si="97"/>
        <v>0</v>
      </c>
      <c r="CT34" s="1087">
        <f t="shared" ca="1" si="97"/>
        <v>0</v>
      </c>
      <c r="CU34" s="1087">
        <f t="shared" ca="1" si="97"/>
        <v>0</v>
      </c>
      <c r="CV34" s="1087">
        <f t="shared" ca="1" si="97"/>
        <v>0</v>
      </c>
      <c r="CW34" s="1087">
        <f t="shared" ca="1" si="97"/>
        <v>0</v>
      </c>
      <c r="CX34" s="1087">
        <f t="shared" ca="1" si="97"/>
        <v>0</v>
      </c>
      <c r="CY34" s="1087">
        <f t="shared" ca="1" si="97"/>
        <v>0</v>
      </c>
      <c r="CZ34" s="1087">
        <f t="shared" ca="1" si="97"/>
        <v>0</v>
      </c>
      <c r="DA34" s="1087">
        <f t="shared" ca="1" si="97"/>
        <v>0</v>
      </c>
      <c r="DB34" s="1087">
        <f t="shared" ca="1" si="97"/>
        <v>0</v>
      </c>
      <c r="DC34" s="1087">
        <f t="shared" ca="1" si="97"/>
        <v>0</v>
      </c>
      <c r="DD34" s="1087">
        <f t="shared" ca="1" si="97"/>
        <v>0</v>
      </c>
      <c r="DE34" s="1087">
        <f t="shared" ca="1" si="97"/>
        <v>0</v>
      </c>
      <c r="DF34" s="1087">
        <f t="shared" ca="1" si="97"/>
        <v>0</v>
      </c>
      <c r="DH34" s="590">
        <f t="shared" ca="1" si="36"/>
        <v>0</v>
      </c>
    </row>
    <row r="35" spans="1:112" s="532" customFormat="1" ht="15">
      <c r="A35" s="22"/>
      <c r="B35" s="537"/>
      <c r="C35" s="533" t="s">
        <v>569</v>
      </c>
      <c r="D35" s="507" t="str">
        <f>INDEX(Workstreams[Workstream], MATCH($C35, Workstreams[Code], 0))</f>
        <v>Food consumption [UNUSED]</v>
      </c>
      <c r="E35" s="503"/>
      <c r="G35" s="718">
        <f ca="1">G34</f>
        <v>0</v>
      </c>
      <c r="H35" s="718">
        <f t="shared" ref="H35:P35" ca="1" si="98">H34</f>
        <v>0</v>
      </c>
      <c r="I35" s="718">
        <f t="shared" ca="1" si="98"/>
        <v>0</v>
      </c>
      <c r="J35" s="718">
        <f t="shared" ca="1" si="98"/>
        <v>0</v>
      </c>
      <c r="K35" s="718">
        <f t="shared" ca="1" si="98"/>
        <v>0</v>
      </c>
      <c r="L35" s="718">
        <f t="shared" ca="1" si="98"/>
        <v>0</v>
      </c>
      <c r="M35" s="718">
        <f t="shared" ca="1" si="98"/>
        <v>0</v>
      </c>
      <c r="N35" s="718">
        <f t="shared" ca="1" si="98"/>
        <v>0</v>
      </c>
      <c r="O35" s="718">
        <f t="shared" ca="1" si="98"/>
        <v>0</v>
      </c>
      <c r="P35" s="718">
        <f t="shared" ca="1" si="98"/>
        <v>0</v>
      </c>
      <c r="Q35" s="718">
        <f ca="1">SUM(G35:P35)</f>
        <v>0</v>
      </c>
      <c r="S35" s="668">
        <f ca="1">S34</f>
        <v>0</v>
      </c>
      <c r="T35" s="668">
        <f t="shared" ref="T35:AJ35" ca="1" si="99">T34</f>
        <v>0</v>
      </c>
      <c r="U35" s="668">
        <f t="shared" ca="1" si="99"/>
        <v>0</v>
      </c>
      <c r="V35" s="668">
        <f t="shared" ca="1" si="99"/>
        <v>0</v>
      </c>
      <c r="W35" s="668">
        <f t="shared" ca="1" si="99"/>
        <v>0</v>
      </c>
      <c r="X35" s="668">
        <f ca="1">X34</f>
        <v>0</v>
      </c>
      <c r="Y35" s="668">
        <f ca="1">Y34</f>
        <v>0</v>
      </c>
      <c r="Z35" s="668">
        <f ca="1">Z34</f>
        <v>0</v>
      </c>
      <c r="AA35" s="668">
        <f t="shared" ca="1" si="99"/>
        <v>0</v>
      </c>
      <c r="AB35" s="668">
        <f t="shared" ca="1" si="99"/>
        <v>0</v>
      </c>
      <c r="AC35" s="668">
        <f t="shared" ca="1" si="99"/>
        <v>0</v>
      </c>
      <c r="AD35" s="668">
        <f ca="1">AD34</f>
        <v>0</v>
      </c>
      <c r="AE35" s="668">
        <f ca="1">AE34</f>
        <v>0</v>
      </c>
      <c r="AF35" s="668">
        <f t="shared" ca="1" si="99"/>
        <v>0</v>
      </c>
      <c r="AG35" s="668">
        <f ca="1">AG34</f>
        <v>0</v>
      </c>
      <c r="AH35" s="668">
        <f ca="1">AH34</f>
        <v>0</v>
      </c>
      <c r="AI35" s="668">
        <f ca="1">AI34</f>
        <v>0</v>
      </c>
      <c r="AJ35" s="668">
        <f t="shared" ca="1" si="99"/>
        <v>0</v>
      </c>
      <c r="AK35" s="668">
        <f ca="1">SUM(S35:AJ35)</f>
        <v>0</v>
      </c>
      <c r="AM35" s="674">
        <f t="shared" ref="AM35:BE35" ca="1" si="100">AM34</f>
        <v>0</v>
      </c>
      <c r="AN35" s="674">
        <f t="shared" ca="1" si="100"/>
        <v>0</v>
      </c>
      <c r="AO35" s="674">
        <f t="shared" ca="1" si="100"/>
        <v>0</v>
      </c>
      <c r="AP35" s="674">
        <f t="shared" ca="1" si="100"/>
        <v>0</v>
      </c>
      <c r="AQ35" s="674">
        <f t="shared" ca="1" si="100"/>
        <v>0</v>
      </c>
      <c r="AR35" s="674">
        <f t="shared" ca="1" si="100"/>
        <v>0</v>
      </c>
      <c r="AS35" s="674">
        <f t="shared" ca="1" si="100"/>
        <v>0</v>
      </c>
      <c r="AT35" s="674">
        <f t="shared" ca="1" si="100"/>
        <v>0</v>
      </c>
      <c r="AU35" s="674">
        <f t="shared" ca="1" si="100"/>
        <v>0</v>
      </c>
      <c r="AV35" s="674">
        <f t="shared" ca="1" si="100"/>
        <v>0</v>
      </c>
      <c r="AW35" s="674">
        <f t="shared" ca="1" si="100"/>
        <v>0</v>
      </c>
      <c r="AX35" s="674">
        <f t="shared" ca="1" si="100"/>
        <v>0</v>
      </c>
      <c r="AY35" s="674">
        <f t="shared" ca="1" si="100"/>
        <v>0</v>
      </c>
      <c r="AZ35" s="674">
        <f t="shared" ca="1" si="100"/>
        <v>0</v>
      </c>
      <c r="BA35" s="674">
        <f t="shared" ca="1" si="100"/>
        <v>0</v>
      </c>
      <c r="BB35" s="674">
        <f t="shared" ca="1" si="100"/>
        <v>0</v>
      </c>
      <c r="BC35" s="674">
        <f t="shared" ca="1" si="100"/>
        <v>0</v>
      </c>
      <c r="BD35" s="674">
        <f t="shared" ca="1" si="100"/>
        <v>0</v>
      </c>
      <c r="BE35" s="674">
        <f t="shared" ca="1" si="100"/>
        <v>0</v>
      </c>
      <c r="BF35" s="674">
        <f ca="1">SUM(AM35:BE35)</f>
        <v>0</v>
      </c>
      <c r="BH35" s="688">
        <f ca="1">BH34</f>
        <v>0</v>
      </c>
      <c r="BI35" s="688">
        <f ca="1">BI34</f>
        <v>0</v>
      </c>
      <c r="BJ35" s="688">
        <f ca="1">SUM(BH35:BI35)</f>
        <v>0</v>
      </c>
      <c r="BL35" s="505">
        <f t="shared" ca="1" si="9"/>
        <v>0</v>
      </c>
      <c r="BM35" s="505"/>
      <c r="BN35" s="592"/>
      <c r="BO35" s="1083">
        <f t="shared" ref="BO35:DF35" ca="1" si="101">BO34</f>
        <v>0</v>
      </c>
      <c r="BP35" s="1083">
        <f t="shared" ca="1" si="101"/>
        <v>0</v>
      </c>
      <c r="BQ35" s="1083">
        <f t="shared" ca="1" si="101"/>
        <v>0</v>
      </c>
      <c r="BR35" s="1083">
        <f t="shared" ca="1" si="101"/>
        <v>0</v>
      </c>
      <c r="BS35" s="1083">
        <f t="shared" ca="1" si="101"/>
        <v>0</v>
      </c>
      <c r="BT35" s="1083">
        <f t="shared" ca="1" si="101"/>
        <v>0</v>
      </c>
      <c r="BU35" s="1083">
        <f t="shared" ca="1" si="101"/>
        <v>0</v>
      </c>
      <c r="BV35" s="1083">
        <f t="shared" ca="1" si="101"/>
        <v>0</v>
      </c>
      <c r="BW35" s="1083">
        <f t="shared" ca="1" si="101"/>
        <v>0</v>
      </c>
      <c r="BX35" s="1083">
        <f t="shared" ca="1" si="101"/>
        <v>0</v>
      </c>
      <c r="BY35" s="1083">
        <f t="shared" ca="1" si="101"/>
        <v>0</v>
      </c>
      <c r="BZ35" s="1083">
        <f t="shared" ca="1" si="101"/>
        <v>0</v>
      </c>
      <c r="CA35" s="1083">
        <f t="shared" ca="1" si="101"/>
        <v>0</v>
      </c>
      <c r="CB35" s="1083">
        <f t="shared" ca="1" si="101"/>
        <v>0</v>
      </c>
      <c r="CC35" s="1083">
        <f t="shared" ca="1" si="101"/>
        <v>0</v>
      </c>
      <c r="CD35" s="1083">
        <f t="shared" ca="1" si="101"/>
        <v>0</v>
      </c>
      <c r="CE35" s="1083">
        <f t="shared" ca="1" si="101"/>
        <v>0</v>
      </c>
      <c r="CF35" s="1083">
        <f t="shared" ca="1" si="101"/>
        <v>0</v>
      </c>
      <c r="CG35" s="1083">
        <f t="shared" ca="1" si="101"/>
        <v>0</v>
      </c>
      <c r="CH35" s="1083">
        <f t="shared" ca="1" si="101"/>
        <v>0</v>
      </c>
      <c r="CI35" s="1083">
        <f t="shared" ca="1" si="101"/>
        <v>0</v>
      </c>
      <c r="CJ35" s="1083">
        <f t="shared" ca="1" si="101"/>
        <v>0</v>
      </c>
      <c r="CK35" s="1083">
        <f t="shared" ca="1" si="101"/>
        <v>0</v>
      </c>
      <c r="CL35" s="1083">
        <f t="shared" ca="1" si="101"/>
        <v>0</v>
      </c>
      <c r="CM35" s="1083">
        <f t="shared" ca="1" si="101"/>
        <v>0</v>
      </c>
      <c r="CN35" s="1083">
        <f t="shared" ca="1" si="101"/>
        <v>0</v>
      </c>
      <c r="CO35" s="1083">
        <f t="shared" ca="1" si="101"/>
        <v>0</v>
      </c>
      <c r="CP35" s="1083">
        <f t="shared" ca="1" si="101"/>
        <v>0</v>
      </c>
      <c r="CQ35" s="1083">
        <f t="shared" ca="1" si="101"/>
        <v>0</v>
      </c>
      <c r="CR35" s="1083">
        <f t="shared" ca="1" si="101"/>
        <v>0</v>
      </c>
      <c r="CS35" s="1083">
        <f t="shared" ca="1" si="101"/>
        <v>0</v>
      </c>
      <c r="CT35" s="1083">
        <f t="shared" ca="1" si="101"/>
        <v>0</v>
      </c>
      <c r="CU35" s="1083">
        <f t="shared" ca="1" si="101"/>
        <v>0</v>
      </c>
      <c r="CV35" s="1083">
        <f t="shared" ca="1" si="101"/>
        <v>0</v>
      </c>
      <c r="CW35" s="1083">
        <f t="shared" ca="1" si="101"/>
        <v>0</v>
      </c>
      <c r="CX35" s="1083">
        <f t="shared" ca="1" si="101"/>
        <v>0</v>
      </c>
      <c r="CY35" s="1083">
        <f t="shared" ca="1" si="101"/>
        <v>0</v>
      </c>
      <c r="CZ35" s="1083">
        <f t="shared" ca="1" si="101"/>
        <v>0</v>
      </c>
      <c r="DA35" s="1083">
        <f t="shared" ca="1" si="101"/>
        <v>0</v>
      </c>
      <c r="DB35" s="1083">
        <f t="shared" ca="1" si="101"/>
        <v>0</v>
      </c>
      <c r="DC35" s="1083">
        <f t="shared" ca="1" si="101"/>
        <v>0</v>
      </c>
      <c r="DD35" s="1083">
        <f t="shared" ca="1" si="101"/>
        <v>0</v>
      </c>
      <c r="DE35" s="1083">
        <f t="shared" ca="1" si="101"/>
        <v>0</v>
      </c>
      <c r="DF35" s="1083">
        <f t="shared" ca="1" si="101"/>
        <v>0</v>
      </c>
      <c r="DH35" s="590">
        <f t="shared" ca="1" si="36"/>
        <v>0</v>
      </c>
    </row>
    <row r="36" spans="1:112" s="532" customFormat="1" ht="12.75" customHeight="1" outlineLevel="1">
      <c r="A36" s="22"/>
      <c r="B36" s="22"/>
      <c r="C36" s="535"/>
      <c r="D36" s="503"/>
      <c r="E36" s="503"/>
      <c r="G36" s="718"/>
      <c r="H36" s="718"/>
      <c r="I36" s="718"/>
      <c r="J36" s="718"/>
      <c r="K36" s="718"/>
      <c r="L36" s="718"/>
      <c r="M36" s="718"/>
      <c r="N36" s="718"/>
      <c r="O36" s="718"/>
      <c r="P36" s="718"/>
      <c r="Q36" s="718"/>
      <c r="S36" s="668"/>
      <c r="T36" s="668"/>
      <c r="U36" s="668"/>
      <c r="V36" s="668"/>
      <c r="W36" s="668"/>
      <c r="X36" s="668"/>
      <c r="Y36" s="668"/>
      <c r="Z36" s="668"/>
      <c r="AA36" s="668"/>
      <c r="AB36" s="668"/>
      <c r="AC36" s="668"/>
      <c r="AD36" s="668"/>
      <c r="AE36" s="668"/>
      <c r="AF36" s="668"/>
      <c r="AG36" s="668"/>
      <c r="AH36" s="668"/>
      <c r="AI36" s="668"/>
      <c r="AJ36" s="668"/>
      <c r="AK36" s="668"/>
      <c r="AM36" s="674"/>
      <c r="AN36" s="674"/>
      <c r="AO36" s="674"/>
      <c r="AP36" s="674"/>
      <c r="AQ36" s="674"/>
      <c r="AR36" s="674"/>
      <c r="AS36" s="674"/>
      <c r="AT36" s="674"/>
      <c r="AU36" s="674"/>
      <c r="AV36" s="674"/>
      <c r="AW36" s="674"/>
      <c r="AX36" s="674"/>
      <c r="AY36" s="674"/>
      <c r="AZ36" s="674"/>
      <c r="BA36" s="674"/>
      <c r="BB36" s="674"/>
      <c r="BC36" s="674"/>
      <c r="BD36" s="674"/>
      <c r="BE36" s="674"/>
      <c r="BF36" s="674"/>
      <c r="BH36" s="688"/>
      <c r="BI36" s="688"/>
      <c r="BJ36" s="688"/>
      <c r="BL36" s="505">
        <f t="shared" si="9"/>
        <v>0</v>
      </c>
      <c r="BM36" s="505"/>
      <c r="BN36" s="22"/>
      <c r="BO36" s="1082"/>
      <c r="BP36" s="1083"/>
      <c r="BQ36" s="1083"/>
      <c r="BR36" s="1083"/>
      <c r="BS36" s="1083"/>
      <c r="BT36" s="1083"/>
      <c r="BU36" s="1083"/>
      <c r="BV36" s="1083"/>
      <c r="BW36" s="1083"/>
      <c r="BX36" s="1083"/>
      <c r="BY36" s="1083"/>
      <c r="BZ36" s="1083"/>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c r="CU36" s="1083"/>
      <c r="CV36" s="1083"/>
      <c r="CW36" s="1083"/>
      <c r="CX36" s="1083"/>
      <c r="CY36" s="1083"/>
      <c r="CZ36" s="1083"/>
      <c r="DA36" s="1083"/>
      <c r="DB36" s="1083"/>
      <c r="DC36" s="1083"/>
      <c r="DD36" s="1083"/>
      <c r="DE36" s="1083"/>
      <c r="DF36" s="1083"/>
      <c r="DH36" s="590">
        <f t="shared" si="36"/>
        <v>0</v>
      </c>
    </row>
    <row r="37" spans="1:112" s="532" customFormat="1" ht="12.75" customHeight="1" outlineLevel="1">
      <c r="A37" s="1085"/>
      <c r="B37" s="1085"/>
      <c r="C37" s="534" t="s">
        <v>733</v>
      </c>
      <c r="D37" s="707" t="str">
        <f>INDEX(Modules[Module], MATCH($C37, Modules[Code], 0))</f>
        <v>Geosequestration</v>
      </c>
      <c r="E37" s="707"/>
      <c r="G37" s="719">
        <f t="shared" ref="G37:P37" ca="1" si="102">IFERROR(INDEX(INDIRECT($C37&amp;".Outputs["&amp;this.Year&amp;"]"), MATCH(G$5, INDIRECT($C37&amp;".Outputs[Vector]"), 0)), 0)</f>
        <v>0</v>
      </c>
      <c r="H37" s="719">
        <f t="shared" ca="1" si="102"/>
        <v>0</v>
      </c>
      <c r="I37" s="719">
        <f t="shared" ca="1" si="102"/>
        <v>0</v>
      </c>
      <c r="J37" s="719">
        <f t="shared" ca="1" si="102"/>
        <v>0</v>
      </c>
      <c r="K37" s="719">
        <f t="shared" ca="1" si="102"/>
        <v>0</v>
      </c>
      <c r="L37" s="719">
        <f t="shared" ca="1" si="102"/>
        <v>0</v>
      </c>
      <c r="M37" s="719">
        <f t="shared" ca="1" si="102"/>
        <v>0</v>
      </c>
      <c r="N37" s="719">
        <f t="shared" ca="1" si="102"/>
        <v>0</v>
      </c>
      <c r="O37" s="719">
        <f t="shared" ca="1" si="102"/>
        <v>0</v>
      </c>
      <c r="P37" s="719">
        <f t="shared" ca="1" si="102"/>
        <v>0</v>
      </c>
      <c r="Q37" s="717">
        <f ca="1">SUM(G37:P37)</f>
        <v>0</v>
      </c>
      <c r="S37" s="728">
        <f t="shared" ref="S37:BE37" ca="1" si="103">IFERROR(INDEX(INDIRECT($C37&amp;".Outputs["&amp;this.Year&amp;"]"), MATCH(S$5, INDIRECT($C37&amp;".Outputs[Vector]"), 0)), 0)</f>
        <v>0</v>
      </c>
      <c r="T37" s="728">
        <f t="shared" ca="1" si="103"/>
        <v>0</v>
      </c>
      <c r="U37" s="728">
        <f t="shared" ca="1" si="103"/>
        <v>0</v>
      </c>
      <c r="V37" s="728">
        <f t="shared" ca="1" si="103"/>
        <v>0</v>
      </c>
      <c r="W37" s="728">
        <f t="shared" ca="1" si="103"/>
        <v>0</v>
      </c>
      <c r="X37" s="728">
        <f ca="1">IFERROR(INDEX(INDIRECT($C37&amp;".Outputs["&amp;this.Year&amp;"]"), MATCH(X$5, INDIRECT($C37&amp;".Outputs[Vector]"), 0)), 0)</f>
        <v>0</v>
      </c>
      <c r="Y37" s="728">
        <f ca="1">IFERROR(INDEX(INDIRECT($C37&amp;".Outputs["&amp;this.Year&amp;"]"), MATCH(Y$5, INDIRECT($C37&amp;".Outputs[Vector]"), 0)), 0)</f>
        <v>0</v>
      </c>
      <c r="Z37" s="728">
        <f ca="1">IFERROR(INDEX(INDIRECT($C37&amp;".Outputs["&amp;this.Year&amp;"]"), MATCH(Z$5, INDIRECT($C37&amp;".Outputs[Vector]"), 0)), 0)</f>
        <v>0</v>
      </c>
      <c r="AA37" s="728">
        <f t="shared" ca="1" si="103"/>
        <v>0</v>
      </c>
      <c r="AB37" s="728">
        <f t="shared" ca="1" si="103"/>
        <v>0</v>
      </c>
      <c r="AC37" s="728">
        <f t="shared" ca="1" si="103"/>
        <v>0</v>
      </c>
      <c r="AD37" s="728">
        <f t="shared" ca="1" si="103"/>
        <v>0</v>
      </c>
      <c r="AE37" s="728">
        <f t="shared" ca="1" si="103"/>
        <v>0</v>
      </c>
      <c r="AF37" s="728">
        <f t="shared" ca="1" si="103"/>
        <v>0</v>
      </c>
      <c r="AG37" s="728">
        <f t="shared" ca="1" si="103"/>
        <v>0</v>
      </c>
      <c r="AH37" s="728">
        <f t="shared" ca="1" si="103"/>
        <v>0</v>
      </c>
      <c r="AI37" s="728">
        <f t="shared" ca="1" si="103"/>
        <v>0</v>
      </c>
      <c r="AJ37" s="728">
        <f t="shared" ca="1" si="103"/>
        <v>0</v>
      </c>
      <c r="AK37" s="727">
        <f ca="1">SUM(S37:AJ37)</f>
        <v>0</v>
      </c>
      <c r="AM37" s="739">
        <f t="shared" ref="AM37:AU37" ca="1" si="104">IFERROR(INDEX(INDIRECT($C37&amp;".Outputs["&amp;this.Year&amp;"]"), MATCH(AM$5, INDIRECT($C37&amp;".Outputs[Vector]"), 0)), 0)</f>
        <v>0</v>
      </c>
      <c r="AN37" s="739">
        <f t="shared" ca="1" si="104"/>
        <v>0</v>
      </c>
      <c r="AO37" s="739">
        <f t="shared" ca="1" si="104"/>
        <v>0</v>
      </c>
      <c r="AP37" s="739">
        <f t="shared" ca="1" si="104"/>
        <v>0</v>
      </c>
      <c r="AQ37" s="739">
        <f t="shared" ca="1" si="104"/>
        <v>0</v>
      </c>
      <c r="AR37" s="739">
        <f t="shared" ca="1" si="104"/>
        <v>0</v>
      </c>
      <c r="AS37" s="739">
        <f t="shared" ca="1" si="104"/>
        <v>0</v>
      </c>
      <c r="AT37" s="739">
        <f t="shared" ca="1" si="104"/>
        <v>0</v>
      </c>
      <c r="AU37" s="739">
        <f t="shared" ca="1" si="104"/>
        <v>0</v>
      </c>
      <c r="AV37" s="739">
        <f t="shared" ca="1" si="103"/>
        <v>0</v>
      </c>
      <c r="AW37" s="739">
        <f t="shared" ca="1" si="103"/>
        <v>0</v>
      </c>
      <c r="AX37" s="739">
        <f t="shared" ca="1" si="103"/>
        <v>0</v>
      </c>
      <c r="AY37" s="739">
        <f t="shared" ca="1" si="103"/>
        <v>0</v>
      </c>
      <c r="AZ37" s="739">
        <f t="shared" ca="1" si="103"/>
        <v>0</v>
      </c>
      <c r="BA37" s="739">
        <f t="shared" ca="1" si="103"/>
        <v>0</v>
      </c>
      <c r="BB37" s="739">
        <f t="shared" ca="1" si="103"/>
        <v>0</v>
      </c>
      <c r="BC37" s="739">
        <f t="shared" ca="1" si="103"/>
        <v>0</v>
      </c>
      <c r="BD37" s="739">
        <f t="shared" ca="1" si="103"/>
        <v>0</v>
      </c>
      <c r="BE37" s="739">
        <f t="shared" ca="1" si="103"/>
        <v>0</v>
      </c>
      <c r="BF37" s="709">
        <f ca="1">SUM(AM37:BE37)</f>
        <v>0</v>
      </c>
      <c r="BH37" s="733">
        <f ca="1">IFERROR(INDEX(INDIRECT($C37&amp;".Outputs["&amp;this.Year&amp;"]"), MATCH(BH$5, INDIRECT($C37&amp;".Outputs[Vector]"), 0)), 0)</f>
        <v>0</v>
      </c>
      <c r="BI37" s="733">
        <f ca="1">IFERROR(INDEX(INDIRECT($C37&amp;".Outputs["&amp;this.Year&amp;"]"), MATCH(BI$5, INDIRECT($C37&amp;".Outputs[Vector]"), 0)), 0)</f>
        <v>0</v>
      </c>
      <c r="BJ37" s="732">
        <f ca="1">SUM(BH37:BI37)</f>
        <v>0</v>
      </c>
      <c r="BL37" s="576">
        <f t="shared" ca="1" si="9"/>
        <v>0</v>
      </c>
      <c r="BM37" s="576"/>
      <c r="BN37" s="592"/>
      <c r="BO37" s="1086">
        <f t="shared" ref="BO37:DF37" ca="1" si="105">IFERROR(SUMIFS(INDIRECT($C37&amp;".Emissions["&amp;this.Year&amp;"]"), INDIRECT($C37&amp;".Emissions[GHG]"), BO$6, INDIRECT($C37&amp;".Emissions[IPCC Sector]"), BO$5),0)</f>
        <v>0</v>
      </c>
      <c r="BP37" s="1087">
        <f t="shared" ca="1" si="105"/>
        <v>0</v>
      </c>
      <c r="BQ37" s="1087">
        <f t="shared" ca="1" si="105"/>
        <v>0</v>
      </c>
      <c r="BR37" s="1087">
        <f t="shared" ca="1" si="105"/>
        <v>0</v>
      </c>
      <c r="BS37" s="1087">
        <f t="shared" ca="1" si="105"/>
        <v>0</v>
      </c>
      <c r="BT37" s="1087">
        <f t="shared" ca="1" si="105"/>
        <v>0</v>
      </c>
      <c r="BU37" s="1087">
        <f t="shared" ca="1" si="105"/>
        <v>0</v>
      </c>
      <c r="BV37" s="1087">
        <f t="shared" ca="1" si="105"/>
        <v>0</v>
      </c>
      <c r="BW37" s="1087">
        <f t="shared" ca="1" si="105"/>
        <v>0</v>
      </c>
      <c r="BX37" s="1087">
        <f t="shared" ca="1" si="105"/>
        <v>0</v>
      </c>
      <c r="BY37" s="1087">
        <f t="shared" ca="1" si="105"/>
        <v>0</v>
      </c>
      <c r="BZ37" s="1087">
        <f t="shared" ca="1" si="105"/>
        <v>0</v>
      </c>
      <c r="CA37" s="1087">
        <f t="shared" ca="1" si="105"/>
        <v>0</v>
      </c>
      <c r="CB37" s="1087">
        <f t="shared" ca="1" si="105"/>
        <v>0</v>
      </c>
      <c r="CC37" s="1087">
        <f t="shared" ca="1" si="105"/>
        <v>0</v>
      </c>
      <c r="CD37" s="1087">
        <f t="shared" ca="1" si="105"/>
        <v>0</v>
      </c>
      <c r="CE37" s="1087">
        <f t="shared" ca="1" si="105"/>
        <v>0</v>
      </c>
      <c r="CF37" s="1087">
        <f t="shared" ca="1" si="105"/>
        <v>0</v>
      </c>
      <c r="CG37" s="1087">
        <f t="shared" ca="1" si="105"/>
        <v>0</v>
      </c>
      <c r="CH37" s="1087">
        <f t="shared" ca="1" si="105"/>
        <v>0</v>
      </c>
      <c r="CI37" s="1087">
        <f t="shared" ca="1" si="105"/>
        <v>0</v>
      </c>
      <c r="CJ37" s="1087">
        <f t="shared" ca="1" si="105"/>
        <v>0</v>
      </c>
      <c r="CK37" s="1087">
        <f t="shared" ca="1" si="105"/>
        <v>0</v>
      </c>
      <c r="CL37" s="1087">
        <f t="shared" ca="1" si="105"/>
        <v>0</v>
      </c>
      <c r="CM37" s="1087">
        <f t="shared" ca="1" si="105"/>
        <v>0</v>
      </c>
      <c r="CN37" s="1087">
        <f t="shared" ca="1" si="105"/>
        <v>0</v>
      </c>
      <c r="CO37" s="1087">
        <f t="shared" ca="1" si="105"/>
        <v>0</v>
      </c>
      <c r="CP37" s="1087">
        <f t="shared" ca="1" si="105"/>
        <v>0</v>
      </c>
      <c r="CQ37" s="1087">
        <f t="shared" ca="1" si="105"/>
        <v>0</v>
      </c>
      <c r="CR37" s="1087">
        <f t="shared" ca="1" si="105"/>
        <v>0</v>
      </c>
      <c r="CS37" s="1087">
        <f t="shared" ca="1" si="105"/>
        <v>0</v>
      </c>
      <c r="CT37" s="1087">
        <f t="shared" ca="1" si="105"/>
        <v>0</v>
      </c>
      <c r="CU37" s="1087">
        <f t="shared" ca="1" si="105"/>
        <v>0</v>
      </c>
      <c r="CV37" s="1087">
        <f t="shared" ca="1" si="105"/>
        <v>0</v>
      </c>
      <c r="CW37" s="1087">
        <f t="shared" ca="1" si="105"/>
        <v>0</v>
      </c>
      <c r="CX37" s="1087">
        <f t="shared" ca="1" si="105"/>
        <v>0</v>
      </c>
      <c r="CY37" s="1087">
        <f t="shared" ca="1" si="105"/>
        <v>0</v>
      </c>
      <c r="CZ37" s="1087">
        <f t="shared" ca="1" si="105"/>
        <v>0</v>
      </c>
      <c r="DA37" s="1087">
        <f t="shared" ca="1" si="105"/>
        <v>0</v>
      </c>
      <c r="DB37" s="1087">
        <f t="shared" ca="1" si="105"/>
        <v>0</v>
      </c>
      <c r="DC37" s="1087">
        <f t="shared" ca="1" si="105"/>
        <v>0</v>
      </c>
      <c r="DD37" s="1087">
        <f t="shared" ca="1" si="105"/>
        <v>0</v>
      </c>
      <c r="DE37" s="1087">
        <f t="shared" ca="1" si="105"/>
        <v>0</v>
      </c>
      <c r="DF37" s="1087">
        <f t="shared" ca="1" si="105"/>
        <v>0</v>
      </c>
      <c r="DH37" s="590">
        <f t="shared" ca="1" si="36"/>
        <v>0</v>
      </c>
    </row>
    <row r="38" spans="1:112" s="532" customFormat="1" ht="15">
      <c r="A38" s="22"/>
      <c r="B38" s="537"/>
      <c r="C38" s="533" t="s">
        <v>564</v>
      </c>
      <c r="D38" s="507" t="str">
        <f>INDEX(Workstreams[Workstream], MATCH($C38, Workstreams[Code], 0))</f>
        <v>Geosequestration</v>
      </c>
      <c r="E38" s="503"/>
      <c r="G38" s="718">
        <f ca="1">G37</f>
        <v>0</v>
      </c>
      <c r="H38" s="718">
        <f t="shared" ref="H38:P38" ca="1" si="106">H37</f>
        <v>0</v>
      </c>
      <c r="I38" s="718">
        <f t="shared" ca="1" si="106"/>
        <v>0</v>
      </c>
      <c r="J38" s="718">
        <f t="shared" ca="1" si="106"/>
        <v>0</v>
      </c>
      <c r="K38" s="718">
        <f t="shared" ca="1" si="106"/>
        <v>0</v>
      </c>
      <c r="L38" s="718">
        <f t="shared" ca="1" si="106"/>
        <v>0</v>
      </c>
      <c r="M38" s="718">
        <f t="shared" ca="1" si="106"/>
        <v>0</v>
      </c>
      <c r="N38" s="718">
        <f t="shared" ca="1" si="106"/>
        <v>0</v>
      </c>
      <c r="O38" s="718">
        <f t="shared" ca="1" si="106"/>
        <v>0</v>
      </c>
      <c r="P38" s="718">
        <f t="shared" ca="1" si="106"/>
        <v>0</v>
      </c>
      <c r="Q38" s="718">
        <f ca="1">SUM(G38:P38)</f>
        <v>0</v>
      </c>
      <c r="S38" s="668">
        <f t="shared" ref="S38:AJ38" ca="1" si="107">S37</f>
        <v>0</v>
      </c>
      <c r="T38" s="668">
        <f t="shared" ca="1" si="107"/>
        <v>0</v>
      </c>
      <c r="U38" s="668">
        <f t="shared" ca="1" si="107"/>
        <v>0</v>
      </c>
      <c r="V38" s="668">
        <f t="shared" ca="1" si="107"/>
        <v>0</v>
      </c>
      <c r="W38" s="668">
        <f t="shared" ca="1" si="107"/>
        <v>0</v>
      </c>
      <c r="X38" s="668">
        <f ca="1">X37</f>
        <v>0</v>
      </c>
      <c r="Y38" s="668">
        <f ca="1">Y37</f>
        <v>0</v>
      </c>
      <c r="Z38" s="668">
        <f ca="1">Z37</f>
        <v>0</v>
      </c>
      <c r="AA38" s="668">
        <f t="shared" ca="1" si="107"/>
        <v>0</v>
      </c>
      <c r="AB38" s="668">
        <f t="shared" ca="1" si="107"/>
        <v>0</v>
      </c>
      <c r="AC38" s="668">
        <f t="shared" ca="1" si="107"/>
        <v>0</v>
      </c>
      <c r="AD38" s="668">
        <f ca="1">AD37</f>
        <v>0</v>
      </c>
      <c r="AE38" s="668">
        <f ca="1">AE37</f>
        <v>0</v>
      </c>
      <c r="AF38" s="668">
        <f t="shared" ca="1" si="107"/>
        <v>0</v>
      </c>
      <c r="AG38" s="668">
        <f ca="1">AG37</f>
        <v>0</v>
      </c>
      <c r="AH38" s="668">
        <f ca="1">AH37</f>
        <v>0</v>
      </c>
      <c r="AI38" s="668">
        <f ca="1">AI37</f>
        <v>0</v>
      </c>
      <c r="AJ38" s="668">
        <f t="shared" ca="1" si="107"/>
        <v>0</v>
      </c>
      <c r="AK38" s="668">
        <f ca="1">SUM(S38:AJ38)</f>
        <v>0</v>
      </c>
      <c r="AM38" s="674">
        <f t="shared" ref="AM38:AS38" ca="1" si="108">AM37</f>
        <v>0</v>
      </c>
      <c r="AN38" s="674">
        <f t="shared" ca="1" si="108"/>
        <v>0</v>
      </c>
      <c r="AO38" s="674">
        <f t="shared" ca="1" si="108"/>
        <v>0</v>
      </c>
      <c r="AP38" s="674">
        <f t="shared" ca="1" si="108"/>
        <v>0</v>
      </c>
      <c r="AQ38" s="674">
        <f t="shared" ca="1" si="108"/>
        <v>0</v>
      </c>
      <c r="AR38" s="674">
        <f t="shared" ca="1" si="108"/>
        <v>0</v>
      </c>
      <c r="AS38" s="674">
        <f t="shared" ca="1" si="108"/>
        <v>0</v>
      </c>
      <c r="AT38" s="674">
        <f t="shared" ref="AT38:BE38" ca="1" si="109">AT37</f>
        <v>0</v>
      </c>
      <c r="AU38" s="674">
        <f t="shared" ca="1" si="109"/>
        <v>0</v>
      </c>
      <c r="AV38" s="674">
        <f t="shared" ca="1" si="109"/>
        <v>0</v>
      </c>
      <c r="AW38" s="674">
        <f t="shared" ca="1" si="109"/>
        <v>0</v>
      </c>
      <c r="AX38" s="674">
        <f t="shared" ca="1" si="109"/>
        <v>0</v>
      </c>
      <c r="AY38" s="674">
        <f t="shared" ca="1" si="109"/>
        <v>0</v>
      </c>
      <c r="AZ38" s="674">
        <f t="shared" ca="1" si="109"/>
        <v>0</v>
      </c>
      <c r="BA38" s="674">
        <f t="shared" ca="1" si="109"/>
        <v>0</v>
      </c>
      <c r="BB38" s="674">
        <f t="shared" ca="1" si="109"/>
        <v>0</v>
      </c>
      <c r="BC38" s="674">
        <f t="shared" ca="1" si="109"/>
        <v>0</v>
      </c>
      <c r="BD38" s="674">
        <f t="shared" ca="1" si="109"/>
        <v>0</v>
      </c>
      <c r="BE38" s="674">
        <f t="shared" ca="1" si="109"/>
        <v>0</v>
      </c>
      <c r="BF38" s="674">
        <f ca="1">SUM(AM38:BE38)</f>
        <v>0</v>
      </c>
      <c r="BH38" s="688">
        <f ca="1">BH37</f>
        <v>0</v>
      </c>
      <c r="BI38" s="688">
        <f ca="1">BI37</f>
        <v>0</v>
      </c>
      <c r="BJ38" s="688">
        <f ca="1">SUM(BH38:BI38)</f>
        <v>0</v>
      </c>
      <c r="BL38" s="505">
        <f t="shared" ca="1" si="9"/>
        <v>0</v>
      </c>
      <c r="BM38" s="505"/>
      <c r="BN38" s="592"/>
      <c r="BO38" s="1083">
        <f t="shared" ref="BO38:DF38" ca="1" si="110">BO37</f>
        <v>0</v>
      </c>
      <c r="BP38" s="1083">
        <f t="shared" ca="1" si="110"/>
        <v>0</v>
      </c>
      <c r="BQ38" s="1083">
        <f t="shared" ca="1" si="110"/>
        <v>0</v>
      </c>
      <c r="BR38" s="1083">
        <f t="shared" ca="1" si="110"/>
        <v>0</v>
      </c>
      <c r="BS38" s="1083">
        <f t="shared" ca="1" si="110"/>
        <v>0</v>
      </c>
      <c r="BT38" s="1083">
        <f t="shared" ca="1" si="110"/>
        <v>0</v>
      </c>
      <c r="BU38" s="1083">
        <f t="shared" ca="1" si="110"/>
        <v>0</v>
      </c>
      <c r="BV38" s="1083">
        <f t="shared" ca="1" si="110"/>
        <v>0</v>
      </c>
      <c r="BW38" s="1083">
        <f t="shared" ca="1" si="110"/>
        <v>0</v>
      </c>
      <c r="BX38" s="1083">
        <f t="shared" ca="1" si="110"/>
        <v>0</v>
      </c>
      <c r="BY38" s="1083">
        <f t="shared" ca="1" si="110"/>
        <v>0</v>
      </c>
      <c r="BZ38" s="1083">
        <f t="shared" ca="1" si="110"/>
        <v>0</v>
      </c>
      <c r="CA38" s="1083">
        <f t="shared" ca="1" si="110"/>
        <v>0</v>
      </c>
      <c r="CB38" s="1083">
        <f t="shared" ca="1" si="110"/>
        <v>0</v>
      </c>
      <c r="CC38" s="1083">
        <f t="shared" ca="1" si="110"/>
        <v>0</v>
      </c>
      <c r="CD38" s="1083">
        <f t="shared" ca="1" si="110"/>
        <v>0</v>
      </c>
      <c r="CE38" s="1083">
        <f t="shared" ca="1" si="110"/>
        <v>0</v>
      </c>
      <c r="CF38" s="1083">
        <f t="shared" ca="1" si="110"/>
        <v>0</v>
      </c>
      <c r="CG38" s="1083">
        <f t="shared" ca="1" si="110"/>
        <v>0</v>
      </c>
      <c r="CH38" s="1083">
        <f t="shared" ca="1" si="110"/>
        <v>0</v>
      </c>
      <c r="CI38" s="1083">
        <f t="shared" ca="1" si="110"/>
        <v>0</v>
      </c>
      <c r="CJ38" s="1083">
        <f t="shared" ca="1" si="110"/>
        <v>0</v>
      </c>
      <c r="CK38" s="1083">
        <f t="shared" ca="1" si="110"/>
        <v>0</v>
      </c>
      <c r="CL38" s="1083">
        <f t="shared" ca="1" si="110"/>
        <v>0</v>
      </c>
      <c r="CM38" s="1083">
        <f t="shared" ca="1" si="110"/>
        <v>0</v>
      </c>
      <c r="CN38" s="1083">
        <f t="shared" ca="1" si="110"/>
        <v>0</v>
      </c>
      <c r="CO38" s="1083">
        <f t="shared" ca="1" si="110"/>
        <v>0</v>
      </c>
      <c r="CP38" s="1083">
        <f t="shared" ca="1" si="110"/>
        <v>0</v>
      </c>
      <c r="CQ38" s="1083">
        <f t="shared" ca="1" si="110"/>
        <v>0</v>
      </c>
      <c r="CR38" s="1083">
        <f t="shared" ca="1" si="110"/>
        <v>0</v>
      </c>
      <c r="CS38" s="1083">
        <f t="shared" ca="1" si="110"/>
        <v>0</v>
      </c>
      <c r="CT38" s="1083">
        <f t="shared" ca="1" si="110"/>
        <v>0</v>
      </c>
      <c r="CU38" s="1083">
        <f t="shared" ca="1" si="110"/>
        <v>0</v>
      </c>
      <c r="CV38" s="1083">
        <f t="shared" ca="1" si="110"/>
        <v>0</v>
      </c>
      <c r="CW38" s="1083">
        <f t="shared" ca="1" si="110"/>
        <v>0</v>
      </c>
      <c r="CX38" s="1083">
        <f t="shared" ca="1" si="110"/>
        <v>0</v>
      </c>
      <c r="CY38" s="1083">
        <f t="shared" ca="1" si="110"/>
        <v>0</v>
      </c>
      <c r="CZ38" s="1083">
        <f t="shared" ca="1" si="110"/>
        <v>0</v>
      </c>
      <c r="DA38" s="1083">
        <f t="shared" ca="1" si="110"/>
        <v>0</v>
      </c>
      <c r="DB38" s="1083">
        <f t="shared" ca="1" si="110"/>
        <v>0</v>
      </c>
      <c r="DC38" s="1083">
        <f t="shared" ca="1" si="110"/>
        <v>0</v>
      </c>
      <c r="DD38" s="1083">
        <f t="shared" ca="1" si="110"/>
        <v>0</v>
      </c>
      <c r="DE38" s="1083">
        <f t="shared" ca="1" si="110"/>
        <v>0</v>
      </c>
      <c r="DF38" s="1083">
        <f t="shared" ca="1" si="110"/>
        <v>0</v>
      </c>
      <c r="DH38" s="590">
        <f t="shared" ca="1" si="36"/>
        <v>0</v>
      </c>
    </row>
    <row r="39" spans="1:112" s="532" customFormat="1" ht="6" customHeight="1">
      <c r="C39" s="506"/>
      <c r="D39" s="507"/>
      <c r="E39" s="501"/>
      <c r="G39" s="718"/>
      <c r="H39" s="718"/>
      <c r="I39" s="718"/>
      <c r="J39" s="718"/>
      <c r="K39" s="718"/>
      <c r="L39" s="718"/>
      <c r="M39" s="718"/>
      <c r="N39" s="718"/>
      <c r="O39" s="718"/>
      <c r="P39" s="718"/>
      <c r="Q39" s="718"/>
      <c r="S39" s="668"/>
      <c r="T39" s="668"/>
      <c r="U39" s="668"/>
      <c r="V39" s="668"/>
      <c r="W39" s="668"/>
      <c r="X39" s="668"/>
      <c r="Y39" s="668"/>
      <c r="Z39" s="668"/>
      <c r="AA39" s="668"/>
      <c r="AB39" s="668"/>
      <c r="AC39" s="668"/>
      <c r="AD39" s="668"/>
      <c r="AE39" s="668"/>
      <c r="AF39" s="668"/>
      <c r="AG39" s="668"/>
      <c r="AH39" s="668"/>
      <c r="AI39" s="668"/>
      <c r="AJ39" s="668"/>
      <c r="AK39" s="668"/>
      <c r="AM39" s="674"/>
      <c r="AN39" s="674"/>
      <c r="AO39" s="674"/>
      <c r="AP39" s="674"/>
      <c r="AQ39" s="674"/>
      <c r="AR39" s="674"/>
      <c r="AS39" s="674"/>
      <c r="AT39" s="674"/>
      <c r="AU39" s="674"/>
      <c r="AV39" s="674"/>
      <c r="AW39" s="674"/>
      <c r="AX39" s="674"/>
      <c r="AY39" s="674"/>
      <c r="AZ39" s="674"/>
      <c r="BA39" s="674"/>
      <c r="BB39" s="674"/>
      <c r="BC39" s="674"/>
      <c r="BD39" s="674"/>
      <c r="BE39" s="674"/>
      <c r="BF39" s="674">
        <f>SUM(AM39:BE39)</f>
        <v>0</v>
      </c>
      <c r="BH39" s="688"/>
      <c r="BI39" s="688"/>
      <c r="BJ39" s="688"/>
      <c r="BL39" s="505"/>
      <c r="BM39" s="505"/>
      <c r="BO39" s="1083"/>
      <c r="BP39" s="1083"/>
      <c r="BQ39" s="1083"/>
      <c r="BR39" s="1083"/>
      <c r="BS39" s="1083"/>
      <c r="BT39" s="1083"/>
      <c r="BU39" s="1083"/>
      <c r="BV39" s="1083"/>
      <c r="BW39" s="1083"/>
      <c r="BX39" s="1083"/>
      <c r="BY39" s="1083"/>
      <c r="BZ39" s="1083"/>
      <c r="CA39" s="1083"/>
      <c r="CB39" s="1083"/>
      <c r="CC39" s="1083"/>
      <c r="CD39" s="1083"/>
      <c r="CE39" s="1083"/>
      <c r="CF39" s="1083"/>
      <c r="CG39" s="1083"/>
      <c r="CH39" s="1083"/>
      <c r="CI39" s="1083"/>
      <c r="CJ39" s="1083"/>
      <c r="CK39" s="1083"/>
      <c r="CL39" s="1083"/>
      <c r="CM39" s="1083"/>
      <c r="CN39" s="1083"/>
      <c r="CO39" s="1083"/>
      <c r="CP39" s="1083"/>
      <c r="CQ39" s="1083"/>
      <c r="CR39" s="1083"/>
      <c r="CS39" s="1083"/>
      <c r="CT39" s="1083"/>
      <c r="CU39" s="1083"/>
      <c r="CV39" s="1083"/>
      <c r="CW39" s="1083"/>
      <c r="CX39" s="1083"/>
      <c r="CY39" s="1083"/>
      <c r="CZ39" s="1083"/>
      <c r="DA39" s="1083"/>
      <c r="DB39" s="1083"/>
      <c r="DC39" s="1083"/>
      <c r="DD39" s="1083"/>
      <c r="DE39" s="1083"/>
      <c r="DF39" s="1083"/>
      <c r="DH39" s="590"/>
    </row>
    <row r="40" spans="1:112" s="532" customFormat="1" ht="15">
      <c r="B40" s="537"/>
      <c r="C40" s="1349" t="s">
        <v>1144</v>
      </c>
      <c r="D40" s="518" t="s">
        <v>525</v>
      </c>
      <c r="E40" s="519"/>
      <c r="G40" s="720">
        <f t="shared" ref="G40:Q40" ca="1" si="111">G$15+G$19+G$22+G$32+G$35+G$38</f>
        <v>0</v>
      </c>
      <c r="H40" s="720">
        <f t="shared" ca="1" si="111"/>
        <v>0</v>
      </c>
      <c r="I40" s="720">
        <f t="shared" ca="1" si="111"/>
        <v>0</v>
      </c>
      <c r="J40" s="720">
        <f t="shared" ca="1" si="111"/>
        <v>0</v>
      </c>
      <c r="K40" s="720">
        <f t="shared" ca="1" si="111"/>
        <v>0</v>
      </c>
      <c r="L40" s="720">
        <f t="shared" ca="1" si="111"/>
        <v>0</v>
      </c>
      <c r="M40" s="720">
        <f t="shared" ca="1" si="111"/>
        <v>0</v>
      </c>
      <c r="N40" s="720">
        <f t="shared" ca="1" si="111"/>
        <v>0</v>
      </c>
      <c r="O40" s="720">
        <f t="shared" ca="1" si="111"/>
        <v>0</v>
      </c>
      <c r="P40" s="720">
        <f t="shared" ca="1" si="111"/>
        <v>0</v>
      </c>
      <c r="Q40" s="720">
        <f t="shared" ca="1" si="111"/>
        <v>0</v>
      </c>
      <c r="S40" s="711">
        <f t="shared" ref="S40:AJ40" ca="1" si="112">S$15+S$19+S$22+S$32+S$35+S$38</f>
        <v>0</v>
      </c>
      <c r="T40" s="711">
        <f t="shared" ca="1" si="112"/>
        <v>0</v>
      </c>
      <c r="U40" s="711">
        <f t="shared" ca="1" si="112"/>
        <v>0</v>
      </c>
      <c r="V40" s="711">
        <f t="shared" ca="1" si="112"/>
        <v>0</v>
      </c>
      <c r="W40" s="711">
        <f t="shared" ca="1" si="112"/>
        <v>0</v>
      </c>
      <c r="X40" s="711">
        <f ca="1">X$15+X$19+X$22+X$32+X$35+X$38</f>
        <v>0</v>
      </c>
      <c r="Y40" s="711">
        <f ca="1">Y$15+Y$19+Y$22+Y$32+Y$35+Y$38</f>
        <v>0</v>
      </c>
      <c r="Z40" s="711">
        <f ca="1">Z$15+Z$19+Z$22+Z$32+Z$35+Z$38</f>
        <v>0</v>
      </c>
      <c r="AA40" s="711">
        <f t="shared" ca="1" si="112"/>
        <v>0</v>
      </c>
      <c r="AB40" s="711">
        <f t="shared" ca="1" si="112"/>
        <v>0</v>
      </c>
      <c r="AC40" s="711">
        <f t="shared" ca="1" si="112"/>
        <v>0</v>
      </c>
      <c r="AD40" s="711">
        <f t="shared" ca="1" si="112"/>
        <v>0</v>
      </c>
      <c r="AE40" s="711">
        <f t="shared" ca="1" si="112"/>
        <v>0</v>
      </c>
      <c r="AF40" s="711">
        <f t="shared" ca="1" si="112"/>
        <v>0</v>
      </c>
      <c r="AG40" s="711">
        <f t="shared" ca="1" si="112"/>
        <v>0</v>
      </c>
      <c r="AH40" s="711">
        <f t="shared" ca="1" si="112"/>
        <v>0</v>
      </c>
      <c r="AI40" s="711">
        <f t="shared" ca="1" si="112"/>
        <v>0</v>
      </c>
      <c r="AJ40" s="711">
        <f t="shared" ca="1" si="112"/>
        <v>0</v>
      </c>
      <c r="AK40" s="711">
        <f ca="1">SUM(S40:AJ40)</f>
        <v>0</v>
      </c>
      <c r="AM40" s="712">
        <f t="shared" ref="AM40:BE40" ca="1" si="113">AM$15+AM$19+AM$22+AM$32+AM$35+AM$38</f>
        <v>0</v>
      </c>
      <c r="AN40" s="712">
        <f t="shared" ca="1" si="113"/>
        <v>0</v>
      </c>
      <c r="AO40" s="712">
        <f t="shared" ca="1" si="113"/>
        <v>0</v>
      </c>
      <c r="AP40" s="712">
        <f t="shared" ca="1" si="113"/>
        <v>0</v>
      </c>
      <c r="AQ40" s="712">
        <f t="shared" ca="1" si="113"/>
        <v>0</v>
      </c>
      <c r="AR40" s="712">
        <f t="shared" ca="1" si="113"/>
        <v>0</v>
      </c>
      <c r="AS40" s="712">
        <f t="shared" ca="1" si="113"/>
        <v>0</v>
      </c>
      <c r="AT40" s="712">
        <f t="shared" ca="1" si="113"/>
        <v>0</v>
      </c>
      <c r="AU40" s="712">
        <f t="shared" ca="1" si="113"/>
        <v>0</v>
      </c>
      <c r="AV40" s="712">
        <f t="shared" ca="1" si="113"/>
        <v>0</v>
      </c>
      <c r="AW40" s="712">
        <f t="shared" ca="1" si="113"/>
        <v>0</v>
      </c>
      <c r="AX40" s="712">
        <f t="shared" ca="1" si="113"/>
        <v>0</v>
      </c>
      <c r="AY40" s="712">
        <f t="shared" ca="1" si="113"/>
        <v>0</v>
      </c>
      <c r="AZ40" s="712">
        <f t="shared" ca="1" si="113"/>
        <v>0</v>
      </c>
      <c r="BA40" s="712">
        <f t="shared" ca="1" si="113"/>
        <v>0</v>
      </c>
      <c r="BB40" s="712">
        <f t="shared" ca="1" si="113"/>
        <v>0</v>
      </c>
      <c r="BC40" s="712">
        <f t="shared" ca="1" si="113"/>
        <v>0</v>
      </c>
      <c r="BD40" s="712">
        <f t="shared" ca="1" si="113"/>
        <v>0</v>
      </c>
      <c r="BE40" s="712">
        <f t="shared" ca="1" si="113"/>
        <v>0</v>
      </c>
      <c r="BF40" s="712">
        <f ca="1">SUM(AM40:BE40)</f>
        <v>0</v>
      </c>
      <c r="BH40" s="713">
        <f ca="1">BH$15+BH$19+BH$22+BH$32+BH$35+BH$38</f>
        <v>0</v>
      </c>
      <c r="BI40" s="713">
        <f ca="1">BI$15+BI$19+BI$22+BI$32+BI$35+BI$38</f>
        <v>0</v>
      </c>
      <c r="BJ40" s="713">
        <f ca="1">SUM(BH40:BI40)</f>
        <v>0</v>
      </c>
      <c r="BL40" s="508">
        <f t="shared" ca="1" si="9"/>
        <v>0</v>
      </c>
      <c r="BM40" s="508"/>
      <c r="BO40" s="1088">
        <f t="shared" ref="BO40:DF40" ca="1" si="114">BO$15+BO$19+BO$22+BO$32+BO$35+BO$38</f>
        <v>0</v>
      </c>
      <c r="BP40" s="1088">
        <f t="shared" ca="1" si="114"/>
        <v>0</v>
      </c>
      <c r="BQ40" s="1088">
        <f t="shared" ca="1" si="114"/>
        <v>0</v>
      </c>
      <c r="BR40" s="1088">
        <f t="shared" ca="1" si="114"/>
        <v>0</v>
      </c>
      <c r="BS40" s="1088">
        <f t="shared" ca="1" si="114"/>
        <v>0</v>
      </c>
      <c r="BT40" s="1088">
        <f t="shared" ca="1" si="114"/>
        <v>0</v>
      </c>
      <c r="BU40" s="1088">
        <f t="shared" ca="1" si="114"/>
        <v>0</v>
      </c>
      <c r="BV40" s="1088">
        <f t="shared" ca="1" si="114"/>
        <v>0</v>
      </c>
      <c r="BW40" s="1088">
        <f t="shared" ca="1" si="114"/>
        <v>0</v>
      </c>
      <c r="BX40" s="1088">
        <f t="shared" ca="1" si="114"/>
        <v>0</v>
      </c>
      <c r="BY40" s="1088">
        <f t="shared" ca="1" si="114"/>
        <v>0</v>
      </c>
      <c r="BZ40" s="1088">
        <f t="shared" ca="1" si="114"/>
        <v>0</v>
      </c>
      <c r="CA40" s="1088">
        <f t="shared" ca="1" si="114"/>
        <v>0</v>
      </c>
      <c r="CB40" s="1088">
        <f t="shared" ca="1" si="114"/>
        <v>0</v>
      </c>
      <c r="CC40" s="1088">
        <f t="shared" ca="1" si="114"/>
        <v>0</v>
      </c>
      <c r="CD40" s="1088">
        <f t="shared" ca="1" si="114"/>
        <v>0</v>
      </c>
      <c r="CE40" s="1088">
        <f t="shared" ca="1" si="114"/>
        <v>0</v>
      </c>
      <c r="CF40" s="1088">
        <f t="shared" ca="1" si="114"/>
        <v>0</v>
      </c>
      <c r="CG40" s="1088">
        <f t="shared" ca="1" si="114"/>
        <v>0</v>
      </c>
      <c r="CH40" s="1088">
        <f t="shared" ca="1" si="114"/>
        <v>0</v>
      </c>
      <c r="CI40" s="1088">
        <f t="shared" ca="1" si="114"/>
        <v>0</v>
      </c>
      <c r="CJ40" s="1088">
        <f t="shared" ca="1" si="114"/>
        <v>0</v>
      </c>
      <c r="CK40" s="1088">
        <f t="shared" ca="1" si="114"/>
        <v>0</v>
      </c>
      <c r="CL40" s="1088">
        <f t="shared" ca="1" si="114"/>
        <v>0</v>
      </c>
      <c r="CM40" s="1088">
        <f t="shared" ca="1" si="114"/>
        <v>0</v>
      </c>
      <c r="CN40" s="1088">
        <f t="shared" ca="1" si="114"/>
        <v>0</v>
      </c>
      <c r="CO40" s="1088">
        <f t="shared" ca="1" si="114"/>
        <v>0</v>
      </c>
      <c r="CP40" s="1088">
        <f t="shared" ca="1" si="114"/>
        <v>0</v>
      </c>
      <c r="CQ40" s="1088">
        <f t="shared" ca="1" si="114"/>
        <v>0</v>
      </c>
      <c r="CR40" s="1088">
        <f t="shared" ca="1" si="114"/>
        <v>0</v>
      </c>
      <c r="CS40" s="1088">
        <f t="shared" ca="1" si="114"/>
        <v>0</v>
      </c>
      <c r="CT40" s="1088">
        <f t="shared" ca="1" si="114"/>
        <v>0</v>
      </c>
      <c r="CU40" s="1088">
        <f t="shared" ca="1" si="114"/>
        <v>0</v>
      </c>
      <c r="CV40" s="1088">
        <f t="shared" ca="1" si="114"/>
        <v>0</v>
      </c>
      <c r="CW40" s="1088">
        <f t="shared" ca="1" si="114"/>
        <v>0</v>
      </c>
      <c r="CX40" s="1088">
        <f t="shared" ca="1" si="114"/>
        <v>0</v>
      </c>
      <c r="CY40" s="1088">
        <f t="shared" ca="1" si="114"/>
        <v>0</v>
      </c>
      <c r="CZ40" s="1088">
        <f t="shared" ca="1" si="114"/>
        <v>0</v>
      </c>
      <c r="DA40" s="1088">
        <f t="shared" ca="1" si="114"/>
        <v>0</v>
      </c>
      <c r="DB40" s="1088">
        <f t="shared" ca="1" si="114"/>
        <v>0</v>
      </c>
      <c r="DC40" s="1088">
        <f t="shared" ca="1" si="114"/>
        <v>0</v>
      </c>
      <c r="DD40" s="1088">
        <f t="shared" ca="1" si="114"/>
        <v>0</v>
      </c>
      <c r="DE40" s="1088">
        <f t="shared" ca="1" si="114"/>
        <v>0</v>
      </c>
      <c r="DF40" s="1088">
        <f t="shared" ca="1" si="114"/>
        <v>0</v>
      </c>
      <c r="DH40" s="587">
        <f ca="1">SUM(BO40:DF40)</f>
        <v>0</v>
      </c>
    </row>
    <row r="41" spans="1:112" s="532" customFormat="1" ht="6" customHeight="1">
      <c r="C41" s="501"/>
      <c r="D41" s="501"/>
      <c r="E41" s="501"/>
      <c r="G41" s="656"/>
      <c r="H41" s="656"/>
      <c r="I41" s="656"/>
      <c r="J41" s="656"/>
      <c r="K41" s="658"/>
      <c r="L41" s="656"/>
      <c r="M41" s="656"/>
      <c r="N41" s="656"/>
      <c r="O41" s="656"/>
      <c r="P41" s="656"/>
      <c r="Q41" s="656"/>
      <c r="S41" s="668"/>
      <c r="T41" s="668"/>
      <c r="U41" s="668"/>
      <c r="V41" s="668"/>
      <c r="W41" s="668"/>
      <c r="X41" s="668"/>
      <c r="Y41" s="668"/>
      <c r="Z41" s="668"/>
      <c r="AA41" s="668"/>
      <c r="AB41" s="668"/>
      <c r="AC41" s="668"/>
      <c r="AD41" s="668"/>
      <c r="AE41" s="668"/>
      <c r="AF41" s="668"/>
      <c r="AG41" s="668"/>
      <c r="AH41" s="668"/>
      <c r="AI41" s="668"/>
      <c r="AJ41" s="668"/>
      <c r="AK41" s="668"/>
      <c r="AM41" s="674"/>
      <c r="AN41" s="674"/>
      <c r="AO41" s="674"/>
      <c r="AP41" s="674"/>
      <c r="AQ41" s="674"/>
      <c r="AR41" s="674"/>
      <c r="AS41" s="674"/>
      <c r="AT41" s="674"/>
      <c r="AU41" s="674"/>
      <c r="AV41" s="674"/>
      <c r="AW41" s="674"/>
      <c r="AX41" s="674"/>
      <c r="AY41" s="674"/>
      <c r="AZ41" s="674"/>
      <c r="BA41" s="674"/>
      <c r="BB41" s="674"/>
      <c r="BC41" s="674"/>
      <c r="BD41" s="674"/>
      <c r="BE41" s="674"/>
      <c r="BF41" s="674"/>
      <c r="BH41" s="688"/>
      <c r="BI41" s="688"/>
      <c r="BJ41" s="688"/>
      <c r="BL41" s="505">
        <f t="shared" si="9"/>
        <v>0</v>
      </c>
      <c r="BM41" s="505"/>
      <c r="BO41" s="1083"/>
      <c r="BP41" s="1083"/>
      <c r="BQ41" s="1083"/>
      <c r="BR41" s="1083"/>
      <c r="BS41" s="1083"/>
      <c r="BT41" s="1083"/>
      <c r="BU41" s="1083"/>
      <c r="BV41" s="1083"/>
      <c r="BW41" s="1083"/>
      <c r="BX41" s="1083"/>
      <c r="BY41" s="1083"/>
      <c r="BZ41" s="1083"/>
      <c r="CA41" s="1083"/>
      <c r="CB41" s="1083"/>
      <c r="CC41" s="1083"/>
      <c r="CD41" s="1083"/>
      <c r="CE41" s="1083"/>
      <c r="CF41" s="1083"/>
      <c r="CG41" s="1083"/>
      <c r="CH41" s="1083"/>
      <c r="CI41" s="1083"/>
      <c r="CJ41" s="1083"/>
      <c r="CK41" s="1083"/>
      <c r="CL41" s="1083"/>
      <c r="CM41" s="1083"/>
      <c r="CN41" s="1083"/>
      <c r="CO41" s="1083"/>
      <c r="CP41" s="1083"/>
      <c r="CQ41" s="1083"/>
      <c r="CR41" s="1083"/>
      <c r="CS41" s="1083"/>
      <c r="CT41" s="1083"/>
      <c r="CU41" s="1083"/>
      <c r="CV41" s="1083"/>
      <c r="CW41" s="1083"/>
      <c r="CX41" s="1083"/>
      <c r="CY41" s="1083"/>
      <c r="CZ41" s="1083"/>
      <c r="DA41" s="1083"/>
      <c r="DB41" s="1083"/>
      <c r="DC41" s="1083"/>
      <c r="DD41" s="1083"/>
      <c r="DE41" s="1083"/>
      <c r="DF41" s="1083"/>
      <c r="DH41" s="590"/>
    </row>
    <row r="42" spans="1:112" s="532" customFormat="1" ht="24" customHeight="1">
      <c r="C42" s="495" t="s">
        <v>66</v>
      </c>
      <c r="D42" s="495"/>
      <c r="E42" s="517"/>
      <c r="G42" s="655"/>
      <c r="H42" s="655"/>
      <c r="I42" s="655"/>
      <c r="J42" s="655"/>
      <c r="K42" s="655"/>
      <c r="L42" s="655"/>
      <c r="M42" s="655"/>
      <c r="N42" s="655"/>
      <c r="O42" s="655"/>
      <c r="P42" s="655"/>
      <c r="Q42" s="655"/>
      <c r="S42" s="667"/>
      <c r="T42" s="667"/>
      <c r="U42" s="667"/>
      <c r="V42" s="667"/>
      <c r="W42" s="667"/>
      <c r="X42" s="667"/>
      <c r="Y42" s="667"/>
      <c r="Z42" s="667"/>
      <c r="AA42" s="667"/>
      <c r="AB42" s="667"/>
      <c r="AC42" s="667"/>
      <c r="AD42" s="667"/>
      <c r="AE42" s="667"/>
      <c r="AF42" s="667"/>
      <c r="AG42" s="667"/>
      <c r="AH42" s="667"/>
      <c r="AI42" s="667"/>
      <c r="AJ42" s="667"/>
      <c r="AK42" s="667"/>
      <c r="AM42" s="673"/>
      <c r="AN42" s="673"/>
      <c r="AO42" s="673"/>
      <c r="AP42" s="673"/>
      <c r="AQ42" s="673"/>
      <c r="AR42" s="673"/>
      <c r="AS42" s="673"/>
      <c r="AT42" s="673"/>
      <c r="AU42" s="673"/>
      <c r="AV42" s="673"/>
      <c r="AW42" s="673"/>
      <c r="AX42" s="673"/>
      <c r="AY42" s="673"/>
      <c r="AZ42" s="673"/>
      <c r="BA42" s="673"/>
      <c r="BB42" s="673"/>
      <c r="BC42" s="673"/>
      <c r="BD42" s="673"/>
      <c r="BE42" s="673"/>
      <c r="BF42" s="673"/>
      <c r="BH42" s="687"/>
      <c r="BI42" s="687"/>
      <c r="BJ42" s="687"/>
      <c r="BL42" s="504">
        <f t="shared" si="9"/>
        <v>0</v>
      </c>
      <c r="BM42" s="504"/>
      <c r="BO42" s="1083"/>
      <c r="BP42" s="1083"/>
      <c r="BQ42" s="1083"/>
      <c r="BR42" s="1083"/>
      <c r="BS42" s="1083"/>
      <c r="BT42" s="1083"/>
      <c r="BU42" s="1083"/>
      <c r="BV42" s="1083"/>
      <c r="BW42" s="1083"/>
      <c r="BX42" s="1083"/>
      <c r="BY42" s="1083"/>
      <c r="BZ42" s="1083"/>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c r="CU42" s="1083"/>
      <c r="CV42" s="1083"/>
      <c r="CW42" s="1083"/>
      <c r="CX42" s="1083"/>
      <c r="CY42" s="1083"/>
      <c r="CZ42" s="1083"/>
      <c r="DA42" s="1083"/>
      <c r="DB42" s="1083"/>
      <c r="DC42" s="1083"/>
      <c r="DD42" s="1083"/>
      <c r="DE42" s="1083"/>
      <c r="DF42" s="1083"/>
      <c r="DH42" s="590"/>
    </row>
    <row r="43" spans="1:112" s="532" customFormat="1" ht="12.75" customHeight="1" outlineLevel="1">
      <c r="A43" s="22"/>
      <c r="B43" s="22"/>
      <c r="C43" s="535"/>
      <c r="D43" s="503"/>
      <c r="E43" s="503"/>
      <c r="G43" s="656"/>
      <c r="H43" s="656"/>
      <c r="I43" s="656"/>
      <c r="J43" s="656"/>
      <c r="K43" s="658"/>
      <c r="L43" s="656"/>
      <c r="M43" s="656"/>
      <c r="N43" s="656"/>
      <c r="O43" s="656"/>
      <c r="P43" s="656"/>
      <c r="Q43" s="656"/>
      <c r="S43" s="668"/>
      <c r="T43" s="668"/>
      <c r="U43" s="668"/>
      <c r="V43" s="668"/>
      <c r="W43" s="668"/>
      <c r="X43" s="668"/>
      <c r="Y43" s="668"/>
      <c r="Z43" s="668"/>
      <c r="AA43" s="668"/>
      <c r="AB43" s="668"/>
      <c r="AC43" s="668"/>
      <c r="AD43" s="668"/>
      <c r="AE43" s="668"/>
      <c r="AF43" s="668"/>
      <c r="AG43" s="668"/>
      <c r="AH43" s="668"/>
      <c r="AI43" s="668"/>
      <c r="AJ43" s="668"/>
      <c r="AK43" s="668"/>
      <c r="AM43" s="674"/>
      <c r="AN43" s="674"/>
      <c r="AO43" s="674"/>
      <c r="AP43" s="674"/>
      <c r="AQ43" s="674"/>
      <c r="AR43" s="674"/>
      <c r="AS43" s="674"/>
      <c r="AT43" s="674"/>
      <c r="AU43" s="674"/>
      <c r="AV43" s="674"/>
      <c r="AW43" s="674"/>
      <c r="AX43" s="674"/>
      <c r="AY43" s="674"/>
      <c r="AZ43" s="674"/>
      <c r="BA43" s="674"/>
      <c r="BB43" s="674"/>
      <c r="BC43" s="674"/>
      <c r="BD43" s="674"/>
      <c r="BE43" s="674"/>
      <c r="BF43" s="674"/>
      <c r="BH43" s="688"/>
      <c r="BI43" s="688"/>
      <c r="BJ43" s="688"/>
      <c r="BL43" s="505">
        <f t="shared" si="9"/>
        <v>0</v>
      </c>
      <c r="BM43" s="505"/>
      <c r="BN43" s="22"/>
      <c r="BO43" s="1083"/>
      <c r="BP43" s="1083"/>
      <c r="BQ43" s="1083"/>
      <c r="BR43" s="1083"/>
      <c r="BS43" s="1083"/>
      <c r="BT43" s="1083"/>
      <c r="BU43" s="1083"/>
      <c r="BV43" s="1083"/>
      <c r="BW43" s="1083"/>
      <c r="BX43" s="1083"/>
      <c r="BY43" s="1083"/>
      <c r="BZ43" s="1083"/>
      <c r="CA43" s="1083"/>
      <c r="CB43" s="1083"/>
      <c r="CC43" s="1083"/>
      <c r="CD43" s="1083"/>
      <c r="CE43" s="1083"/>
      <c r="CF43" s="1083"/>
      <c r="CG43" s="1083"/>
      <c r="CH43" s="1083"/>
      <c r="CI43" s="1083"/>
      <c r="CJ43" s="1083"/>
      <c r="CK43" s="1083"/>
      <c r="CL43" s="1083"/>
      <c r="CM43" s="1083"/>
      <c r="CN43" s="1083"/>
      <c r="CO43" s="1083"/>
      <c r="CP43" s="1083"/>
      <c r="CQ43" s="1083"/>
      <c r="CR43" s="1083"/>
      <c r="CS43" s="1083"/>
      <c r="CT43" s="1083"/>
      <c r="CU43" s="1083"/>
      <c r="CV43" s="1083"/>
      <c r="CW43" s="1083"/>
      <c r="CX43" s="1083"/>
      <c r="CY43" s="1083"/>
      <c r="CZ43" s="1083"/>
      <c r="DA43" s="1083"/>
      <c r="DB43" s="1083"/>
      <c r="DC43" s="1083"/>
      <c r="DD43" s="1083"/>
      <c r="DE43" s="1083"/>
      <c r="DF43" s="1083"/>
      <c r="DH43" s="590"/>
    </row>
    <row r="44" spans="1:112" s="1092" customFormat="1" ht="12.75" customHeight="1" outlineLevel="1">
      <c r="C44" s="1101" t="s">
        <v>1190</v>
      </c>
      <c r="D44" s="1102" t="s">
        <v>1191</v>
      </c>
      <c r="E44" s="1102"/>
      <c r="F44" s="1262"/>
      <c r="G44" s="759"/>
      <c r="H44" s="759"/>
      <c r="I44" s="759"/>
      <c r="J44" s="759"/>
      <c r="K44" s="760"/>
      <c r="L44" s="759"/>
      <c r="M44" s="759"/>
      <c r="N44" s="759"/>
      <c r="O44" s="759"/>
      <c r="P44" s="759"/>
      <c r="Q44" s="759"/>
      <c r="R44" s="1262"/>
      <c r="S44" s="761"/>
      <c r="T44" s="761"/>
      <c r="U44" s="761"/>
      <c r="V44" s="761"/>
      <c r="W44" s="761"/>
      <c r="X44" s="761"/>
      <c r="Y44" s="761"/>
      <c r="Z44" s="761"/>
      <c r="AA44" s="761"/>
      <c r="AB44" s="761"/>
      <c r="AC44" s="761"/>
      <c r="AD44" s="761"/>
      <c r="AE44" s="761"/>
      <c r="AF44" s="761"/>
      <c r="AG44" s="761"/>
      <c r="AH44" s="761"/>
      <c r="AI44" s="761"/>
      <c r="AJ44" s="761">
        <f ca="1">AJ$40</f>
        <v>0</v>
      </c>
      <c r="AK44" s="761"/>
      <c r="AL44" s="1262"/>
      <c r="AM44" s="762"/>
      <c r="AN44" s="762"/>
      <c r="AO44" s="762"/>
      <c r="AP44" s="762"/>
      <c r="AQ44" s="762"/>
      <c r="AR44" s="762"/>
      <c r="AS44" s="762"/>
      <c r="AT44" s="762"/>
      <c r="AU44" s="762"/>
      <c r="AV44" s="762"/>
      <c r="AW44" s="762"/>
      <c r="AX44" s="762"/>
      <c r="AY44" s="762"/>
      <c r="AZ44" s="762"/>
      <c r="BA44" s="762"/>
      <c r="BB44" s="762"/>
      <c r="BC44" s="762"/>
      <c r="BD44" s="762"/>
      <c r="BE44" s="762"/>
      <c r="BF44" s="762"/>
      <c r="BG44" s="1262"/>
      <c r="BH44" s="763"/>
      <c r="BI44" s="763"/>
      <c r="BJ44" s="763"/>
      <c r="BK44" s="1262"/>
      <c r="BL44" s="1103">
        <f t="shared" si="9"/>
        <v>0</v>
      </c>
      <c r="BM44" s="1103"/>
      <c r="BO44" s="1268"/>
      <c r="BP44" s="1268"/>
      <c r="BQ44" s="1268"/>
      <c r="BR44" s="1268"/>
      <c r="BS44" s="1268"/>
      <c r="BT44" s="1268"/>
      <c r="BU44" s="1268"/>
      <c r="BV44" s="1268"/>
      <c r="BW44" s="1268"/>
      <c r="BX44" s="1268"/>
      <c r="BY44" s="1268"/>
      <c r="BZ44" s="1268"/>
      <c r="CA44" s="1268"/>
      <c r="CB44" s="1268"/>
      <c r="CC44" s="1268"/>
      <c r="CD44" s="1268"/>
      <c r="CE44" s="1268"/>
      <c r="CF44" s="1268"/>
      <c r="CG44" s="1268"/>
      <c r="CH44" s="1268"/>
      <c r="CI44" s="1268"/>
      <c r="CJ44" s="1268"/>
      <c r="CK44" s="1268"/>
      <c r="CL44" s="1268"/>
      <c r="CM44" s="1268"/>
      <c r="CN44" s="1268"/>
      <c r="CO44" s="1268"/>
      <c r="CP44" s="1268"/>
      <c r="CQ44" s="1268"/>
      <c r="CR44" s="1268"/>
      <c r="CS44" s="1268"/>
      <c r="CT44" s="1268"/>
      <c r="CU44" s="1268"/>
      <c r="CV44" s="1268"/>
      <c r="CW44" s="1268"/>
      <c r="CX44" s="1268"/>
      <c r="CY44" s="1268"/>
      <c r="CZ44" s="1268"/>
      <c r="DA44" s="1268"/>
      <c r="DB44" s="1268"/>
      <c r="DC44" s="1268"/>
      <c r="DD44" s="1268"/>
      <c r="DE44" s="1268"/>
      <c r="DF44" s="1268"/>
      <c r="DH44" s="1267">
        <f>SUM(BO44:DF44)</f>
        <v>0</v>
      </c>
    </row>
    <row r="45" spans="1:112" s="532" customFormat="1" ht="12.75" customHeight="1" outlineLevel="1">
      <c r="A45" s="22"/>
      <c r="B45" s="22"/>
      <c r="C45" s="534" t="s">
        <v>744</v>
      </c>
      <c r="D45" s="707" t="str">
        <f>INDEX(Modules[Module], MATCH($C45, Modules[Code], 0))</f>
        <v>H2 Production for Transport</v>
      </c>
      <c r="E45" s="758"/>
      <c r="G45" s="719">
        <f t="shared" ref="G45:P45" ca="1" si="115">IFERROR(INDEX(INDIRECT($C45&amp;".Outputs["&amp;this.Year&amp;"]"), MATCH(G$5, INDIRECT($C45&amp;".Outputs[Vector]"), 0)), 0)</f>
        <v>0</v>
      </c>
      <c r="H45" s="719">
        <f t="shared" ca="1" si="115"/>
        <v>0</v>
      </c>
      <c r="I45" s="719">
        <f t="shared" ca="1" si="115"/>
        <v>0</v>
      </c>
      <c r="J45" s="719">
        <f t="shared" ca="1" si="115"/>
        <v>0</v>
      </c>
      <c r="K45" s="719">
        <f t="shared" ca="1" si="115"/>
        <v>0</v>
      </c>
      <c r="L45" s="719">
        <f t="shared" ca="1" si="115"/>
        <v>0</v>
      </c>
      <c r="M45" s="719">
        <f t="shared" ca="1" si="115"/>
        <v>0</v>
      </c>
      <c r="N45" s="719">
        <f t="shared" ca="1" si="115"/>
        <v>0</v>
      </c>
      <c r="O45" s="719">
        <f t="shared" ca="1" si="115"/>
        <v>0</v>
      </c>
      <c r="P45" s="719">
        <f t="shared" ca="1" si="115"/>
        <v>0</v>
      </c>
      <c r="Q45" s="717">
        <f ca="1">SUM(G45:P45)</f>
        <v>0</v>
      </c>
      <c r="S45" s="728">
        <f t="shared" ref="S45:AJ45" ca="1" si="116">IFERROR(INDEX(INDIRECT($C45&amp;".Outputs["&amp;this.Year&amp;"]"), MATCH(S$5, INDIRECT($C45&amp;".Outputs[Vector]"), 0)), 0)</f>
        <v>0</v>
      </c>
      <c r="T45" s="728">
        <f t="shared" ca="1" si="116"/>
        <v>0</v>
      </c>
      <c r="U45" s="728">
        <f t="shared" ca="1" si="116"/>
        <v>0</v>
      </c>
      <c r="V45" s="728">
        <f t="shared" ca="1" si="116"/>
        <v>0</v>
      </c>
      <c r="W45" s="728">
        <f t="shared" ca="1" si="116"/>
        <v>0</v>
      </c>
      <c r="X45" s="728">
        <f ca="1">IFERROR(INDEX(INDIRECT($C45&amp;".Outputs["&amp;this.Year&amp;"]"), MATCH(X$5, INDIRECT($C45&amp;".Outputs[Vector]"), 0)), 0)</f>
        <v>0</v>
      </c>
      <c r="Y45" s="728">
        <f ca="1">IFERROR(INDEX(INDIRECT($C45&amp;".Outputs["&amp;this.Year&amp;"]"), MATCH(Y$5, INDIRECT($C45&amp;".Outputs[Vector]"), 0)), 0)</f>
        <v>0</v>
      </c>
      <c r="Z45" s="728">
        <f ca="1">IFERROR(INDEX(INDIRECT($C45&amp;".Outputs["&amp;this.Year&amp;"]"), MATCH(Z$5, INDIRECT($C45&amp;".Outputs[Vector]"), 0)), 0)</f>
        <v>0</v>
      </c>
      <c r="AA45" s="728">
        <f t="shared" ca="1" si="116"/>
        <v>0</v>
      </c>
      <c r="AB45" s="728">
        <f t="shared" ca="1" si="116"/>
        <v>0</v>
      </c>
      <c r="AC45" s="728">
        <f t="shared" ca="1" si="116"/>
        <v>0</v>
      </c>
      <c r="AD45" s="728">
        <f t="shared" ca="1" si="116"/>
        <v>0</v>
      </c>
      <c r="AE45" s="728">
        <f t="shared" ca="1" si="116"/>
        <v>0</v>
      </c>
      <c r="AF45" s="728">
        <f t="shared" ca="1" si="116"/>
        <v>0</v>
      </c>
      <c r="AG45" s="728">
        <f t="shared" ca="1" si="116"/>
        <v>0</v>
      </c>
      <c r="AH45" s="728">
        <f t="shared" ca="1" si="116"/>
        <v>0</v>
      </c>
      <c r="AI45" s="728">
        <f t="shared" ca="1" si="116"/>
        <v>0</v>
      </c>
      <c r="AJ45" s="728">
        <f t="shared" ca="1" si="116"/>
        <v>0</v>
      </c>
      <c r="AK45" s="727">
        <f ca="1">SUM(S45:AJ45)</f>
        <v>0</v>
      </c>
      <c r="AM45" s="739">
        <f t="shared" ref="AM45:AU45" ca="1" si="117">IFERROR(INDEX(INDIRECT($C45&amp;".Outputs["&amp;this.Year&amp;"]"), MATCH(AM$5, INDIRECT($C45&amp;".Outputs[Vector]"), 0)), 0)</f>
        <v>0</v>
      </c>
      <c r="AN45" s="739">
        <f t="shared" ca="1" si="117"/>
        <v>0</v>
      </c>
      <c r="AO45" s="739">
        <f t="shared" ca="1" si="117"/>
        <v>0</v>
      </c>
      <c r="AP45" s="739">
        <f t="shared" ca="1" si="117"/>
        <v>0</v>
      </c>
      <c r="AQ45" s="739">
        <f t="shared" ca="1" si="117"/>
        <v>0</v>
      </c>
      <c r="AR45" s="739">
        <f t="shared" ca="1" si="117"/>
        <v>0</v>
      </c>
      <c r="AS45" s="739">
        <f t="shared" ca="1" si="117"/>
        <v>0</v>
      </c>
      <c r="AT45" s="739">
        <f t="shared" ca="1" si="117"/>
        <v>0</v>
      </c>
      <c r="AU45" s="739">
        <f t="shared" ca="1" si="117"/>
        <v>0</v>
      </c>
      <c r="AV45" s="739">
        <f t="shared" ref="AV45:BE45" ca="1" si="118">IFERROR(INDEX(INDIRECT($C45&amp;".Outputs["&amp;this.Year&amp;"]"), MATCH(AV$5, INDIRECT($C45&amp;".Outputs[Vector]"), 0)), 0)</f>
        <v>0</v>
      </c>
      <c r="AW45" s="739">
        <f t="shared" ca="1" si="118"/>
        <v>0</v>
      </c>
      <c r="AX45" s="739">
        <f t="shared" ca="1" si="118"/>
        <v>0</v>
      </c>
      <c r="AY45" s="739">
        <f t="shared" ca="1" si="118"/>
        <v>0</v>
      </c>
      <c r="AZ45" s="739">
        <f t="shared" ca="1" si="118"/>
        <v>0</v>
      </c>
      <c r="BA45" s="739">
        <f t="shared" ca="1" si="118"/>
        <v>0</v>
      </c>
      <c r="BB45" s="739">
        <f t="shared" ca="1" si="118"/>
        <v>0</v>
      </c>
      <c r="BC45" s="739">
        <f t="shared" ca="1" si="118"/>
        <v>0</v>
      </c>
      <c r="BD45" s="739">
        <f t="shared" ca="1" si="118"/>
        <v>0</v>
      </c>
      <c r="BE45" s="739">
        <f t="shared" ca="1" si="118"/>
        <v>0</v>
      </c>
      <c r="BF45" s="709">
        <f ca="1">SUM(AM45:BE45)</f>
        <v>0</v>
      </c>
      <c r="BH45" s="733">
        <f ca="1">IFERROR(INDEX(INDIRECT($C45&amp;".Outputs["&amp;this.Year&amp;"]"), MATCH(BH$5, INDIRECT($C45&amp;".Outputs[Vector]"), 0)), 0)</f>
        <v>0</v>
      </c>
      <c r="BI45" s="733">
        <f ca="1">IFERROR(INDEX(INDIRECT($C45&amp;".Outputs["&amp;this.Year&amp;"]"), MATCH(BI$5, INDIRECT($C45&amp;".Outputs[Vector]"), 0)), 0)</f>
        <v>0</v>
      </c>
      <c r="BJ45" s="732">
        <f ca="1">SUM(BH45:BI45)</f>
        <v>0</v>
      </c>
      <c r="BL45" s="505"/>
      <c r="BM45" s="505"/>
      <c r="BN45" s="592"/>
      <c r="BO45" s="1086">
        <f t="shared" ref="BO45:DF45" ca="1" si="119">IFERROR(SUMIFS(INDIRECT($C45&amp;".Emissions["&amp;this.Year&amp;"]"), INDIRECT($C45&amp;".Emissions[GHG]"), BO$6, INDIRECT($C45&amp;".Emissions[IPCC Sector]"), BO$5),0)</f>
        <v>0</v>
      </c>
      <c r="BP45" s="1087">
        <f t="shared" ca="1" si="119"/>
        <v>0</v>
      </c>
      <c r="BQ45" s="1087">
        <f t="shared" ca="1" si="119"/>
        <v>0</v>
      </c>
      <c r="BR45" s="1087">
        <f t="shared" ca="1" si="119"/>
        <v>0</v>
      </c>
      <c r="BS45" s="1087">
        <f t="shared" ca="1" si="119"/>
        <v>0</v>
      </c>
      <c r="BT45" s="1087">
        <f t="shared" ca="1" si="119"/>
        <v>0</v>
      </c>
      <c r="BU45" s="1087">
        <f t="shared" ca="1" si="119"/>
        <v>0</v>
      </c>
      <c r="BV45" s="1087">
        <f t="shared" ca="1" si="119"/>
        <v>0</v>
      </c>
      <c r="BW45" s="1087">
        <f t="shared" ca="1" si="119"/>
        <v>0</v>
      </c>
      <c r="BX45" s="1087">
        <f t="shared" ca="1" si="119"/>
        <v>0</v>
      </c>
      <c r="BY45" s="1087">
        <f t="shared" ca="1" si="119"/>
        <v>0</v>
      </c>
      <c r="BZ45" s="1087">
        <f t="shared" ca="1" si="119"/>
        <v>0</v>
      </c>
      <c r="CA45" s="1087">
        <f t="shared" ca="1" si="119"/>
        <v>0</v>
      </c>
      <c r="CB45" s="1087">
        <f t="shared" ca="1" si="119"/>
        <v>0</v>
      </c>
      <c r="CC45" s="1087">
        <f t="shared" ca="1" si="119"/>
        <v>0</v>
      </c>
      <c r="CD45" s="1087">
        <f t="shared" ca="1" si="119"/>
        <v>0</v>
      </c>
      <c r="CE45" s="1087">
        <f t="shared" ca="1" si="119"/>
        <v>0</v>
      </c>
      <c r="CF45" s="1087">
        <f t="shared" ca="1" si="119"/>
        <v>0</v>
      </c>
      <c r="CG45" s="1087">
        <f t="shared" ca="1" si="119"/>
        <v>0</v>
      </c>
      <c r="CH45" s="1087">
        <f t="shared" ca="1" si="119"/>
        <v>0</v>
      </c>
      <c r="CI45" s="1087">
        <f t="shared" ca="1" si="119"/>
        <v>0</v>
      </c>
      <c r="CJ45" s="1087">
        <f t="shared" ca="1" si="119"/>
        <v>0</v>
      </c>
      <c r="CK45" s="1087">
        <f t="shared" ca="1" si="119"/>
        <v>0</v>
      </c>
      <c r="CL45" s="1087">
        <f t="shared" ca="1" si="119"/>
        <v>0</v>
      </c>
      <c r="CM45" s="1087">
        <f t="shared" ca="1" si="119"/>
        <v>0</v>
      </c>
      <c r="CN45" s="1087">
        <f t="shared" ca="1" si="119"/>
        <v>0</v>
      </c>
      <c r="CO45" s="1087">
        <f t="shared" ca="1" si="119"/>
        <v>0</v>
      </c>
      <c r="CP45" s="1087">
        <f t="shared" ca="1" si="119"/>
        <v>0</v>
      </c>
      <c r="CQ45" s="1087">
        <f t="shared" ca="1" si="119"/>
        <v>0</v>
      </c>
      <c r="CR45" s="1087">
        <f t="shared" ca="1" si="119"/>
        <v>0</v>
      </c>
      <c r="CS45" s="1087">
        <f t="shared" ca="1" si="119"/>
        <v>0</v>
      </c>
      <c r="CT45" s="1087">
        <f t="shared" ca="1" si="119"/>
        <v>0</v>
      </c>
      <c r="CU45" s="1087">
        <f t="shared" ca="1" si="119"/>
        <v>0</v>
      </c>
      <c r="CV45" s="1087">
        <f t="shared" ca="1" si="119"/>
        <v>0</v>
      </c>
      <c r="CW45" s="1087">
        <f t="shared" ca="1" si="119"/>
        <v>0</v>
      </c>
      <c r="CX45" s="1087">
        <f t="shared" ca="1" si="119"/>
        <v>0</v>
      </c>
      <c r="CY45" s="1087">
        <f t="shared" ca="1" si="119"/>
        <v>0</v>
      </c>
      <c r="CZ45" s="1087">
        <f t="shared" ca="1" si="119"/>
        <v>0</v>
      </c>
      <c r="DA45" s="1087">
        <f t="shared" ca="1" si="119"/>
        <v>0</v>
      </c>
      <c r="DB45" s="1087">
        <f t="shared" ca="1" si="119"/>
        <v>0</v>
      </c>
      <c r="DC45" s="1087">
        <f t="shared" ca="1" si="119"/>
        <v>0</v>
      </c>
      <c r="DD45" s="1087">
        <f t="shared" ca="1" si="119"/>
        <v>0</v>
      </c>
      <c r="DE45" s="1087">
        <f t="shared" ca="1" si="119"/>
        <v>0</v>
      </c>
      <c r="DF45" s="1087">
        <f t="shared" ca="1" si="119"/>
        <v>0</v>
      </c>
      <c r="DH45" s="1267">
        <f ca="1">SUM(BO45:DF45)</f>
        <v>0</v>
      </c>
    </row>
    <row r="46" spans="1:112" s="532" customFormat="1" ht="15">
      <c r="A46" s="22"/>
      <c r="B46" s="537"/>
      <c r="C46" s="533" t="s">
        <v>563</v>
      </c>
      <c r="D46" s="507" t="str">
        <f>INDEX(Workstreams[Workstream], MATCH($C46, Workstreams[Code], 0))</f>
        <v>H2 Production</v>
      </c>
      <c r="E46" s="503"/>
      <c r="G46" s="718">
        <f ca="1">G45</f>
        <v>0</v>
      </c>
      <c r="H46" s="718">
        <f t="shared" ref="H46:P46" ca="1" si="120">H45</f>
        <v>0</v>
      </c>
      <c r="I46" s="718">
        <f t="shared" ca="1" si="120"/>
        <v>0</v>
      </c>
      <c r="J46" s="718">
        <f t="shared" ca="1" si="120"/>
        <v>0</v>
      </c>
      <c r="K46" s="718">
        <f t="shared" ca="1" si="120"/>
        <v>0</v>
      </c>
      <c r="L46" s="718">
        <f t="shared" ca="1" si="120"/>
        <v>0</v>
      </c>
      <c r="M46" s="718">
        <f t="shared" ca="1" si="120"/>
        <v>0</v>
      </c>
      <c r="N46" s="718">
        <f t="shared" ca="1" si="120"/>
        <v>0</v>
      </c>
      <c r="O46" s="718">
        <f t="shared" ca="1" si="120"/>
        <v>0</v>
      </c>
      <c r="P46" s="718">
        <f t="shared" ca="1" si="120"/>
        <v>0</v>
      </c>
      <c r="Q46" s="718">
        <f ca="1">SUM(G46:P46)</f>
        <v>0</v>
      </c>
      <c r="S46" s="668">
        <f t="shared" ref="S46:AJ46" ca="1" si="121">S45</f>
        <v>0</v>
      </c>
      <c r="T46" s="668">
        <f t="shared" ca="1" si="121"/>
        <v>0</v>
      </c>
      <c r="U46" s="668">
        <f t="shared" ca="1" si="121"/>
        <v>0</v>
      </c>
      <c r="V46" s="668">
        <f t="shared" ca="1" si="121"/>
        <v>0</v>
      </c>
      <c r="W46" s="668">
        <f t="shared" ca="1" si="121"/>
        <v>0</v>
      </c>
      <c r="X46" s="668">
        <f t="shared" ca="1" si="121"/>
        <v>0</v>
      </c>
      <c r="Y46" s="668">
        <f t="shared" ca="1" si="121"/>
        <v>0</v>
      </c>
      <c r="Z46" s="668">
        <f t="shared" ca="1" si="121"/>
        <v>0</v>
      </c>
      <c r="AA46" s="668">
        <f t="shared" ca="1" si="121"/>
        <v>0</v>
      </c>
      <c r="AB46" s="668">
        <f t="shared" ca="1" si="121"/>
        <v>0</v>
      </c>
      <c r="AC46" s="668">
        <f t="shared" ca="1" si="121"/>
        <v>0</v>
      </c>
      <c r="AD46" s="668">
        <f ca="1">AD45</f>
        <v>0</v>
      </c>
      <c r="AE46" s="668">
        <f ca="1">AE45</f>
        <v>0</v>
      </c>
      <c r="AF46" s="668">
        <f t="shared" ca="1" si="121"/>
        <v>0</v>
      </c>
      <c r="AG46" s="668">
        <f ca="1">AG45</f>
        <v>0</v>
      </c>
      <c r="AH46" s="668">
        <f ca="1">AH45</f>
        <v>0</v>
      </c>
      <c r="AI46" s="668">
        <f ca="1">AI45</f>
        <v>0</v>
      </c>
      <c r="AJ46" s="668">
        <f t="shared" ca="1" si="121"/>
        <v>0</v>
      </c>
      <c r="AK46" s="668">
        <f ca="1">SUM(S46:AJ46)</f>
        <v>0</v>
      </c>
      <c r="AM46" s="674">
        <f ca="1">AM45</f>
        <v>0</v>
      </c>
      <c r="AN46" s="674">
        <f t="shared" ref="AN46:BE46" ca="1" si="122">AN45</f>
        <v>0</v>
      </c>
      <c r="AO46" s="674">
        <f t="shared" ca="1" si="122"/>
        <v>0</v>
      </c>
      <c r="AP46" s="674">
        <f t="shared" ca="1" si="122"/>
        <v>0</v>
      </c>
      <c r="AQ46" s="674">
        <f t="shared" ca="1" si="122"/>
        <v>0</v>
      </c>
      <c r="AR46" s="674">
        <f t="shared" ca="1" si="122"/>
        <v>0</v>
      </c>
      <c r="AS46" s="674">
        <f t="shared" ca="1" si="122"/>
        <v>0</v>
      </c>
      <c r="AT46" s="674">
        <f t="shared" ca="1" si="122"/>
        <v>0</v>
      </c>
      <c r="AU46" s="674">
        <f t="shared" ca="1" si="122"/>
        <v>0</v>
      </c>
      <c r="AV46" s="674">
        <f t="shared" ca="1" si="122"/>
        <v>0</v>
      </c>
      <c r="AW46" s="674">
        <f t="shared" ca="1" si="122"/>
        <v>0</v>
      </c>
      <c r="AX46" s="674">
        <f t="shared" ca="1" si="122"/>
        <v>0</v>
      </c>
      <c r="AY46" s="674">
        <f t="shared" ca="1" si="122"/>
        <v>0</v>
      </c>
      <c r="AZ46" s="674">
        <f t="shared" ca="1" si="122"/>
        <v>0</v>
      </c>
      <c r="BA46" s="674">
        <f t="shared" ca="1" si="122"/>
        <v>0</v>
      </c>
      <c r="BB46" s="674">
        <f t="shared" ca="1" si="122"/>
        <v>0</v>
      </c>
      <c r="BC46" s="674">
        <f t="shared" ca="1" si="122"/>
        <v>0</v>
      </c>
      <c r="BD46" s="674">
        <f t="shared" ca="1" si="122"/>
        <v>0</v>
      </c>
      <c r="BE46" s="674">
        <f t="shared" ca="1" si="122"/>
        <v>0</v>
      </c>
      <c r="BF46" s="674">
        <f ca="1">SUM(AM46:BE46)</f>
        <v>0</v>
      </c>
      <c r="BH46" s="688">
        <f ca="1">BH45</f>
        <v>0</v>
      </c>
      <c r="BI46" s="688">
        <f ca="1">BI45</f>
        <v>0</v>
      </c>
      <c r="BJ46" s="688">
        <f ca="1">SUM(BH46:BI46)</f>
        <v>0</v>
      </c>
      <c r="BL46" s="505">
        <f ca="1">Q46+AK46+BF46+BJ46</f>
        <v>0</v>
      </c>
      <c r="BM46" s="505"/>
      <c r="BN46" s="592"/>
      <c r="BO46" s="1083">
        <f t="shared" ref="BO46:DF46" ca="1" si="123">BO45</f>
        <v>0</v>
      </c>
      <c r="BP46" s="1083">
        <f t="shared" ca="1" si="123"/>
        <v>0</v>
      </c>
      <c r="BQ46" s="1083">
        <f t="shared" ca="1" si="123"/>
        <v>0</v>
      </c>
      <c r="BR46" s="1083">
        <f t="shared" ca="1" si="123"/>
        <v>0</v>
      </c>
      <c r="BS46" s="1083">
        <f t="shared" ca="1" si="123"/>
        <v>0</v>
      </c>
      <c r="BT46" s="1083">
        <f t="shared" ca="1" si="123"/>
        <v>0</v>
      </c>
      <c r="BU46" s="1083">
        <f t="shared" ca="1" si="123"/>
        <v>0</v>
      </c>
      <c r="BV46" s="1083">
        <f t="shared" ca="1" si="123"/>
        <v>0</v>
      </c>
      <c r="BW46" s="1083">
        <f t="shared" ca="1" si="123"/>
        <v>0</v>
      </c>
      <c r="BX46" s="1083">
        <f t="shared" ca="1" si="123"/>
        <v>0</v>
      </c>
      <c r="BY46" s="1083">
        <f t="shared" ca="1" si="123"/>
        <v>0</v>
      </c>
      <c r="BZ46" s="1083">
        <f t="shared" ca="1" si="123"/>
        <v>0</v>
      </c>
      <c r="CA46" s="1083">
        <f t="shared" ca="1" si="123"/>
        <v>0</v>
      </c>
      <c r="CB46" s="1083">
        <f t="shared" ca="1" si="123"/>
        <v>0</v>
      </c>
      <c r="CC46" s="1083">
        <f t="shared" ca="1" si="123"/>
        <v>0</v>
      </c>
      <c r="CD46" s="1083">
        <f t="shared" ca="1" si="123"/>
        <v>0</v>
      </c>
      <c r="CE46" s="1083">
        <f t="shared" ca="1" si="123"/>
        <v>0</v>
      </c>
      <c r="CF46" s="1083">
        <f t="shared" ca="1" si="123"/>
        <v>0</v>
      </c>
      <c r="CG46" s="1083">
        <f t="shared" ca="1" si="123"/>
        <v>0</v>
      </c>
      <c r="CH46" s="1083">
        <f t="shared" ca="1" si="123"/>
        <v>0</v>
      </c>
      <c r="CI46" s="1083">
        <f t="shared" ca="1" si="123"/>
        <v>0</v>
      </c>
      <c r="CJ46" s="1083">
        <f t="shared" ca="1" si="123"/>
        <v>0</v>
      </c>
      <c r="CK46" s="1083">
        <f t="shared" ca="1" si="123"/>
        <v>0</v>
      </c>
      <c r="CL46" s="1083">
        <f t="shared" ca="1" si="123"/>
        <v>0</v>
      </c>
      <c r="CM46" s="1083">
        <f t="shared" ca="1" si="123"/>
        <v>0</v>
      </c>
      <c r="CN46" s="1083">
        <f t="shared" ca="1" si="123"/>
        <v>0</v>
      </c>
      <c r="CO46" s="1083">
        <f t="shared" ca="1" si="123"/>
        <v>0</v>
      </c>
      <c r="CP46" s="1083">
        <f t="shared" ca="1" si="123"/>
        <v>0</v>
      </c>
      <c r="CQ46" s="1083">
        <f t="shared" ca="1" si="123"/>
        <v>0</v>
      </c>
      <c r="CR46" s="1083">
        <f t="shared" ca="1" si="123"/>
        <v>0</v>
      </c>
      <c r="CS46" s="1083">
        <f t="shared" ca="1" si="123"/>
        <v>0</v>
      </c>
      <c r="CT46" s="1083">
        <f t="shared" ca="1" si="123"/>
        <v>0</v>
      </c>
      <c r="CU46" s="1083">
        <f t="shared" ca="1" si="123"/>
        <v>0</v>
      </c>
      <c r="CV46" s="1083">
        <f t="shared" ca="1" si="123"/>
        <v>0</v>
      </c>
      <c r="CW46" s="1083">
        <f t="shared" ca="1" si="123"/>
        <v>0</v>
      </c>
      <c r="CX46" s="1083">
        <f t="shared" ca="1" si="123"/>
        <v>0</v>
      </c>
      <c r="CY46" s="1083">
        <f t="shared" ca="1" si="123"/>
        <v>0</v>
      </c>
      <c r="CZ46" s="1083">
        <f t="shared" ca="1" si="123"/>
        <v>0</v>
      </c>
      <c r="DA46" s="1083">
        <f t="shared" ca="1" si="123"/>
        <v>0</v>
      </c>
      <c r="DB46" s="1083">
        <f t="shared" ca="1" si="123"/>
        <v>0</v>
      </c>
      <c r="DC46" s="1083">
        <f t="shared" ca="1" si="123"/>
        <v>0</v>
      </c>
      <c r="DD46" s="1083">
        <f t="shared" ca="1" si="123"/>
        <v>0</v>
      </c>
      <c r="DE46" s="1083">
        <f t="shared" ca="1" si="123"/>
        <v>0</v>
      </c>
      <c r="DF46" s="1083">
        <f t="shared" ca="1" si="123"/>
        <v>0</v>
      </c>
      <c r="DH46" s="590">
        <f t="shared" ref="DH46:DH82" ca="1" si="124">SUM(BO46:DF46)</f>
        <v>0</v>
      </c>
    </row>
    <row r="47" spans="1:112" s="532" customFormat="1" outlineLevel="1">
      <c r="C47" s="500"/>
      <c r="D47" s="501"/>
      <c r="E47" s="501"/>
      <c r="G47" s="656"/>
      <c r="H47" s="656"/>
      <c r="I47" s="656"/>
      <c r="J47" s="656"/>
      <c r="K47" s="658"/>
      <c r="L47" s="656"/>
      <c r="M47" s="656"/>
      <c r="N47" s="656"/>
      <c r="O47" s="656"/>
      <c r="P47" s="656"/>
      <c r="Q47" s="656"/>
      <c r="S47" s="668"/>
      <c r="T47" s="668"/>
      <c r="U47" s="668"/>
      <c r="V47" s="668"/>
      <c r="W47" s="668"/>
      <c r="X47" s="668"/>
      <c r="Y47" s="668"/>
      <c r="Z47" s="668"/>
      <c r="AA47" s="668"/>
      <c r="AB47" s="668"/>
      <c r="AC47" s="668"/>
      <c r="AD47" s="668"/>
      <c r="AE47" s="668"/>
      <c r="AF47" s="668"/>
      <c r="AG47" s="668"/>
      <c r="AH47" s="668"/>
      <c r="AI47" s="668"/>
      <c r="AJ47" s="668"/>
      <c r="AK47" s="668"/>
      <c r="AM47" s="674"/>
      <c r="AN47" s="674"/>
      <c r="AO47" s="674"/>
      <c r="AP47" s="674"/>
      <c r="AQ47" s="674"/>
      <c r="AR47" s="674"/>
      <c r="AS47" s="674"/>
      <c r="AT47" s="674"/>
      <c r="AU47" s="674"/>
      <c r="AV47" s="674"/>
      <c r="AW47" s="674"/>
      <c r="AX47" s="674"/>
      <c r="AY47" s="674"/>
      <c r="AZ47" s="674"/>
      <c r="BA47" s="674"/>
      <c r="BB47" s="674"/>
      <c r="BC47" s="674"/>
      <c r="BD47" s="674"/>
      <c r="BE47" s="674"/>
      <c r="BF47" s="674"/>
      <c r="BH47" s="688"/>
      <c r="BI47" s="688"/>
      <c r="BJ47" s="688"/>
      <c r="BL47" s="505">
        <f>Q47+AK47+BF47+BJ47</f>
        <v>0</v>
      </c>
      <c r="BM47" s="505"/>
      <c r="BO47" s="1083"/>
      <c r="BP47" s="1083"/>
      <c r="BQ47" s="1083"/>
      <c r="BR47" s="1083"/>
      <c r="BS47" s="1083"/>
      <c r="BT47" s="1083"/>
      <c r="BU47" s="1083"/>
      <c r="BV47" s="1083"/>
      <c r="BW47" s="1083"/>
      <c r="BX47" s="1083"/>
      <c r="BY47" s="1083"/>
      <c r="BZ47" s="1083"/>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c r="CU47" s="1083"/>
      <c r="CV47" s="1083"/>
      <c r="CW47" s="1083"/>
      <c r="CX47" s="1083"/>
      <c r="CY47" s="1083"/>
      <c r="CZ47" s="1083"/>
      <c r="DA47" s="1083"/>
      <c r="DB47" s="1083"/>
      <c r="DC47" s="1083"/>
      <c r="DD47" s="1083"/>
      <c r="DE47" s="1083"/>
      <c r="DF47" s="1083"/>
      <c r="DH47" s="590">
        <f t="shared" si="124"/>
        <v>0</v>
      </c>
    </row>
    <row r="48" spans="1:112" s="532" customFormat="1" outlineLevel="1">
      <c r="A48" s="1085"/>
      <c r="B48" s="1085"/>
      <c r="C48" s="534" t="s">
        <v>1226</v>
      </c>
      <c r="D48" s="511" t="str">
        <f>INDEX(Modules[Module], MATCH($C48, Modules[Code], 0))</f>
        <v>Marine algae</v>
      </c>
      <c r="E48" s="511"/>
      <c r="G48" s="714">
        <f t="shared" ref="G48:P49" ca="1" si="125">IFERROR(INDEX(INDIRECT($C48&amp;".Outputs["&amp;this.Year&amp;"]"), MATCH(G$5, INDIRECT($C48&amp;".Outputs[Vector]"), 0)), 0)</f>
        <v>0</v>
      </c>
      <c r="H48" s="714">
        <f t="shared" ca="1" si="125"/>
        <v>0</v>
      </c>
      <c r="I48" s="714">
        <f t="shared" ca="1" si="125"/>
        <v>0</v>
      </c>
      <c r="J48" s="714">
        <f t="shared" ca="1" si="125"/>
        <v>0</v>
      </c>
      <c r="K48" s="714">
        <f t="shared" ca="1" si="125"/>
        <v>0</v>
      </c>
      <c r="L48" s="714">
        <f t="shared" ca="1" si="125"/>
        <v>0</v>
      </c>
      <c r="M48" s="714">
        <f t="shared" ca="1" si="125"/>
        <v>0</v>
      </c>
      <c r="N48" s="714">
        <f t="shared" ca="1" si="125"/>
        <v>0</v>
      </c>
      <c r="O48" s="714">
        <f t="shared" ca="1" si="125"/>
        <v>0</v>
      </c>
      <c r="P48" s="714">
        <f t="shared" ca="1" si="125"/>
        <v>0</v>
      </c>
      <c r="Q48" s="716">
        <f ca="1">SUM(G48:P48)</f>
        <v>0</v>
      </c>
      <c r="S48" s="723">
        <f t="shared" ref="S48:BE49" ca="1" si="126">IFERROR(INDEX(INDIRECT($C48&amp;".Outputs["&amp;this.Year&amp;"]"), MATCH(S$5, INDIRECT($C48&amp;".Outputs[Vector]"), 0)), 0)</f>
        <v>0</v>
      </c>
      <c r="T48" s="723">
        <f t="shared" ca="1" si="126"/>
        <v>0</v>
      </c>
      <c r="U48" s="723">
        <f t="shared" ca="1" si="126"/>
        <v>0</v>
      </c>
      <c r="V48" s="723">
        <f t="shared" ca="1" si="126"/>
        <v>0</v>
      </c>
      <c r="W48" s="723">
        <f t="shared" ca="1" si="126"/>
        <v>0</v>
      </c>
      <c r="X48" s="723">
        <f t="shared" ref="X48:Z50" ca="1" si="127">IFERROR(INDEX(INDIRECT($C48&amp;".Outputs["&amp;this.Year&amp;"]"), MATCH(X$5, INDIRECT($C48&amp;".Outputs[Vector]"), 0)), 0)</f>
        <v>0</v>
      </c>
      <c r="Y48" s="723">
        <f t="shared" ca="1" si="127"/>
        <v>0</v>
      </c>
      <c r="Z48" s="723">
        <f t="shared" ca="1" si="127"/>
        <v>0</v>
      </c>
      <c r="AA48" s="723">
        <f t="shared" ca="1" si="126"/>
        <v>0</v>
      </c>
      <c r="AB48" s="723">
        <f t="shared" ca="1" si="126"/>
        <v>0</v>
      </c>
      <c r="AC48" s="723">
        <f t="shared" ca="1" si="126"/>
        <v>0</v>
      </c>
      <c r="AD48" s="723">
        <f t="shared" ca="1" si="126"/>
        <v>0</v>
      </c>
      <c r="AE48" s="723">
        <f t="shared" ca="1" si="126"/>
        <v>0</v>
      </c>
      <c r="AF48" s="723">
        <f t="shared" ca="1" si="126"/>
        <v>0</v>
      </c>
      <c r="AG48" s="723">
        <f t="shared" ca="1" si="126"/>
        <v>0</v>
      </c>
      <c r="AH48" s="723">
        <f t="shared" ca="1" si="126"/>
        <v>0</v>
      </c>
      <c r="AI48" s="723">
        <f t="shared" ca="1" si="126"/>
        <v>0</v>
      </c>
      <c r="AJ48" s="723">
        <f t="shared" ca="1" si="126"/>
        <v>0</v>
      </c>
      <c r="AK48" s="724">
        <f ca="1">SUM(S48:AJ48)</f>
        <v>0</v>
      </c>
      <c r="AM48" s="735">
        <f t="shared" ref="AM48:AU50" ca="1" si="128">IFERROR(INDEX(INDIRECT($C48&amp;".Outputs["&amp;this.Year&amp;"]"), MATCH(AM$5, INDIRECT($C48&amp;".Outputs[Vector]"), 0)), 0)</f>
        <v>0</v>
      </c>
      <c r="AN48" s="735">
        <f t="shared" ca="1" si="128"/>
        <v>0</v>
      </c>
      <c r="AO48" s="735">
        <f t="shared" ca="1" si="128"/>
        <v>0</v>
      </c>
      <c r="AP48" s="735">
        <f t="shared" ca="1" si="128"/>
        <v>0</v>
      </c>
      <c r="AQ48" s="735">
        <f t="shared" ca="1" si="128"/>
        <v>0</v>
      </c>
      <c r="AR48" s="735">
        <f t="shared" ca="1" si="128"/>
        <v>0</v>
      </c>
      <c r="AS48" s="735">
        <f t="shared" ca="1" si="128"/>
        <v>0</v>
      </c>
      <c r="AT48" s="735">
        <f t="shared" ca="1" si="128"/>
        <v>0</v>
      </c>
      <c r="AU48" s="735">
        <f t="shared" ca="1" si="128"/>
        <v>0</v>
      </c>
      <c r="AV48" s="735">
        <f t="shared" ca="1" si="126"/>
        <v>0</v>
      </c>
      <c r="AW48" s="735">
        <f t="shared" ca="1" si="126"/>
        <v>0</v>
      </c>
      <c r="AX48" s="735">
        <f t="shared" ca="1" si="126"/>
        <v>0</v>
      </c>
      <c r="AY48" s="735">
        <f t="shared" ca="1" si="126"/>
        <v>0</v>
      </c>
      <c r="AZ48" s="735">
        <f t="shared" ca="1" si="126"/>
        <v>0</v>
      </c>
      <c r="BA48" s="735">
        <f t="shared" ca="1" si="126"/>
        <v>0</v>
      </c>
      <c r="BB48" s="735">
        <f t="shared" ca="1" si="126"/>
        <v>0</v>
      </c>
      <c r="BC48" s="735">
        <f t="shared" ca="1" si="126"/>
        <v>0</v>
      </c>
      <c r="BD48" s="735">
        <f t="shared" ca="1" si="126"/>
        <v>0</v>
      </c>
      <c r="BE48" s="735">
        <f t="shared" ca="1" si="126"/>
        <v>0</v>
      </c>
      <c r="BF48" s="677">
        <f ca="1">SUM(AM48:BE48)</f>
        <v>0</v>
      </c>
      <c r="BH48" s="729">
        <f t="shared" ref="BH48:BI50" ca="1" si="129">IFERROR(INDEX(INDIRECT($C48&amp;".Outputs["&amp;this.Year&amp;"]"), MATCH(BH$5, INDIRECT($C48&amp;".Outputs[Vector]"), 0)), 0)</f>
        <v>0</v>
      </c>
      <c r="BI48" s="729">
        <f t="shared" ca="1" si="129"/>
        <v>0</v>
      </c>
      <c r="BJ48" s="731">
        <f ca="1">SUM(BH48:BI48)</f>
        <v>0</v>
      </c>
      <c r="BL48" s="576"/>
      <c r="BM48" s="576"/>
      <c r="BN48" s="592"/>
      <c r="BO48" s="1082">
        <f t="shared" ref="BO48:BX50" ca="1" si="130">IFERROR(SUMIFS(INDIRECT($C48&amp;".Emissions["&amp;this.Year&amp;"]"), INDIRECT($C48&amp;".Emissions[GHG]"), BO$6, INDIRECT($C48&amp;".Emissions[IPCC Sector]"), BO$5),0)</f>
        <v>0</v>
      </c>
      <c r="BP48" s="1083">
        <f t="shared" ca="1" si="130"/>
        <v>0</v>
      </c>
      <c r="BQ48" s="1083">
        <f t="shared" ca="1" si="130"/>
        <v>0</v>
      </c>
      <c r="BR48" s="1083">
        <f t="shared" ca="1" si="130"/>
        <v>0</v>
      </c>
      <c r="BS48" s="1083">
        <f t="shared" ca="1" si="130"/>
        <v>0</v>
      </c>
      <c r="BT48" s="1083">
        <f t="shared" ca="1" si="130"/>
        <v>0</v>
      </c>
      <c r="BU48" s="1083">
        <f t="shared" ca="1" si="130"/>
        <v>0</v>
      </c>
      <c r="BV48" s="1083">
        <f t="shared" ca="1" si="130"/>
        <v>0</v>
      </c>
      <c r="BW48" s="1083">
        <f t="shared" ca="1" si="130"/>
        <v>0</v>
      </c>
      <c r="BX48" s="1083">
        <f t="shared" ca="1" si="130"/>
        <v>0</v>
      </c>
      <c r="BY48" s="1083">
        <f t="shared" ref="BY48:CH50" ca="1" si="131">IFERROR(SUMIFS(INDIRECT($C48&amp;".Emissions["&amp;this.Year&amp;"]"), INDIRECT($C48&amp;".Emissions[GHG]"), BY$6, INDIRECT($C48&amp;".Emissions[IPCC Sector]"), BY$5),0)</f>
        <v>0</v>
      </c>
      <c r="BZ48" s="1083">
        <f t="shared" ca="1" si="131"/>
        <v>0</v>
      </c>
      <c r="CA48" s="1083">
        <f t="shared" ca="1" si="131"/>
        <v>0</v>
      </c>
      <c r="CB48" s="1083">
        <f t="shared" ca="1" si="131"/>
        <v>0</v>
      </c>
      <c r="CC48" s="1083">
        <f t="shared" ca="1" si="131"/>
        <v>0</v>
      </c>
      <c r="CD48" s="1083">
        <f t="shared" ca="1" si="131"/>
        <v>0</v>
      </c>
      <c r="CE48" s="1083">
        <f t="shared" ca="1" si="131"/>
        <v>0</v>
      </c>
      <c r="CF48" s="1083">
        <f t="shared" ca="1" si="131"/>
        <v>0</v>
      </c>
      <c r="CG48" s="1083">
        <f t="shared" ca="1" si="131"/>
        <v>0</v>
      </c>
      <c r="CH48" s="1083">
        <f t="shared" ca="1" si="131"/>
        <v>0</v>
      </c>
      <c r="CI48" s="1083">
        <f t="shared" ref="CI48:CR50" ca="1" si="132">IFERROR(SUMIFS(INDIRECT($C48&amp;".Emissions["&amp;this.Year&amp;"]"), INDIRECT($C48&amp;".Emissions[GHG]"), CI$6, INDIRECT($C48&amp;".Emissions[IPCC Sector]"), CI$5),0)</f>
        <v>0</v>
      </c>
      <c r="CJ48" s="1083">
        <f t="shared" ca="1" si="132"/>
        <v>0</v>
      </c>
      <c r="CK48" s="1083">
        <f t="shared" ca="1" si="132"/>
        <v>0</v>
      </c>
      <c r="CL48" s="1083">
        <f t="shared" ca="1" si="132"/>
        <v>0</v>
      </c>
      <c r="CM48" s="1083">
        <f t="shared" ca="1" si="132"/>
        <v>0</v>
      </c>
      <c r="CN48" s="1083">
        <f t="shared" ca="1" si="132"/>
        <v>0</v>
      </c>
      <c r="CO48" s="1083">
        <f t="shared" ca="1" si="132"/>
        <v>0</v>
      </c>
      <c r="CP48" s="1083">
        <f t="shared" ca="1" si="132"/>
        <v>0</v>
      </c>
      <c r="CQ48" s="1083">
        <f t="shared" ca="1" si="132"/>
        <v>0</v>
      </c>
      <c r="CR48" s="1083">
        <f t="shared" ca="1" si="132"/>
        <v>0</v>
      </c>
      <c r="CS48" s="1083">
        <f t="shared" ref="CS48:DF50" ca="1" si="133">IFERROR(SUMIFS(INDIRECT($C48&amp;".Emissions["&amp;this.Year&amp;"]"), INDIRECT($C48&amp;".Emissions[GHG]"), CS$6, INDIRECT($C48&amp;".Emissions[IPCC Sector]"), CS$5),0)</f>
        <v>0</v>
      </c>
      <c r="CT48" s="1083">
        <f t="shared" ca="1" si="133"/>
        <v>0</v>
      </c>
      <c r="CU48" s="1083">
        <f t="shared" ca="1" si="133"/>
        <v>0</v>
      </c>
      <c r="CV48" s="1083">
        <f t="shared" ca="1" si="133"/>
        <v>0</v>
      </c>
      <c r="CW48" s="1083">
        <f t="shared" ca="1" si="133"/>
        <v>0</v>
      </c>
      <c r="CX48" s="1083">
        <f t="shared" ca="1" si="133"/>
        <v>0</v>
      </c>
      <c r="CY48" s="1083">
        <f t="shared" ca="1" si="133"/>
        <v>0</v>
      </c>
      <c r="CZ48" s="1083">
        <f t="shared" ca="1" si="133"/>
        <v>0</v>
      </c>
      <c r="DA48" s="1083">
        <f t="shared" ca="1" si="133"/>
        <v>0</v>
      </c>
      <c r="DB48" s="1083">
        <f t="shared" ca="1" si="133"/>
        <v>0</v>
      </c>
      <c r="DC48" s="1083">
        <f t="shared" ca="1" si="133"/>
        <v>0</v>
      </c>
      <c r="DD48" s="1083">
        <f t="shared" ca="1" si="133"/>
        <v>0</v>
      </c>
      <c r="DE48" s="1083">
        <f t="shared" ca="1" si="133"/>
        <v>0</v>
      </c>
      <c r="DF48" s="1083">
        <f t="shared" ca="1" si="133"/>
        <v>0</v>
      </c>
      <c r="DH48" s="590">
        <f ca="1">SUM(BO48:DF48)</f>
        <v>0</v>
      </c>
    </row>
    <row r="49" spans="1:112" s="532" customFormat="1" outlineLevel="1">
      <c r="A49" s="1085"/>
      <c r="B49" s="1085"/>
      <c r="C49" s="534" t="s">
        <v>736</v>
      </c>
      <c r="D49" s="511" t="str">
        <f>INDEX(Modules[Module], MATCH($C49, Modules[Code], 0))</f>
        <v>Volume of Waste &amp; Recycling</v>
      </c>
      <c r="E49" s="511"/>
      <c r="G49" s="714">
        <f t="shared" ca="1" si="125"/>
        <v>0</v>
      </c>
      <c r="H49" s="714">
        <f t="shared" ca="1" si="125"/>
        <v>0</v>
      </c>
      <c r="I49" s="714">
        <f t="shared" ca="1" si="125"/>
        <v>0</v>
      </c>
      <c r="J49" s="714">
        <f t="shared" ca="1" si="125"/>
        <v>0</v>
      </c>
      <c r="K49" s="714">
        <f t="shared" ca="1" si="125"/>
        <v>0</v>
      </c>
      <c r="L49" s="714">
        <f t="shared" ca="1" si="125"/>
        <v>0</v>
      </c>
      <c r="M49" s="714">
        <f t="shared" ca="1" si="125"/>
        <v>0</v>
      </c>
      <c r="N49" s="714">
        <f t="shared" ca="1" si="125"/>
        <v>0</v>
      </c>
      <c r="O49" s="714">
        <f t="shared" ca="1" si="125"/>
        <v>0</v>
      </c>
      <c r="P49" s="714">
        <f t="shared" ca="1" si="125"/>
        <v>0</v>
      </c>
      <c r="Q49" s="716">
        <f ca="1">SUM(G49:P49)</f>
        <v>0</v>
      </c>
      <c r="S49" s="723">
        <f t="shared" ca="1" si="126"/>
        <v>0</v>
      </c>
      <c r="T49" s="723">
        <f t="shared" ca="1" si="126"/>
        <v>0</v>
      </c>
      <c r="U49" s="723">
        <f t="shared" ca="1" si="126"/>
        <v>0</v>
      </c>
      <c r="V49" s="723">
        <f t="shared" ca="1" si="126"/>
        <v>0</v>
      </c>
      <c r="W49" s="723">
        <f t="shared" ca="1" si="126"/>
        <v>0</v>
      </c>
      <c r="X49" s="723">
        <f t="shared" ca="1" si="127"/>
        <v>0</v>
      </c>
      <c r="Y49" s="723">
        <f t="shared" ca="1" si="127"/>
        <v>0</v>
      </c>
      <c r="Z49" s="723">
        <f t="shared" ca="1" si="127"/>
        <v>0</v>
      </c>
      <c r="AA49" s="723">
        <f t="shared" ca="1" si="126"/>
        <v>0</v>
      </c>
      <c r="AB49" s="723">
        <f t="shared" ca="1" si="126"/>
        <v>0</v>
      </c>
      <c r="AC49" s="723">
        <f t="shared" ca="1" si="126"/>
        <v>0</v>
      </c>
      <c r="AD49" s="723">
        <f t="shared" ca="1" si="126"/>
        <v>0</v>
      </c>
      <c r="AE49" s="723">
        <f t="shared" ca="1" si="126"/>
        <v>0</v>
      </c>
      <c r="AF49" s="723">
        <f t="shared" ca="1" si="126"/>
        <v>0</v>
      </c>
      <c r="AG49" s="723">
        <f t="shared" ca="1" si="126"/>
        <v>0</v>
      </c>
      <c r="AH49" s="723">
        <f t="shared" ca="1" si="126"/>
        <v>0</v>
      </c>
      <c r="AI49" s="723">
        <f t="shared" ca="1" si="126"/>
        <v>0</v>
      </c>
      <c r="AJ49" s="723">
        <f t="shared" ca="1" si="126"/>
        <v>0</v>
      </c>
      <c r="AK49" s="724">
        <f ca="1">SUM(S49:AJ49)</f>
        <v>0</v>
      </c>
      <c r="AM49" s="735">
        <f t="shared" ca="1" si="128"/>
        <v>0</v>
      </c>
      <c r="AN49" s="735">
        <f t="shared" ca="1" si="128"/>
        <v>0</v>
      </c>
      <c r="AO49" s="735">
        <f t="shared" ca="1" si="128"/>
        <v>0</v>
      </c>
      <c r="AP49" s="735">
        <f t="shared" ca="1" si="128"/>
        <v>0</v>
      </c>
      <c r="AQ49" s="735">
        <f t="shared" ca="1" si="128"/>
        <v>0</v>
      </c>
      <c r="AR49" s="735">
        <f t="shared" ca="1" si="128"/>
        <v>0</v>
      </c>
      <c r="AS49" s="735">
        <f t="shared" ca="1" si="128"/>
        <v>0</v>
      </c>
      <c r="AT49" s="735">
        <f t="shared" ca="1" si="128"/>
        <v>0</v>
      </c>
      <c r="AU49" s="735">
        <f t="shared" ca="1" si="128"/>
        <v>0</v>
      </c>
      <c r="AV49" s="735">
        <f t="shared" ca="1" si="126"/>
        <v>0</v>
      </c>
      <c r="AW49" s="735">
        <f t="shared" ca="1" si="126"/>
        <v>0</v>
      </c>
      <c r="AX49" s="735">
        <f t="shared" ca="1" si="126"/>
        <v>0</v>
      </c>
      <c r="AY49" s="735">
        <f t="shared" ca="1" si="126"/>
        <v>0</v>
      </c>
      <c r="AZ49" s="735">
        <f t="shared" ca="1" si="126"/>
        <v>0</v>
      </c>
      <c r="BA49" s="735">
        <f t="shared" ca="1" si="126"/>
        <v>0</v>
      </c>
      <c r="BB49" s="735">
        <f t="shared" ca="1" si="126"/>
        <v>0</v>
      </c>
      <c r="BC49" s="735">
        <f t="shared" ca="1" si="126"/>
        <v>0</v>
      </c>
      <c r="BD49" s="735">
        <f t="shared" ca="1" si="126"/>
        <v>0</v>
      </c>
      <c r="BE49" s="735">
        <f t="shared" ca="1" si="126"/>
        <v>0</v>
      </c>
      <c r="BF49" s="677">
        <f ca="1">SUM(AM49:BE49)</f>
        <v>0</v>
      </c>
      <c r="BH49" s="729">
        <f t="shared" ca="1" si="129"/>
        <v>0</v>
      </c>
      <c r="BI49" s="729">
        <f t="shared" ca="1" si="129"/>
        <v>0</v>
      </c>
      <c r="BJ49" s="731">
        <f ca="1">SUM(BH49:BI49)</f>
        <v>0</v>
      </c>
      <c r="BL49" s="576"/>
      <c r="BM49" s="576"/>
      <c r="BN49" s="592"/>
      <c r="BO49" s="1082">
        <f t="shared" ca="1" si="130"/>
        <v>0</v>
      </c>
      <c r="BP49" s="1083">
        <f t="shared" ca="1" si="130"/>
        <v>0</v>
      </c>
      <c r="BQ49" s="1083">
        <f t="shared" ca="1" si="130"/>
        <v>0</v>
      </c>
      <c r="BR49" s="1083">
        <f t="shared" ca="1" si="130"/>
        <v>0</v>
      </c>
      <c r="BS49" s="1083">
        <f t="shared" ca="1" si="130"/>
        <v>0</v>
      </c>
      <c r="BT49" s="1083">
        <f t="shared" ca="1" si="130"/>
        <v>0</v>
      </c>
      <c r="BU49" s="1083">
        <f t="shared" ca="1" si="130"/>
        <v>0</v>
      </c>
      <c r="BV49" s="1083">
        <f t="shared" ca="1" si="130"/>
        <v>0</v>
      </c>
      <c r="BW49" s="1083">
        <f t="shared" ca="1" si="130"/>
        <v>0</v>
      </c>
      <c r="BX49" s="1083">
        <f t="shared" ca="1" si="130"/>
        <v>0</v>
      </c>
      <c r="BY49" s="1083">
        <f t="shared" ca="1" si="131"/>
        <v>0</v>
      </c>
      <c r="BZ49" s="1083">
        <f t="shared" ca="1" si="131"/>
        <v>0</v>
      </c>
      <c r="CA49" s="1083">
        <f t="shared" ca="1" si="131"/>
        <v>0</v>
      </c>
      <c r="CB49" s="1083">
        <f t="shared" ca="1" si="131"/>
        <v>0</v>
      </c>
      <c r="CC49" s="1083">
        <f t="shared" ca="1" si="131"/>
        <v>0</v>
      </c>
      <c r="CD49" s="1083">
        <f t="shared" ca="1" si="131"/>
        <v>0</v>
      </c>
      <c r="CE49" s="1083">
        <f t="shared" ca="1" si="131"/>
        <v>0</v>
      </c>
      <c r="CF49" s="1083">
        <f t="shared" ca="1" si="131"/>
        <v>0</v>
      </c>
      <c r="CG49" s="1083">
        <f t="shared" ca="1" si="131"/>
        <v>0</v>
      </c>
      <c r="CH49" s="1083">
        <f t="shared" ca="1" si="131"/>
        <v>0</v>
      </c>
      <c r="CI49" s="1083">
        <f t="shared" ca="1" si="132"/>
        <v>0</v>
      </c>
      <c r="CJ49" s="1083">
        <f t="shared" ca="1" si="132"/>
        <v>0</v>
      </c>
      <c r="CK49" s="1083">
        <f t="shared" ca="1" si="132"/>
        <v>0</v>
      </c>
      <c r="CL49" s="1083">
        <f t="shared" ca="1" si="132"/>
        <v>0</v>
      </c>
      <c r="CM49" s="1083">
        <f t="shared" ca="1" si="132"/>
        <v>0</v>
      </c>
      <c r="CN49" s="1083">
        <f t="shared" ca="1" si="132"/>
        <v>0</v>
      </c>
      <c r="CO49" s="1083">
        <f t="shared" ca="1" si="132"/>
        <v>0</v>
      </c>
      <c r="CP49" s="1083">
        <f t="shared" ca="1" si="132"/>
        <v>0</v>
      </c>
      <c r="CQ49" s="1083">
        <f t="shared" ca="1" si="132"/>
        <v>0</v>
      </c>
      <c r="CR49" s="1083">
        <f t="shared" ca="1" si="132"/>
        <v>0</v>
      </c>
      <c r="CS49" s="1083">
        <f t="shared" ca="1" si="133"/>
        <v>0</v>
      </c>
      <c r="CT49" s="1083">
        <f t="shared" ca="1" si="133"/>
        <v>0</v>
      </c>
      <c r="CU49" s="1083">
        <f t="shared" ca="1" si="133"/>
        <v>0</v>
      </c>
      <c r="CV49" s="1083">
        <f t="shared" ca="1" si="133"/>
        <v>0</v>
      </c>
      <c r="CW49" s="1083">
        <f t="shared" ca="1" si="133"/>
        <v>0</v>
      </c>
      <c r="CX49" s="1083">
        <f t="shared" ca="1" si="133"/>
        <v>0</v>
      </c>
      <c r="CY49" s="1083">
        <f t="shared" ca="1" si="133"/>
        <v>0</v>
      </c>
      <c r="CZ49" s="1083">
        <f t="shared" ca="1" si="133"/>
        <v>0</v>
      </c>
      <c r="DA49" s="1083">
        <f t="shared" ca="1" si="133"/>
        <v>0</v>
      </c>
      <c r="DB49" s="1083">
        <f t="shared" ca="1" si="133"/>
        <v>0</v>
      </c>
      <c r="DC49" s="1083">
        <f t="shared" ca="1" si="133"/>
        <v>0</v>
      </c>
      <c r="DD49" s="1083">
        <f t="shared" ca="1" si="133"/>
        <v>0</v>
      </c>
      <c r="DE49" s="1083">
        <f t="shared" ca="1" si="133"/>
        <v>0</v>
      </c>
      <c r="DF49" s="1083">
        <f t="shared" ca="1" si="133"/>
        <v>0</v>
      </c>
      <c r="DH49" s="590">
        <f t="shared" ca="1" si="124"/>
        <v>0</v>
      </c>
    </row>
    <row r="50" spans="1:112" s="532" customFormat="1" ht="12.75" customHeight="1" outlineLevel="1">
      <c r="A50" s="1085"/>
      <c r="B50" s="1085"/>
      <c r="C50" s="534" t="s">
        <v>706</v>
      </c>
      <c r="D50" s="707" t="str">
        <f>INDEX(Modules[Module], MATCH($C50, Modules[Code], 0))</f>
        <v>Agriculture and land use</v>
      </c>
      <c r="E50" s="707"/>
      <c r="G50" s="719">
        <f t="shared" ref="G50:P50" ca="1" si="134">IFERROR(INDEX(INDIRECT($C50&amp;".Outputs["&amp;this.Year&amp;"]"), MATCH(G$5, INDIRECT($C50&amp;".Outputs[Vector]"), 0)), 0)</f>
        <v>0</v>
      </c>
      <c r="H50" s="719">
        <f t="shared" ca="1" si="134"/>
        <v>0</v>
      </c>
      <c r="I50" s="719">
        <f t="shared" ca="1" si="134"/>
        <v>0</v>
      </c>
      <c r="J50" s="719">
        <f t="shared" ca="1" si="134"/>
        <v>0</v>
      </c>
      <c r="K50" s="719">
        <f t="shared" ca="1" si="134"/>
        <v>0</v>
      </c>
      <c r="L50" s="719">
        <f t="shared" ca="1" si="134"/>
        <v>0</v>
      </c>
      <c r="M50" s="719">
        <f t="shared" ca="1" si="134"/>
        <v>0</v>
      </c>
      <c r="N50" s="719">
        <f t="shared" ca="1" si="134"/>
        <v>0</v>
      </c>
      <c r="O50" s="719">
        <f t="shared" ca="1" si="134"/>
        <v>0</v>
      </c>
      <c r="P50" s="719">
        <f t="shared" ca="1" si="134"/>
        <v>0</v>
      </c>
      <c r="Q50" s="717">
        <f ca="1">SUM(G50:P50)</f>
        <v>0</v>
      </c>
      <c r="S50" s="728">
        <f t="shared" ref="S50:AJ50" ca="1" si="135">IFERROR(INDEX(INDIRECT($C50&amp;".Outputs["&amp;this.Year&amp;"]"), MATCH(S$5, INDIRECT($C50&amp;".Outputs[Vector]"), 0)), 0)</f>
        <v>0</v>
      </c>
      <c r="T50" s="728">
        <f t="shared" ca="1" si="135"/>
        <v>0</v>
      </c>
      <c r="U50" s="728">
        <f t="shared" ca="1" si="135"/>
        <v>0</v>
      </c>
      <c r="V50" s="728">
        <f t="shared" ca="1" si="135"/>
        <v>0</v>
      </c>
      <c r="W50" s="728">
        <f t="shared" ca="1" si="135"/>
        <v>0</v>
      </c>
      <c r="X50" s="728">
        <f t="shared" ca="1" si="127"/>
        <v>0</v>
      </c>
      <c r="Y50" s="728">
        <f t="shared" ca="1" si="127"/>
        <v>0</v>
      </c>
      <c r="Z50" s="728">
        <f t="shared" ca="1" si="127"/>
        <v>0</v>
      </c>
      <c r="AA50" s="728">
        <f t="shared" ca="1" si="135"/>
        <v>0</v>
      </c>
      <c r="AB50" s="728">
        <f t="shared" ca="1" si="135"/>
        <v>0</v>
      </c>
      <c r="AC50" s="728">
        <f t="shared" ca="1" si="135"/>
        <v>0</v>
      </c>
      <c r="AD50" s="728">
        <f t="shared" ca="1" si="135"/>
        <v>0</v>
      </c>
      <c r="AE50" s="728">
        <f t="shared" ca="1" si="135"/>
        <v>0</v>
      </c>
      <c r="AF50" s="728">
        <f t="shared" ca="1" si="135"/>
        <v>0</v>
      </c>
      <c r="AG50" s="728">
        <f t="shared" ca="1" si="135"/>
        <v>0</v>
      </c>
      <c r="AH50" s="728">
        <f t="shared" ca="1" si="135"/>
        <v>0</v>
      </c>
      <c r="AI50" s="728">
        <f t="shared" ca="1" si="135"/>
        <v>0</v>
      </c>
      <c r="AJ50" s="728">
        <f t="shared" ca="1" si="135"/>
        <v>0</v>
      </c>
      <c r="AK50" s="727">
        <f ca="1">SUM(S50:AJ50)</f>
        <v>0</v>
      </c>
      <c r="AM50" s="739">
        <f t="shared" ca="1" si="128"/>
        <v>0</v>
      </c>
      <c r="AN50" s="739">
        <f t="shared" ca="1" si="128"/>
        <v>0</v>
      </c>
      <c r="AO50" s="739">
        <f t="shared" ca="1" si="128"/>
        <v>0</v>
      </c>
      <c r="AP50" s="739">
        <f t="shared" ca="1" si="128"/>
        <v>0</v>
      </c>
      <c r="AQ50" s="739">
        <f t="shared" ca="1" si="128"/>
        <v>0</v>
      </c>
      <c r="AR50" s="739">
        <f t="shared" ca="1" si="128"/>
        <v>0</v>
      </c>
      <c r="AS50" s="739">
        <f t="shared" ca="1" si="128"/>
        <v>0</v>
      </c>
      <c r="AT50" s="739">
        <f t="shared" ca="1" si="128"/>
        <v>0</v>
      </c>
      <c r="AU50" s="739">
        <f t="shared" ca="1" si="128"/>
        <v>0</v>
      </c>
      <c r="AV50" s="739">
        <f t="shared" ref="AV50:BE50" ca="1" si="136">IFERROR(INDEX(INDIRECT($C50&amp;".Outputs["&amp;this.Year&amp;"]"), MATCH(AV$5, INDIRECT($C50&amp;".Outputs[Vector]"), 0)), 0)</f>
        <v>0</v>
      </c>
      <c r="AW50" s="739">
        <f t="shared" ca="1" si="136"/>
        <v>0</v>
      </c>
      <c r="AX50" s="739">
        <f t="shared" ca="1" si="136"/>
        <v>0</v>
      </c>
      <c r="AY50" s="739">
        <f t="shared" ca="1" si="136"/>
        <v>0</v>
      </c>
      <c r="AZ50" s="739">
        <f t="shared" ca="1" si="136"/>
        <v>0</v>
      </c>
      <c r="BA50" s="739">
        <f t="shared" ca="1" si="136"/>
        <v>0</v>
      </c>
      <c r="BB50" s="739">
        <f t="shared" ca="1" si="136"/>
        <v>0</v>
      </c>
      <c r="BC50" s="739">
        <f t="shared" ca="1" si="136"/>
        <v>0</v>
      </c>
      <c r="BD50" s="739">
        <f t="shared" ca="1" si="136"/>
        <v>0</v>
      </c>
      <c r="BE50" s="739">
        <f t="shared" ca="1" si="136"/>
        <v>0</v>
      </c>
      <c r="BF50" s="709">
        <f ca="1">SUM(AM50:BE50)</f>
        <v>0</v>
      </c>
      <c r="BH50" s="733">
        <f t="shared" ca="1" si="129"/>
        <v>0</v>
      </c>
      <c r="BI50" s="733">
        <f t="shared" ca="1" si="129"/>
        <v>0</v>
      </c>
      <c r="BJ50" s="732">
        <f ca="1">SUM(BH50:BI50)</f>
        <v>0</v>
      </c>
      <c r="BL50" s="576">
        <f ca="1">Q50+AK50+BF50+BJ50</f>
        <v>0</v>
      </c>
      <c r="BM50" s="576"/>
      <c r="BN50" s="592"/>
      <c r="BO50" s="1086">
        <f t="shared" ca="1" si="130"/>
        <v>0</v>
      </c>
      <c r="BP50" s="1087">
        <f t="shared" ca="1" si="130"/>
        <v>0</v>
      </c>
      <c r="BQ50" s="1087">
        <f t="shared" ca="1" si="130"/>
        <v>0</v>
      </c>
      <c r="BR50" s="1087">
        <f t="shared" ca="1" si="130"/>
        <v>0</v>
      </c>
      <c r="BS50" s="1087">
        <f t="shared" ca="1" si="130"/>
        <v>0</v>
      </c>
      <c r="BT50" s="1087">
        <f t="shared" ca="1" si="130"/>
        <v>0</v>
      </c>
      <c r="BU50" s="1087">
        <f t="shared" ca="1" si="130"/>
        <v>0</v>
      </c>
      <c r="BV50" s="1087">
        <f t="shared" ca="1" si="130"/>
        <v>0</v>
      </c>
      <c r="BW50" s="1087">
        <f t="shared" ca="1" si="130"/>
        <v>0</v>
      </c>
      <c r="BX50" s="1087">
        <f t="shared" ca="1" si="130"/>
        <v>0</v>
      </c>
      <c r="BY50" s="1087">
        <f t="shared" ca="1" si="131"/>
        <v>0</v>
      </c>
      <c r="BZ50" s="1087">
        <f t="shared" ca="1" si="131"/>
        <v>0</v>
      </c>
      <c r="CA50" s="1087">
        <f t="shared" ca="1" si="131"/>
        <v>0</v>
      </c>
      <c r="CB50" s="1087">
        <f t="shared" ca="1" si="131"/>
        <v>0</v>
      </c>
      <c r="CC50" s="1087">
        <f t="shared" ca="1" si="131"/>
        <v>0</v>
      </c>
      <c r="CD50" s="1087">
        <f t="shared" ca="1" si="131"/>
        <v>0</v>
      </c>
      <c r="CE50" s="1087">
        <f t="shared" ca="1" si="131"/>
        <v>0</v>
      </c>
      <c r="CF50" s="1087">
        <f t="shared" ca="1" si="131"/>
        <v>0</v>
      </c>
      <c r="CG50" s="1087">
        <f t="shared" ca="1" si="131"/>
        <v>0</v>
      </c>
      <c r="CH50" s="1087">
        <f t="shared" ca="1" si="131"/>
        <v>0</v>
      </c>
      <c r="CI50" s="1087">
        <f t="shared" ca="1" si="132"/>
        <v>0</v>
      </c>
      <c r="CJ50" s="1087">
        <f t="shared" ca="1" si="132"/>
        <v>0</v>
      </c>
      <c r="CK50" s="1087">
        <f t="shared" ca="1" si="132"/>
        <v>0</v>
      </c>
      <c r="CL50" s="1087">
        <f t="shared" ca="1" si="132"/>
        <v>0</v>
      </c>
      <c r="CM50" s="1087">
        <f t="shared" ca="1" si="132"/>
        <v>0</v>
      </c>
      <c r="CN50" s="1087">
        <f t="shared" ca="1" si="132"/>
        <v>0</v>
      </c>
      <c r="CO50" s="1087">
        <f t="shared" ca="1" si="132"/>
        <v>0</v>
      </c>
      <c r="CP50" s="1087">
        <f t="shared" ca="1" si="132"/>
        <v>0</v>
      </c>
      <c r="CQ50" s="1087">
        <f t="shared" ca="1" si="132"/>
        <v>0</v>
      </c>
      <c r="CR50" s="1087">
        <f t="shared" ca="1" si="132"/>
        <v>0</v>
      </c>
      <c r="CS50" s="1087">
        <f t="shared" ca="1" si="133"/>
        <v>0</v>
      </c>
      <c r="CT50" s="1087">
        <f t="shared" ca="1" si="133"/>
        <v>0</v>
      </c>
      <c r="CU50" s="1087">
        <f t="shared" ca="1" si="133"/>
        <v>0</v>
      </c>
      <c r="CV50" s="1087">
        <f t="shared" ca="1" si="133"/>
        <v>0</v>
      </c>
      <c r="CW50" s="1087">
        <f t="shared" ca="1" si="133"/>
        <v>0</v>
      </c>
      <c r="CX50" s="1087">
        <f t="shared" ca="1" si="133"/>
        <v>0</v>
      </c>
      <c r="CY50" s="1087">
        <f t="shared" ca="1" si="133"/>
        <v>0</v>
      </c>
      <c r="CZ50" s="1087">
        <f t="shared" ca="1" si="133"/>
        <v>0</v>
      </c>
      <c r="DA50" s="1087">
        <f t="shared" ca="1" si="133"/>
        <v>0</v>
      </c>
      <c r="DB50" s="1087">
        <f t="shared" ca="1" si="133"/>
        <v>0</v>
      </c>
      <c r="DC50" s="1087">
        <f t="shared" ca="1" si="133"/>
        <v>0</v>
      </c>
      <c r="DD50" s="1087">
        <f t="shared" ca="1" si="133"/>
        <v>0</v>
      </c>
      <c r="DE50" s="1087">
        <f t="shared" ca="1" si="133"/>
        <v>0</v>
      </c>
      <c r="DF50" s="1087">
        <f t="shared" ca="1" si="133"/>
        <v>0</v>
      </c>
      <c r="DH50" s="590">
        <f t="shared" ca="1" si="124"/>
        <v>0</v>
      </c>
    </row>
    <row r="51" spans="1:112" s="532" customFormat="1" ht="15">
      <c r="A51" s="22"/>
      <c r="B51" s="537"/>
      <c r="C51" s="533" t="s">
        <v>561</v>
      </c>
      <c r="D51" s="507" t="str">
        <f>INDEX(Workstreams[Workstream], MATCH($C51, Workstreams[Code], 0))</f>
        <v>Agriculture and waste</v>
      </c>
      <c r="E51" s="503"/>
      <c r="G51" s="718">
        <f ca="1">SUM(G48:G50)</f>
        <v>0</v>
      </c>
      <c r="H51" s="718">
        <f t="shared" ref="H51:P51" ca="1" si="137">SUM(H48:H50)</f>
        <v>0</v>
      </c>
      <c r="I51" s="718">
        <f t="shared" ca="1" si="137"/>
        <v>0</v>
      </c>
      <c r="J51" s="718">
        <f t="shared" ca="1" si="137"/>
        <v>0</v>
      </c>
      <c r="K51" s="718">
        <f t="shared" ca="1" si="137"/>
        <v>0</v>
      </c>
      <c r="L51" s="718">
        <f t="shared" ca="1" si="137"/>
        <v>0</v>
      </c>
      <c r="M51" s="718">
        <f t="shared" ca="1" si="137"/>
        <v>0</v>
      </c>
      <c r="N51" s="718">
        <f t="shared" ca="1" si="137"/>
        <v>0</v>
      </c>
      <c r="O51" s="718">
        <f t="shared" ca="1" si="137"/>
        <v>0</v>
      </c>
      <c r="P51" s="718">
        <f t="shared" ca="1" si="137"/>
        <v>0</v>
      </c>
      <c r="Q51" s="718">
        <f ca="1">SUM(G51:P51)</f>
        <v>0</v>
      </c>
      <c r="S51" s="668">
        <f t="shared" ref="S51:AJ51" ca="1" si="138">SUM(S48:S50)</f>
        <v>0</v>
      </c>
      <c r="T51" s="668">
        <f t="shared" ca="1" si="138"/>
        <v>0</v>
      </c>
      <c r="U51" s="668">
        <f t="shared" ca="1" si="138"/>
        <v>0</v>
      </c>
      <c r="V51" s="668">
        <f t="shared" ca="1" si="138"/>
        <v>0</v>
      </c>
      <c r="W51" s="668">
        <f t="shared" ca="1" si="138"/>
        <v>0</v>
      </c>
      <c r="X51" s="668">
        <f t="shared" ca="1" si="138"/>
        <v>0</v>
      </c>
      <c r="Y51" s="668">
        <f t="shared" ca="1" si="138"/>
        <v>0</v>
      </c>
      <c r="Z51" s="668">
        <f t="shared" ca="1" si="138"/>
        <v>0</v>
      </c>
      <c r="AA51" s="668">
        <f t="shared" ca="1" si="138"/>
        <v>0</v>
      </c>
      <c r="AB51" s="668">
        <f t="shared" ca="1" si="138"/>
        <v>0</v>
      </c>
      <c r="AC51" s="668">
        <f t="shared" ca="1" si="138"/>
        <v>0</v>
      </c>
      <c r="AD51" s="668">
        <f t="shared" ca="1" si="138"/>
        <v>0</v>
      </c>
      <c r="AE51" s="668">
        <f ca="1">SUM(AE48:AE50)</f>
        <v>0</v>
      </c>
      <c r="AF51" s="668">
        <f t="shared" ca="1" si="138"/>
        <v>0</v>
      </c>
      <c r="AG51" s="668">
        <f t="shared" ca="1" si="138"/>
        <v>0</v>
      </c>
      <c r="AH51" s="668">
        <f ca="1">SUM(AH48:AH50)</f>
        <v>0</v>
      </c>
      <c r="AI51" s="668">
        <f t="shared" ca="1" si="138"/>
        <v>0</v>
      </c>
      <c r="AJ51" s="668">
        <f t="shared" ca="1" si="138"/>
        <v>0</v>
      </c>
      <c r="AK51" s="668">
        <f ca="1">SUM(S51:AJ51)</f>
        <v>0</v>
      </c>
      <c r="AM51" s="674">
        <f t="shared" ref="AM51:BE51" ca="1" si="139">SUM(AM48:AM50)</f>
        <v>0</v>
      </c>
      <c r="AN51" s="674">
        <f t="shared" ca="1" si="139"/>
        <v>0</v>
      </c>
      <c r="AO51" s="674">
        <f t="shared" ca="1" si="139"/>
        <v>0</v>
      </c>
      <c r="AP51" s="674">
        <f t="shared" ca="1" si="139"/>
        <v>0</v>
      </c>
      <c r="AQ51" s="674">
        <f t="shared" ca="1" si="139"/>
        <v>0</v>
      </c>
      <c r="AR51" s="674">
        <f t="shared" ca="1" si="139"/>
        <v>0</v>
      </c>
      <c r="AS51" s="674">
        <f t="shared" ca="1" si="139"/>
        <v>0</v>
      </c>
      <c r="AT51" s="674">
        <f t="shared" ca="1" si="139"/>
        <v>0</v>
      </c>
      <c r="AU51" s="674">
        <f t="shared" ca="1" si="139"/>
        <v>0</v>
      </c>
      <c r="AV51" s="674">
        <f t="shared" ca="1" si="139"/>
        <v>0</v>
      </c>
      <c r="AW51" s="674">
        <f t="shared" ca="1" si="139"/>
        <v>0</v>
      </c>
      <c r="AX51" s="674">
        <f t="shared" ca="1" si="139"/>
        <v>0</v>
      </c>
      <c r="AY51" s="674">
        <f t="shared" ca="1" si="139"/>
        <v>0</v>
      </c>
      <c r="AZ51" s="674">
        <f t="shared" ca="1" si="139"/>
        <v>0</v>
      </c>
      <c r="BA51" s="674">
        <f t="shared" ca="1" si="139"/>
        <v>0</v>
      </c>
      <c r="BB51" s="674">
        <f t="shared" ca="1" si="139"/>
        <v>0</v>
      </c>
      <c r="BC51" s="674">
        <f t="shared" ca="1" si="139"/>
        <v>0</v>
      </c>
      <c r="BD51" s="674">
        <f t="shared" ca="1" si="139"/>
        <v>0</v>
      </c>
      <c r="BE51" s="674">
        <f t="shared" ca="1" si="139"/>
        <v>0</v>
      </c>
      <c r="BF51" s="674">
        <f ca="1">SUM(AM51:BE51)</f>
        <v>0</v>
      </c>
      <c r="BH51" s="688">
        <f ca="1">SUM(BH48:BH50)</f>
        <v>0</v>
      </c>
      <c r="BI51" s="688">
        <f ca="1">SUM(BI48:BI50)</f>
        <v>0</v>
      </c>
      <c r="BJ51" s="688">
        <f ca="1">SUM(BH51:BI51)</f>
        <v>0</v>
      </c>
      <c r="BL51" s="505">
        <f ca="1">Q51+AK51+BF51+BJ51</f>
        <v>0</v>
      </c>
      <c r="BM51" s="505"/>
      <c r="BN51" s="592"/>
      <c r="BO51" s="1083">
        <f t="shared" ref="BO51:DF51" ca="1" si="140">SUM(BO48:BO50)</f>
        <v>0</v>
      </c>
      <c r="BP51" s="1083">
        <f t="shared" ca="1" si="140"/>
        <v>0</v>
      </c>
      <c r="BQ51" s="1083">
        <f t="shared" ca="1" si="140"/>
        <v>0</v>
      </c>
      <c r="BR51" s="1083">
        <f t="shared" ca="1" si="140"/>
        <v>0</v>
      </c>
      <c r="BS51" s="1083">
        <f t="shared" ca="1" si="140"/>
        <v>0</v>
      </c>
      <c r="BT51" s="1083">
        <f t="shared" ca="1" si="140"/>
        <v>0</v>
      </c>
      <c r="BU51" s="1083">
        <f t="shared" ca="1" si="140"/>
        <v>0</v>
      </c>
      <c r="BV51" s="1083">
        <f t="shared" ca="1" si="140"/>
        <v>0</v>
      </c>
      <c r="BW51" s="1083">
        <f t="shared" ca="1" si="140"/>
        <v>0</v>
      </c>
      <c r="BX51" s="1083">
        <f t="shared" ca="1" si="140"/>
        <v>0</v>
      </c>
      <c r="BY51" s="1083">
        <f t="shared" ca="1" si="140"/>
        <v>0</v>
      </c>
      <c r="BZ51" s="1083">
        <f t="shared" ca="1" si="140"/>
        <v>0</v>
      </c>
      <c r="CA51" s="1083">
        <f t="shared" ca="1" si="140"/>
        <v>0</v>
      </c>
      <c r="CB51" s="1083">
        <f t="shared" ca="1" si="140"/>
        <v>0</v>
      </c>
      <c r="CC51" s="1083">
        <f t="shared" ca="1" si="140"/>
        <v>0</v>
      </c>
      <c r="CD51" s="1083">
        <f t="shared" ca="1" si="140"/>
        <v>0</v>
      </c>
      <c r="CE51" s="1083">
        <f t="shared" ca="1" si="140"/>
        <v>0</v>
      </c>
      <c r="CF51" s="1083">
        <f t="shared" ca="1" si="140"/>
        <v>0</v>
      </c>
      <c r="CG51" s="1083">
        <f t="shared" ca="1" si="140"/>
        <v>0</v>
      </c>
      <c r="CH51" s="1083">
        <f t="shared" ca="1" si="140"/>
        <v>0</v>
      </c>
      <c r="CI51" s="1083">
        <f t="shared" ca="1" si="140"/>
        <v>0</v>
      </c>
      <c r="CJ51" s="1083">
        <f t="shared" ca="1" si="140"/>
        <v>0</v>
      </c>
      <c r="CK51" s="1083">
        <f t="shared" ca="1" si="140"/>
        <v>0</v>
      </c>
      <c r="CL51" s="1083">
        <f t="shared" ca="1" si="140"/>
        <v>0</v>
      </c>
      <c r="CM51" s="1083">
        <f t="shared" ca="1" si="140"/>
        <v>0</v>
      </c>
      <c r="CN51" s="1083">
        <f t="shared" ca="1" si="140"/>
        <v>0</v>
      </c>
      <c r="CO51" s="1083">
        <f t="shared" ca="1" si="140"/>
        <v>0</v>
      </c>
      <c r="CP51" s="1083">
        <f t="shared" ca="1" si="140"/>
        <v>0</v>
      </c>
      <c r="CQ51" s="1083">
        <f t="shared" ca="1" si="140"/>
        <v>0</v>
      </c>
      <c r="CR51" s="1083">
        <f t="shared" ca="1" si="140"/>
        <v>0</v>
      </c>
      <c r="CS51" s="1083">
        <f t="shared" ca="1" si="140"/>
        <v>0</v>
      </c>
      <c r="CT51" s="1083">
        <f t="shared" ca="1" si="140"/>
        <v>0</v>
      </c>
      <c r="CU51" s="1083">
        <f t="shared" ca="1" si="140"/>
        <v>0</v>
      </c>
      <c r="CV51" s="1083">
        <f t="shared" ca="1" si="140"/>
        <v>0</v>
      </c>
      <c r="CW51" s="1083">
        <f t="shared" ca="1" si="140"/>
        <v>0</v>
      </c>
      <c r="CX51" s="1083">
        <f t="shared" ca="1" si="140"/>
        <v>0</v>
      </c>
      <c r="CY51" s="1083">
        <f t="shared" ca="1" si="140"/>
        <v>0</v>
      </c>
      <c r="CZ51" s="1083">
        <f t="shared" ca="1" si="140"/>
        <v>0</v>
      </c>
      <c r="DA51" s="1083">
        <f t="shared" ca="1" si="140"/>
        <v>0</v>
      </c>
      <c r="DB51" s="1083">
        <f t="shared" ca="1" si="140"/>
        <v>0</v>
      </c>
      <c r="DC51" s="1083">
        <f t="shared" ca="1" si="140"/>
        <v>0</v>
      </c>
      <c r="DD51" s="1083">
        <f t="shared" ca="1" si="140"/>
        <v>0</v>
      </c>
      <c r="DE51" s="1083">
        <f t="shared" ca="1" si="140"/>
        <v>0</v>
      </c>
      <c r="DF51" s="1083">
        <f t="shared" ca="1" si="140"/>
        <v>0</v>
      </c>
      <c r="DH51" s="590">
        <f t="shared" ca="1" si="124"/>
        <v>0</v>
      </c>
    </row>
    <row r="52" spans="1:112" s="532" customFormat="1" ht="12.75" customHeight="1" outlineLevel="1">
      <c r="A52" s="22"/>
      <c r="B52" s="22"/>
      <c r="C52" s="535"/>
      <c r="D52" s="503"/>
      <c r="E52" s="503"/>
      <c r="G52" s="656"/>
      <c r="H52" s="656"/>
      <c r="I52" s="656"/>
      <c r="J52" s="656"/>
      <c r="K52" s="658"/>
      <c r="L52" s="656"/>
      <c r="M52" s="656"/>
      <c r="N52" s="656"/>
      <c r="O52" s="656"/>
      <c r="P52" s="656"/>
      <c r="Q52" s="656"/>
      <c r="S52" s="668"/>
      <c r="T52" s="668"/>
      <c r="U52" s="668"/>
      <c r="V52" s="668"/>
      <c r="W52" s="668"/>
      <c r="X52" s="668"/>
      <c r="Y52" s="668"/>
      <c r="Z52" s="668"/>
      <c r="AA52" s="668"/>
      <c r="AB52" s="668"/>
      <c r="AC52" s="668"/>
      <c r="AD52" s="668"/>
      <c r="AE52" s="668"/>
      <c r="AF52" s="668"/>
      <c r="AG52" s="668"/>
      <c r="AH52" s="668"/>
      <c r="AI52" s="668"/>
      <c r="AJ52" s="668"/>
      <c r="AK52" s="668"/>
      <c r="AM52" s="674"/>
      <c r="AN52" s="674"/>
      <c r="AO52" s="674"/>
      <c r="AP52" s="674"/>
      <c r="AQ52" s="674"/>
      <c r="AR52" s="674"/>
      <c r="AS52" s="674"/>
      <c r="AT52" s="674"/>
      <c r="AU52" s="674"/>
      <c r="AV52" s="674"/>
      <c r="AW52" s="674"/>
      <c r="AX52" s="674"/>
      <c r="AY52" s="674"/>
      <c r="AZ52" s="674"/>
      <c r="BA52" s="674"/>
      <c r="BB52" s="674"/>
      <c r="BC52" s="674"/>
      <c r="BD52" s="674"/>
      <c r="BE52" s="674"/>
      <c r="BF52" s="674"/>
      <c r="BH52" s="688"/>
      <c r="BI52" s="688"/>
      <c r="BJ52" s="688"/>
      <c r="BL52" s="505">
        <f>Q52+AK52+BF52+BJ52</f>
        <v>0</v>
      </c>
      <c r="BM52" s="505"/>
      <c r="BN52" s="22"/>
      <c r="BO52" s="1083"/>
      <c r="BP52" s="1083"/>
      <c r="BQ52" s="1083"/>
      <c r="BR52" s="1083"/>
      <c r="BS52" s="1083"/>
      <c r="BT52" s="1083"/>
      <c r="BU52" s="1083"/>
      <c r="BV52" s="1083"/>
      <c r="BW52" s="1083"/>
      <c r="BX52" s="1083"/>
      <c r="BY52" s="1083"/>
      <c r="BZ52" s="1083"/>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c r="CU52" s="1083"/>
      <c r="CV52" s="1083"/>
      <c r="CW52" s="1083"/>
      <c r="CX52" s="1083"/>
      <c r="CY52" s="1083"/>
      <c r="CZ52" s="1083"/>
      <c r="DA52" s="1083"/>
      <c r="DB52" s="1083"/>
      <c r="DC52" s="1083"/>
      <c r="DD52" s="1083"/>
      <c r="DE52" s="1083"/>
      <c r="DF52" s="1083"/>
      <c r="DH52" s="590">
        <f t="shared" si="124"/>
        <v>0</v>
      </c>
    </row>
    <row r="53" spans="1:112" s="532" customFormat="1" outlineLevel="1">
      <c r="A53" s="1085"/>
      <c r="B53" s="1085"/>
      <c r="C53" s="512" t="s">
        <v>742</v>
      </c>
      <c r="D53" s="511" t="str">
        <f>INDEX(Modules[Module], MATCH($C53, Modules[Code], 0))</f>
        <v>Petroleum refineries</v>
      </c>
      <c r="E53" s="511"/>
      <c r="G53" s="714">
        <f t="shared" ref="G53:P54" ca="1" si="141">IFERROR(INDEX(INDIRECT($C53&amp;".Outputs["&amp;this.Year&amp;"]"), MATCH(G$5, INDIRECT($C53&amp;".Outputs[Vector]"), 0)), 0)</f>
        <v>0</v>
      </c>
      <c r="H53" s="714">
        <f t="shared" ca="1" si="141"/>
        <v>0</v>
      </c>
      <c r="I53" s="714">
        <f t="shared" ca="1" si="141"/>
        <v>0</v>
      </c>
      <c r="J53" s="714">
        <f t="shared" ca="1" si="141"/>
        <v>0</v>
      </c>
      <c r="K53" s="714">
        <f t="shared" ca="1" si="141"/>
        <v>0</v>
      </c>
      <c r="L53" s="714">
        <f t="shared" ca="1" si="141"/>
        <v>0</v>
      </c>
      <c r="M53" s="714">
        <f t="shared" ca="1" si="141"/>
        <v>0</v>
      </c>
      <c r="N53" s="714">
        <f t="shared" ca="1" si="141"/>
        <v>0</v>
      </c>
      <c r="O53" s="714">
        <f t="shared" ca="1" si="141"/>
        <v>0</v>
      </c>
      <c r="P53" s="714">
        <f t="shared" ca="1" si="141"/>
        <v>0</v>
      </c>
      <c r="Q53" s="716">
        <f ca="1">SUM(G53:P53)</f>
        <v>0</v>
      </c>
      <c r="S53" s="723">
        <f t="shared" ref="S53:BE54" ca="1" si="142">IFERROR(INDEX(INDIRECT($C53&amp;".Outputs["&amp;this.Year&amp;"]"), MATCH(S$5, INDIRECT($C53&amp;".Outputs[Vector]"), 0)), 0)</f>
        <v>0</v>
      </c>
      <c r="T53" s="723">
        <f t="shared" ca="1" si="142"/>
        <v>0</v>
      </c>
      <c r="U53" s="723">
        <f t="shared" ca="1" si="142"/>
        <v>0</v>
      </c>
      <c r="V53" s="723">
        <f t="shared" ca="1" si="142"/>
        <v>0</v>
      </c>
      <c r="W53" s="723">
        <f t="shared" ca="1" si="142"/>
        <v>0</v>
      </c>
      <c r="X53" s="723">
        <f t="shared" ref="X53:Z54" ca="1" si="143">IFERROR(INDEX(INDIRECT($C53&amp;".Outputs["&amp;this.Year&amp;"]"), MATCH(X$5, INDIRECT($C53&amp;".Outputs[Vector]"), 0)), 0)</f>
        <v>0</v>
      </c>
      <c r="Y53" s="723">
        <f t="shared" ca="1" si="143"/>
        <v>0</v>
      </c>
      <c r="Z53" s="723">
        <f t="shared" ca="1" si="143"/>
        <v>0</v>
      </c>
      <c r="AA53" s="723">
        <f t="shared" ca="1" si="142"/>
        <v>0</v>
      </c>
      <c r="AB53" s="723">
        <f t="shared" ca="1" si="142"/>
        <v>0</v>
      </c>
      <c r="AC53" s="723">
        <f t="shared" ca="1" si="142"/>
        <v>0</v>
      </c>
      <c r="AD53" s="723">
        <f t="shared" ca="1" si="142"/>
        <v>0</v>
      </c>
      <c r="AE53" s="723">
        <f t="shared" ca="1" si="142"/>
        <v>0</v>
      </c>
      <c r="AF53" s="723">
        <f t="shared" ca="1" si="142"/>
        <v>0</v>
      </c>
      <c r="AG53" s="723">
        <f t="shared" ca="1" si="142"/>
        <v>0</v>
      </c>
      <c r="AH53" s="723">
        <f t="shared" ca="1" si="142"/>
        <v>0</v>
      </c>
      <c r="AI53" s="723">
        <f t="shared" ca="1" si="142"/>
        <v>0</v>
      </c>
      <c r="AJ53" s="723">
        <f t="shared" ca="1" si="142"/>
        <v>0</v>
      </c>
      <c r="AK53" s="724">
        <f ca="1">SUM(S53:AJ53)</f>
        <v>0</v>
      </c>
      <c r="AM53" s="735">
        <f t="shared" ref="AM53:AU54" ca="1" si="144">IFERROR(INDEX(INDIRECT($C53&amp;".Outputs["&amp;this.Year&amp;"]"), MATCH(AM$5, INDIRECT($C53&amp;".Outputs[Vector]"), 0)), 0)</f>
        <v>0</v>
      </c>
      <c r="AN53" s="735">
        <f t="shared" ca="1" si="144"/>
        <v>0</v>
      </c>
      <c r="AO53" s="735">
        <f t="shared" ca="1" si="144"/>
        <v>0</v>
      </c>
      <c r="AP53" s="735">
        <f t="shared" ca="1" si="144"/>
        <v>0</v>
      </c>
      <c r="AQ53" s="735">
        <f t="shared" ca="1" si="144"/>
        <v>0</v>
      </c>
      <c r="AR53" s="735">
        <f t="shared" ca="1" si="144"/>
        <v>0</v>
      </c>
      <c r="AS53" s="735">
        <f t="shared" ca="1" si="144"/>
        <v>0</v>
      </c>
      <c r="AT53" s="735">
        <f t="shared" ca="1" si="144"/>
        <v>0</v>
      </c>
      <c r="AU53" s="735">
        <f t="shared" ca="1" si="144"/>
        <v>0</v>
      </c>
      <c r="AV53" s="735">
        <f t="shared" ca="1" si="142"/>
        <v>0</v>
      </c>
      <c r="AW53" s="735">
        <f t="shared" ca="1" si="142"/>
        <v>0</v>
      </c>
      <c r="AX53" s="735">
        <f t="shared" ca="1" si="142"/>
        <v>0</v>
      </c>
      <c r="AY53" s="735">
        <f t="shared" ca="1" si="142"/>
        <v>0</v>
      </c>
      <c r="AZ53" s="735">
        <f t="shared" ca="1" si="142"/>
        <v>0</v>
      </c>
      <c r="BA53" s="735">
        <f t="shared" ca="1" si="142"/>
        <v>0</v>
      </c>
      <c r="BB53" s="735">
        <f t="shared" ca="1" si="142"/>
        <v>0</v>
      </c>
      <c r="BC53" s="735">
        <f t="shared" ca="1" si="142"/>
        <v>0</v>
      </c>
      <c r="BD53" s="735">
        <f t="shared" ca="1" si="142"/>
        <v>0</v>
      </c>
      <c r="BE53" s="735">
        <f t="shared" ca="1" si="142"/>
        <v>0</v>
      </c>
      <c r="BF53" s="677">
        <f ca="1">SUM(AM53:BE53)</f>
        <v>0</v>
      </c>
      <c r="BH53" s="729">
        <f ca="1">IFERROR(INDEX(INDIRECT($C53&amp;".Outputs["&amp;this.Year&amp;"]"), MATCH(BH$5, INDIRECT($C53&amp;".Outputs[Vector]"), 0)), 0)</f>
        <v>0</v>
      </c>
      <c r="BI53" s="729">
        <f ca="1">IFERROR(INDEX(INDIRECT($C53&amp;".Outputs["&amp;this.Year&amp;"]"), MATCH(BI$5, INDIRECT($C53&amp;".Outputs[Vector]"), 0)), 0)</f>
        <v>0</v>
      </c>
      <c r="BJ53" s="731">
        <f ca="1">SUM(BH53:BI53)</f>
        <v>0</v>
      </c>
      <c r="BL53" s="576">
        <f ca="1">Q53+AK53+BF53+BJ53</f>
        <v>0</v>
      </c>
      <c r="BM53" s="576"/>
      <c r="BN53" s="592"/>
      <c r="BO53" s="1082">
        <f t="shared" ref="BO53:BX54" ca="1" si="145">IFERROR(SUMIFS(INDIRECT($C53&amp;".Emissions["&amp;this.Year&amp;"]"), INDIRECT($C53&amp;".Emissions[GHG]"), BO$6, INDIRECT($C53&amp;".Emissions[IPCC Sector]"), BO$5),0)</f>
        <v>0</v>
      </c>
      <c r="BP53" s="1083">
        <f t="shared" ca="1" si="145"/>
        <v>0</v>
      </c>
      <c r="BQ53" s="1083">
        <f t="shared" ca="1" si="145"/>
        <v>0</v>
      </c>
      <c r="BR53" s="1083">
        <f t="shared" ca="1" si="145"/>
        <v>0</v>
      </c>
      <c r="BS53" s="1083">
        <f t="shared" ca="1" si="145"/>
        <v>0</v>
      </c>
      <c r="BT53" s="1083">
        <f t="shared" ca="1" si="145"/>
        <v>0</v>
      </c>
      <c r="BU53" s="1083">
        <f t="shared" ca="1" si="145"/>
        <v>0</v>
      </c>
      <c r="BV53" s="1083">
        <f t="shared" ca="1" si="145"/>
        <v>0</v>
      </c>
      <c r="BW53" s="1083">
        <f t="shared" ca="1" si="145"/>
        <v>0</v>
      </c>
      <c r="BX53" s="1083">
        <f t="shared" ca="1" si="145"/>
        <v>0</v>
      </c>
      <c r="BY53" s="1083">
        <f t="shared" ref="BY53:CH54" ca="1" si="146">IFERROR(SUMIFS(INDIRECT($C53&amp;".Emissions["&amp;this.Year&amp;"]"), INDIRECT($C53&amp;".Emissions[GHG]"), BY$6, INDIRECT($C53&amp;".Emissions[IPCC Sector]"), BY$5),0)</f>
        <v>0</v>
      </c>
      <c r="BZ53" s="1083">
        <f t="shared" ca="1" si="146"/>
        <v>0</v>
      </c>
      <c r="CA53" s="1083">
        <f t="shared" ca="1" si="146"/>
        <v>0</v>
      </c>
      <c r="CB53" s="1083">
        <f t="shared" ca="1" si="146"/>
        <v>0</v>
      </c>
      <c r="CC53" s="1083">
        <f t="shared" ca="1" si="146"/>
        <v>0</v>
      </c>
      <c r="CD53" s="1083">
        <f t="shared" ca="1" si="146"/>
        <v>0</v>
      </c>
      <c r="CE53" s="1083">
        <f t="shared" ca="1" si="146"/>
        <v>0</v>
      </c>
      <c r="CF53" s="1083">
        <f t="shared" ca="1" si="146"/>
        <v>0</v>
      </c>
      <c r="CG53" s="1083">
        <f t="shared" ca="1" si="146"/>
        <v>0</v>
      </c>
      <c r="CH53" s="1083">
        <f t="shared" ca="1" si="146"/>
        <v>0</v>
      </c>
      <c r="CI53" s="1083">
        <f t="shared" ref="CI53:CR54" ca="1" si="147">IFERROR(SUMIFS(INDIRECT($C53&amp;".Emissions["&amp;this.Year&amp;"]"), INDIRECT($C53&amp;".Emissions[GHG]"), CI$6, INDIRECT($C53&amp;".Emissions[IPCC Sector]"), CI$5),0)</f>
        <v>0</v>
      </c>
      <c r="CJ53" s="1083">
        <f t="shared" ca="1" si="147"/>
        <v>0</v>
      </c>
      <c r="CK53" s="1083">
        <f t="shared" ca="1" si="147"/>
        <v>0</v>
      </c>
      <c r="CL53" s="1083">
        <f t="shared" ca="1" si="147"/>
        <v>0</v>
      </c>
      <c r="CM53" s="1083">
        <f t="shared" ca="1" si="147"/>
        <v>0</v>
      </c>
      <c r="CN53" s="1083">
        <f t="shared" ca="1" si="147"/>
        <v>0</v>
      </c>
      <c r="CO53" s="1083">
        <f t="shared" ca="1" si="147"/>
        <v>0</v>
      </c>
      <c r="CP53" s="1083">
        <f t="shared" ca="1" si="147"/>
        <v>0</v>
      </c>
      <c r="CQ53" s="1083">
        <f t="shared" ca="1" si="147"/>
        <v>0</v>
      </c>
      <c r="CR53" s="1083">
        <f t="shared" ca="1" si="147"/>
        <v>0</v>
      </c>
      <c r="CS53" s="1083">
        <f t="shared" ref="CS53:DF54" ca="1" si="148">IFERROR(SUMIFS(INDIRECT($C53&amp;".Emissions["&amp;this.Year&amp;"]"), INDIRECT($C53&amp;".Emissions[GHG]"), CS$6, INDIRECT($C53&amp;".Emissions[IPCC Sector]"), CS$5),0)</f>
        <v>0</v>
      </c>
      <c r="CT53" s="1083">
        <f t="shared" ca="1" si="148"/>
        <v>0</v>
      </c>
      <c r="CU53" s="1083">
        <f t="shared" ca="1" si="148"/>
        <v>0</v>
      </c>
      <c r="CV53" s="1083">
        <f t="shared" ca="1" si="148"/>
        <v>0</v>
      </c>
      <c r="CW53" s="1083">
        <f t="shared" ca="1" si="148"/>
        <v>0</v>
      </c>
      <c r="CX53" s="1083">
        <f t="shared" ca="1" si="148"/>
        <v>0</v>
      </c>
      <c r="CY53" s="1083">
        <f t="shared" ca="1" si="148"/>
        <v>0</v>
      </c>
      <c r="CZ53" s="1083">
        <f t="shared" ca="1" si="148"/>
        <v>0</v>
      </c>
      <c r="DA53" s="1083">
        <f t="shared" ca="1" si="148"/>
        <v>0</v>
      </c>
      <c r="DB53" s="1083">
        <f t="shared" ca="1" si="148"/>
        <v>0</v>
      </c>
      <c r="DC53" s="1083">
        <f t="shared" ca="1" si="148"/>
        <v>0</v>
      </c>
      <c r="DD53" s="1083">
        <f t="shared" ca="1" si="148"/>
        <v>0</v>
      </c>
      <c r="DE53" s="1083">
        <f t="shared" ca="1" si="148"/>
        <v>0</v>
      </c>
      <c r="DF53" s="1083">
        <f t="shared" ca="1" si="148"/>
        <v>0</v>
      </c>
      <c r="DH53" s="590">
        <f t="shared" ca="1" si="124"/>
        <v>0</v>
      </c>
    </row>
    <row r="54" spans="1:112" s="532" customFormat="1" outlineLevel="1">
      <c r="A54" s="1085"/>
      <c r="B54" s="1085"/>
      <c r="C54" s="512" t="s">
        <v>747</v>
      </c>
      <c r="D54" s="707" t="str">
        <f>INDEX(Modules[Module], MATCH($C54, Modules[Code], 0))</f>
        <v>Indigenous fossil-fuel production</v>
      </c>
      <c r="E54" s="707"/>
      <c r="G54" s="719">
        <f t="shared" ca="1" si="141"/>
        <v>0</v>
      </c>
      <c r="H54" s="719">
        <f t="shared" ca="1" si="141"/>
        <v>0</v>
      </c>
      <c r="I54" s="719">
        <f t="shared" ca="1" si="141"/>
        <v>0</v>
      </c>
      <c r="J54" s="719">
        <f t="shared" ca="1" si="141"/>
        <v>0</v>
      </c>
      <c r="K54" s="719">
        <f t="shared" ca="1" si="141"/>
        <v>0</v>
      </c>
      <c r="L54" s="719">
        <f t="shared" ca="1" si="141"/>
        <v>0</v>
      </c>
      <c r="M54" s="719">
        <f t="shared" ca="1" si="141"/>
        <v>0</v>
      </c>
      <c r="N54" s="719">
        <f t="shared" ca="1" si="141"/>
        <v>0</v>
      </c>
      <c r="O54" s="719">
        <f t="shared" ca="1" si="141"/>
        <v>0</v>
      </c>
      <c r="P54" s="719">
        <f t="shared" ca="1" si="141"/>
        <v>0</v>
      </c>
      <c r="Q54" s="717">
        <f ca="1">SUM(G54:P54)</f>
        <v>0</v>
      </c>
      <c r="S54" s="728">
        <f t="shared" ca="1" si="142"/>
        <v>0</v>
      </c>
      <c r="T54" s="728">
        <f t="shared" ca="1" si="142"/>
        <v>0</v>
      </c>
      <c r="U54" s="728">
        <f t="shared" ca="1" si="142"/>
        <v>0</v>
      </c>
      <c r="V54" s="728">
        <f t="shared" ca="1" si="142"/>
        <v>0</v>
      </c>
      <c r="W54" s="728">
        <f t="shared" ca="1" si="142"/>
        <v>0</v>
      </c>
      <c r="X54" s="728">
        <f t="shared" ca="1" si="143"/>
        <v>63.965000000000003</v>
      </c>
      <c r="Y54" s="728">
        <f t="shared" ca="1" si="143"/>
        <v>107.70336000383915</v>
      </c>
      <c r="Z54" s="728">
        <f t="shared" ca="1" si="143"/>
        <v>82.232541885272198</v>
      </c>
      <c r="AA54" s="728">
        <f t="shared" ca="1" si="142"/>
        <v>0</v>
      </c>
      <c r="AB54" s="728">
        <f t="shared" ca="1" si="142"/>
        <v>0</v>
      </c>
      <c r="AC54" s="728">
        <f t="shared" ca="1" si="142"/>
        <v>0</v>
      </c>
      <c r="AD54" s="728">
        <f t="shared" ca="1" si="142"/>
        <v>0</v>
      </c>
      <c r="AE54" s="728">
        <f t="shared" ca="1" si="142"/>
        <v>0</v>
      </c>
      <c r="AF54" s="728">
        <f t="shared" ca="1" si="142"/>
        <v>0</v>
      </c>
      <c r="AG54" s="728">
        <f t="shared" ca="1" si="142"/>
        <v>0</v>
      </c>
      <c r="AH54" s="728">
        <f t="shared" ca="1" si="142"/>
        <v>0</v>
      </c>
      <c r="AI54" s="728">
        <f t="shared" ca="1" si="142"/>
        <v>0</v>
      </c>
      <c r="AJ54" s="728">
        <f t="shared" ca="1" si="142"/>
        <v>0</v>
      </c>
      <c r="AK54" s="727">
        <f ca="1">SUM(S54:AJ54)</f>
        <v>253.90090188911137</v>
      </c>
      <c r="AM54" s="739">
        <f t="shared" ca="1" si="144"/>
        <v>-63.965000000000003</v>
      </c>
      <c r="AN54" s="739">
        <f t="shared" ca="1" si="144"/>
        <v>-107.70336000383915</v>
      </c>
      <c r="AO54" s="739">
        <f t="shared" ca="1" si="144"/>
        <v>-82.232541885272198</v>
      </c>
      <c r="AP54" s="739">
        <f t="shared" ca="1" si="144"/>
        <v>0</v>
      </c>
      <c r="AQ54" s="739">
        <f t="shared" ca="1" si="144"/>
        <v>0</v>
      </c>
      <c r="AR54" s="739">
        <f t="shared" ca="1" si="144"/>
        <v>0</v>
      </c>
      <c r="AS54" s="739">
        <f t="shared" ca="1" si="144"/>
        <v>0</v>
      </c>
      <c r="AT54" s="739">
        <f t="shared" ca="1" si="144"/>
        <v>0</v>
      </c>
      <c r="AU54" s="739">
        <f t="shared" ca="1" si="144"/>
        <v>0</v>
      </c>
      <c r="AV54" s="739">
        <f t="shared" ca="1" si="142"/>
        <v>0</v>
      </c>
      <c r="AW54" s="739">
        <f t="shared" ca="1" si="142"/>
        <v>0</v>
      </c>
      <c r="AX54" s="739">
        <f t="shared" ca="1" si="142"/>
        <v>0</v>
      </c>
      <c r="AY54" s="739">
        <f t="shared" ca="1" si="142"/>
        <v>0</v>
      </c>
      <c r="AZ54" s="739">
        <f t="shared" ca="1" si="142"/>
        <v>0</v>
      </c>
      <c r="BA54" s="739">
        <f t="shared" ca="1" si="142"/>
        <v>0</v>
      </c>
      <c r="BB54" s="739">
        <f t="shared" ca="1" si="142"/>
        <v>0</v>
      </c>
      <c r="BC54" s="739">
        <f t="shared" ca="1" si="142"/>
        <v>0</v>
      </c>
      <c r="BD54" s="739">
        <f t="shared" ca="1" si="142"/>
        <v>0</v>
      </c>
      <c r="BE54" s="739">
        <f t="shared" ca="1" si="142"/>
        <v>0</v>
      </c>
      <c r="BF54" s="709">
        <f ca="1">SUM(AM54:BE54)</f>
        <v>-253.90090188911137</v>
      </c>
      <c r="BH54" s="733">
        <f ca="1">IFERROR(INDEX(INDIRECT($C54&amp;".Outputs["&amp;this.Year&amp;"]"), MATCH(BH$5, INDIRECT($C54&amp;".Outputs[Vector]"), 0)), 0)</f>
        <v>0</v>
      </c>
      <c r="BI54" s="733">
        <f ca="1">IFERROR(INDEX(INDIRECT($C54&amp;".Outputs["&amp;this.Year&amp;"]"), MATCH(BI$5, INDIRECT($C54&amp;".Outputs[Vector]"), 0)), 0)</f>
        <v>0</v>
      </c>
      <c r="BJ54" s="732">
        <f ca="1">SUM(BH54:BI54)</f>
        <v>0</v>
      </c>
      <c r="BL54" s="576"/>
      <c r="BM54" s="576"/>
      <c r="BN54" s="592"/>
      <c r="BO54" s="1086">
        <f t="shared" ca="1" si="145"/>
        <v>0</v>
      </c>
      <c r="BP54" s="1087">
        <f t="shared" ca="1" si="145"/>
        <v>0</v>
      </c>
      <c r="BQ54" s="1087">
        <f t="shared" ca="1" si="145"/>
        <v>0</v>
      </c>
      <c r="BR54" s="1087">
        <f t="shared" ca="1" si="145"/>
        <v>0</v>
      </c>
      <c r="BS54" s="1087">
        <f t="shared" ca="1" si="145"/>
        <v>0.56193892646400301</v>
      </c>
      <c r="BT54" s="1087">
        <f t="shared" ca="1" si="145"/>
        <v>1.3576644262911814</v>
      </c>
      <c r="BU54" s="1087">
        <f t="shared" ca="1" si="145"/>
        <v>0</v>
      </c>
      <c r="BV54" s="1087">
        <f t="shared" ca="1" si="145"/>
        <v>0</v>
      </c>
      <c r="BW54" s="1087">
        <f t="shared" ca="1" si="145"/>
        <v>0</v>
      </c>
      <c r="BX54" s="1087">
        <f t="shared" ca="1" si="145"/>
        <v>0</v>
      </c>
      <c r="BY54" s="1087">
        <f t="shared" ca="1" si="146"/>
        <v>0</v>
      </c>
      <c r="BZ54" s="1087">
        <f t="shared" ca="1" si="146"/>
        <v>0</v>
      </c>
      <c r="CA54" s="1087">
        <f t="shared" ca="1" si="146"/>
        <v>0</v>
      </c>
      <c r="CB54" s="1087">
        <f t="shared" ca="1" si="146"/>
        <v>0</v>
      </c>
      <c r="CC54" s="1087">
        <f t="shared" ca="1" si="146"/>
        <v>0</v>
      </c>
      <c r="CD54" s="1087">
        <f t="shared" ca="1" si="146"/>
        <v>0</v>
      </c>
      <c r="CE54" s="1087">
        <f t="shared" ca="1" si="146"/>
        <v>0</v>
      </c>
      <c r="CF54" s="1087">
        <f t="shared" ca="1" si="146"/>
        <v>0</v>
      </c>
      <c r="CG54" s="1087">
        <f t="shared" ca="1" si="146"/>
        <v>0</v>
      </c>
      <c r="CH54" s="1087">
        <f t="shared" ca="1" si="146"/>
        <v>0</v>
      </c>
      <c r="CI54" s="1087">
        <f t="shared" ca="1" si="147"/>
        <v>0</v>
      </c>
      <c r="CJ54" s="1087">
        <f t="shared" ca="1" si="147"/>
        <v>0</v>
      </c>
      <c r="CK54" s="1087">
        <f t="shared" ca="1" si="147"/>
        <v>0</v>
      </c>
      <c r="CL54" s="1087">
        <f t="shared" ca="1" si="147"/>
        <v>0</v>
      </c>
      <c r="CM54" s="1087">
        <f t="shared" ca="1" si="147"/>
        <v>0</v>
      </c>
      <c r="CN54" s="1087">
        <f t="shared" ca="1" si="147"/>
        <v>0</v>
      </c>
      <c r="CO54" s="1087">
        <f t="shared" ca="1" si="147"/>
        <v>0</v>
      </c>
      <c r="CP54" s="1087">
        <f t="shared" ca="1" si="147"/>
        <v>0</v>
      </c>
      <c r="CQ54" s="1087">
        <f t="shared" ca="1" si="147"/>
        <v>0</v>
      </c>
      <c r="CR54" s="1087">
        <f t="shared" ca="1" si="147"/>
        <v>0</v>
      </c>
      <c r="CS54" s="1087">
        <f t="shared" ca="1" si="148"/>
        <v>0</v>
      </c>
      <c r="CT54" s="1087">
        <f t="shared" ca="1" si="148"/>
        <v>0</v>
      </c>
      <c r="CU54" s="1087">
        <f t="shared" ca="1" si="148"/>
        <v>0</v>
      </c>
      <c r="CV54" s="1087">
        <f t="shared" ca="1" si="148"/>
        <v>0</v>
      </c>
      <c r="CW54" s="1087">
        <f t="shared" ca="1" si="148"/>
        <v>0</v>
      </c>
      <c r="CX54" s="1087">
        <f t="shared" ca="1" si="148"/>
        <v>0</v>
      </c>
      <c r="CY54" s="1087">
        <f t="shared" ca="1" si="148"/>
        <v>0</v>
      </c>
      <c r="CZ54" s="1087">
        <f t="shared" ca="1" si="148"/>
        <v>0</v>
      </c>
      <c r="DA54" s="1087">
        <f t="shared" ca="1" si="148"/>
        <v>0</v>
      </c>
      <c r="DB54" s="1087">
        <f t="shared" ca="1" si="148"/>
        <v>0</v>
      </c>
      <c r="DC54" s="1087">
        <f t="shared" ca="1" si="148"/>
        <v>0</v>
      </c>
      <c r="DD54" s="1087">
        <f t="shared" ca="1" si="148"/>
        <v>0</v>
      </c>
      <c r="DE54" s="1087">
        <f t="shared" ca="1" si="148"/>
        <v>0</v>
      </c>
      <c r="DF54" s="1087">
        <f t="shared" ca="1" si="148"/>
        <v>0</v>
      </c>
      <c r="DH54" s="590">
        <f t="shared" ca="1" si="124"/>
        <v>1.9196033527551846</v>
      </c>
    </row>
    <row r="55" spans="1:112" s="532" customFormat="1" ht="15">
      <c r="A55" s="1089"/>
      <c r="B55" s="1090"/>
      <c r="C55" s="533" t="s">
        <v>740</v>
      </c>
      <c r="D55" s="507" t="str">
        <f>INDEX(Workstreams[Workstream], MATCH($C55, Workstreams[Code], 0))</f>
        <v>Fossil fuel production</v>
      </c>
      <c r="E55" s="503"/>
      <c r="G55" s="718">
        <f ca="1">SUM(G53:G54)</f>
        <v>0</v>
      </c>
      <c r="H55" s="718">
        <f t="shared" ref="H55:P55" ca="1" si="149">SUM(H53:H54)</f>
        <v>0</v>
      </c>
      <c r="I55" s="718">
        <f t="shared" ca="1" si="149"/>
        <v>0</v>
      </c>
      <c r="J55" s="718">
        <f t="shared" ca="1" si="149"/>
        <v>0</v>
      </c>
      <c r="K55" s="718">
        <f t="shared" ca="1" si="149"/>
        <v>0</v>
      </c>
      <c r="L55" s="718">
        <f t="shared" ca="1" si="149"/>
        <v>0</v>
      </c>
      <c r="M55" s="718">
        <f t="shared" ca="1" si="149"/>
        <v>0</v>
      </c>
      <c r="N55" s="718">
        <f t="shared" ca="1" si="149"/>
        <v>0</v>
      </c>
      <c r="O55" s="718">
        <f t="shared" ca="1" si="149"/>
        <v>0</v>
      </c>
      <c r="P55" s="718">
        <f t="shared" ca="1" si="149"/>
        <v>0</v>
      </c>
      <c r="Q55" s="718">
        <f ca="1">SUM(G55:P55)</f>
        <v>0</v>
      </c>
      <c r="S55" s="668">
        <f t="shared" ref="S55:AJ55" ca="1" si="150">SUM(S53:S54)</f>
        <v>0</v>
      </c>
      <c r="T55" s="668">
        <f t="shared" ca="1" si="150"/>
        <v>0</v>
      </c>
      <c r="U55" s="668">
        <f t="shared" ca="1" si="150"/>
        <v>0</v>
      </c>
      <c r="V55" s="668">
        <f t="shared" ca="1" si="150"/>
        <v>0</v>
      </c>
      <c r="W55" s="668">
        <f t="shared" ca="1" si="150"/>
        <v>0</v>
      </c>
      <c r="X55" s="668">
        <f ca="1">SUM(X53:X54)</f>
        <v>63.965000000000003</v>
      </c>
      <c r="Y55" s="668">
        <f ca="1">SUM(Y53:Y54)</f>
        <v>107.70336000383915</v>
      </c>
      <c r="Z55" s="668">
        <f ca="1">SUM(Z53:Z54)</f>
        <v>82.232541885272198</v>
      </c>
      <c r="AA55" s="668">
        <f t="shared" ca="1" si="150"/>
        <v>0</v>
      </c>
      <c r="AB55" s="668">
        <f t="shared" ca="1" si="150"/>
        <v>0</v>
      </c>
      <c r="AC55" s="668">
        <f t="shared" ca="1" si="150"/>
        <v>0</v>
      </c>
      <c r="AD55" s="668">
        <f ca="1">SUM(AD53:AD54)</f>
        <v>0</v>
      </c>
      <c r="AE55" s="668">
        <f ca="1">SUM(AE53:AE54)</f>
        <v>0</v>
      </c>
      <c r="AF55" s="668">
        <f t="shared" ca="1" si="150"/>
        <v>0</v>
      </c>
      <c r="AG55" s="668">
        <f ca="1">SUM(AG53:AG54)</f>
        <v>0</v>
      </c>
      <c r="AH55" s="668">
        <f ca="1">SUM(AH53:AH54)</f>
        <v>0</v>
      </c>
      <c r="AI55" s="668">
        <f ca="1">SUM(AI53:AI54)</f>
        <v>0</v>
      </c>
      <c r="AJ55" s="668">
        <f t="shared" ca="1" si="150"/>
        <v>0</v>
      </c>
      <c r="AK55" s="668">
        <f ca="1">SUM(S55:AJ55)</f>
        <v>253.90090188911137</v>
      </c>
      <c r="AM55" s="674">
        <f t="shared" ref="AM55:BE55" ca="1" si="151">SUM(AM53:AM54)</f>
        <v>-63.965000000000003</v>
      </c>
      <c r="AN55" s="674">
        <f t="shared" ca="1" si="151"/>
        <v>-107.70336000383915</v>
      </c>
      <c r="AO55" s="674">
        <f t="shared" ca="1" si="151"/>
        <v>-82.232541885272198</v>
      </c>
      <c r="AP55" s="674">
        <f t="shared" ca="1" si="151"/>
        <v>0</v>
      </c>
      <c r="AQ55" s="674">
        <f t="shared" ca="1" si="151"/>
        <v>0</v>
      </c>
      <c r="AR55" s="674">
        <f t="shared" ca="1" si="151"/>
        <v>0</v>
      </c>
      <c r="AS55" s="674">
        <f t="shared" ca="1" si="151"/>
        <v>0</v>
      </c>
      <c r="AT55" s="674">
        <f t="shared" ca="1" si="151"/>
        <v>0</v>
      </c>
      <c r="AU55" s="674">
        <f t="shared" ca="1" si="151"/>
        <v>0</v>
      </c>
      <c r="AV55" s="674">
        <f t="shared" ca="1" si="151"/>
        <v>0</v>
      </c>
      <c r="AW55" s="674">
        <f t="shared" ca="1" si="151"/>
        <v>0</v>
      </c>
      <c r="AX55" s="674">
        <f t="shared" ca="1" si="151"/>
        <v>0</v>
      </c>
      <c r="AY55" s="674">
        <f t="shared" ca="1" si="151"/>
        <v>0</v>
      </c>
      <c r="AZ55" s="674">
        <f t="shared" ca="1" si="151"/>
        <v>0</v>
      </c>
      <c r="BA55" s="674">
        <f t="shared" ca="1" si="151"/>
        <v>0</v>
      </c>
      <c r="BB55" s="674">
        <f t="shared" ca="1" si="151"/>
        <v>0</v>
      </c>
      <c r="BC55" s="674">
        <f t="shared" ca="1" si="151"/>
        <v>0</v>
      </c>
      <c r="BD55" s="674">
        <f t="shared" ca="1" si="151"/>
        <v>0</v>
      </c>
      <c r="BE55" s="674">
        <f t="shared" ca="1" si="151"/>
        <v>0</v>
      </c>
      <c r="BF55" s="674">
        <f ca="1">SUM(AM55:BE55)</f>
        <v>-253.90090188911137</v>
      </c>
      <c r="BH55" s="688">
        <f ca="1">SUM(BH53:BH54)</f>
        <v>0</v>
      </c>
      <c r="BI55" s="688">
        <f ca="1">SUM(BI53:BI54)</f>
        <v>0</v>
      </c>
      <c r="BJ55" s="688">
        <f ca="1">SUM(BH55:BI55)</f>
        <v>0</v>
      </c>
      <c r="BL55" s="505">
        <f ca="1">Q55+AK55+BF55+BJ55</f>
        <v>0</v>
      </c>
      <c r="BM55" s="603"/>
      <c r="BN55" s="592"/>
      <c r="BO55" s="1082">
        <f t="shared" ref="BO55:DF55" ca="1" si="152">SUM(BO53:BO54)</f>
        <v>0</v>
      </c>
      <c r="BP55" s="1083">
        <f t="shared" ca="1" si="152"/>
        <v>0</v>
      </c>
      <c r="BQ55" s="1083">
        <f t="shared" ca="1" si="152"/>
        <v>0</v>
      </c>
      <c r="BR55" s="1083">
        <f t="shared" ca="1" si="152"/>
        <v>0</v>
      </c>
      <c r="BS55" s="1083">
        <f t="shared" ca="1" si="152"/>
        <v>0.56193892646400301</v>
      </c>
      <c r="BT55" s="1083">
        <f t="shared" ca="1" si="152"/>
        <v>1.3576644262911814</v>
      </c>
      <c r="BU55" s="1083">
        <f t="shared" ca="1" si="152"/>
        <v>0</v>
      </c>
      <c r="BV55" s="1083">
        <f t="shared" ca="1" si="152"/>
        <v>0</v>
      </c>
      <c r="BW55" s="1083">
        <f t="shared" ca="1" si="152"/>
        <v>0</v>
      </c>
      <c r="BX55" s="1083">
        <f t="shared" ca="1" si="152"/>
        <v>0</v>
      </c>
      <c r="BY55" s="1083">
        <f t="shared" ca="1" si="152"/>
        <v>0</v>
      </c>
      <c r="BZ55" s="1083">
        <f t="shared" ca="1" si="152"/>
        <v>0</v>
      </c>
      <c r="CA55" s="1083">
        <f t="shared" ca="1" si="152"/>
        <v>0</v>
      </c>
      <c r="CB55" s="1083">
        <f t="shared" ca="1" si="152"/>
        <v>0</v>
      </c>
      <c r="CC55" s="1083">
        <f t="shared" ca="1" si="152"/>
        <v>0</v>
      </c>
      <c r="CD55" s="1083">
        <f t="shared" ca="1" si="152"/>
        <v>0</v>
      </c>
      <c r="CE55" s="1083">
        <f t="shared" ca="1" si="152"/>
        <v>0</v>
      </c>
      <c r="CF55" s="1083">
        <f t="shared" ca="1" si="152"/>
        <v>0</v>
      </c>
      <c r="CG55" s="1083">
        <f t="shared" ca="1" si="152"/>
        <v>0</v>
      </c>
      <c r="CH55" s="1083">
        <f t="shared" ca="1" si="152"/>
        <v>0</v>
      </c>
      <c r="CI55" s="1083">
        <f t="shared" ca="1" si="152"/>
        <v>0</v>
      </c>
      <c r="CJ55" s="1083">
        <f t="shared" ca="1" si="152"/>
        <v>0</v>
      </c>
      <c r="CK55" s="1083">
        <f t="shared" ca="1" si="152"/>
        <v>0</v>
      </c>
      <c r="CL55" s="1083">
        <f t="shared" ca="1" si="152"/>
        <v>0</v>
      </c>
      <c r="CM55" s="1083">
        <f t="shared" ca="1" si="152"/>
        <v>0</v>
      </c>
      <c r="CN55" s="1083">
        <f t="shared" ca="1" si="152"/>
        <v>0</v>
      </c>
      <c r="CO55" s="1083">
        <f t="shared" ca="1" si="152"/>
        <v>0</v>
      </c>
      <c r="CP55" s="1083">
        <f t="shared" ca="1" si="152"/>
        <v>0</v>
      </c>
      <c r="CQ55" s="1083">
        <f t="shared" ca="1" si="152"/>
        <v>0</v>
      </c>
      <c r="CR55" s="1083">
        <f t="shared" ca="1" si="152"/>
        <v>0</v>
      </c>
      <c r="CS55" s="1083">
        <f t="shared" ca="1" si="152"/>
        <v>0</v>
      </c>
      <c r="CT55" s="1083">
        <f t="shared" ca="1" si="152"/>
        <v>0</v>
      </c>
      <c r="CU55" s="1083">
        <f t="shared" ca="1" si="152"/>
        <v>0</v>
      </c>
      <c r="CV55" s="1083">
        <f t="shared" ca="1" si="152"/>
        <v>0</v>
      </c>
      <c r="CW55" s="1083">
        <f t="shared" ca="1" si="152"/>
        <v>0</v>
      </c>
      <c r="CX55" s="1083">
        <f t="shared" ca="1" si="152"/>
        <v>0</v>
      </c>
      <c r="CY55" s="1083">
        <f t="shared" ca="1" si="152"/>
        <v>0</v>
      </c>
      <c r="CZ55" s="1083">
        <f t="shared" ca="1" si="152"/>
        <v>0</v>
      </c>
      <c r="DA55" s="1083">
        <f t="shared" ca="1" si="152"/>
        <v>0</v>
      </c>
      <c r="DB55" s="1083">
        <f t="shared" ca="1" si="152"/>
        <v>0</v>
      </c>
      <c r="DC55" s="1083">
        <f t="shared" ca="1" si="152"/>
        <v>0</v>
      </c>
      <c r="DD55" s="1083">
        <f t="shared" ca="1" si="152"/>
        <v>0</v>
      </c>
      <c r="DE55" s="1083">
        <f t="shared" ca="1" si="152"/>
        <v>0</v>
      </c>
      <c r="DF55" s="1083">
        <f t="shared" ca="1" si="152"/>
        <v>0</v>
      </c>
      <c r="DH55" s="590">
        <f t="shared" ca="1" si="124"/>
        <v>1.9196033527551846</v>
      </c>
    </row>
    <row r="56" spans="1:112" s="532" customFormat="1" outlineLevel="1">
      <c r="C56" s="510"/>
      <c r="D56" s="38"/>
      <c r="E56" s="501"/>
      <c r="G56" s="656"/>
      <c r="H56" s="656"/>
      <c r="I56" s="656"/>
      <c r="J56" s="656"/>
      <c r="K56" s="658"/>
      <c r="L56" s="656"/>
      <c r="M56" s="656"/>
      <c r="N56" s="656"/>
      <c r="O56" s="656"/>
      <c r="P56" s="656"/>
      <c r="Q56" s="656"/>
      <c r="S56" s="668"/>
      <c r="T56" s="668"/>
      <c r="U56" s="668"/>
      <c r="V56" s="668"/>
      <c r="W56" s="668"/>
      <c r="X56" s="668"/>
      <c r="Y56" s="668"/>
      <c r="Z56" s="668"/>
      <c r="AA56" s="668"/>
      <c r="AB56" s="668"/>
      <c r="AC56" s="668"/>
      <c r="AD56" s="668"/>
      <c r="AE56" s="668"/>
      <c r="AF56" s="668"/>
      <c r="AG56" s="668"/>
      <c r="AH56" s="668"/>
      <c r="AI56" s="668"/>
      <c r="AJ56" s="668"/>
      <c r="AK56" s="668"/>
      <c r="AM56" s="674"/>
      <c r="AN56" s="674"/>
      <c r="AO56" s="674"/>
      <c r="AP56" s="674"/>
      <c r="AQ56" s="674"/>
      <c r="AR56" s="674"/>
      <c r="AS56" s="674"/>
      <c r="AT56" s="674"/>
      <c r="AU56" s="674"/>
      <c r="AV56" s="674"/>
      <c r="AW56" s="674"/>
      <c r="AX56" s="674"/>
      <c r="AY56" s="674"/>
      <c r="AZ56" s="674"/>
      <c r="BA56" s="674"/>
      <c r="BB56" s="674"/>
      <c r="BC56" s="674"/>
      <c r="BD56" s="674"/>
      <c r="BE56" s="674"/>
      <c r="BF56" s="674"/>
      <c r="BH56" s="688"/>
      <c r="BI56" s="688"/>
      <c r="BJ56" s="688"/>
      <c r="BL56" s="505">
        <f t="shared" ref="BL56:BL63" si="153">Q56+AK56+BF56+BJ56</f>
        <v>0</v>
      </c>
      <c r="BM56" s="505"/>
      <c r="BO56" s="1083"/>
      <c r="BP56" s="1083"/>
      <c r="BQ56" s="1083"/>
      <c r="BR56" s="1083"/>
      <c r="BS56" s="1083"/>
      <c r="BT56" s="1083"/>
      <c r="BU56" s="1083"/>
      <c r="BV56" s="1083"/>
      <c r="BW56" s="1083"/>
      <c r="BX56" s="1083"/>
      <c r="BY56" s="1083"/>
      <c r="BZ56" s="1083"/>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c r="CU56" s="1083"/>
      <c r="CV56" s="1083"/>
      <c r="CW56" s="1083"/>
      <c r="CX56" s="1083"/>
      <c r="CY56" s="1083"/>
      <c r="CZ56" s="1083"/>
      <c r="DA56" s="1083"/>
      <c r="DB56" s="1083"/>
      <c r="DC56" s="1083"/>
      <c r="DD56" s="1083"/>
      <c r="DE56" s="1083"/>
      <c r="DF56" s="1083"/>
      <c r="DH56" s="590">
        <f t="shared" si="124"/>
        <v>0</v>
      </c>
    </row>
    <row r="57" spans="1:112" s="1085" customFormat="1" ht="12.75" customHeight="1" outlineLevel="1">
      <c r="C57" s="534" t="s">
        <v>1070</v>
      </c>
      <c r="D57" s="511" t="str">
        <f>INDEX(Modules[Module], MATCH($C57, Modules[Code], 0))</f>
        <v>Onshore wind</v>
      </c>
      <c r="E57" s="511"/>
      <c r="F57" s="532"/>
      <c r="G57" s="714">
        <f t="shared" ref="G57:P62" ca="1" si="154">IFERROR(INDEX(INDIRECT($C57&amp;".Outputs["&amp;this.Year&amp;"]"), MATCH(G$5, INDIRECT($C57&amp;".Outputs[Vector]"), 0)), 0)</f>
        <v>0</v>
      </c>
      <c r="H57" s="714">
        <f t="shared" ca="1" si="154"/>
        <v>0</v>
      </c>
      <c r="I57" s="714">
        <f t="shared" ca="1" si="154"/>
        <v>0</v>
      </c>
      <c r="J57" s="714">
        <f t="shared" ca="1" si="154"/>
        <v>0</v>
      </c>
      <c r="K57" s="714">
        <f t="shared" ca="1" si="154"/>
        <v>0</v>
      </c>
      <c r="L57" s="714">
        <f t="shared" ca="1" si="154"/>
        <v>0</v>
      </c>
      <c r="M57" s="714">
        <f t="shared" ca="1" si="154"/>
        <v>0</v>
      </c>
      <c r="N57" s="714">
        <f t="shared" ca="1" si="154"/>
        <v>0</v>
      </c>
      <c r="O57" s="714">
        <f t="shared" ca="1" si="154"/>
        <v>0</v>
      </c>
      <c r="P57" s="714">
        <f t="shared" ca="1" si="154"/>
        <v>0</v>
      </c>
      <c r="Q57" s="716">
        <f t="shared" ref="Q57:Q63" ca="1" si="155">SUM(G57:P57)</f>
        <v>0</v>
      </c>
      <c r="R57" s="532"/>
      <c r="S57" s="723">
        <f t="shared" ref="S57:BE62" ca="1" si="156">IFERROR(INDEX(INDIRECT($C57&amp;".Outputs["&amp;this.Year&amp;"]"), MATCH(S$5, INDIRECT($C57&amp;".Outputs[Vector]"), 0)), 0)</f>
        <v>0</v>
      </c>
      <c r="T57" s="723">
        <f t="shared" ca="1" si="156"/>
        <v>0</v>
      </c>
      <c r="U57" s="723">
        <f t="shared" ca="1" si="156"/>
        <v>0</v>
      </c>
      <c r="V57" s="723">
        <f t="shared" ca="1" si="156"/>
        <v>0</v>
      </c>
      <c r="W57" s="723">
        <f t="shared" ca="1" si="156"/>
        <v>0</v>
      </c>
      <c r="X57" s="723">
        <f t="shared" ref="X57:Z62" ca="1" si="157">IFERROR(INDEX(INDIRECT($C57&amp;".Outputs["&amp;this.Year&amp;"]"), MATCH(X$5, INDIRECT($C57&amp;".Outputs[Vector]"), 0)), 0)</f>
        <v>0</v>
      </c>
      <c r="Y57" s="723">
        <f t="shared" ca="1" si="157"/>
        <v>0</v>
      </c>
      <c r="Z57" s="723">
        <f t="shared" ca="1" si="157"/>
        <v>0</v>
      </c>
      <c r="AA57" s="723">
        <f t="shared" ca="1" si="156"/>
        <v>0</v>
      </c>
      <c r="AB57" s="723">
        <f t="shared" ca="1" si="156"/>
        <v>0</v>
      </c>
      <c r="AC57" s="723">
        <f t="shared" ca="1" si="156"/>
        <v>0</v>
      </c>
      <c r="AD57" s="723">
        <f t="shared" ca="1" si="156"/>
        <v>0</v>
      </c>
      <c r="AE57" s="723">
        <f t="shared" ca="1" si="156"/>
        <v>0</v>
      </c>
      <c r="AF57" s="723">
        <f t="shared" ca="1" si="156"/>
        <v>0</v>
      </c>
      <c r="AG57" s="723">
        <f t="shared" ca="1" si="156"/>
        <v>0</v>
      </c>
      <c r="AH57" s="723">
        <f t="shared" ca="1" si="156"/>
        <v>0</v>
      </c>
      <c r="AI57" s="723">
        <f t="shared" ca="1" si="156"/>
        <v>0</v>
      </c>
      <c r="AJ57" s="723">
        <f t="shared" ca="1" si="156"/>
        <v>0</v>
      </c>
      <c r="AK57" s="724">
        <f t="shared" ref="AK57:AK63" ca="1" si="158">SUM(S57:AJ57)</f>
        <v>0</v>
      </c>
      <c r="AL57" s="532"/>
      <c r="AM57" s="735">
        <f t="shared" ref="AM57:AU62" ca="1" si="159">IFERROR(INDEX(INDIRECT($C57&amp;".Outputs["&amp;this.Year&amp;"]"), MATCH(AM$5, INDIRECT($C57&amp;".Outputs[Vector]"), 0)), 0)</f>
        <v>0</v>
      </c>
      <c r="AN57" s="735">
        <f t="shared" ca="1" si="159"/>
        <v>0</v>
      </c>
      <c r="AO57" s="735">
        <f t="shared" ca="1" si="159"/>
        <v>0</v>
      </c>
      <c r="AP57" s="735">
        <f t="shared" ca="1" si="159"/>
        <v>0</v>
      </c>
      <c r="AQ57" s="735">
        <f t="shared" ca="1" si="159"/>
        <v>0</v>
      </c>
      <c r="AR57" s="735">
        <f t="shared" ca="1" si="159"/>
        <v>0</v>
      </c>
      <c r="AS57" s="735">
        <f t="shared" ca="1" si="159"/>
        <v>0</v>
      </c>
      <c r="AT57" s="735">
        <f t="shared" ca="1" si="159"/>
        <v>0</v>
      </c>
      <c r="AU57" s="735">
        <f t="shared" ca="1" si="159"/>
        <v>0</v>
      </c>
      <c r="AV57" s="735">
        <f t="shared" ca="1" si="156"/>
        <v>0</v>
      </c>
      <c r="AW57" s="735">
        <f t="shared" ca="1" si="156"/>
        <v>0</v>
      </c>
      <c r="AX57" s="735">
        <f t="shared" ca="1" si="156"/>
        <v>0</v>
      </c>
      <c r="AY57" s="735">
        <f t="shared" ca="1" si="156"/>
        <v>0</v>
      </c>
      <c r="AZ57" s="735">
        <f t="shared" ca="1" si="156"/>
        <v>0</v>
      </c>
      <c r="BA57" s="735">
        <f t="shared" ca="1" si="156"/>
        <v>0</v>
      </c>
      <c r="BB57" s="735">
        <f t="shared" ca="1" si="156"/>
        <v>0</v>
      </c>
      <c r="BC57" s="735">
        <f t="shared" ca="1" si="156"/>
        <v>0</v>
      </c>
      <c r="BD57" s="735">
        <f t="shared" ca="1" si="156"/>
        <v>0</v>
      </c>
      <c r="BE57" s="735">
        <f t="shared" ca="1" si="156"/>
        <v>0</v>
      </c>
      <c r="BF57" s="677">
        <f t="shared" ref="BF57:BF63" ca="1" si="160">SUM(AM57:BE57)</f>
        <v>0</v>
      </c>
      <c r="BG57" s="532"/>
      <c r="BH57" s="729">
        <f t="shared" ref="BH57:BI62" ca="1" si="161">IFERROR(INDEX(INDIRECT($C57&amp;".Outputs["&amp;this.Year&amp;"]"), MATCH(BH$5, INDIRECT($C57&amp;".Outputs[Vector]"), 0)), 0)</f>
        <v>0</v>
      </c>
      <c r="BI57" s="729">
        <f t="shared" ca="1" si="161"/>
        <v>0</v>
      </c>
      <c r="BJ57" s="731">
        <f t="shared" ref="BJ57:BJ63" ca="1" si="162">SUM(BH57:BI57)</f>
        <v>0</v>
      </c>
      <c r="BK57" s="532"/>
      <c r="BL57" s="576">
        <f t="shared" ca="1" si="153"/>
        <v>0</v>
      </c>
      <c r="BM57" s="576"/>
      <c r="BN57" s="592"/>
      <c r="BO57" s="1082">
        <f t="shared" ref="BO57:BX62" ca="1" si="163">IFERROR(SUMIFS(INDIRECT($C57&amp;".Emissions["&amp;this.Year&amp;"]"), INDIRECT($C57&amp;".Emissions[GHG]"), BO$6, INDIRECT($C57&amp;".Emissions[IPCC Sector]"), BO$5),0)</f>
        <v>0</v>
      </c>
      <c r="BP57" s="1083">
        <f t="shared" ca="1" si="163"/>
        <v>0</v>
      </c>
      <c r="BQ57" s="1083">
        <f t="shared" ca="1" si="163"/>
        <v>0</v>
      </c>
      <c r="BR57" s="1083">
        <f t="shared" ca="1" si="163"/>
        <v>0</v>
      </c>
      <c r="BS57" s="1083">
        <f t="shared" ca="1" si="163"/>
        <v>0</v>
      </c>
      <c r="BT57" s="1083">
        <f t="shared" ca="1" si="163"/>
        <v>0</v>
      </c>
      <c r="BU57" s="1083">
        <f t="shared" ca="1" si="163"/>
        <v>0</v>
      </c>
      <c r="BV57" s="1083">
        <f t="shared" ca="1" si="163"/>
        <v>0</v>
      </c>
      <c r="BW57" s="1083">
        <f t="shared" ca="1" si="163"/>
        <v>0</v>
      </c>
      <c r="BX57" s="1083">
        <f t="shared" ca="1" si="163"/>
        <v>0</v>
      </c>
      <c r="BY57" s="1083">
        <f t="shared" ref="BY57:CH62" ca="1" si="164">IFERROR(SUMIFS(INDIRECT($C57&amp;".Emissions["&amp;this.Year&amp;"]"), INDIRECT($C57&amp;".Emissions[GHG]"), BY$6, INDIRECT($C57&amp;".Emissions[IPCC Sector]"), BY$5),0)</f>
        <v>0</v>
      </c>
      <c r="BZ57" s="1083">
        <f t="shared" ca="1" si="164"/>
        <v>0</v>
      </c>
      <c r="CA57" s="1083">
        <f t="shared" ca="1" si="164"/>
        <v>0</v>
      </c>
      <c r="CB57" s="1083">
        <f t="shared" ca="1" si="164"/>
        <v>0</v>
      </c>
      <c r="CC57" s="1083">
        <f t="shared" ca="1" si="164"/>
        <v>0</v>
      </c>
      <c r="CD57" s="1083">
        <f t="shared" ca="1" si="164"/>
        <v>0</v>
      </c>
      <c r="CE57" s="1083">
        <f t="shared" ca="1" si="164"/>
        <v>0</v>
      </c>
      <c r="CF57" s="1083">
        <f t="shared" ca="1" si="164"/>
        <v>0</v>
      </c>
      <c r="CG57" s="1083">
        <f t="shared" ca="1" si="164"/>
        <v>0</v>
      </c>
      <c r="CH57" s="1083">
        <f t="shared" ca="1" si="164"/>
        <v>0</v>
      </c>
      <c r="CI57" s="1083">
        <f t="shared" ref="CI57:CR62" ca="1" si="165">IFERROR(SUMIFS(INDIRECT($C57&amp;".Emissions["&amp;this.Year&amp;"]"), INDIRECT($C57&amp;".Emissions[GHG]"), CI$6, INDIRECT($C57&amp;".Emissions[IPCC Sector]"), CI$5),0)</f>
        <v>0</v>
      </c>
      <c r="CJ57" s="1083">
        <f t="shared" ca="1" si="165"/>
        <v>0</v>
      </c>
      <c r="CK57" s="1083">
        <f t="shared" ca="1" si="165"/>
        <v>0</v>
      </c>
      <c r="CL57" s="1083">
        <f t="shared" ca="1" si="165"/>
        <v>0</v>
      </c>
      <c r="CM57" s="1083">
        <f t="shared" ca="1" si="165"/>
        <v>0</v>
      </c>
      <c r="CN57" s="1083">
        <f t="shared" ca="1" si="165"/>
        <v>0</v>
      </c>
      <c r="CO57" s="1083">
        <f t="shared" ca="1" si="165"/>
        <v>0</v>
      </c>
      <c r="CP57" s="1083">
        <f t="shared" ca="1" si="165"/>
        <v>0</v>
      </c>
      <c r="CQ57" s="1083">
        <f t="shared" ca="1" si="165"/>
        <v>0</v>
      </c>
      <c r="CR57" s="1083">
        <f t="shared" ca="1" si="165"/>
        <v>0</v>
      </c>
      <c r="CS57" s="1083">
        <f t="shared" ref="CS57:DF62" ca="1" si="166">IFERROR(SUMIFS(INDIRECT($C57&amp;".Emissions["&amp;this.Year&amp;"]"), INDIRECT($C57&amp;".Emissions[GHG]"), CS$6, INDIRECT($C57&amp;".Emissions[IPCC Sector]"), CS$5),0)</f>
        <v>0</v>
      </c>
      <c r="CT57" s="1083">
        <f t="shared" ca="1" si="166"/>
        <v>0</v>
      </c>
      <c r="CU57" s="1083">
        <f t="shared" ca="1" si="166"/>
        <v>0</v>
      </c>
      <c r="CV57" s="1083">
        <f t="shared" ca="1" si="166"/>
        <v>0</v>
      </c>
      <c r="CW57" s="1083">
        <f t="shared" ca="1" si="166"/>
        <v>0</v>
      </c>
      <c r="CX57" s="1083">
        <f t="shared" ca="1" si="166"/>
        <v>0</v>
      </c>
      <c r="CY57" s="1083">
        <f t="shared" ca="1" si="166"/>
        <v>0</v>
      </c>
      <c r="CZ57" s="1083">
        <f t="shared" ca="1" si="166"/>
        <v>0</v>
      </c>
      <c r="DA57" s="1083">
        <f t="shared" ca="1" si="166"/>
        <v>0</v>
      </c>
      <c r="DB57" s="1083">
        <f t="shared" ca="1" si="166"/>
        <v>0</v>
      </c>
      <c r="DC57" s="1083">
        <f t="shared" ca="1" si="166"/>
        <v>0</v>
      </c>
      <c r="DD57" s="1083">
        <f t="shared" ca="1" si="166"/>
        <v>0</v>
      </c>
      <c r="DE57" s="1083">
        <f t="shared" ca="1" si="166"/>
        <v>0</v>
      </c>
      <c r="DF57" s="1083">
        <f t="shared" ca="1" si="166"/>
        <v>0</v>
      </c>
      <c r="DH57" s="590">
        <f t="shared" ca="1" si="124"/>
        <v>0</v>
      </c>
    </row>
    <row r="58" spans="1:112" s="1085" customFormat="1" ht="12.75" customHeight="1" outlineLevel="1">
      <c r="C58" s="534" t="s">
        <v>1071</v>
      </c>
      <c r="D58" s="511" t="str">
        <f>INDEX(Modules[Module], MATCH($C58, Modules[Code], 0))</f>
        <v>Offshore wind</v>
      </c>
      <c r="E58" s="511"/>
      <c r="F58" s="532"/>
      <c r="G58" s="714">
        <f t="shared" ca="1" si="154"/>
        <v>0</v>
      </c>
      <c r="H58" s="714">
        <f t="shared" ca="1" si="154"/>
        <v>0</v>
      </c>
      <c r="I58" s="714">
        <f t="shared" ca="1" si="154"/>
        <v>0</v>
      </c>
      <c r="J58" s="714">
        <f t="shared" ca="1" si="154"/>
        <v>0</v>
      </c>
      <c r="K58" s="714">
        <f t="shared" ca="1" si="154"/>
        <v>0</v>
      </c>
      <c r="L58" s="714">
        <f t="shared" ca="1" si="154"/>
        <v>0</v>
      </c>
      <c r="M58" s="714">
        <f t="shared" ca="1" si="154"/>
        <v>0</v>
      </c>
      <c r="N58" s="714">
        <f t="shared" ca="1" si="154"/>
        <v>0</v>
      </c>
      <c r="O58" s="714">
        <f t="shared" ca="1" si="154"/>
        <v>0</v>
      </c>
      <c r="P58" s="714">
        <f t="shared" ca="1" si="154"/>
        <v>0</v>
      </c>
      <c r="Q58" s="716">
        <f ca="1">SUM(G58:P58)</f>
        <v>0</v>
      </c>
      <c r="R58" s="532"/>
      <c r="S58" s="723">
        <f t="shared" ca="1" si="156"/>
        <v>0</v>
      </c>
      <c r="T58" s="723">
        <f t="shared" ca="1" si="156"/>
        <v>0</v>
      </c>
      <c r="U58" s="723">
        <f t="shared" ca="1" si="156"/>
        <v>0</v>
      </c>
      <c r="V58" s="723">
        <f t="shared" ca="1" si="156"/>
        <v>0</v>
      </c>
      <c r="W58" s="723">
        <f t="shared" ca="1" si="156"/>
        <v>0</v>
      </c>
      <c r="X58" s="723">
        <f t="shared" ca="1" si="157"/>
        <v>0</v>
      </c>
      <c r="Y58" s="723">
        <f t="shared" ca="1" si="157"/>
        <v>0</v>
      </c>
      <c r="Z58" s="723">
        <f t="shared" ca="1" si="157"/>
        <v>0</v>
      </c>
      <c r="AA58" s="723">
        <f t="shared" ca="1" si="156"/>
        <v>0</v>
      </c>
      <c r="AB58" s="723">
        <f t="shared" ca="1" si="156"/>
        <v>0</v>
      </c>
      <c r="AC58" s="723">
        <f t="shared" ca="1" si="156"/>
        <v>0</v>
      </c>
      <c r="AD58" s="723">
        <f t="shared" ca="1" si="156"/>
        <v>0</v>
      </c>
      <c r="AE58" s="723">
        <f t="shared" ca="1" si="156"/>
        <v>0</v>
      </c>
      <c r="AF58" s="723">
        <f t="shared" ca="1" si="156"/>
        <v>0</v>
      </c>
      <c r="AG58" s="723">
        <f t="shared" ca="1" si="156"/>
        <v>0</v>
      </c>
      <c r="AH58" s="723">
        <f t="shared" ca="1" si="156"/>
        <v>0</v>
      </c>
      <c r="AI58" s="723">
        <f t="shared" ca="1" si="156"/>
        <v>0</v>
      </c>
      <c r="AJ58" s="723">
        <f t="shared" ca="1" si="156"/>
        <v>0</v>
      </c>
      <c r="AK58" s="724">
        <f ca="1">SUM(S58:AJ58)</f>
        <v>0</v>
      </c>
      <c r="AL58" s="532"/>
      <c r="AM58" s="735">
        <f t="shared" ca="1" si="159"/>
        <v>0</v>
      </c>
      <c r="AN58" s="735">
        <f t="shared" ca="1" si="159"/>
        <v>0</v>
      </c>
      <c r="AO58" s="735">
        <f t="shared" ca="1" si="159"/>
        <v>0</v>
      </c>
      <c r="AP58" s="735">
        <f t="shared" ca="1" si="159"/>
        <v>0</v>
      </c>
      <c r="AQ58" s="735">
        <f t="shared" ca="1" si="159"/>
        <v>0</v>
      </c>
      <c r="AR58" s="735">
        <f t="shared" ca="1" si="159"/>
        <v>0</v>
      </c>
      <c r="AS58" s="735">
        <f t="shared" ca="1" si="159"/>
        <v>0</v>
      </c>
      <c r="AT58" s="735">
        <f t="shared" ca="1" si="159"/>
        <v>0</v>
      </c>
      <c r="AU58" s="735">
        <f t="shared" ca="1" si="159"/>
        <v>0</v>
      </c>
      <c r="AV58" s="735">
        <f t="shared" ca="1" si="156"/>
        <v>0</v>
      </c>
      <c r="AW58" s="735">
        <f t="shared" ca="1" si="156"/>
        <v>0</v>
      </c>
      <c r="AX58" s="735">
        <f t="shared" ca="1" si="156"/>
        <v>0</v>
      </c>
      <c r="AY58" s="735">
        <f t="shared" ca="1" si="156"/>
        <v>0</v>
      </c>
      <c r="AZ58" s="735">
        <f t="shared" ca="1" si="156"/>
        <v>0</v>
      </c>
      <c r="BA58" s="735">
        <f t="shared" ca="1" si="156"/>
        <v>0</v>
      </c>
      <c r="BB58" s="735">
        <f t="shared" ca="1" si="156"/>
        <v>0</v>
      </c>
      <c r="BC58" s="735">
        <f t="shared" ca="1" si="156"/>
        <v>0</v>
      </c>
      <c r="BD58" s="735">
        <f t="shared" ca="1" si="156"/>
        <v>0</v>
      </c>
      <c r="BE58" s="735">
        <f t="shared" ca="1" si="156"/>
        <v>0</v>
      </c>
      <c r="BF58" s="677">
        <f ca="1">SUM(AM58:BE58)</f>
        <v>0</v>
      </c>
      <c r="BG58" s="532"/>
      <c r="BH58" s="729">
        <f t="shared" ca="1" si="161"/>
        <v>0</v>
      </c>
      <c r="BI58" s="729">
        <f t="shared" ca="1" si="161"/>
        <v>0</v>
      </c>
      <c r="BJ58" s="731">
        <f ca="1">SUM(BH58:BI58)</f>
        <v>0</v>
      </c>
      <c r="BK58" s="532"/>
      <c r="BL58" s="576">
        <f ca="1">Q58+AK58+BF58+BJ58</f>
        <v>0</v>
      </c>
      <c r="BM58" s="576"/>
      <c r="BN58" s="592"/>
      <c r="BO58" s="1082">
        <f t="shared" ca="1" si="163"/>
        <v>0</v>
      </c>
      <c r="BP58" s="1083">
        <f t="shared" ca="1" si="163"/>
        <v>0</v>
      </c>
      <c r="BQ58" s="1083">
        <f t="shared" ca="1" si="163"/>
        <v>0</v>
      </c>
      <c r="BR58" s="1083">
        <f t="shared" ca="1" si="163"/>
        <v>0</v>
      </c>
      <c r="BS58" s="1083">
        <f t="shared" ca="1" si="163"/>
        <v>0</v>
      </c>
      <c r="BT58" s="1083">
        <f t="shared" ca="1" si="163"/>
        <v>0</v>
      </c>
      <c r="BU58" s="1083">
        <f t="shared" ca="1" si="163"/>
        <v>0</v>
      </c>
      <c r="BV58" s="1083">
        <f t="shared" ca="1" si="163"/>
        <v>0</v>
      </c>
      <c r="BW58" s="1083">
        <f t="shared" ca="1" si="163"/>
        <v>0</v>
      </c>
      <c r="BX58" s="1083">
        <f t="shared" ca="1" si="163"/>
        <v>0</v>
      </c>
      <c r="BY58" s="1083">
        <f t="shared" ca="1" si="164"/>
        <v>0</v>
      </c>
      <c r="BZ58" s="1083">
        <f t="shared" ca="1" si="164"/>
        <v>0</v>
      </c>
      <c r="CA58" s="1083">
        <f t="shared" ca="1" si="164"/>
        <v>0</v>
      </c>
      <c r="CB58" s="1083">
        <f t="shared" ca="1" si="164"/>
        <v>0</v>
      </c>
      <c r="CC58" s="1083">
        <f t="shared" ca="1" si="164"/>
        <v>0</v>
      </c>
      <c r="CD58" s="1083">
        <f t="shared" ca="1" si="164"/>
        <v>0</v>
      </c>
      <c r="CE58" s="1083">
        <f t="shared" ca="1" si="164"/>
        <v>0</v>
      </c>
      <c r="CF58" s="1083">
        <f t="shared" ca="1" si="164"/>
        <v>0</v>
      </c>
      <c r="CG58" s="1083">
        <f t="shared" ca="1" si="164"/>
        <v>0</v>
      </c>
      <c r="CH58" s="1083">
        <f t="shared" ca="1" si="164"/>
        <v>0</v>
      </c>
      <c r="CI58" s="1083">
        <f t="shared" ca="1" si="165"/>
        <v>0</v>
      </c>
      <c r="CJ58" s="1083">
        <f t="shared" ca="1" si="165"/>
        <v>0</v>
      </c>
      <c r="CK58" s="1083">
        <f t="shared" ca="1" si="165"/>
        <v>0</v>
      </c>
      <c r="CL58" s="1083">
        <f t="shared" ca="1" si="165"/>
        <v>0</v>
      </c>
      <c r="CM58" s="1083">
        <f t="shared" ca="1" si="165"/>
        <v>0</v>
      </c>
      <c r="CN58" s="1083">
        <f t="shared" ca="1" si="165"/>
        <v>0</v>
      </c>
      <c r="CO58" s="1083">
        <f t="shared" ca="1" si="165"/>
        <v>0</v>
      </c>
      <c r="CP58" s="1083">
        <f t="shared" ca="1" si="165"/>
        <v>0</v>
      </c>
      <c r="CQ58" s="1083">
        <f t="shared" ca="1" si="165"/>
        <v>0</v>
      </c>
      <c r="CR58" s="1083">
        <f t="shared" ca="1" si="165"/>
        <v>0</v>
      </c>
      <c r="CS58" s="1083">
        <f t="shared" ca="1" si="166"/>
        <v>0</v>
      </c>
      <c r="CT58" s="1083">
        <f t="shared" ca="1" si="166"/>
        <v>0</v>
      </c>
      <c r="CU58" s="1083">
        <f t="shared" ca="1" si="166"/>
        <v>0</v>
      </c>
      <c r="CV58" s="1083">
        <f t="shared" ca="1" si="166"/>
        <v>0</v>
      </c>
      <c r="CW58" s="1083">
        <f t="shared" ca="1" si="166"/>
        <v>0</v>
      </c>
      <c r="CX58" s="1083">
        <f t="shared" ca="1" si="166"/>
        <v>0</v>
      </c>
      <c r="CY58" s="1083">
        <f t="shared" ca="1" si="166"/>
        <v>0</v>
      </c>
      <c r="CZ58" s="1083">
        <f t="shared" ca="1" si="166"/>
        <v>0</v>
      </c>
      <c r="DA58" s="1083">
        <f t="shared" ca="1" si="166"/>
        <v>0</v>
      </c>
      <c r="DB58" s="1083">
        <f t="shared" ca="1" si="166"/>
        <v>0</v>
      </c>
      <c r="DC58" s="1083">
        <f t="shared" ca="1" si="166"/>
        <v>0</v>
      </c>
      <c r="DD58" s="1083">
        <f t="shared" ca="1" si="166"/>
        <v>0</v>
      </c>
      <c r="DE58" s="1083">
        <f t="shared" ca="1" si="166"/>
        <v>0</v>
      </c>
      <c r="DF58" s="1083">
        <f t="shared" ca="1" si="166"/>
        <v>0</v>
      </c>
      <c r="DH58" s="590">
        <f ca="1">SUM(BO58:DF58)</f>
        <v>0</v>
      </c>
    </row>
    <row r="59" spans="1:112" s="1085" customFormat="1" ht="12.75" customHeight="1" outlineLevel="1">
      <c r="C59" s="534" t="s">
        <v>650</v>
      </c>
      <c r="D59" s="511" t="str">
        <f>INDEX(Modules[Module], MATCH($C59, Modules[Code], 0))</f>
        <v>Hydroelectric power stations</v>
      </c>
      <c r="E59" s="511"/>
      <c r="F59" s="532"/>
      <c r="G59" s="714">
        <f t="shared" ca="1" si="154"/>
        <v>0</v>
      </c>
      <c r="H59" s="714">
        <f t="shared" ca="1" si="154"/>
        <v>0</v>
      </c>
      <c r="I59" s="714">
        <f t="shared" ca="1" si="154"/>
        <v>0</v>
      </c>
      <c r="J59" s="714">
        <f t="shared" ca="1" si="154"/>
        <v>0</v>
      </c>
      <c r="K59" s="714">
        <f t="shared" ca="1" si="154"/>
        <v>0</v>
      </c>
      <c r="L59" s="714">
        <f t="shared" ca="1" si="154"/>
        <v>0</v>
      </c>
      <c r="M59" s="714">
        <f t="shared" ca="1" si="154"/>
        <v>0</v>
      </c>
      <c r="N59" s="714">
        <f t="shared" ca="1" si="154"/>
        <v>0</v>
      </c>
      <c r="O59" s="714">
        <f t="shared" ca="1" si="154"/>
        <v>0</v>
      </c>
      <c r="P59" s="714">
        <f t="shared" ca="1" si="154"/>
        <v>0</v>
      </c>
      <c r="Q59" s="716">
        <f t="shared" ca="1" si="155"/>
        <v>0</v>
      </c>
      <c r="R59" s="532"/>
      <c r="S59" s="723">
        <f t="shared" ca="1" si="156"/>
        <v>0</v>
      </c>
      <c r="T59" s="723">
        <f t="shared" ca="1" si="156"/>
        <v>0</v>
      </c>
      <c r="U59" s="723">
        <f t="shared" ca="1" si="156"/>
        <v>0</v>
      </c>
      <c r="V59" s="723">
        <f t="shared" ca="1" si="156"/>
        <v>0</v>
      </c>
      <c r="W59" s="723">
        <f t="shared" ca="1" si="156"/>
        <v>0</v>
      </c>
      <c r="X59" s="723">
        <f t="shared" ca="1" si="157"/>
        <v>0</v>
      </c>
      <c r="Y59" s="723">
        <f t="shared" ca="1" si="157"/>
        <v>0</v>
      </c>
      <c r="Z59" s="723">
        <f t="shared" ca="1" si="157"/>
        <v>0</v>
      </c>
      <c r="AA59" s="723">
        <f t="shared" ca="1" si="156"/>
        <v>0</v>
      </c>
      <c r="AB59" s="723">
        <f t="shared" ca="1" si="156"/>
        <v>0</v>
      </c>
      <c r="AC59" s="723">
        <f t="shared" ca="1" si="156"/>
        <v>0</v>
      </c>
      <c r="AD59" s="723">
        <f t="shared" ca="1" si="156"/>
        <v>0</v>
      </c>
      <c r="AE59" s="723">
        <f t="shared" ca="1" si="156"/>
        <v>0</v>
      </c>
      <c r="AF59" s="723">
        <f t="shared" ca="1" si="156"/>
        <v>0</v>
      </c>
      <c r="AG59" s="723">
        <f t="shared" ca="1" si="156"/>
        <v>0</v>
      </c>
      <c r="AH59" s="723">
        <f t="shared" ca="1" si="156"/>
        <v>0</v>
      </c>
      <c r="AI59" s="723">
        <f t="shared" ca="1" si="156"/>
        <v>0</v>
      </c>
      <c r="AJ59" s="723">
        <f t="shared" ca="1" si="156"/>
        <v>0</v>
      </c>
      <c r="AK59" s="724">
        <f t="shared" ca="1" si="158"/>
        <v>0</v>
      </c>
      <c r="AL59" s="532"/>
      <c r="AM59" s="735">
        <f t="shared" ca="1" si="159"/>
        <v>0</v>
      </c>
      <c r="AN59" s="735">
        <f t="shared" ca="1" si="159"/>
        <v>0</v>
      </c>
      <c r="AO59" s="735">
        <f t="shared" ca="1" si="159"/>
        <v>0</v>
      </c>
      <c r="AP59" s="735">
        <f t="shared" ca="1" si="159"/>
        <v>0</v>
      </c>
      <c r="AQ59" s="735">
        <f t="shared" ca="1" si="159"/>
        <v>0</v>
      </c>
      <c r="AR59" s="735">
        <f t="shared" ca="1" si="159"/>
        <v>0</v>
      </c>
      <c r="AS59" s="735">
        <f t="shared" ca="1" si="159"/>
        <v>0</v>
      </c>
      <c r="AT59" s="735">
        <f t="shared" ca="1" si="159"/>
        <v>0</v>
      </c>
      <c r="AU59" s="735">
        <f t="shared" ca="1" si="159"/>
        <v>0</v>
      </c>
      <c r="AV59" s="735">
        <f t="shared" ca="1" si="156"/>
        <v>0</v>
      </c>
      <c r="AW59" s="735">
        <f t="shared" ca="1" si="156"/>
        <v>0</v>
      </c>
      <c r="AX59" s="735">
        <f t="shared" ca="1" si="156"/>
        <v>0</v>
      </c>
      <c r="AY59" s="735">
        <f t="shared" ca="1" si="156"/>
        <v>0</v>
      </c>
      <c r="AZ59" s="735">
        <f t="shared" ca="1" si="156"/>
        <v>0</v>
      </c>
      <c r="BA59" s="735">
        <f t="shared" ca="1" si="156"/>
        <v>0</v>
      </c>
      <c r="BB59" s="735">
        <f t="shared" ca="1" si="156"/>
        <v>0</v>
      </c>
      <c r="BC59" s="735">
        <f t="shared" ca="1" si="156"/>
        <v>0</v>
      </c>
      <c r="BD59" s="735">
        <f t="shared" ca="1" si="156"/>
        <v>0</v>
      </c>
      <c r="BE59" s="735">
        <f t="shared" ca="1" si="156"/>
        <v>0</v>
      </c>
      <c r="BF59" s="677">
        <f t="shared" ca="1" si="160"/>
        <v>0</v>
      </c>
      <c r="BG59" s="532"/>
      <c r="BH59" s="729">
        <f t="shared" ca="1" si="161"/>
        <v>0</v>
      </c>
      <c r="BI59" s="729">
        <f t="shared" ca="1" si="161"/>
        <v>0</v>
      </c>
      <c r="BJ59" s="731">
        <f t="shared" ca="1" si="162"/>
        <v>0</v>
      </c>
      <c r="BK59" s="532"/>
      <c r="BL59" s="576">
        <f t="shared" ca="1" si="153"/>
        <v>0</v>
      </c>
      <c r="BM59" s="576"/>
      <c r="BN59" s="592"/>
      <c r="BO59" s="1082">
        <f t="shared" ca="1" si="163"/>
        <v>0</v>
      </c>
      <c r="BP59" s="1083">
        <f t="shared" ca="1" si="163"/>
        <v>0</v>
      </c>
      <c r="BQ59" s="1083">
        <f t="shared" ca="1" si="163"/>
        <v>0</v>
      </c>
      <c r="BR59" s="1083">
        <f t="shared" ca="1" si="163"/>
        <v>0</v>
      </c>
      <c r="BS59" s="1083">
        <f t="shared" ca="1" si="163"/>
        <v>0</v>
      </c>
      <c r="BT59" s="1083">
        <f t="shared" ca="1" si="163"/>
        <v>0</v>
      </c>
      <c r="BU59" s="1083">
        <f t="shared" ca="1" si="163"/>
        <v>0</v>
      </c>
      <c r="BV59" s="1083">
        <f t="shared" ca="1" si="163"/>
        <v>0</v>
      </c>
      <c r="BW59" s="1083">
        <f t="shared" ca="1" si="163"/>
        <v>0</v>
      </c>
      <c r="BX59" s="1083">
        <f t="shared" ca="1" si="163"/>
        <v>0</v>
      </c>
      <c r="BY59" s="1083">
        <f t="shared" ca="1" si="164"/>
        <v>0</v>
      </c>
      <c r="BZ59" s="1083">
        <f t="shared" ca="1" si="164"/>
        <v>0</v>
      </c>
      <c r="CA59" s="1083">
        <f t="shared" ca="1" si="164"/>
        <v>0</v>
      </c>
      <c r="CB59" s="1083">
        <f t="shared" ca="1" si="164"/>
        <v>0</v>
      </c>
      <c r="CC59" s="1083">
        <f t="shared" ca="1" si="164"/>
        <v>0</v>
      </c>
      <c r="CD59" s="1083">
        <f t="shared" ca="1" si="164"/>
        <v>0</v>
      </c>
      <c r="CE59" s="1083">
        <f t="shared" ca="1" si="164"/>
        <v>0</v>
      </c>
      <c r="CF59" s="1083">
        <f t="shared" ca="1" si="164"/>
        <v>0</v>
      </c>
      <c r="CG59" s="1083">
        <f t="shared" ca="1" si="164"/>
        <v>0</v>
      </c>
      <c r="CH59" s="1083">
        <f t="shared" ca="1" si="164"/>
        <v>0</v>
      </c>
      <c r="CI59" s="1083">
        <f t="shared" ca="1" si="165"/>
        <v>0</v>
      </c>
      <c r="CJ59" s="1083">
        <f t="shared" ca="1" si="165"/>
        <v>0</v>
      </c>
      <c r="CK59" s="1083">
        <f t="shared" ca="1" si="165"/>
        <v>0</v>
      </c>
      <c r="CL59" s="1083">
        <f t="shared" ca="1" si="165"/>
        <v>0</v>
      </c>
      <c r="CM59" s="1083">
        <f t="shared" ca="1" si="165"/>
        <v>0</v>
      </c>
      <c r="CN59" s="1083">
        <f t="shared" ca="1" si="165"/>
        <v>0</v>
      </c>
      <c r="CO59" s="1083">
        <f t="shared" ca="1" si="165"/>
        <v>0</v>
      </c>
      <c r="CP59" s="1083">
        <f t="shared" ca="1" si="165"/>
        <v>0</v>
      </c>
      <c r="CQ59" s="1083">
        <f t="shared" ca="1" si="165"/>
        <v>0</v>
      </c>
      <c r="CR59" s="1083">
        <f t="shared" ca="1" si="165"/>
        <v>0</v>
      </c>
      <c r="CS59" s="1083">
        <f t="shared" ca="1" si="166"/>
        <v>0</v>
      </c>
      <c r="CT59" s="1083">
        <f t="shared" ca="1" si="166"/>
        <v>0</v>
      </c>
      <c r="CU59" s="1083">
        <f t="shared" ca="1" si="166"/>
        <v>0</v>
      </c>
      <c r="CV59" s="1083">
        <f t="shared" ca="1" si="166"/>
        <v>0</v>
      </c>
      <c r="CW59" s="1083">
        <f t="shared" ca="1" si="166"/>
        <v>0</v>
      </c>
      <c r="CX59" s="1083">
        <f t="shared" ca="1" si="166"/>
        <v>0</v>
      </c>
      <c r="CY59" s="1083">
        <f t="shared" ca="1" si="166"/>
        <v>0</v>
      </c>
      <c r="CZ59" s="1083">
        <f t="shared" ca="1" si="166"/>
        <v>0</v>
      </c>
      <c r="DA59" s="1083">
        <f t="shared" ca="1" si="166"/>
        <v>0</v>
      </c>
      <c r="DB59" s="1083">
        <f t="shared" ca="1" si="166"/>
        <v>0</v>
      </c>
      <c r="DC59" s="1083">
        <f t="shared" ca="1" si="166"/>
        <v>0</v>
      </c>
      <c r="DD59" s="1083">
        <f t="shared" ca="1" si="166"/>
        <v>0</v>
      </c>
      <c r="DE59" s="1083">
        <f t="shared" ca="1" si="166"/>
        <v>0</v>
      </c>
      <c r="DF59" s="1083">
        <f t="shared" ca="1" si="166"/>
        <v>0</v>
      </c>
      <c r="DH59" s="590">
        <f t="shared" ca="1" si="124"/>
        <v>0</v>
      </c>
    </row>
    <row r="60" spans="1:112" s="1085" customFormat="1" ht="12.75" customHeight="1" outlineLevel="1">
      <c r="C60" s="534" t="s">
        <v>652</v>
      </c>
      <c r="D60" s="511" t="str">
        <f>INDEX(Modules[Module], MATCH($C60, Modules[Code], 0))</f>
        <v>Tidal and Wave</v>
      </c>
      <c r="E60" s="511"/>
      <c r="F60" s="532"/>
      <c r="G60" s="714">
        <f t="shared" ca="1" si="154"/>
        <v>0</v>
      </c>
      <c r="H60" s="714">
        <f t="shared" ca="1" si="154"/>
        <v>0</v>
      </c>
      <c r="I60" s="714">
        <f t="shared" ca="1" si="154"/>
        <v>0</v>
      </c>
      <c r="J60" s="714">
        <f t="shared" ca="1" si="154"/>
        <v>0</v>
      </c>
      <c r="K60" s="714">
        <f t="shared" ca="1" si="154"/>
        <v>0</v>
      </c>
      <c r="L60" s="714">
        <f t="shared" ca="1" si="154"/>
        <v>0</v>
      </c>
      <c r="M60" s="714">
        <f t="shared" ca="1" si="154"/>
        <v>0</v>
      </c>
      <c r="N60" s="714">
        <f t="shared" ca="1" si="154"/>
        <v>0</v>
      </c>
      <c r="O60" s="714">
        <f t="shared" ca="1" si="154"/>
        <v>0</v>
      </c>
      <c r="P60" s="714">
        <f t="shared" ca="1" si="154"/>
        <v>0</v>
      </c>
      <c r="Q60" s="716">
        <f t="shared" ca="1" si="155"/>
        <v>0</v>
      </c>
      <c r="R60" s="532"/>
      <c r="S60" s="723">
        <f t="shared" ca="1" si="156"/>
        <v>0</v>
      </c>
      <c r="T60" s="723">
        <f t="shared" ca="1" si="156"/>
        <v>0</v>
      </c>
      <c r="U60" s="723">
        <f t="shared" ca="1" si="156"/>
        <v>0</v>
      </c>
      <c r="V60" s="723">
        <f t="shared" ca="1" si="156"/>
        <v>0</v>
      </c>
      <c r="W60" s="723">
        <f t="shared" ca="1" si="156"/>
        <v>0</v>
      </c>
      <c r="X60" s="723">
        <f t="shared" ca="1" si="157"/>
        <v>0</v>
      </c>
      <c r="Y60" s="723">
        <f t="shared" ca="1" si="157"/>
        <v>0</v>
      </c>
      <c r="Z60" s="723">
        <f t="shared" ca="1" si="157"/>
        <v>0</v>
      </c>
      <c r="AA60" s="723">
        <f t="shared" ca="1" si="156"/>
        <v>0</v>
      </c>
      <c r="AB60" s="723">
        <f t="shared" ca="1" si="156"/>
        <v>0</v>
      </c>
      <c r="AC60" s="723">
        <f t="shared" ca="1" si="156"/>
        <v>0</v>
      </c>
      <c r="AD60" s="723">
        <f t="shared" ca="1" si="156"/>
        <v>0</v>
      </c>
      <c r="AE60" s="723">
        <f t="shared" ca="1" si="156"/>
        <v>0</v>
      </c>
      <c r="AF60" s="723">
        <f t="shared" ca="1" si="156"/>
        <v>0</v>
      </c>
      <c r="AG60" s="723">
        <f t="shared" ca="1" si="156"/>
        <v>0</v>
      </c>
      <c r="AH60" s="723">
        <f t="shared" ca="1" si="156"/>
        <v>0</v>
      </c>
      <c r="AI60" s="723">
        <f t="shared" ca="1" si="156"/>
        <v>0</v>
      </c>
      <c r="AJ60" s="723">
        <f t="shared" ca="1" si="156"/>
        <v>0</v>
      </c>
      <c r="AK60" s="724">
        <f t="shared" ca="1" si="158"/>
        <v>0</v>
      </c>
      <c r="AL60" s="532"/>
      <c r="AM60" s="735">
        <f t="shared" ca="1" si="159"/>
        <v>0</v>
      </c>
      <c r="AN60" s="735">
        <f t="shared" ca="1" si="159"/>
        <v>0</v>
      </c>
      <c r="AO60" s="735">
        <f t="shared" ca="1" si="159"/>
        <v>0</v>
      </c>
      <c r="AP60" s="735">
        <f t="shared" ca="1" si="159"/>
        <v>0</v>
      </c>
      <c r="AQ60" s="735">
        <f t="shared" ca="1" si="159"/>
        <v>0</v>
      </c>
      <c r="AR60" s="735">
        <f t="shared" ca="1" si="159"/>
        <v>0</v>
      </c>
      <c r="AS60" s="735">
        <f t="shared" ca="1" si="159"/>
        <v>0</v>
      </c>
      <c r="AT60" s="735">
        <f t="shared" ca="1" si="159"/>
        <v>0</v>
      </c>
      <c r="AU60" s="735">
        <f t="shared" ca="1" si="159"/>
        <v>0</v>
      </c>
      <c r="AV60" s="735">
        <f t="shared" ca="1" si="156"/>
        <v>0</v>
      </c>
      <c r="AW60" s="735">
        <f t="shared" ca="1" si="156"/>
        <v>0</v>
      </c>
      <c r="AX60" s="735">
        <f t="shared" ca="1" si="156"/>
        <v>0</v>
      </c>
      <c r="AY60" s="735">
        <f t="shared" ca="1" si="156"/>
        <v>0</v>
      </c>
      <c r="AZ60" s="735">
        <f t="shared" ca="1" si="156"/>
        <v>0</v>
      </c>
      <c r="BA60" s="735">
        <f t="shared" ca="1" si="156"/>
        <v>0</v>
      </c>
      <c r="BB60" s="735">
        <f t="shared" ca="1" si="156"/>
        <v>0</v>
      </c>
      <c r="BC60" s="735">
        <f t="shared" ca="1" si="156"/>
        <v>0</v>
      </c>
      <c r="BD60" s="735">
        <f t="shared" ca="1" si="156"/>
        <v>0</v>
      </c>
      <c r="BE60" s="735">
        <f t="shared" ca="1" si="156"/>
        <v>0</v>
      </c>
      <c r="BF60" s="677">
        <f t="shared" ca="1" si="160"/>
        <v>0</v>
      </c>
      <c r="BG60" s="532"/>
      <c r="BH60" s="729">
        <f t="shared" ca="1" si="161"/>
        <v>0</v>
      </c>
      <c r="BI60" s="729">
        <f t="shared" ca="1" si="161"/>
        <v>0</v>
      </c>
      <c r="BJ60" s="731">
        <f t="shared" ca="1" si="162"/>
        <v>0</v>
      </c>
      <c r="BK60" s="532"/>
      <c r="BL60" s="576">
        <f t="shared" ca="1" si="153"/>
        <v>0</v>
      </c>
      <c r="BM60" s="576"/>
      <c r="BN60" s="592"/>
      <c r="BO60" s="1082">
        <f t="shared" ca="1" si="163"/>
        <v>0</v>
      </c>
      <c r="BP60" s="1083">
        <f t="shared" ca="1" si="163"/>
        <v>0</v>
      </c>
      <c r="BQ60" s="1083">
        <f t="shared" ca="1" si="163"/>
        <v>0</v>
      </c>
      <c r="BR60" s="1083">
        <f t="shared" ca="1" si="163"/>
        <v>0</v>
      </c>
      <c r="BS60" s="1083">
        <f t="shared" ca="1" si="163"/>
        <v>0</v>
      </c>
      <c r="BT60" s="1083">
        <f t="shared" ca="1" si="163"/>
        <v>0</v>
      </c>
      <c r="BU60" s="1083">
        <f t="shared" ca="1" si="163"/>
        <v>0</v>
      </c>
      <c r="BV60" s="1083">
        <f t="shared" ca="1" si="163"/>
        <v>0</v>
      </c>
      <c r="BW60" s="1083">
        <f t="shared" ca="1" si="163"/>
        <v>0</v>
      </c>
      <c r="BX60" s="1083">
        <f t="shared" ca="1" si="163"/>
        <v>0</v>
      </c>
      <c r="BY60" s="1083">
        <f t="shared" ca="1" si="164"/>
        <v>0</v>
      </c>
      <c r="BZ60" s="1083">
        <f t="shared" ca="1" si="164"/>
        <v>0</v>
      </c>
      <c r="CA60" s="1083">
        <f t="shared" ca="1" si="164"/>
        <v>0</v>
      </c>
      <c r="CB60" s="1083">
        <f t="shared" ca="1" si="164"/>
        <v>0</v>
      </c>
      <c r="CC60" s="1083">
        <f t="shared" ca="1" si="164"/>
        <v>0</v>
      </c>
      <c r="CD60" s="1083">
        <f t="shared" ca="1" si="164"/>
        <v>0</v>
      </c>
      <c r="CE60" s="1083">
        <f t="shared" ca="1" si="164"/>
        <v>0</v>
      </c>
      <c r="CF60" s="1083">
        <f t="shared" ca="1" si="164"/>
        <v>0</v>
      </c>
      <c r="CG60" s="1083">
        <f t="shared" ca="1" si="164"/>
        <v>0</v>
      </c>
      <c r="CH60" s="1083">
        <f t="shared" ca="1" si="164"/>
        <v>0</v>
      </c>
      <c r="CI60" s="1083">
        <f t="shared" ca="1" si="165"/>
        <v>0</v>
      </c>
      <c r="CJ60" s="1083">
        <f t="shared" ca="1" si="165"/>
        <v>0</v>
      </c>
      <c r="CK60" s="1083">
        <f t="shared" ca="1" si="165"/>
        <v>0</v>
      </c>
      <c r="CL60" s="1083">
        <f t="shared" ca="1" si="165"/>
        <v>0</v>
      </c>
      <c r="CM60" s="1083">
        <f t="shared" ca="1" si="165"/>
        <v>0</v>
      </c>
      <c r="CN60" s="1083">
        <f t="shared" ca="1" si="165"/>
        <v>0</v>
      </c>
      <c r="CO60" s="1083">
        <f t="shared" ca="1" si="165"/>
        <v>0</v>
      </c>
      <c r="CP60" s="1083">
        <f t="shared" ca="1" si="165"/>
        <v>0</v>
      </c>
      <c r="CQ60" s="1083">
        <f t="shared" ca="1" si="165"/>
        <v>0</v>
      </c>
      <c r="CR60" s="1083">
        <f t="shared" ca="1" si="165"/>
        <v>0</v>
      </c>
      <c r="CS60" s="1083">
        <f t="shared" ca="1" si="166"/>
        <v>0</v>
      </c>
      <c r="CT60" s="1083">
        <f t="shared" ca="1" si="166"/>
        <v>0</v>
      </c>
      <c r="CU60" s="1083">
        <f t="shared" ca="1" si="166"/>
        <v>0</v>
      </c>
      <c r="CV60" s="1083">
        <f t="shared" ca="1" si="166"/>
        <v>0</v>
      </c>
      <c r="CW60" s="1083">
        <f t="shared" ca="1" si="166"/>
        <v>0</v>
      </c>
      <c r="CX60" s="1083">
        <f t="shared" ca="1" si="166"/>
        <v>0</v>
      </c>
      <c r="CY60" s="1083">
        <f t="shared" ca="1" si="166"/>
        <v>0</v>
      </c>
      <c r="CZ60" s="1083">
        <f t="shared" ca="1" si="166"/>
        <v>0</v>
      </c>
      <c r="DA60" s="1083">
        <f t="shared" ca="1" si="166"/>
        <v>0</v>
      </c>
      <c r="DB60" s="1083">
        <f t="shared" ca="1" si="166"/>
        <v>0</v>
      </c>
      <c r="DC60" s="1083">
        <f t="shared" ca="1" si="166"/>
        <v>0</v>
      </c>
      <c r="DD60" s="1083">
        <f t="shared" ca="1" si="166"/>
        <v>0</v>
      </c>
      <c r="DE60" s="1083">
        <f t="shared" ca="1" si="166"/>
        <v>0</v>
      </c>
      <c r="DF60" s="1083">
        <f t="shared" ca="1" si="166"/>
        <v>0</v>
      </c>
      <c r="DH60" s="590">
        <f t="shared" ca="1" si="124"/>
        <v>0</v>
      </c>
    </row>
    <row r="61" spans="1:112" s="1085" customFormat="1" ht="12.75" customHeight="1" outlineLevel="1">
      <c r="C61" s="534" t="s">
        <v>653</v>
      </c>
      <c r="D61" s="511" t="str">
        <f>INDEX(Modules[Module], MATCH($C61, Modules[Code], 0))</f>
        <v>Geothermal electricity</v>
      </c>
      <c r="E61" s="511"/>
      <c r="F61" s="532"/>
      <c r="G61" s="714">
        <f t="shared" ca="1" si="154"/>
        <v>0</v>
      </c>
      <c r="H61" s="714">
        <f t="shared" ca="1" si="154"/>
        <v>0</v>
      </c>
      <c r="I61" s="714">
        <f t="shared" ca="1" si="154"/>
        <v>0</v>
      </c>
      <c r="J61" s="714">
        <f t="shared" ca="1" si="154"/>
        <v>0</v>
      </c>
      <c r="K61" s="714">
        <f t="shared" ca="1" si="154"/>
        <v>0</v>
      </c>
      <c r="L61" s="714">
        <f t="shared" ca="1" si="154"/>
        <v>0</v>
      </c>
      <c r="M61" s="714">
        <f t="shared" ca="1" si="154"/>
        <v>0</v>
      </c>
      <c r="N61" s="714">
        <f t="shared" ca="1" si="154"/>
        <v>0</v>
      </c>
      <c r="O61" s="714">
        <f t="shared" ca="1" si="154"/>
        <v>0</v>
      </c>
      <c r="P61" s="714">
        <f t="shared" ca="1" si="154"/>
        <v>0</v>
      </c>
      <c r="Q61" s="716">
        <f t="shared" ca="1" si="155"/>
        <v>0</v>
      </c>
      <c r="R61" s="532"/>
      <c r="S61" s="723">
        <f t="shared" ca="1" si="156"/>
        <v>0</v>
      </c>
      <c r="T61" s="723">
        <f t="shared" ca="1" si="156"/>
        <v>0</v>
      </c>
      <c r="U61" s="723">
        <f t="shared" ca="1" si="156"/>
        <v>0</v>
      </c>
      <c r="V61" s="723">
        <f t="shared" ca="1" si="156"/>
        <v>0</v>
      </c>
      <c r="W61" s="723">
        <f t="shared" ca="1" si="156"/>
        <v>0</v>
      </c>
      <c r="X61" s="723">
        <f t="shared" ca="1" si="157"/>
        <v>0</v>
      </c>
      <c r="Y61" s="723">
        <f t="shared" ca="1" si="157"/>
        <v>0</v>
      </c>
      <c r="Z61" s="723">
        <f t="shared" ca="1" si="157"/>
        <v>0</v>
      </c>
      <c r="AA61" s="723">
        <f t="shared" ca="1" si="156"/>
        <v>0</v>
      </c>
      <c r="AB61" s="723">
        <f t="shared" ca="1" si="156"/>
        <v>0</v>
      </c>
      <c r="AC61" s="723">
        <f t="shared" ca="1" si="156"/>
        <v>0</v>
      </c>
      <c r="AD61" s="723">
        <f t="shared" ca="1" si="156"/>
        <v>0</v>
      </c>
      <c r="AE61" s="723">
        <f t="shared" ca="1" si="156"/>
        <v>0</v>
      </c>
      <c r="AF61" s="723">
        <f t="shared" ca="1" si="156"/>
        <v>0</v>
      </c>
      <c r="AG61" s="723">
        <f t="shared" ca="1" si="156"/>
        <v>0</v>
      </c>
      <c r="AH61" s="723">
        <f t="shared" ca="1" si="156"/>
        <v>0</v>
      </c>
      <c r="AI61" s="723">
        <f t="shared" ca="1" si="156"/>
        <v>0</v>
      </c>
      <c r="AJ61" s="723">
        <f t="shared" ca="1" si="156"/>
        <v>0</v>
      </c>
      <c r="AK61" s="724">
        <f t="shared" ca="1" si="158"/>
        <v>0</v>
      </c>
      <c r="AL61" s="532"/>
      <c r="AM61" s="735">
        <f t="shared" ca="1" si="159"/>
        <v>0</v>
      </c>
      <c r="AN61" s="735">
        <f t="shared" ca="1" si="159"/>
        <v>0</v>
      </c>
      <c r="AO61" s="735">
        <f t="shared" ca="1" si="159"/>
        <v>0</v>
      </c>
      <c r="AP61" s="735">
        <f t="shared" ca="1" si="159"/>
        <v>0</v>
      </c>
      <c r="AQ61" s="735">
        <f t="shared" ca="1" si="159"/>
        <v>0</v>
      </c>
      <c r="AR61" s="735">
        <f t="shared" ca="1" si="159"/>
        <v>0</v>
      </c>
      <c r="AS61" s="735">
        <f t="shared" ca="1" si="159"/>
        <v>0</v>
      </c>
      <c r="AT61" s="735">
        <f t="shared" ca="1" si="159"/>
        <v>0</v>
      </c>
      <c r="AU61" s="735">
        <f t="shared" ca="1" si="159"/>
        <v>0</v>
      </c>
      <c r="AV61" s="735">
        <f t="shared" ca="1" si="156"/>
        <v>0</v>
      </c>
      <c r="AW61" s="735">
        <f t="shared" ca="1" si="156"/>
        <v>0</v>
      </c>
      <c r="AX61" s="735">
        <f t="shared" ca="1" si="156"/>
        <v>0</v>
      </c>
      <c r="AY61" s="735">
        <f t="shared" ca="1" si="156"/>
        <v>0</v>
      </c>
      <c r="AZ61" s="735">
        <f t="shared" ca="1" si="156"/>
        <v>0</v>
      </c>
      <c r="BA61" s="735">
        <f t="shared" ca="1" si="156"/>
        <v>0</v>
      </c>
      <c r="BB61" s="735">
        <f t="shared" ca="1" si="156"/>
        <v>0</v>
      </c>
      <c r="BC61" s="735">
        <f t="shared" ca="1" si="156"/>
        <v>0</v>
      </c>
      <c r="BD61" s="735">
        <f t="shared" ca="1" si="156"/>
        <v>0</v>
      </c>
      <c r="BE61" s="735">
        <f t="shared" ca="1" si="156"/>
        <v>0</v>
      </c>
      <c r="BF61" s="677">
        <f t="shared" ca="1" si="160"/>
        <v>0</v>
      </c>
      <c r="BG61" s="532"/>
      <c r="BH61" s="729">
        <f t="shared" ca="1" si="161"/>
        <v>0</v>
      </c>
      <c r="BI61" s="729">
        <f t="shared" ca="1" si="161"/>
        <v>0</v>
      </c>
      <c r="BJ61" s="731">
        <f t="shared" ca="1" si="162"/>
        <v>0</v>
      </c>
      <c r="BK61" s="532"/>
      <c r="BL61" s="576">
        <f t="shared" ca="1" si="153"/>
        <v>0</v>
      </c>
      <c r="BM61" s="576"/>
      <c r="BN61" s="592"/>
      <c r="BO61" s="1082">
        <f t="shared" ca="1" si="163"/>
        <v>0</v>
      </c>
      <c r="BP61" s="1083">
        <f t="shared" ca="1" si="163"/>
        <v>0</v>
      </c>
      <c r="BQ61" s="1083">
        <f t="shared" ca="1" si="163"/>
        <v>0</v>
      </c>
      <c r="BR61" s="1083">
        <f t="shared" ca="1" si="163"/>
        <v>0</v>
      </c>
      <c r="BS61" s="1083">
        <f t="shared" ca="1" si="163"/>
        <v>0</v>
      </c>
      <c r="BT61" s="1083">
        <f t="shared" ca="1" si="163"/>
        <v>0</v>
      </c>
      <c r="BU61" s="1083">
        <f t="shared" ca="1" si="163"/>
        <v>0</v>
      </c>
      <c r="BV61" s="1083">
        <f t="shared" ca="1" si="163"/>
        <v>0</v>
      </c>
      <c r="BW61" s="1083">
        <f t="shared" ca="1" si="163"/>
        <v>0</v>
      </c>
      <c r="BX61" s="1083">
        <f t="shared" ca="1" si="163"/>
        <v>0</v>
      </c>
      <c r="BY61" s="1083">
        <f t="shared" ca="1" si="164"/>
        <v>0</v>
      </c>
      <c r="BZ61" s="1083">
        <f t="shared" ca="1" si="164"/>
        <v>0</v>
      </c>
      <c r="CA61" s="1083">
        <f t="shared" ca="1" si="164"/>
        <v>0</v>
      </c>
      <c r="CB61" s="1083">
        <f t="shared" ca="1" si="164"/>
        <v>0</v>
      </c>
      <c r="CC61" s="1083">
        <f t="shared" ca="1" si="164"/>
        <v>0</v>
      </c>
      <c r="CD61" s="1083">
        <f t="shared" ca="1" si="164"/>
        <v>0</v>
      </c>
      <c r="CE61" s="1083">
        <f t="shared" ca="1" si="164"/>
        <v>0</v>
      </c>
      <c r="CF61" s="1083">
        <f t="shared" ca="1" si="164"/>
        <v>0</v>
      </c>
      <c r="CG61" s="1083">
        <f t="shared" ca="1" si="164"/>
        <v>0</v>
      </c>
      <c r="CH61" s="1083">
        <f t="shared" ca="1" si="164"/>
        <v>0</v>
      </c>
      <c r="CI61" s="1083">
        <f t="shared" ca="1" si="165"/>
        <v>0</v>
      </c>
      <c r="CJ61" s="1083">
        <f t="shared" ca="1" si="165"/>
        <v>0</v>
      </c>
      <c r="CK61" s="1083">
        <f t="shared" ca="1" si="165"/>
        <v>0</v>
      </c>
      <c r="CL61" s="1083">
        <f t="shared" ca="1" si="165"/>
        <v>0</v>
      </c>
      <c r="CM61" s="1083">
        <f t="shared" ca="1" si="165"/>
        <v>0</v>
      </c>
      <c r="CN61" s="1083">
        <f t="shared" ca="1" si="165"/>
        <v>0</v>
      </c>
      <c r="CO61" s="1083">
        <f t="shared" ca="1" si="165"/>
        <v>0</v>
      </c>
      <c r="CP61" s="1083">
        <f t="shared" ca="1" si="165"/>
        <v>0</v>
      </c>
      <c r="CQ61" s="1083">
        <f t="shared" ca="1" si="165"/>
        <v>0</v>
      </c>
      <c r="CR61" s="1083">
        <f t="shared" ca="1" si="165"/>
        <v>0</v>
      </c>
      <c r="CS61" s="1083">
        <f t="shared" ca="1" si="166"/>
        <v>0</v>
      </c>
      <c r="CT61" s="1083">
        <f t="shared" ca="1" si="166"/>
        <v>0</v>
      </c>
      <c r="CU61" s="1083">
        <f t="shared" ca="1" si="166"/>
        <v>0</v>
      </c>
      <c r="CV61" s="1083">
        <f t="shared" ca="1" si="166"/>
        <v>0</v>
      </c>
      <c r="CW61" s="1083">
        <f t="shared" ca="1" si="166"/>
        <v>0</v>
      </c>
      <c r="CX61" s="1083">
        <f t="shared" ca="1" si="166"/>
        <v>0</v>
      </c>
      <c r="CY61" s="1083">
        <f t="shared" ca="1" si="166"/>
        <v>0</v>
      </c>
      <c r="CZ61" s="1083">
        <f t="shared" ca="1" si="166"/>
        <v>0</v>
      </c>
      <c r="DA61" s="1083">
        <f t="shared" ca="1" si="166"/>
        <v>0</v>
      </c>
      <c r="DB61" s="1083">
        <f t="shared" ca="1" si="166"/>
        <v>0</v>
      </c>
      <c r="DC61" s="1083">
        <f t="shared" ca="1" si="166"/>
        <v>0</v>
      </c>
      <c r="DD61" s="1083">
        <f t="shared" ca="1" si="166"/>
        <v>0</v>
      </c>
      <c r="DE61" s="1083">
        <f t="shared" ca="1" si="166"/>
        <v>0</v>
      </c>
      <c r="DF61" s="1083">
        <f t="shared" ca="1" si="166"/>
        <v>0</v>
      </c>
      <c r="DH61" s="590">
        <f t="shared" ca="1" si="124"/>
        <v>0</v>
      </c>
    </row>
    <row r="62" spans="1:112" s="532" customFormat="1" ht="12.75" customHeight="1" outlineLevel="1">
      <c r="A62" s="1085"/>
      <c r="B62" s="1085"/>
      <c r="C62" s="534" t="s">
        <v>654</v>
      </c>
      <c r="D62" s="707" t="str">
        <f>INDEX(Modules[Module], MATCH($C62, Modules[Code], 0))</f>
        <v>Tidal [UNUSED - See III.c]</v>
      </c>
      <c r="E62" s="707"/>
      <c r="G62" s="719">
        <f t="shared" ca="1" si="154"/>
        <v>0</v>
      </c>
      <c r="H62" s="719">
        <f t="shared" ca="1" si="154"/>
        <v>0</v>
      </c>
      <c r="I62" s="719">
        <f t="shared" ca="1" si="154"/>
        <v>0</v>
      </c>
      <c r="J62" s="719">
        <f t="shared" ca="1" si="154"/>
        <v>0</v>
      </c>
      <c r="K62" s="719">
        <f t="shared" ca="1" si="154"/>
        <v>0</v>
      </c>
      <c r="L62" s="719">
        <f t="shared" ca="1" si="154"/>
        <v>0</v>
      </c>
      <c r="M62" s="719">
        <f t="shared" ca="1" si="154"/>
        <v>0</v>
      </c>
      <c r="N62" s="719">
        <f t="shared" ca="1" si="154"/>
        <v>0</v>
      </c>
      <c r="O62" s="719">
        <f t="shared" ca="1" si="154"/>
        <v>0</v>
      </c>
      <c r="P62" s="719">
        <f t="shared" ca="1" si="154"/>
        <v>0</v>
      </c>
      <c r="Q62" s="717">
        <f t="shared" ca="1" si="155"/>
        <v>0</v>
      </c>
      <c r="S62" s="728">
        <f t="shared" ca="1" si="156"/>
        <v>0</v>
      </c>
      <c r="T62" s="728">
        <f t="shared" ca="1" si="156"/>
        <v>0</v>
      </c>
      <c r="U62" s="728">
        <f t="shared" ca="1" si="156"/>
        <v>0</v>
      </c>
      <c r="V62" s="728">
        <f t="shared" ca="1" si="156"/>
        <v>0</v>
      </c>
      <c r="W62" s="728">
        <f t="shared" ca="1" si="156"/>
        <v>0</v>
      </c>
      <c r="X62" s="728">
        <f t="shared" ca="1" si="157"/>
        <v>0</v>
      </c>
      <c r="Y62" s="728">
        <f t="shared" ca="1" si="157"/>
        <v>0</v>
      </c>
      <c r="Z62" s="728">
        <f t="shared" ca="1" si="157"/>
        <v>0</v>
      </c>
      <c r="AA62" s="728">
        <f t="shared" ca="1" si="156"/>
        <v>0</v>
      </c>
      <c r="AB62" s="728">
        <f t="shared" ca="1" si="156"/>
        <v>0</v>
      </c>
      <c r="AC62" s="728">
        <f t="shared" ca="1" si="156"/>
        <v>0</v>
      </c>
      <c r="AD62" s="728">
        <f t="shared" ca="1" si="156"/>
        <v>0</v>
      </c>
      <c r="AE62" s="728">
        <f t="shared" ca="1" si="156"/>
        <v>0</v>
      </c>
      <c r="AF62" s="728">
        <f t="shared" ca="1" si="156"/>
        <v>0</v>
      </c>
      <c r="AG62" s="728">
        <f t="shared" ca="1" si="156"/>
        <v>0</v>
      </c>
      <c r="AH62" s="728">
        <f t="shared" ca="1" si="156"/>
        <v>0</v>
      </c>
      <c r="AI62" s="728">
        <f t="shared" ca="1" si="156"/>
        <v>0</v>
      </c>
      <c r="AJ62" s="728">
        <f t="shared" ca="1" si="156"/>
        <v>0</v>
      </c>
      <c r="AK62" s="727">
        <f t="shared" ca="1" si="158"/>
        <v>0</v>
      </c>
      <c r="AM62" s="739">
        <f t="shared" ca="1" si="159"/>
        <v>0</v>
      </c>
      <c r="AN62" s="739">
        <f t="shared" ca="1" si="159"/>
        <v>0</v>
      </c>
      <c r="AO62" s="739">
        <f t="shared" ca="1" si="159"/>
        <v>0</v>
      </c>
      <c r="AP62" s="739">
        <f t="shared" ca="1" si="159"/>
        <v>0</v>
      </c>
      <c r="AQ62" s="739">
        <f t="shared" ca="1" si="159"/>
        <v>0</v>
      </c>
      <c r="AR62" s="739">
        <f t="shared" ca="1" si="159"/>
        <v>0</v>
      </c>
      <c r="AS62" s="739">
        <f t="shared" ca="1" si="159"/>
        <v>0</v>
      </c>
      <c r="AT62" s="739">
        <f t="shared" ca="1" si="159"/>
        <v>0</v>
      </c>
      <c r="AU62" s="739">
        <f t="shared" ca="1" si="159"/>
        <v>0</v>
      </c>
      <c r="AV62" s="739">
        <f t="shared" ca="1" si="156"/>
        <v>0</v>
      </c>
      <c r="AW62" s="739">
        <f t="shared" ca="1" si="156"/>
        <v>0</v>
      </c>
      <c r="AX62" s="739">
        <f t="shared" ca="1" si="156"/>
        <v>0</v>
      </c>
      <c r="AY62" s="739">
        <f t="shared" ca="1" si="156"/>
        <v>0</v>
      </c>
      <c r="AZ62" s="739">
        <f t="shared" ca="1" si="156"/>
        <v>0</v>
      </c>
      <c r="BA62" s="739">
        <f t="shared" ca="1" si="156"/>
        <v>0</v>
      </c>
      <c r="BB62" s="739">
        <f t="shared" ca="1" si="156"/>
        <v>0</v>
      </c>
      <c r="BC62" s="739">
        <f t="shared" ca="1" si="156"/>
        <v>0</v>
      </c>
      <c r="BD62" s="739">
        <f t="shared" ca="1" si="156"/>
        <v>0</v>
      </c>
      <c r="BE62" s="739">
        <f t="shared" ca="1" si="156"/>
        <v>0</v>
      </c>
      <c r="BF62" s="709">
        <f t="shared" ca="1" si="160"/>
        <v>0</v>
      </c>
      <c r="BH62" s="733">
        <f t="shared" ca="1" si="161"/>
        <v>0</v>
      </c>
      <c r="BI62" s="733">
        <f t="shared" ca="1" si="161"/>
        <v>0</v>
      </c>
      <c r="BJ62" s="732">
        <f t="shared" ca="1" si="162"/>
        <v>0</v>
      </c>
      <c r="BL62" s="576">
        <f t="shared" ca="1" si="153"/>
        <v>0</v>
      </c>
      <c r="BM62" s="576"/>
      <c r="BN62" s="592"/>
      <c r="BO62" s="1086">
        <f t="shared" ca="1" si="163"/>
        <v>0</v>
      </c>
      <c r="BP62" s="1087">
        <f t="shared" ca="1" si="163"/>
        <v>0</v>
      </c>
      <c r="BQ62" s="1087">
        <f t="shared" ca="1" si="163"/>
        <v>0</v>
      </c>
      <c r="BR62" s="1087">
        <f t="shared" ca="1" si="163"/>
        <v>0</v>
      </c>
      <c r="BS62" s="1087">
        <f t="shared" ca="1" si="163"/>
        <v>0</v>
      </c>
      <c r="BT62" s="1087">
        <f t="shared" ca="1" si="163"/>
        <v>0</v>
      </c>
      <c r="BU62" s="1087">
        <f t="shared" ca="1" si="163"/>
        <v>0</v>
      </c>
      <c r="BV62" s="1087">
        <f t="shared" ca="1" si="163"/>
        <v>0</v>
      </c>
      <c r="BW62" s="1087">
        <f t="shared" ca="1" si="163"/>
        <v>0</v>
      </c>
      <c r="BX62" s="1087">
        <f t="shared" ca="1" si="163"/>
        <v>0</v>
      </c>
      <c r="BY62" s="1087">
        <f t="shared" ca="1" si="164"/>
        <v>0</v>
      </c>
      <c r="BZ62" s="1087">
        <f t="shared" ca="1" si="164"/>
        <v>0</v>
      </c>
      <c r="CA62" s="1087">
        <f t="shared" ca="1" si="164"/>
        <v>0</v>
      </c>
      <c r="CB62" s="1087">
        <f t="shared" ca="1" si="164"/>
        <v>0</v>
      </c>
      <c r="CC62" s="1087">
        <f t="shared" ca="1" si="164"/>
        <v>0</v>
      </c>
      <c r="CD62" s="1087">
        <f t="shared" ca="1" si="164"/>
        <v>0</v>
      </c>
      <c r="CE62" s="1087">
        <f t="shared" ca="1" si="164"/>
        <v>0</v>
      </c>
      <c r="CF62" s="1087">
        <f t="shared" ca="1" si="164"/>
        <v>0</v>
      </c>
      <c r="CG62" s="1087">
        <f t="shared" ca="1" si="164"/>
        <v>0</v>
      </c>
      <c r="CH62" s="1087">
        <f t="shared" ca="1" si="164"/>
        <v>0</v>
      </c>
      <c r="CI62" s="1087">
        <f t="shared" ca="1" si="165"/>
        <v>0</v>
      </c>
      <c r="CJ62" s="1087">
        <f t="shared" ca="1" si="165"/>
        <v>0</v>
      </c>
      <c r="CK62" s="1087">
        <f t="shared" ca="1" si="165"/>
        <v>0</v>
      </c>
      <c r="CL62" s="1087">
        <f t="shared" ca="1" si="165"/>
        <v>0</v>
      </c>
      <c r="CM62" s="1087">
        <f t="shared" ca="1" si="165"/>
        <v>0</v>
      </c>
      <c r="CN62" s="1087">
        <f t="shared" ca="1" si="165"/>
        <v>0</v>
      </c>
      <c r="CO62" s="1087">
        <f t="shared" ca="1" si="165"/>
        <v>0</v>
      </c>
      <c r="CP62" s="1087">
        <f t="shared" ca="1" si="165"/>
        <v>0</v>
      </c>
      <c r="CQ62" s="1087">
        <f t="shared" ca="1" si="165"/>
        <v>0</v>
      </c>
      <c r="CR62" s="1087">
        <f t="shared" ca="1" si="165"/>
        <v>0</v>
      </c>
      <c r="CS62" s="1087">
        <f t="shared" ca="1" si="166"/>
        <v>0</v>
      </c>
      <c r="CT62" s="1087">
        <f t="shared" ca="1" si="166"/>
        <v>0</v>
      </c>
      <c r="CU62" s="1087">
        <f t="shared" ca="1" si="166"/>
        <v>0</v>
      </c>
      <c r="CV62" s="1087">
        <f t="shared" ca="1" si="166"/>
        <v>0</v>
      </c>
      <c r="CW62" s="1087">
        <f t="shared" ca="1" si="166"/>
        <v>0</v>
      </c>
      <c r="CX62" s="1087">
        <f t="shared" ca="1" si="166"/>
        <v>0</v>
      </c>
      <c r="CY62" s="1087">
        <f t="shared" ca="1" si="166"/>
        <v>0</v>
      </c>
      <c r="CZ62" s="1087">
        <f t="shared" ca="1" si="166"/>
        <v>0</v>
      </c>
      <c r="DA62" s="1087">
        <f t="shared" ca="1" si="166"/>
        <v>0</v>
      </c>
      <c r="DB62" s="1087">
        <f t="shared" ca="1" si="166"/>
        <v>0</v>
      </c>
      <c r="DC62" s="1087">
        <f t="shared" ca="1" si="166"/>
        <v>0</v>
      </c>
      <c r="DD62" s="1087">
        <f t="shared" ca="1" si="166"/>
        <v>0</v>
      </c>
      <c r="DE62" s="1087">
        <f t="shared" ca="1" si="166"/>
        <v>0</v>
      </c>
      <c r="DF62" s="1087">
        <f t="shared" ca="1" si="166"/>
        <v>0</v>
      </c>
      <c r="DH62" s="590">
        <f t="shared" ca="1" si="124"/>
        <v>0</v>
      </c>
    </row>
    <row r="63" spans="1:112" s="532" customFormat="1" ht="15">
      <c r="A63" s="22"/>
      <c r="B63" s="537"/>
      <c r="C63" s="533" t="s">
        <v>70</v>
      </c>
      <c r="D63" s="507" t="str">
        <f>INDEX(Workstreams[Workstream], MATCH($C63, Workstreams[Code], 0))</f>
        <v>National renewable power generation</v>
      </c>
      <c r="E63" s="503"/>
      <c r="G63" s="656">
        <f t="shared" ref="G63:P63" ca="1" si="167">SUM(G57:G62)</f>
        <v>0</v>
      </c>
      <c r="H63" s="656">
        <f t="shared" ca="1" si="167"/>
        <v>0</v>
      </c>
      <c r="I63" s="656">
        <f t="shared" ca="1" si="167"/>
        <v>0</v>
      </c>
      <c r="J63" s="656">
        <f t="shared" ca="1" si="167"/>
        <v>0</v>
      </c>
      <c r="K63" s="656">
        <f t="shared" ca="1" si="167"/>
        <v>0</v>
      </c>
      <c r="L63" s="656">
        <f t="shared" ca="1" si="167"/>
        <v>0</v>
      </c>
      <c r="M63" s="656">
        <f t="shared" ca="1" si="167"/>
        <v>0</v>
      </c>
      <c r="N63" s="656">
        <f t="shared" ca="1" si="167"/>
        <v>0</v>
      </c>
      <c r="O63" s="656">
        <f t="shared" ca="1" si="167"/>
        <v>0</v>
      </c>
      <c r="P63" s="656">
        <f t="shared" ca="1" si="167"/>
        <v>0</v>
      </c>
      <c r="Q63" s="718">
        <f t="shared" ca="1" si="155"/>
        <v>0</v>
      </c>
      <c r="S63" s="668">
        <f t="shared" ref="S63:AJ63" ca="1" si="168">SUM(S57:S62)</f>
        <v>0</v>
      </c>
      <c r="T63" s="668">
        <f t="shared" ca="1" si="168"/>
        <v>0</v>
      </c>
      <c r="U63" s="668">
        <f t="shared" ca="1" si="168"/>
        <v>0</v>
      </c>
      <c r="V63" s="668">
        <f t="shared" ca="1" si="168"/>
        <v>0</v>
      </c>
      <c r="W63" s="668">
        <f t="shared" ca="1" si="168"/>
        <v>0</v>
      </c>
      <c r="X63" s="668">
        <f t="shared" ca="1" si="168"/>
        <v>0</v>
      </c>
      <c r="Y63" s="668">
        <f t="shared" ca="1" si="168"/>
        <v>0</v>
      </c>
      <c r="Z63" s="668">
        <f t="shared" ca="1" si="168"/>
        <v>0</v>
      </c>
      <c r="AA63" s="668">
        <f t="shared" ca="1" si="168"/>
        <v>0</v>
      </c>
      <c r="AB63" s="668">
        <f t="shared" ca="1" si="168"/>
        <v>0</v>
      </c>
      <c r="AC63" s="668">
        <f t="shared" ca="1" si="168"/>
        <v>0</v>
      </c>
      <c r="AD63" s="668">
        <f t="shared" ca="1" si="168"/>
        <v>0</v>
      </c>
      <c r="AE63" s="668">
        <f ca="1">SUM(AE57:AE62)</f>
        <v>0</v>
      </c>
      <c r="AF63" s="668">
        <f t="shared" ca="1" si="168"/>
        <v>0</v>
      </c>
      <c r="AG63" s="668">
        <f t="shared" ca="1" si="168"/>
        <v>0</v>
      </c>
      <c r="AH63" s="668">
        <f ca="1">SUM(AH57:AH62)</f>
        <v>0</v>
      </c>
      <c r="AI63" s="668">
        <f t="shared" ca="1" si="168"/>
        <v>0</v>
      </c>
      <c r="AJ63" s="668">
        <f t="shared" ca="1" si="168"/>
        <v>0</v>
      </c>
      <c r="AK63" s="668">
        <f t="shared" ca="1" si="158"/>
        <v>0</v>
      </c>
      <c r="AM63" s="674">
        <f t="shared" ref="AM63:BE63" ca="1" si="169">SUM(AM57:AM62)</f>
        <v>0</v>
      </c>
      <c r="AN63" s="674">
        <f t="shared" ca="1" si="169"/>
        <v>0</v>
      </c>
      <c r="AO63" s="674">
        <f t="shared" ca="1" si="169"/>
        <v>0</v>
      </c>
      <c r="AP63" s="674">
        <f t="shared" ca="1" si="169"/>
        <v>0</v>
      </c>
      <c r="AQ63" s="674">
        <f t="shared" ca="1" si="169"/>
        <v>0</v>
      </c>
      <c r="AR63" s="674">
        <f t="shared" ca="1" si="169"/>
        <v>0</v>
      </c>
      <c r="AS63" s="674">
        <f t="shared" ca="1" si="169"/>
        <v>0</v>
      </c>
      <c r="AT63" s="674">
        <f t="shared" ca="1" si="169"/>
        <v>0</v>
      </c>
      <c r="AU63" s="674">
        <f t="shared" ca="1" si="169"/>
        <v>0</v>
      </c>
      <c r="AV63" s="674">
        <f t="shared" ca="1" si="169"/>
        <v>0</v>
      </c>
      <c r="AW63" s="674">
        <f t="shared" ca="1" si="169"/>
        <v>0</v>
      </c>
      <c r="AX63" s="674">
        <f t="shared" ca="1" si="169"/>
        <v>0</v>
      </c>
      <c r="AY63" s="674">
        <f t="shared" ca="1" si="169"/>
        <v>0</v>
      </c>
      <c r="AZ63" s="674">
        <f t="shared" ca="1" si="169"/>
        <v>0</v>
      </c>
      <c r="BA63" s="674">
        <f t="shared" ca="1" si="169"/>
        <v>0</v>
      </c>
      <c r="BB63" s="674">
        <f t="shared" ca="1" si="169"/>
        <v>0</v>
      </c>
      <c r="BC63" s="674">
        <f t="shared" ca="1" si="169"/>
        <v>0</v>
      </c>
      <c r="BD63" s="674">
        <f t="shared" ca="1" si="169"/>
        <v>0</v>
      </c>
      <c r="BE63" s="674">
        <f t="shared" ca="1" si="169"/>
        <v>0</v>
      </c>
      <c r="BF63" s="674">
        <f t="shared" ca="1" si="160"/>
        <v>0</v>
      </c>
      <c r="BH63" s="688">
        <f ca="1">SUM(BH57:BH62)</f>
        <v>0</v>
      </c>
      <c r="BI63" s="688">
        <f ca="1">SUM(BI57:BI62)</f>
        <v>0</v>
      </c>
      <c r="BJ63" s="688">
        <f t="shared" ca="1" si="162"/>
        <v>0</v>
      </c>
      <c r="BL63" s="505">
        <f t="shared" ca="1" si="153"/>
        <v>0</v>
      </c>
      <c r="BM63" s="505"/>
      <c r="BN63" s="592"/>
      <c r="BO63" s="1083">
        <f t="shared" ref="BO63:DF63" ca="1" si="170">SUM(BO57:BO62)</f>
        <v>0</v>
      </c>
      <c r="BP63" s="1083">
        <f t="shared" ca="1" si="170"/>
        <v>0</v>
      </c>
      <c r="BQ63" s="1083">
        <f t="shared" ca="1" si="170"/>
        <v>0</v>
      </c>
      <c r="BR63" s="1083">
        <f t="shared" ca="1" si="170"/>
        <v>0</v>
      </c>
      <c r="BS63" s="1083">
        <f t="shared" ca="1" si="170"/>
        <v>0</v>
      </c>
      <c r="BT63" s="1083">
        <f t="shared" ca="1" si="170"/>
        <v>0</v>
      </c>
      <c r="BU63" s="1083">
        <f t="shared" ca="1" si="170"/>
        <v>0</v>
      </c>
      <c r="BV63" s="1083">
        <f t="shared" ca="1" si="170"/>
        <v>0</v>
      </c>
      <c r="BW63" s="1083">
        <f t="shared" ca="1" si="170"/>
        <v>0</v>
      </c>
      <c r="BX63" s="1083">
        <f t="shared" ca="1" si="170"/>
        <v>0</v>
      </c>
      <c r="BY63" s="1083">
        <f t="shared" ca="1" si="170"/>
        <v>0</v>
      </c>
      <c r="BZ63" s="1083">
        <f t="shared" ca="1" si="170"/>
        <v>0</v>
      </c>
      <c r="CA63" s="1083">
        <f t="shared" ca="1" si="170"/>
        <v>0</v>
      </c>
      <c r="CB63" s="1083">
        <f t="shared" ca="1" si="170"/>
        <v>0</v>
      </c>
      <c r="CC63" s="1083">
        <f t="shared" ca="1" si="170"/>
        <v>0</v>
      </c>
      <c r="CD63" s="1083">
        <f t="shared" ca="1" si="170"/>
        <v>0</v>
      </c>
      <c r="CE63" s="1083">
        <f t="shared" ca="1" si="170"/>
        <v>0</v>
      </c>
      <c r="CF63" s="1083">
        <f t="shared" ca="1" si="170"/>
        <v>0</v>
      </c>
      <c r="CG63" s="1083">
        <f t="shared" ca="1" si="170"/>
        <v>0</v>
      </c>
      <c r="CH63" s="1083">
        <f t="shared" ca="1" si="170"/>
        <v>0</v>
      </c>
      <c r="CI63" s="1083">
        <f t="shared" ca="1" si="170"/>
        <v>0</v>
      </c>
      <c r="CJ63" s="1083">
        <f t="shared" ca="1" si="170"/>
        <v>0</v>
      </c>
      <c r="CK63" s="1083">
        <f t="shared" ca="1" si="170"/>
        <v>0</v>
      </c>
      <c r="CL63" s="1083">
        <f t="shared" ca="1" si="170"/>
        <v>0</v>
      </c>
      <c r="CM63" s="1083">
        <f t="shared" ca="1" si="170"/>
        <v>0</v>
      </c>
      <c r="CN63" s="1083">
        <f t="shared" ca="1" si="170"/>
        <v>0</v>
      </c>
      <c r="CO63" s="1083">
        <f t="shared" ca="1" si="170"/>
        <v>0</v>
      </c>
      <c r="CP63" s="1083">
        <f t="shared" ca="1" si="170"/>
        <v>0</v>
      </c>
      <c r="CQ63" s="1083">
        <f t="shared" ca="1" si="170"/>
        <v>0</v>
      </c>
      <c r="CR63" s="1083">
        <f t="shared" ca="1" si="170"/>
        <v>0</v>
      </c>
      <c r="CS63" s="1083">
        <f t="shared" ca="1" si="170"/>
        <v>0</v>
      </c>
      <c r="CT63" s="1083">
        <f t="shared" ca="1" si="170"/>
        <v>0</v>
      </c>
      <c r="CU63" s="1083">
        <f t="shared" ca="1" si="170"/>
        <v>0</v>
      </c>
      <c r="CV63" s="1083">
        <f t="shared" ca="1" si="170"/>
        <v>0</v>
      </c>
      <c r="CW63" s="1083">
        <f t="shared" ca="1" si="170"/>
        <v>0</v>
      </c>
      <c r="CX63" s="1083">
        <f t="shared" ca="1" si="170"/>
        <v>0</v>
      </c>
      <c r="CY63" s="1083">
        <f t="shared" ca="1" si="170"/>
        <v>0</v>
      </c>
      <c r="CZ63" s="1083">
        <f t="shared" ca="1" si="170"/>
        <v>0</v>
      </c>
      <c r="DA63" s="1083">
        <f t="shared" ca="1" si="170"/>
        <v>0</v>
      </c>
      <c r="DB63" s="1083">
        <f t="shared" ca="1" si="170"/>
        <v>0</v>
      </c>
      <c r="DC63" s="1083">
        <f t="shared" ca="1" si="170"/>
        <v>0</v>
      </c>
      <c r="DD63" s="1083">
        <f t="shared" ca="1" si="170"/>
        <v>0</v>
      </c>
      <c r="DE63" s="1083">
        <f t="shared" ca="1" si="170"/>
        <v>0</v>
      </c>
      <c r="DF63" s="1083">
        <f t="shared" ca="1" si="170"/>
        <v>0</v>
      </c>
      <c r="DH63" s="590">
        <f t="shared" ca="1" si="124"/>
        <v>0</v>
      </c>
    </row>
    <row r="64" spans="1:112" s="532" customFormat="1" ht="12.75" customHeight="1" outlineLevel="1">
      <c r="A64" s="22"/>
      <c r="B64" s="22"/>
      <c r="C64" s="535"/>
      <c r="D64" s="503"/>
      <c r="E64" s="503"/>
      <c r="G64" s="656"/>
      <c r="H64" s="656"/>
      <c r="I64" s="656"/>
      <c r="J64" s="656"/>
      <c r="K64" s="658"/>
      <c r="L64" s="656"/>
      <c r="M64" s="656"/>
      <c r="N64" s="656"/>
      <c r="O64" s="656"/>
      <c r="P64" s="656"/>
      <c r="Q64" s="656"/>
      <c r="S64" s="668"/>
      <c r="T64" s="668"/>
      <c r="U64" s="668"/>
      <c r="V64" s="668"/>
      <c r="W64" s="668"/>
      <c r="X64" s="668"/>
      <c r="Y64" s="668"/>
      <c r="Z64" s="668"/>
      <c r="AA64" s="668"/>
      <c r="AB64" s="668"/>
      <c r="AC64" s="668"/>
      <c r="AD64" s="668"/>
      <c r="AE64" s="668"/>
      <c r="AF64" s="668"/>
      <c r="AG64" s="668"/>
      <c r="AH64" s="668"/>
      <c r="AI64" s="668"/>
      <c r="AJ64" s="668"/>
      <c r="AK64" s="668"/>
      <c r="AM64" s="674"/>
      <c r="AN64" s="674"/>
      <c r="AO64" s="674"/>
      <c r="AP64" s="674"/>
      <c r="AQ64" s="674"/>
      <c r="AR64" s="674"/>
      <c r="AS64" s="674"/>
      <c r="AT64" s="674"/>
      <c r="AU64" s="674"/>
      <c r="AV64" s="674"/>
      <c r="AW64" s="674"/>
      <c r="AX64" s="674"/>
      <c r="AY64" s="674"/>
      <c r="AZ64" s="674"/>
      <c r="BA64" s="674"/>
      <c r="BB64" s="674"/>
      <c r="BC64" s="674"/>
      <c r="BD64" s="674"/>
      <c r="BE64" s="674"/>
      <c r="BF64" s="674"/>
      <c r="BH64" s="688"/>
      <c r="BI64" s="688"/>
      <c r="BJ64" s="688"/>
      <c r="BL64" s="505"/>
      <c r="BM64" s="505"/>
      <c r="BN64" s="22"/>
      <c r="BO64" s="1083"/>
      <c r="BP64" s="1083"/>
      <c r="BQ64" s="1083"/>
      <c r="BR64" s="1083"/>
      <c r="BS64" s="1083"/>
      <c r="BT64" s="1083"/>
      <c r="BU64" s="1083"/>
      <c r="BV64" s="1083"/>
      <c r="BW64" s="1083"/>
      <c r="BX64" s="1083"/>
      <c r="BY64" s="1083"/>
      <c r="BZ64" s="1083"/>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c r="CU64" s="1083"/>
      <c r="CV64" s="1083"/>
      <c r="CW64" s="1083"/>
      <c r="CX64" s="1083"/>
      <c r="CY64" s="1083"/>
      <c r="CZ64" s="1083"/>
      <c r="DA64" s="1083"/>
      <c r="DB64" s="1083"/>
      <c r="DC64" s="1083"/>
      <c r="DD64" s="1083"/>
      <c r="DE64" s="1083"/>
      <c r="DF64" s="1083"/>
      <c r="DH64" s="590">
        <f t="shared" si="124"/>
        <v>0</v>
      </c>
    </row>
    <row r="65" spans="1:112" s="1085" customFormat="1" ht="12.75" customHeight="1" outlineLevel="1">
      <c r="C65" s="534" t="s">
        <v>743</v>
      </c>
      <c r="D65" s="511" t="str">
        <f>INDEX(Modules[Module], MATCH($C65, Modules[Code], 0))</f>
        <v>Solar PV</v>
      </c>
      <c r="E65" s="511"/>
      <c r="G65" s="1121">
        <f t="shared" ref="G65:P67" ca="1" si="171">IFERROR(INDEX(INDIRECT($C65&amp;".Outputs["&amp;this.Year&amp;"]"), MATCH(G$5, INDIRECT($C65&amp;".Outputs[Vector]"), 0)), 0)</f>
        <v>0</v>
      </c>
      <c r="H65" s="1121">
        <f t="shared" ca="1" si="171"/>
        <v>0</v>
      </c>
      <c r="I65" s="1121">
        <f t="shared" ca="1" si="171"/>
        <v>0</v>
      </c>
      <c r="J65" s="1121">
        <f t="shared" ca="1" si="171"/>
        <v>0</v>
      </c>
      <c r="K65" s="1122">
        <f t="shared" ca="1" si="171"/>
        <v>0</v>
      </c>
      <c r="L65" s="1121">
        <f t="shared" ca="1" si="171"/>
        <v>0</v>
      </c>
      <c r="M65" s="1121">
        <f t="shared" ca="1" si="171"/>
        <v>0</v>
      </c>
      <c r="N65" s="1121">
        <f t="shared" ca="1" si="171"/>
        <v>0</v>
      </c>
      <c r="O65" s="1121">
        <f t="shared" ca="1" si="171"/>
        <v>0</v>
      </c>
      <c r="P65" s="1121">
        <f t="shared" ca="1" si="171"/>
        <v>0</v>
      </c>
      <c r="Q65" s="661">
        <f ca="1">SUM(G65:P65)</f>
        <v>0</v>
      </c>
      <c r="S65" s="1123">
        <f t="shared" ref="S65:BE67" ca="1" si="172">IFERROR(INDEX(INDIRECT($C65&amp;".Outputs["&amp;this.Year&amp;"]"), MATCH(S$5, INDIRECT($C65&amp;".Outputs[Vector]"), 0)), 0)</f>
        <v>0</v>
      </c>
      <c r="T65" s="1123">
        <f t="shared" ca="1" si="172"/>
        <v>0</v>
      </c>
      <c r="U65" s="1123">
        <f t="shared" ca="1" si="172"/>
        <v>0</v>
      </c>
      <c r="V65" s="1123">
        <f t="shared" ca="1" si="172"/>
        <v>0</v>
      </c>
      <c r="W65" s="1123">
        <f t="shared" ca="1" si="172"/>
        <v>0</v>
      </c>
      <c r="X65" s="1123">
        <f t="shared" ref="X65:Z67" ca="1" si="173">IFERROR(INDEX(INDIRECT($C65&amp;".Outputs["&amp;this.Year&amp;"]"), MATCH(X$5, INDIRECT($C65&amp;".Outputs[Vector]"), 0)), 0)</f>
        <v>0</v>
      </c>
      <c r="Y65" s="1123">
        <f t="shared" ca="1" si="173"/>
        <v>0</v>
      </c>
      <c r="Z65" s="1123">
        <f t="shared" ca="1" si="173"/>
        <v>0</v>
      </c>
      <c r="AA65" s="1123">
        <f t="shared" ca="1" si="172"/>
        <v>0</v>
      </c>
      <c r="AB65" s="1123">
        <f t="shared" ca="1" si="172"/>
        <v>0</v>
      </c>
      <c r="AC65" s="1123">
        <f t="shared" ca="1" si="172"/>
        <v>0</v>
      </c>
      <c r="AD65" s="1123">
        <f t="shared" ca="1" si="172"/>
        <v>0</v>
      </c>
      <c r="AE65" s="1123">
        <f t="shared" ca="1" si="172"/>
        <v>0</v>
      </c>
      <c r="AF65" s="1123">
        <f t="shared" ca="1" si="172"/>
        <v>0</v>
      </c>
      <c r="AG65" s="1123">
        <f t="shared" ca="1" si="172"/>
        <v>0</v>
      </c>
      <c r="AH65" s="1123">
        <f t="shared" ca="1" si="172"/>
        <v>0</v>
      </c>
      <c r="AI65" s="1123">
        <f t="shared" ca="1" si="172"/>
        <v>0</v>
      </c>
      <c r="AJ65" s="1123">
        <f t="shared" ca="1" si="172"/>
        <v>0</v>
      </c>
      <c r="AK65" s="670">
        <f ca="1">SUM(S65:AJ65)</f>
        <v>0</v>
      </c>
      <c r="AM65" s="1124">
        <f t="shared" ref="AM65:AU67" ca="1" si="174">IFERROR(INDEX(INDIRECT($C65&amp;".Outputs["&amp;this.Year&amp;"]"), MATCH(AM$5, INDIRECT($C65&amp;".Outputs[Vector]"), 0)), 0)</f>
        <v>0</v>
      </c>
      <c r="AN65" s="1124">
        <f t="shared" ca="1" si="174"/>
        <v>0</v>
      </c>
      <c r="AO65" s="1124">
        <f t="shared" ca="1" si="174"/>
        <v>0</v>
      </c>
      <c r="AP65" s="1124">
        <f t="shared" ca="1" si="174"/>
        <v>0</v>
      </c>
      <c r="AQ65" s="1124">
        <f t="shared" ca="1" si="174"/>
        <v>0</v>
      </c>
      <c r="AR65" s="1124">
        <f t="shared" ca="1" si="174"/>
        <v>0</v>
      </c>
      <c r="AS65" s="1124">
        <f t="shared" ca="1" si="174"/>
        <v>0</v>
      </c>
      <c r="AT65" s="1124">
        <f t="shared" ca="1" si="174"/>
        <v>0</v>
      </c>
      <c r="AU65" s="1124">
        <f t="shared" ca="1" si="174"/>
        <v>0</v>
      </c>
      <c r="AV65" s="1124">
        <f t="shared" ca="1" si="172"/>
        <v>0</v>
      </c>
      <c r="AW65" s="1124">
        <f t="shared" ca="1" si="172"/>
        <v>0</v>
      </c>
      <c r="AX65" s="1124">
        <f t="shared" ca="1" si="172"/>
        <v>0</v>
      </c>
      <c r="AY65" s="1124">
        <f t="shared" ca="1" si="172"/>
        <v>0</v>
      </c>
      <c r="AZ65" s="1124">
        <f t="shared" ca="1" si="172"/>
        <v>0</v>
      </c>
      <c r="BA65" s="1124">
        <f t="shared" ca="1" si="172"/>
        <v>0</v>
      </c>
      <c r="BB65" s="1124">
        <f t="shared" ca="1" si="172"/>
        <v>0</v>
      </c>
      <c r="BC65" s="1124">
        <f t="shared" ca="1" si="172"/>
        <v>0</v>
      </c>
      <c r="BD65" s="1124">
        <f t="shared" ca="1" si="172"/>
        <v>0</v>
      </c>
      <c r="BE65" s="1124">
        <f t="shared" ca="1" si="172"/>
        <v>0</v>
      </c>
      <c r="BF65" s="677">
        <f ca="1">SUM(AM65:BE65)</f>
        <v>0</v>
      </c>
      <c r="BH65" s="1125">
        <f t="shared" ref="BH65:BI67" ca="1" si="175">IFERROR(INDEX(INDIRECT($C65&amp;".Outputs["&amp;this.Year&amp;"]"), MATCH(BH$5, INDIRECT($C65&amp;".Outputs[Vector]"), 0)), 0)</f>
        <v>0</v>
      </c>
      <c r="BI65" s="1125">
        <f t="shared" ca="1" si="175"/>
        <v>0</v>
      </c>
      <c r="BJ65" s="690">
        <f ca="1">SUM(BH65:BI65)</f>
        <v>0</v>
      </c>
      <c r="BL65" s="576">
        <f t="shared" ref="BL65:BL70" ca="1" si="176">Q65+AK65+BF65+BJ65</f>
        <v>0</v>
      </c>
      <c r="BM65" s="576"/>
      <c r="BO65" s="1119">
        <f t="shared" ref="BO65:DF67" ca="1" si="177">IFERROR(SUMIFS(INDIRECT($C65&amp;".Emissions["&amp;this.Year&amp;"]"), INDIRECT($C65&amp;".Emissions[GHG]"), BO$6, INDIRECT($C65&amp;".Emissions[IPCC Sector]"), BO$5),0)</f>
        <v>0</v>
      </c>
      <c r="BP65" s="1119">
        <f t="shared" ca="1" si="177"/>
        <v>0</v>
      </c>
      <c r="BQ65" s="1119">
        <f t="shared" ca="1" si="177"/>
        <v>0</v>
      </c>
      <c r="BR65" s="1119">
        <f t="shared" ca="1" si="177"/>
        <v>0</v>
      </c>
      <c r="BS65" s="1119">
        <f t="shared" ca="1" si="177"/>
        <v>0</v>
      </c>
      <c r="BT65" s="1119">
        <f t="shared" ca="1" si="177"/>
        <v>0</v>
      </c>
      <c r="BU65" s="1119">
        <f t="shared" ca="1" si="177"/>
        <v>0</v>
      </c>
      <c r="BV65" s="1119">
        <f t="shared" ca="1" si="177"/>
        <v>0</v>
      </c>
      <c r="BW65" s="1119">
        <f t="shared" ca="1" si="177"/>
        <v>0</v>
      </c>
      <c r="BX65" s="1119">
        <f t="shared" ca="1" si="177"/>
        <v>0</v>
      </c>
      <c r="BY65" s="1119">
        <f t="shared" ca="1" si="177"/>
        <v>0</v>
      </c>
      <c r="BZ65" s="1119">
        <f t="shared" ca="1" si="177"/>
        <v>0</v>
      </c>
      <c r="CA65" s="1119">
        <f t="shared" ca="1" si="177"/>
        <v>0</v>
      </c>
      <c r="CB65" s="1119">
        <f t="shared" ca="1" si="177"/>
        <v>0</v>
      </c>
      <c r="CC65" s="1119">
        <f t="shared" ca="1" si="177"/>
        <v>0</v>
      </c>
      <c r="CD65" s="1119">
        <f t="shared" ca="1" si="177"/>
        <v>0</v>
      </c>
      <c r="CE65" s="1119">
        <f t="shared" ca="1" si="177"/>
        <v>0</v>
      </c>
      <c r="CF65" s="1119">
        <f t="shared" ca="1" si="177"/>
        <v>0</v>
      </c>
      <c r="CG65" s="1119">
        <f t="shared" ca="1" si="177"/>
        <v>0</v>
      </c>
      <c r="CH65" s="1119">
        <f t="shared" ca="1" si="177"/>
        <v>0</v>
      </c>
      <c r="CI65" s="1119">
        <f t="shared" ca="1" si="177"/>
        <v>0</v>
      </c>
      <c r="CJ65" s="1119">
        <f t="shared" ca="1" si="177"/>
        <v>0</v>
      </c>
      <c r="CK65" s="1119">
        <f t="shared" ca="1" si="177"/>
        <v>0</v>
      </c>
      <c r="CL65" s="1119">
        <f t="shared" ca="1" si="177"/>
        <v>0</v>
      </c>
      <c r="CM65" s="1119">
        <f t="shared" ca="1" si="177"/>
        <v>0</v>
      </c>
      <c r="CN65" s="1119">
        <f t="shared" ca="1" si="177"/>
        <v>0</v>
      </c>
      <c r="CO65" s="1119">
        <f t="shared" ca="1" si="177"/>
        <v>0</v>
      </c>
      <c r="CP65" s="1119">
        <f t="shared" ca="1" si="177"/>
        <v>0</v>
      </c>
      <c r="CQ65" s="1119">
        <f t="shared" ca="1" si="177"/>
        <v>0</v>
      </c>
      <c r="CR65" s="1119">
        <f t="shared" ca="1" si="177"/>
        <v>0</v>
      </c>
      <c r="CS65" s="1119">
        <f t="shared" ca="1" si="177"/>
        <v>0</v>
      </c>
      <c r="CT65" s="1119">
        <f t="shared" ca="1" si="177"/>
        <v>0</v>
      </c>
      <c r="CU65" s="1119">
        <f t="shared" ca="1" si="177"/>
        <v>0</v>
      </c>
      <c r="CV65" s="1119">
        <f t="shared" ca="1" si="177"/>
        <v>0</v>
      </c>
      <c r="CW65" s="1119">
        <f t="shared" ca="1" si="177"/>
        <v>0</v>
      </c>
      <c r="CX65" s="1119">
        <f t="shared" ca="1" si="177"/>
        <v>0</v>
      </c>
      <c r="CY65" s="1119">
        <f t="shared" ca="1" si="177"/>
        <v>0</v>
      </c>
      <c r="CZ65" s="1119">
        <f t="shared" ca="1" si="177"/>
        <v>0</v>
      </c>
      <c r="DA65" s="1119">
        <f t="shared" ca="1" si="177"/>
        <v>0</v>
      </c>
      <c r="DB65" s="1119">
        <f t="shared" ca="1" si="177"/>
        <v>0</v>
      </c>
      <c r="DC65" s="1119">
        <f t="shared" ca="1" si="177"/>
        <v>0</v>
      </c>
      <c r="DD65" s="1119">
        <f t="shared" ca="1" si="177"/>
        <v>0</v>
      </c>
      <c r="DE65" s="1119">
        <f t="shared" ca="1" si="177"/>
        <v>0</v>
      </c>
      <c r="DF65" s="1119">
        <f t="shared" ca="1" si="177"/>
        <v>0</v>
      </c>
      <c r="DH65" s="1120">
        <f t="shared" ca="1" si="124"/>
        <v>0</v>
      </c>
    </row>
    <row r="66" spans="1:112" s="1085" customFormat="1" ht="12.75" customHeight="1" outlineLevel="1">
      <c r="C66" s="534" t="s">
        <v>973</v>
      </c>
      <c r="D66" s="511" t="str">
        <f>INDEX(Modules[Module], MATCH($C66, Modules[Code], 0))</f>
        <v>Solar thermal</v>
      </c>
      <c r="E66" s="511"/>
      <c r="G66" s="1121">
        <f t="shared" ca="1" si="171"/>
        <v>0</v>
      </c>
      <c r="H66" s="1121">
        <f t="shared" ca="1" si="171"/>
        <v>0</v>
      </c>
      <c r="I66" s="1121">
        <f t="shared" ca="1" si="171"/>
        <v>0</v>
      </c>
      <c r="J66" s="1121">
        <f t="shared" ca="1" si="171"/>
        <v>0</v>
      </c>
      <c r="K66" s="1122">
        <f t="shared" ca="1" si="171"/>
        <v>0</v>
      </c>
      <c r="L66" s="1121">
        <f t="shared" ca="1" si="171"/>
        <v>0</v>
      </c>
      <c r="M66" s="1121">
        <f t="shared" ca="1" si="171"/>
        <v>0</v>
      </c>
      <c r="N66" s="1121">
        <f t="shared" ca="1" si="171"/>
        <v>0</v>
      </c>
      <c r="O66" s="1121">
        <f t="shared" ca="1" si="171"/>
        <v>0</v>
      </c>
      <c r="P66" s="1121">
        <f t="shared" ca="1" si="171"/>
        <v>0</v>
      </c>
      <c r="Q66" s="661">
        <f ca="1">SUM(G66:P66)</f>
        <v>0</v>
      </c>
      <c r="S66" s="1123">
        <f t="shared" ca="1" si="172"/>
        <v>0</v>
      </c>
      <c r="T66" s="1123">
        <f t="shared" ca="1" si="172"/>
        <v>0</v>
      </c>
      <c r="U66" s="1123">
        <f t="shared" ca="1" si="172"/>
        <v>0</v>
      </c>
      <c r="V66" s="1123">
        <f t="shared" ca="1" si="172"/>
        <v>0</v>
      </c>
      <c r="W66" s="1123">
        <f t="shared" ca="1" si="172"/>
        <v>0</v>
      </c>
      <c r="X66" s="1123">
        <f t="shared" ca="1" si="173"/>
        <v>0</v>
      </c>
      <c r="Y66" s="1123">
        <f t="shared" ca="1" si="173"/>
        <v>0</v>
      </c>
      <c r="Z66" s="1123">
        <f t="shared" ca="1" si="173"/>
        <v>0</v>
      </c>
      <c r="AA66" s="1123">
        <f t="shared" ca="1" si="172"/>
        <v>0</v>
      </c>
      <c r="AB66" s="1123">
        <f t="shared" ca="1" si="172"/>
        <v>0</v>
      </c>
      <c r="AC66" s="1123">
        <f t="shared" ca="1" si="172"/>
        <v>0</v>
      </c>
      <c r="AD66" s="1123">
        <f t="shared" ca="1" si="172"/>
        <v>0</v>
      </c>
      <c r="AE66" s="1123">
        <f t="shared" ca="1" si="172"/>
        <v>0</v>
      </c>
      <c r="AF66" s="1123">
        <f t="shared" ca="1" si="172"/>
        <v>0</v>
      </c>
      <c r="AG66" s="1123">
        <f t="shared" ca="1" si="172"/>
        <v>0</v>
      </c>
      <c r="AH66" s="1123">
        <f t="shared" ca="1" si="172"/>
        <v>0</v>
      </c>
      <c r="AI66" s="1123">
        <f t="shared" ca="1" si="172"/>
        <v>0</v>
      </c>
      <c r="AJ66" s="1123">
        <f t="shared" ca="1" si="172"/>
        <v>0</v>
      </c>
      <c r="AK66" s="670">
        <f ca="1">SUM(S66:AJ66)</f>
        <v>0</v>
      </c>
      <c r="AM66" s="1124">
        <f t="shared" ca="1" si="174"/>
        <v>0</v>
      </c>
      <c r="AN66" s="1124">
        <f t="shared" ca="1" si="174"/>
        <v>0</v>
      </c>
      <c r="AO66" s="1124">
        <f t="shared" ca="1" si="174"/>
        <v>0</v>
      </c>
      <c r="AP66" s="1124">
        <f t="shared" ca="1" si="174"/>
        <v>0</v>
      </c>
      <c r="AQ66" s="1124">
        <f t="shared" ca="1" si="174"/>
        <v>0</v>
      </c>
      <c r="AR66" s="1124">
        <f t="shared" ca="1" si="174"/>
        <v>0</v>
      </c>
      <c r="AS66" s="1124">
        <f t="shared" ca="1" si="174"/>
        <v>0</v>
      </c>
      <c r="AT66" s="1124">
        <f t="shared" ca="1" si="174"/>
        <v>0</v>
      </c>
      <c r="AU66" s="1124">
        <f t="shared" ca="1" si="174"/>
        <v>0</v>
      </c>
      <c r="AV66" s="1124">
        <f t="shared" ca="1" si="172"/>
        <v>0</v>
      </c>
      <c r="AW66" s="1124">
        <f t="shared" ca="1" si="172"/>
        <v>0</v>
      </c>
      <c r="AX66" s="1124">
        <f t="shared" ca="1" si="172"/>
        <v>0</v>
      </c>
      <c r="AY66" s="1124">
        <f t="shared" ca="1" si="172"/>
        <v>0</v>
      </c>
      <c r="AZ66" s="1124">
        <f t="shared" ca="1" si="172"/>
        <v>0</v>
      </c>
      <c r="BA66" s="1124">
        <f t="shared" ca="1" si="172"/>
        <v>0</v>
      </c>
      <c r="BB66" s="1124">
        <f t="shared" ca="1" si="172"/>
        <v>0</v>
      </c>
      <c r="BC66" s="1124">
        <f t="shared" ca="1" si="172"/>
        <v>0</v>
      </c>
      <c r="BD66" s="1124">
        <f t="shared" ca="1" si="172"/>
        <v>0</v>
      </c>
      <c r="BE66" s="1124">
        <f t="shared" ca="1" si="172"/>
        <v>0</v>
      </c>
      <c r="BF66" s="677">
        <f ca="1">SUM(AM66:BE66)</f>
        <v>0</v>
      </c>
      <c r="BH66" s="1125">
        <f t="shared" ca="1" si="175"/>
        <v>0</v>
      </c>
      <c r="BI66" s="1125">
        <f t="shared" ca="1" si="175"/>
        <v>0</v>
      </c>
      <c r="BJ66" s="690">
        <f ca="1">SUM(BH66:BI66)</f>
        <v>0</v>
      </c>
      <c r="BL66" s="576">
        <f t="shared" ca="1" si="176"/>
        <v>0</v>
      </c>
      <c r="BM66" s="576"/>
      <c r="BO66" s="1119">
        <f t="shared" ca="1" si="177"/>
        <v>0</v>
      </c>
      <c r="BP66" s="1119">
        <f t="shared" ca="1" si="177"/>
        <v>0</v>
      </c>
      <c r="BQ66" s="1119">
        <f t="shared" ca="1" si="177"/>
        <v>0</v>
      </c>
      <c r="BR66" s="1119">
        <f t="shared" ca="1" si="177"/>
        <v>0</v>
      </c>
      <c r="BS66" s="1119">
        <f t="shared" ca="1" si="177"/>
        <v>0</v>
      </c>
      <c r="BT66" s="1119">
        <f t="shared" ca="1" si="177"/>
        <v>0</v>
      </c>
      <c r="BU66" s="1119">
        <f t="shared" ca="1" si="177"/>
        <v>0</v>
      </c>
      <c r="BV66" s="1119">
        <f t="shared" ca="1" si="177"/>
        <v>0</v>
      </c>
      <c r="BW66" s="1119">
        <f t="shared" ca="1" si="177"/>
        <v>0</v>
      </c>
      <c r="BX66" s="1119">
        <f t="shared" ca="1" si="177"/>
        <v>0</v>
      </c>
      <c r="BY66" s="1119">
        <f t="shared" ca="1" si="177"/>
        <v>0</v>
      </c>
      <c r="BZ66" s="1119">
        <f t="shared" ca="1" si="177"/>
        <v>0</v>
      </c>
      <c r="CA66" s="1119">
        <f t="shared" ca="1" si="177"/>
        <v>0</v>
      </c>
      <c r="CB66" s="1119">
        <f t="shared" ca="1" si="177"/>
        <v>0</v>
      </c>
      <c r="CC66" s="1119">
        <f t="shared" ca="1" si="177"/>
        <v>0</v>
      </c>
      <c r="CD66" s="1119">
        <f t="shared" ca="1" si="177"/>
        <v>0</v>
      </c>
      <c r="CE66" s="1119">
        <f t="shared" ca="1" si="177"/>
        <v>0</v>
      </c>
      <c r="CF66" s="1119">
        <f t="shared" ca="1" si="177"/>
        <v>0</v>
      </c>
      <c r="CG66" s="1119">
        <f t="shared" ca="1" si="177"/>
        <v>0</v>
      </c>
      <c r="CH66" s="1119">
        <f t="shared" ca="1" si="177"/>
        <v>0</v>
      </c>
      <c r="CI66" s="1119">
        <f t="shared" ca="1" si="177"/>
        <v>0</v>
      </c>
      <c r="CJ66" s="1119">
        <f t="shared" ca="1" si="177"/>
        <v>0</v>
      </c>
      <c r="CK66" s="1119">
        <f t="shared" ca="1" si="177"/>
        <v>0</v>
      </c>
      <c r="CL66" s="1119">
        <f t="shared" ca="1" si="177"/>
        <v>0</v>
      </c>
      <c r="CM66" s="1119">
        <f t="shared" ca="1" si="177"/>
        <v>0</v>
      </c>
      <c r="CN66" s="1119">
        <f t="shared" ca="1" si="177"/>
        <v>0</v>
      </c>
      <c r="CO66" s="1119">
        <f t="shared" ca="1" si="177"/>
        <v>0</v>
      </c>
      <c r="CP66" s="1119">
        <f t="shared" ca="1" si="177"/>
        <v>0</v>
      </c>
      <c r="CQ66" s="1119">
        <f t="shared" ca="1" si="177"/>
        <v>0</v>
      </c>
      <c r="CR66" s="1119">
        <f t="shared" ca="1" si="177"/>
        <v>0</v>
      </c>
      <c r="CS66" s="1119">
        <f t="shared" ca="1" si="177"/>
        <v>0</v>
      </c>
      <c r="CT66" s="1119">
        <f t="shared" ca="1" si="177"/>
        <v>0</v>
      </c>
      <c r="CU66" s="1119">
        <f t="shared" ca="1" si="177"/>
        <v>0</v>
      </c>
      <c r="CV66" s="1119">
        <f t="shared" ca="1" si="177"/>
        <v>0</v>
      </c>
      <c r="CW66" s="1119">
        <f t="shared" ca="1" si="177"/>
        <v>0</v>
      </c>
      <c r="CX66" s="1119">
        <f t="shared" ca="1" si="177"/>
        <v>0</v>
      </c>
      <c r="CY66" s="1119">
        <f t="shared" ca="1" si="177"/>
        <v>0</v>
      </c>
      <c r="CZ66" s="1119">
        <f t="shared" ca="1" si="177"/>
        <v>0</v>
      </c>
      <c r="DA66" s="1119">
        <f t="shared" ca="1" si="177"/>
        <v>0</v>
      </c>
      <c r="DB66" s="1119">
        <f t="shared" ca="1" si="177"/>
        <v>0</v>
      </c>
      <c r="DC66" s="1119">
        <f t="shared" ca="1" si="177"/>
        <v>0</v>
      </c>
      <c r="DD66" s="1119">
        <f t="shared" ca="1" si="177"/>
        <v>0</v>
      </c>
      <c r="DE66" s="1119">
        <f t="shared" ca="1" si="177"/>
        <v>0</v>
      </c>
      <c r="DF66" s="1119">
        <f t="shared" ca="1" si="177"/>
        <v>0</v>
      </c>
      <c r="DH66" s="1120">
        <f t="shared" ca="1" si="124"/>
        <v>0</v>
      </c>
    </row>
    <row r="67" spans="1:112" s="1085" customFormat="1" ht="12.75" customHeight="1" outlineLevel="1">
      <c r="C67" s="534" t="s">
        <v>1021</v>
      </c>
      <c r="D67" s="707" t="str">
        <f>INDEX(Modules[Module], MATCH($C67, Modules[Code], 0))</f>
        <v>Small-scale wind</v>
      </c>
      <c r="E67" s="707"/>
      <c r="F67" s="532"/>
      <c r="G67" s="719">
        <f t="shared" ca="1" si="171"/>
        <v>0</v>
      </c>
      <c r="H67" s="719">
        <f t="shared" ca="1" si="171"/>
        <v>0</v>
      </c>
      <c r="I67" s="719">
        <f t="shared" ca="1" si="171"/>
        <v>0</v>
      </c>
      <c r="J67" s="719">
        <f t="shared" ca="1" si="171"/>
        <v>0</v>
      </c>
      <c r="K67" s="719">
        <f t="shared" ca="1" si="171"/>
        <v>0</v>
      </c>
      <c r="L67" s="719">
        <f t="shared" ca="1" si="171"/>
        <v>0</v>
      </c>
      <c r="M67" s="719">
        <f t="shared" ca="1" si="171"/>
        <v>0</v>
      </c>
      <c r="N67" s="719">
        <f t="shared" ca="1" si="171"/>
        <v>0</v>
      </c>
      <c r="O67" s="719">
        <f t="shared" ca="1" si="171"/>
        <v>0</v>
      </c>
      <c r="P67" s="719">
        <f t="shared" ca="1" si="171"/>
        <v>0</v>
      </c>
      <c r="Q67" s="717">
        <f ca="1">SUM(G67:P67)</f>
        <v>0</v>
      </c>
      <c r="R67" s="532"/>
      <c r="S67" s="728">
        <f t="shared" ca="1" si="172"/>
        <v>0</v>
      </c>
      <c r="T67" s="728">
        <f t="shared" ca="1" si="172"/>
        <v>0</v>
      </c>
      <c r="U67" s="728">
        <f t="shared" ca="1" si="172"/>
        <v>0</v>
      </c>
      <c r="V67" s="728">
        <f t="shared" ca="1" si="172"/>
        <v>0</v>
      </c>
      <c r="W67" s="728">
        <f t="shared" ca="1" si="172"/>
        <v>0</v>
      </c>
      <c r="X67" s="728">
        <f t="shared" ca="1" si="173"/>
        <v>0</v>
      </c>
      <c r="Y67" s="728">
        <f t="shared" ca="1" si="173"/>
        <v>0</v>
      </c>
      <c r="Z67" s="728">
        <f t="shared" ca="1" si="173"/>
        <v>0</v>
      </c>
      <c r="AA67" s="728">
        <f t="shared" ca="1" si="172"/>
        <v>0</v>
      </c>
      <c r="AB67" s="728">
        <f t="shared" ca="1" si="172"/>
        <v>0</v>
      </c>
      <c r="AC67" s="728">
        <f t="shared" ca="1" si="172"/>
        <v>0</v>
      </c>
      <c r="AD67" s="728">
        <f t="shared" ca="1" si="172"/>
        <v>0</v>
      </c>
      <c r="AE67" s="728">
        <f t="shared" ca="1" si="172"/>
        <v>0</v>
      </c>
      <c r="AF67" s="728">
        <f t="shared" ca="1" si="172"/>
        <v>0</v>
      </c>
      <c r="AG67" s="728">
        <f t="shared" ca="1" si="172"/>
        <v>0</v>
      </c>
      <c r="AH67" s="728">
        <f t="shared" ca="1" si="172"/>
        <v>0</v>
      </c>
      <c r="AI67" s="728">
        <f t="shared" ca="1" si="172"/>
        <v>0</v>
      </c>
      <c r="AJ67" s="728">
        <f t="shared" ca="1" si="172"/>
        <v>0</v>
      </c>
      <c r="AK67" s="727">
        <f ca="1">SUM(S67:AJ67)</f>
        <v>0</v>
      </c>
      <c r="AL67" s="532"/>
      <c r="AM67" s="739">
        <f t="shared" ca="1" si="174"/>
        <v>0</v>
      </c>
      <c r="AN67" s="739">
        <f t="shared" ca="1" si="174"/>
        <v>0</v>
      </c>
      <c r="AO67" s="739">
        <f t="shared" ca="1" si="174"/>
        <v>0</v>
      </c>
      <c r="AP67" s="739">
        <f t="shared" ca="1" si="174"/>
        <v>0</v>
      </c>
      <c r="AQ67" s="739">
        <f t="shared" ca="1" si="174"/>
        <v>0</v>
      </c>
      <c r="AR67" s="739">
        <f t="shared" ca="1" si="174"/>
        <v>0</v>
      </c>
      <c r="AS67" s="739">
        <f t="shared" ca="1" si="174"/>
        <v>0</v>
      </c>
      <c r="AT67" s="739">
        <f t="shared" ca="1" si="174"/>
        <v>0</v>
      </c>
      <c r="AU67" s="739">
        <f t="shared" ca="1" si="174"/>
        <v>0</v>
      </c>
      <c r="AV67" s="739">
        <f t="shared" ca="1" si="172"/>
        <v>0</v>
      </c>
      <c r="AW67" s="739">
        <f t="shared" ca="1" si="172"/>
        <v>0</v>
      </c>
      <c r="AX67" s="739">
        <f t="shared" ca="1" si="172"/>
        <v>0</v>
      </c>
      <c r="AY67" s="739">
        <f t="shared" ca="1" si="172"/>
        <v>0</v>
      </c>
      <c r="AZ67" s="739">
        <f t="shared" ca="1" si="172"/>
        <v>0</v>
      </c>
      <c r="BA67" s="739">
        <f t="shared" ca="1" si="172"/>
        <v>0</v>
      </c>
      <c r="BB67" s="739">
        <f t="shared" ca="1" si="172"/>
        <v>0</v>
      </c>
      <c r="BC67" s="739">
        <f t="shared" ca="1" si="172"/>
        <v>0</v>
      </c>
      <c r="BD67" s="739">
        <f t="shared" ca="1" si="172"/>
        <v>0</v>
      </c>
      <c r="BE67" s="739">
        <f t="shared" ca="1" si="172"/>
        <v>0</v>
      </c>
      <c r="BF67" s="709">
        <f ca="1">SUM(AM67:BE67)</f>
        <v>0</v>
      </c>
      <c r="BG67" s="532"/>
      <c r="BH67" s="733">
        <f t="shared" ca="1" si="175"/>
        <v>0</v>
      </c>
      <c r="BI67" s="733">
        <f t="shared" ca="1" si="175"/>
        <v>0</v>
      </c>
      <c r="BJ67" s="732">
        <f ca="1">SUM(BH67:BI67)</f>
        <v>0</v>
      </c>
      <c r="BK67" s="532"/>
      <c r="BL67" s="576">
        <f t="shared" ca="1" si="176"/>
        <v>0</v>
      </c>
      <c r="BM67" s="576"/>
      <c r="BN67" s="592"/>
      <c r="BO67" s="1086">
        <f t="shared" ca="1" si="177"/>
        <v>0</v>
      </c>
      <c r="BP67" s="1087">
        <f t="shared" ca="1" si="177"/>
        <v>0</v>
      </c>
      <c r="BQ67" s="1087">
        <f t="shared" ca="1" si="177"/>
        <v>0</v>
      </c>
      <c r="BR67" s="1087">
        <f t="shared" ca="1" si="177"/>
        <v>0</v>
      </c>
      <c r="BS67" s="1087">
        <f t="shared" ca="1" si="177"/>
        <v>0</v>
      </c>
      <c r="BT67" s="1087">
        <f t="shared" ca="1" si="177"/>
        <v>0</v>
      </c>
      <c r="BU67" s="1087">
        <f t="shared" ca="1" si="177"/>
        <v>0</v>
      </c>
      <c r="BV67" s="1087">
        <f t="shared" ca="1" si="177"/>
        <v>0</v>
      </c>
      <c r="BW67" s="1087">
        <f t="shared" ca="1" si="177"/>
        <v>0</v>
      </c>
      <c r="BX67" s="1087">
        <f t="shared" ca="1" si="177"/>
        <v>0</v>
      </c>
      <c r="BY67" s="1087">
        <f t="shared" ca="1" si="177"/>
        <v>0</v>
      </c>
      <c r="BZ67" s="1087">
        <f t="shared" ca="1" si="177"/>
        <v>0</v>
      </c>
      <c r="CA67" s="1087">
        <f t="shared" ca="1" si="177"/>
        <v>0</v>
      </c>
      <c r="CB67" s="1087">
        <f t="shared" ca="1" si="177"/>
        <v>0</v>
      </c>
      <c r="CC67" s="1087">
        <f t="shared" ca="1" si="177"/>
        <v>0</v>
      </c>
      <c r="CD67" s="1087">
        <f t="shared" ca="1" si="177"/>
        <v>0</v>
      </c>
      <c r="CE67" s="1087">
        <f t="shared" ca="1" si="177"/>
        <v>0</v>
      </c>
      <c r="CF67" s="1087">
        <f t="shared" ca="1" si="177"/>
        <v>0</v>
      </c>
      <c r="CG67" s="1087">
        <f t="shared" ca="1" si="177"/>
        <v>0</v>
      </c>
      <c r="CH67" s="1087">
        <f t="shared" ca="1" si="177"/>
        <v>0</v>
      </c>
      <c r="CI67" s="1087">
        <f t="shared" ca="1" si="177"/>
        <v>0</v>
      </c>
      <c r="CJ67" s="1087">
        <f t="shared" ca="1" si="177"/>
        <v>0</v>
      </c>
      <c r="CK67" s="1087">
        <f t="shared" ca="1" si="177"/>
        <v>0</v>
      </c>
      <c r="CL67" s="1087">
        <f t="shared" ca="1" si="177"/>
        <v>0</v>
      </c>
      <c r="CM67" s="1087">
        <f t="shared" ca="1" si="177"/>
        <v>0</v>
      </c>
      <c r="CN67" s="1087">
        <f t="shared" ca="1" si="177"/>
        <v>0</v>
      </c>
      <c r="CO67" s="1087">
        <f t="shared" ca="1" si="177"/>
        <v>0</v>
      </c>
      <c r="CP67" s="1087">
        <f t="shared" ca="1" si="177"/>
        <v>0</v>
      </c>
      <c r="CQ67" s="1087">
        <f t="shared" ca="1" si="177"/>
        <v>0</v>
      </c>
      <c r="CR67" s="1087">
        <f t="shared" ca="1" si="177"/>
        <v>0</v>
      </c>
      <c r="CS67" s="1087">
        <f t="shared" ca="1" si="177"/>
        <v>0</v>
      </c>
      <c r="CT67" s="1087">
        <f t="shared" ca="1" si="177"/>
        <v>0</v>
      </c>
      <c r="CU67" s="1087">
        <f t="shared" ca="1" si="177"/>
        <v>0</v>
      </c>
      <c r="CV67" s="1087">
        <f t="shared" ca="1" si="177"/>
        <v>0</v>
      </c>
      <c r="CW67" s="1087">
        <f t="shared" ca="1" si="177"/>
        <v>0</v>
      </c>
      <c r="CX67" s="1087">
        <f t="shared" ca="1" si="177"/>
        <v>0</v>
      </c>
      <c r="CY67" s="1087">
        <f t="shared" ca="1" si="177"/>
        <v>0</v>
      </c>
      <c r="CZ67" s="1087">
        <f t="shared" ca="1" si="177"/>
        <v>0</v>
      </c>
      <c r="DA67" s="1087">
        <f t="shared" ca="1" si="177"/>
        <v>0</v>
      </c>
      <c r="DB67" s="1087">
        <f t="shared" ca="1" si="177"/>
        <v>0</v>
      </c>
      <c r="DC67" s="1087">
        <f t="shared" ca="1" si="177"/>
        <v>0</v>
      </c>
      <c r="DD67" s="1087">
        <f t="shared" ca="1" si="177"/>
        <v>0</v>
      </c>
      <c r="DE67" s="1087">
        <f t="shared" ca="1" si="177"/>
        <v>0</v>
      </c>
      <c r="DF67" s="1087">
        <f t="shared" ca="1" si="177"/>
        <v>0</v>
      </c>
      <c r="DH67" s="590">
        <f t="shared" ca="1" si="124"/>
        <v>0</v>
      </c>
    </row>
    <row r="68" spans="1:112" s="532" customFormat="1" ht="15">
      <c r="A68" s="22"/>
      <c r="B68" s="537"/>
      <c r="C68" s="533" t="s">
        <v>71</v>
      </c>
      <c r="D68" s="507" t="str">
        <f>INDEX(Workstreams[Workstream], MATCH($C68, Workstreams[Code], 0))</f>
        <v>Distributed renewable power generation</v>
      </c>
      <c r="E68" s="503"/>
      <c r="G68" s="718">
        <f ca="1">SUM(G65:G67)</f>
        <v>0</v>
      </c>
      <c r="H68" s="718">
        <f t="shared" ref="H68:P68" ca="1" si="178">SUM(H65:H67)</f>
        <v>0</v>
      </c>
      <c r="I68" s="718">
        <f t="shared" ca="1" si="178"/>
        <v>0</v>
      </c>
      <c r="J68" s="718">
        <f t="shared" ca="1" si="178"/>
        <v>0</v>
      </c>
      <c r="K68" s="718">
        <f t="shared" ca="1" si="178"/>
        <v>0</v>
      </c>
      <c r="L68" s="718">
        <f t="shared" ca="1" si="178"/>
        <v>0</v>
      </c>
      <c r="M68" s="718">
        <f t="shared" ca="1" si="178"/>
        <v>0</v>
      </c>
      <c r="N68" s="718">
        <f t="shared" ca="1" si="178"/>
        <v>0</v>
      </c>
      <c r="O68" s="718">
        <f t="shared" ca="1" si="178"/>
        <v>0</v>
      </c>
      <c r="P68" s="718">
        <f t="shared" ca="1" si="178"/>
        <v>0</v>
      </c>
      <c r="Q68" s="718">
        <f ca="1">SUM(G68:P68)</f>
        <v>0</v>
      </c>
      <c r="S68" s="668">
        <f t="shared" ref="S68:AJ68" ca="1" si="179">SUM(S65:S67)</f>
        <v>0</v>
      </c>
      <c r="T68" s="668">
        <f t="shared" ca="1" si="179"/>
        <v>0</v>
      </c>
      <c r="U68" s="668">
        <f t="shared" ca="1" si="179"/>
        <v>0</v>
      </c>
      <c r="V68" s="668">
        <f t="shared" ca="1" si="179"/>
        <v>0</v>
      </c>
      <c r="W68" s="668">
        <f t="shared" ca="1" si="179"/>
        <v>0</v>
      </c>
      <c r="X68" s="668">
        <f t="shared" ca="1" si="179"/>
        <v>0</v>
      </c>
      <c r="Y68" s="668">
        <f t="shared" ca="1" si="179"/>
        <v>0</v>
      </c>
      <c r="Z68" s="668">
        <f t="shared" ca="1" si="179"/>
        <v>0</v>
      </c>
      <c r="AA68" s="668">
        <f t="shared" ca="1" si="179"/>
        <v>0</v>
      </c>
      <c r="AB68" s="668">
        <f t="shared" ca="1" si="179"/>
        <v>0</v>
      </c>
      <c r="AC68" s="668">
        <f t="shared" ca="1" si="179"/>
        <v>0</v>
      </c>
      <c r="AD68" s="668">
        <f t="shared" ca="1" si="179"/>
        <v>0</v>
      </c>
      <c r="AE68" s="668">
        <f ca="1">SUM(AE65:AE67)</f>
        <v>0</v>
      </c>
      <c r="AF68" s="668">
        <f t="shared" ca="1" si="179"/>
        <v>0</v>
      </c>
      <c r="AG68" s="668">
        <f t="shared" ca="1" si="179"/>
        <v>0</v>
      </c>
      <c r="AH68" s="668">
        <f ca="1">SUM(AH65:AH67)</f>
        <v>0</v>
      </c>
      <c r="AI68" s="668">
        <f t="shared" ca="1" si="179"/>
        <v>0</v>
      </c>
      <c r="AJ68" s="668">
        <f t="shared" ca="1" si="179"/>
        <v>0</v>
      </c>
      <c r="AK68" s="668">
        <f ca="1">SUM(S68:AJ68)</f>
        <v>0</v>
      </c>
      <c r="AM68" s="674">
        <f t="shared" ref="AM68:BE68" ca="1" si="180">SUM(AM65:AM67)</f>
        <v>0</v>
      </c>
      <c r="AN68" s="674">
        <f t="shared" ca="1" si="180"/>
        <v>0</v>
      </c>
      <c r="AO68" s="674">
        <f t="shared" ca="1" si="180"/>
        <v>0</v>
      </c>
      <c r="AP68" s="674">
        <f t="shared" ca="1" si="180"/>
        <v>0</v>
      </c>
      <c r="AQ68" s="674">
        <f t="shared" ca="1" si="180"/>
        <v>0</v>
      </c>
      <c r="AR68" s="674">
        <f t="shared" ca="1" si="180"/>
        <v>0</v>
      </c>
      <c r="AS68" s="674">
        <f t="shared" ca="1" si="180"/>
        <v>0</v>
      </c>
      <c r="AT68" s="674">
        <f t="shared" ca="1" si="180"/>
        <v>0</v>
      </c>
      <c r="AU68" s="674">
        <f t="shared" ca="1" si="180"/>
        <v>0</v>
      </c>
      <c r="AV68" s="674">
        <f t="shared" ca="1" si="180"/>
        <v>0</v>
      </c>
      <c r="AW68" s="674">
        <f t="shared" ca="1" si="180"/>
        <v>0</v>
      </c>
      <c r="AX68" s="674">
        <f t="shared" ca="1" si="180"/>
        <v>0</v>
      </c>
      <c r="AY68" s="674">
        <f t="shared" ca="1" si="180"/>
        <v>0</v>
      </c>
      <c r="AZ68" s="674">
        <f t="shared" ca="1" si="180"/>
        <v>0</v>
      </c>
      <c r="BA68" s="674">
        <f t="shared" ca="1" si="180"/>
        <v>0</v>
      </c>
      <c r="BB68" s="674">
        <f t="shared" ca="1" si="180"/>
        <v>0</v>
      </c>
      <c r="BC68" s="674">
        <f t="shared" ca="1" si="180"/>
        <v>0</v>
      </c>
      <c r="BD68" s="674">
        <f t="shared" ca="1" si="180"/>
        <v>0</v>
      </c>
      <c r="BE68" s="674">
        <f t="shared" ca="1" si="180"/>
        <v>0</v>
      </c>
      <c r="BF68" s="674">
        <f ca="1">SUM(AM68:BE68)</f>
        <v>0</v>
      </c>
      <c r="BH68" s="688">
        <f ca="1">SUM(BH65:BH67)</f>
        <v>0</v>
      </c>
      <c r="BI68" s="688">
        <f ca="1">SUM(BI65:BI67)</f>
        <v>0</v>
      </c>
      <c r="BJ68" s="688">
        <f ca="1">SUM(BH68:BI68)</f>
        <v>0</v>
      </c>
      <c r="BL68" s="505">
        <f t="shared" ca="1" si="176"/>
        <v>0</v>
      </c>
      <c r="BM68" s="505"/>
      <c r="BN68" s="592"/>
      <c r="BO68" s="1083">
        <f ca="1">SUM(BO65:BO67)</f>
        <v>0</v>
      </c>
      <c r="BP68" s="1083">
        <f t="shared" ref="BP68:DF68" ca="1" si="181">SUM(BP65:BP67)</f>
        <v>0</v>
      </c>
      <c r="BQ68" s="1083">
        <f t="shared" ca="1" si="181"/>
        <v>0</v>
      </c>
      <c r="BR68" s="1083">
        <f t="shared" ca="1" si="181"/>
        <v>0</v>
      </c>
      <c r="BS68" s="1083">
        <f t="shared" ca="1" si="181"/>
        <v>0</v>
      </c>
      <c r="BT68" s="1083">
        <f t="shared" ca="1" si="181"/>
        <v>0</v>
      </c>
      <c r="BU68" s="1083">
        <f t="shared" ca="1" si="181"/>
        <v>0</v>
      </c>
      <c r="BV68" s="1083">
        <f t="shared" ca="1" si="181"/>
        <v>0</v>
      </c>
      <c r="BW68" s="1083">
        <f t="shared" ca="1" si="181"/>
        <v>0</v>
      </c>
      <c r="BX68" s="1083">
        <f t="shared" ca="1" si="181"/>
        <v>0</v>
      </c>
      <c r="BY68" s="1083">
        <f t="shared" ca="1" si="181"/>
        <v>0</v>
      </c>
      <c r="BZ68" s="1083">
        <f t="shared" ca="1" si="181"/>
        <v>0</v>
      </c>
      <c r="CA68" s="1083">
        <f t="shared" ca="1" si="181"/>
        <v>0</v>
      </c>
      <c r="CB68" s="1083">
        <f t="shared" ca="1" si="181"/>
        <v>0</v>
      </c>
      <c r="CC68" s="1083">
        <f t="shared" ca="1" si="181"/>
        <v>0</v>
      </c>
      <c r="CD68" s="1083">
        <f t="shared" ca="1" si="181"/>
        <v>0</v>
      </c>
      <c r="CE68" s="1083">
        <f t="shared" ca="1" si="181"/>
        <v>0</v>
      </c>
      <c r="CF68" s="1083">
        <f t="shared" ca="1" si="181"/>
        <v>0</v>
      </c>
      <c r="CG68" s="1083">
        <f t="shared" ca="1" si="181"/>
        <v>0</v>
      </c>
      <c r="CH68" s="1083">
        <f t="shared" ca="1" si="181"/>
        <v>0</v>
      </c>
      <c r="CI68" s="1083">
        <f t="shared" ca="1" si="181"/>
        <v>0</v>
      </c>
      <c r="CJ68" s="1083">
        <f t="shared" ca="1" si="181"/>
        <v>0</v>
      </c>
      <c r="CK68" s="1083">
        <f t="shared" ca="1" si="181"/>
        <v>0</v>
      </c>
      <c r="CL68" s="1083">
        <f t="shared" ca="1" si="181"/>
        <v>0</v>
      </c>
      <c r="CM68" s="1083">
        <f t="shared" ca="1" si="181"/>
        <v>0</v>
      </c>
      <c r="CN68" s="1083">
        <f t="shared" ca="1" si="181"/>
        <v>0</v>
      </c>
      <c r="CO68" s="1083">
        <f t="shared" ca="1" si="181"/>
        <v>0</v>
      </c>
      <c r="CP68" s="1083">
        <f t="shared" ca="1" si="181"/>
        <v>0</v>
      </c>
      <c r="CQ68" s="1083">
        <f t="shared" ca="1" si="181"/>
        <v>0</v>
      </c>
      <c r="CR68" s="1083">
        <f t="shared" ca="1" si="181"/>
        <v>0</v>
      </c>
      <c r="CS68" s="1083">
        <f t="shared" ca="1" si="181"/>
        <v>0</v>
      </c>
      <c r="CT68" s="1083">
        <f t="shared" ca="1" si="181"/>
        <v>0</v>
      </c>
      <c r="CU68" s="1083">
        <f t="shared" ca="1" si="181"/>
        <v>0</v>
      </c>
      <c r="CV68" s="1083">
        <f t="shared" ca="1" si="181"/>
        <v>0</v>
      </c>
      <c r="CW68" s="1083">
        <f t="shared" ca="1" si="181"/>
        <v>0</v>
      </c>
      <c r="CX68" s="1083">
        <f t="shared" ca="1" si="181"/>
        <v>0</v>
      </c>
      <c r="CY68" s="1083">
        <f t="shared" ca="1" si="181"/>
        <v>0</v>
      </c>
      <c r="CZ68" s="1083">
        <f t="shared" ca="1" si="181"/>
        <v>0</v>
      </c>
      <c r="DA68" s="1083">
        <f t="shared" ca="1" si="181"/>
        <v>0</v>
      </c>
      <c r="DB68" s="1083">
        <f t="shared" ca="1" si="181"/>
        <v>0</v>
      </c>
      <c r="DC68" s="1083">
        <f t="shared" ca="1" si="181"/>
        <v>0</v>
      </c>
      <c r="DD68" s="1083">
        <f t="shared" ca="1" si="181"/>
        <v>0</v>
      </c>
      <c r="DE68" s="1083">
        <f t="shared" ca="1" si="181"/>
        <v>0</v>
      </c>
      <c r="DF68" s="1083">
        <f t="shared" ca="1" si="181"/>
        <v>0</v>
      </c>
      <c r="DH68" s="590">
        <f t="shared" ca="1" si="124"/>
        <v>0</v>
      </c>
    </row>
    <row r="69" spans="1:112" s="532" customFormat="1" ht="12.75" customHeight="1" outlineLevel="1">
      <c r="A69" s="22"/>
      <c r="B69" s="22"/>
      <c r="C69" s="535"/>
      <c r="D69" s="503"/>
      <c r="E69" s="503"/>
      <c r="G69" s="656"/>
      <c r="H69" s="656"/>
      <c r="I69" s="656"/>
      <c r="J69" s="656"/>
      <c r="K69" s="658"/>
      <c r="L69" s="656"/>
      <c r="M69" s="656"/>
      <c r="N69" s="656"/>
      <c r="O69" s="656"/>
      <c r="P69" s="656"/>
      <c r="Q69" s="656"/>
      <c r="S69" s="668"/>
      <c r="T69" s="668"/>
      <c r="U69" s="668"/>
      <c r="V69" s="668"/>
      <c r="W69" s="668"/>
      <c r="X69" s="668"/>
      <c r="Y69" s="668"/>
      <c r="Z69" s="668"/>
      <c r="AA69" s="668"/>
      <c r="AB69" s="668"/>
      <c r="AC69" s="668"/>
      <c r="AD69" s="668"/>
      <c r="AE69" s="668"/>
      <c r="AF69" s="668"/>
      <c r="AG69" s="668"/>
      <c r="AH69" s="668"/>
      <c r="AI69" s="668"/>
      <c r="AJ69" s="668"/>
      <c r="AK69" s="668"/>
      <c r="AM69" s="674"/>
      <c r="AN69" s="674"/>
      <c r="AO69" s="674"/>
      <c r="AP69" s="674"/>
      <c r="AQ69" s="674"/>
      <c r="AR69" s="674"/>
      <c r="AS69" s="674"/>
      <c r="AT69" s="674"/>
      <c r="AU69" s="674"/>
      <c r="AV69" s="674"/>
      <c r="AW69" s="674"/>
      <c r="AX69" s="674"/>
      <c r="AY69" s="674"/>
      <c r="AZ69" s="674"/>
      <c r="BA69" s="674"/>
      <c r="BB69" s="674"/>
      <c r="BC69" s="674"/>
      <c r="BD69" s="674"/>
      <c r="BE69" s="674"/>
      <c r="BF69" s="674"/>
      <c r="BH69" s="688"/>
      <c r="BI69" s="688"/>
      <c r="BJ69" s="688"/>
      <c r="BL69" s="505">
        <f t="shared" si="176"/>
        <v>0</v>
      </c>
      <c r="BM69" s="505"/>
      <c r="BN69" s="22"/>
      <c r="BO69" s="1083"/>
      <c r="BP69" s="1083"/>
      <c r="BQ69" s="1083"/>
      <c r="BR69" s="1083"/>
      <c r="BS69" s="1083"/>
      <c r="BT69" s="1083"/>
      <c r="BU69" s="1083"/>
      <c r="BV69" s="1083"/>
      <c r="BW69" s="1083"/>
      <c r="BX69" s="1083"/>
      <c r="BY69" s="1083"/>
      <c r="BZ69" s="1083"/>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c r="CU69" s="1083"/>
      <c r="CV69" s="1083"/>
      <c r="CW69" s="1083"/>
      <c r="CX69" s="1083"/>
      <c r="CY69" s="1083"/>
      <c r="CZ69" s="1083"/>
      <c r="DA69" s="1083"/>
      <c r="DB69" s="1083"/>
      <c r="DC69" s="1083"/>
      <c r="DD69" s="1083"/>
      <c r="DE69" s="1083"/>
      <c r="DF69" s="1083"/>
      <c r="DH69" s="590">
        <f t="shared" si="124"/>
        <v>0</v>
      </c>
    </row>
    <row r="70" spans="1:112" s="1092" customFormat="1" ht="12.75" customHeight="1" outlineLevel="1">
      <c r="C70" s="1101" t="s">
        <v>1059</v>
      </c>
      <c r="D70" s="1102" t="s">
        <v>983</v>
      </c>
      <c r="E70" s="1102"/>
      <c r="F70" s="1262"/>
      <c r="G70" s="759"/>
      <c r="H70" s="759"/>
      <c r="I70" s="759"/>
      <c r="J70" s="759"/>
      <c r="K70" s="760"/>
      <c r="L70" s="759"/>
      <c r="M70" s="759"/>
      <c r="N70" s="759"/>
      <c r="O70" s="759"/>
      <c r="P70" s="759"/>
      <c r="Q70" s="759"/>
      <c r="R70" s="1262"/>
      <c r="S70" s="761"/>
      <c r="T70" s="761"/>
      <c r="U70" s="761"/>
      <c r="V70" s="761"/>
      <c r="W70" s="761"/>
      <c r="X70" s="761"/>
      <c r="Y70" s="761"/>
      <c r="Z70" s="761"/>
      <c r="AA70" s="761"/>
      <c r="AB70" s="761">
        <f ca="1">AB$40+AB$46+AB$51+AB$99+AB$55+AB$63+AB$68</f>
        <v>0</v>
      </c>
      <c r="AC70" s="761"/>
      <c r="AD70" s="761"/>
      <c r="AE70" s="761"/>
      <c r="AF70" s="761"/>
      <c r="AG70" s="761"/>
      <c r="AH70" s="761"/>
      <c r="AI70" s="761"/>
      <c r="AJ70" s="761"/>
      <c r="AK70" s="761"/>
      <c r="AL70" s="1262"/>
      <c r="AM70" s="762"/>
      <c r="AN70" s="762"/>
      <c r="AO70" s="762"/>
      <c r="AP70" s="762"/>
      <c r="AQ70" s="762"/>
      <c r="AR70" s="762"/>
      <c r="AS70" s="762"/>
      <c r="AT70" s="762"/>
      <c r="AU70" s="762"/>
      <c r="AV70" s="762"/>
      <c r="AW70" s="762"/>
      <c r="AX70" s="762"/>
      <c r="AY70" s="762"/>
      <c r="AZ70" s="762"/>
      <c r="BA70" s="762"/>
      <c r="BB70" s="762"/>
      <c r="BC70" s="762"/>
      <c r="BD70" s="762"/>
      <c r="BE70" s="762"/>
      <c r="BF70" s="762"/>
      <c r="BG70" s="1262"/>
      <c r="BH70" s="763"/>
      <c r="BI70" s="763"/>
      <c r="BJ70" s="763">
        <f>SUM(BH70:BI70)</f>
        <v>0</v>
      </c>
      <c r="BK70" s="1262"/>
      <c r="BL70" s="1103">
        <f t="shared" si="176"/>
        <v>0</v>
      </c>
      <c r="BM70" s="1103"/>
      <c r="BO70" s="1268"/>
      <c r="BP70" s="1268"/>
      <c r="BQ70" s="1268"/>
      <c r="BR70" s="1268"/>
      <c r="BS70" s="1268"/>
      <c r="BT70" s="1268"/>
      <c r="BU70" s="1268"/>
      <c r="BV70" s="1268"/>
      <c r="BW70" s="1268"/>
      <c r="BX70" s="1268"/>
      <c r="BY70" s="1268"/>
      <c r="BZ70" s="1268"/>
      <c r="CA70" s="1268"/>
      <c r="CB70" s="1268"/>
      <c r="CC70" s="1268"/>
      <c r="CD70" s="1268"/>
      <c r="CE70" s="1268"/>
      <c r="CF70" s="1268"/>
      <c r="CG70" s="1268"/>
      <c r="CH70" s="1268"/>
      <c r="CI70" s="1268"/>
      <c r="CJ70" s="1268"/>
      <c r="CK70" s="1268"/>
      <c r="CL70" s="1268"/>
      <c r="CM70" s="1268"/>
      <c r="CN70" s="1268"/>
      <c r="CO70" s="1268"/>
      <c r="CP70" s="1268"/>
      <c r="CQ70" s="1268"/>
      <c r="CR70" s="1268"/>
      <c r="CS70" s="1268"/>
      <c r="CT70" s="1268"/>
      <c r="CU70" s="1268"/>
      <c r="CV70" s="1268"/>
      <c r="CW70" s="1268"/>
      <c r="CX70" s="1268"/>
      <c r="CY70" s="1268"/>
      <c r="CZ70" s="1268"/>
      <c r="DA70" s="1268"/>
      <c r="DB70" s="1268"/>
      <c r="DC70" s="1268"/>
      <c r="DD70" s="1268"/>
      <c r="DE70" s="1268"/>
      <c r="DF70" s="1268"/>
      <c r="DH70" s="1267">
        <f t="shared" si="124"/>
        <v>0</v>
      </c>
    </row>
    <row r="71" spans="1:112" s="1085" customFormat="1" ht="12.75" customHeight="1" outlineLevel="1">
      <c r="C71" s="534" t="s">
        <v>981</v>
      </c>
      <c r="D71" s="707" t="str">
        <f>INDEX(Modules[Module], MATCH($C71, Modules[Code], 0))</f>
        <v>District heating effective demand</v>
      </c>
      <c r="E71" s="707"/>
      <c r="F71" s="532"/>
      <c r="G71" s="719">
        <f t="shared" ref="G71:P71" ca="1" si="182">IFERROR(INDEX(INDIRECT($C71&amp;".Outputs["&amp;this.Year&amp;"]"), MATCH(G$5, INDIRECT($C71&amp;".Outputs[Vector]"), 0)), 0)</f>
        <v>0</v>
      </c>
      <c r="H71" s="719">
        <f t="shared" ca="1" si="182"/>
        <v>0</v>
      </c>
      <c r="I71" s="719">
        <f t="shared" ca="1" si="182"/>
        <v>0</v>
      </c>
      <c r="J71" s="719">
        <f t="shared" ca="1" si="182"/>
        <v>0</v>
      </c>
      <c r="K71" s="719">
        <f t="shared" ca="1" si="182"/>
        <v>0</v>
      </c>
      <c r="L71" s="719">
        <f t="shared" ca="1" si="182"/>
        <v>0</v>
      </c>
      <c r="M71" s="719">
        <f t="shared" ca="1" si="182"/>
        <v>0</v>
      </c>
      <c r="N71" s="719">
        <f t="shared" ca="1" si="182"/>
        <v>0</v>
      </c>
      <c r="O71" s="719">
        <f t="shared" ca="1" si="182"/>
        <v>0</v>
      </c>
      <c r="P71" s="719">
        <f t="shared" ca="1" si="182"/>
        <v>0</v>
      </c>
      <c r="Q71" s="717">
        <f ca="1">SUM(G71:P71)</f>
        <v>0</v>
      </c>
      <c r="R71" s="532"/>
      <c r="S71" s="728">
        <f t="shared" ref="S71:BE71" ca="1" si="183">IFERROR(INDEX(INDIRECT($C71&amp;".Outputs["&amp;this.Year&amp;"]"), MATCH(S$5, INDIRECT($C71&amp;".Outputs[Vector]"), 0)), 0)</f>
        <v>0</v>
      </c>
      <c r="T71" s="728">
        <f t="shared" ca="1" si="183"/>
        <v>0</v>
      </c>
      <c r="U71" s="728">
        <f t="shared" ca="1" si="183"/>
        <v>0</v>
      </c>
      <c r="V71" s="728">
        <f t="shared" ca="1" si="183"/>
        <v>0</v>
      </c>
      <c r="W71" s="728">
        <f t="shared" ca="1" si="183"/>
        <v>0</v>
      </c>
      <c r="X71" s="728">
        <f ca="1">IFERROR(INDEX(INDIRECT($C71&amp;".Outputs["&amp;this.Year&amp;"]"), MATCH(X$5, INDIRECT($C71&amp;".Outputs[Vector]"), 0)), 0)</f>
        <v>0</v>
      </c>
      <c r="Y71" s="728">
        <f ca="1">IFERROR(INDEX(INDIRECT($C71&amp;".Outputs["&amp;this.Year&amp;"]"), MATCH(Y$5, INDIRECT($C71&amp;".Outputs[Vector]"), 0)), 0)</f>
        <v>0</v>
      </c>
      <c r="Z71" s="728">
        <f ca="1">IFERROR(INDEX(INDIRECT($C71&amp;".Outputs["&amp;this.Year&amp;"]"), MATCH(Z$5, INDIRECT($C71&amp;".Outputs[Vector]"), 0)), 0)</f>
        <v>0</v>
      </c>
      <c r="AA71" s="728">
        <f t="shared" ca="1" si="183"/>
        <v>0</v>
      </c>
      <c r="AB71" s="728">
        <f t="shared" ca="1" si="183"/>
        <v>0</v>
      </c>
      <c r="AC71" s="728">
        <f t="shared" ca="1" si="183"/>
        <v>0</v>
      </c>
      <c r="AD71" s="728">
        <f t="shared" ca="1" si="183"/>
        <v>0</v>
      </c>
      <c r="AE71" s="728">
        <f t="shared" ca="1" si="183"/>
        <v>0</v>
      </c>
      <c r="AF71" s="728">
        <f t="shared" ca="1" si="183"/>
        <v>0</v>
      </c>
      <c r="AG71" s="728">
        <f t="shared" ca="1" si="183"/>
        <v>0</v>
      </c>
      <c r="AH71" s="728">
        <f t="shared" ca="1" si="183"/>
        <v>0</v>
      </c>
      <c r="AI71" s="728">
        <f t="shared" ca="1" si="183"/>
        <v>0</v>
      </c>
      <c r="AJ71" s="728">
        <f t="shared" ca="1" si="183"/>
        <v>0</v>
      </c>
      <c r="AK71" s="727">
        <f ca="1">SUM(S71:AJ71)</f>
        <v>0</v>
      </c>
      <c r="AL71" s="532"/>
      <c r="AM71" s="739">
        <f t="shared" ref="AM71:AU71" ca="1" si="184">IFERROR(INDEX(INDIRECT($C71&amp;".Outputs["&amp;this.Year&amp;"]"), MATCH(AM$5, INDIRECT($C71&amp;".Outputs[Vector]"), 0)), 0)</f>
        <v>0</v>
      </c>
      <c r="AN71" s="739">
        <f t="shared" ca="1" si="184"/>
        <v>0</v>
      </c>
      <c r="AO71" s="739">
        <f t="shared" ca="1" si="184"/>
        <v>0</v>
      </c>
      <c r="AP71" s="739">
        <f t="shared" ca="1" si="184"/>
        <v>0</v>
      </c>
      <c r="AQ71" s="739">
        <f t="shared" ca="1" si="184"/>
        <v>0</v>
      </c>
      <c r="AR71" s="739">
        <f t="shared" ca="1" si="184"/>
        <v>0</v>
      </c>
      <c r="AS71" s="739">
        <f t="shared" ca="1" si="184"/>
        <v>0</v>
      </c>
      <c r="AT71" s="739">
        <f t="shared" ca="1" si="184"/>
        <v>0</v>
      </c>
      <c r="AU71" s="739">
        <f t="shared" ca="1" si="184"/>
        <v>0</v>
      </c>
      <c r="AV71" s="739">
        <f t="shared" ca="1" si="183"/>
        <v>0</v>
      </c>
      <c r="AW71" s="739">
        <f t="shared" ca="1" si="183"/>
        <v>0</v>
      </c>
      <c r="AX71" s="739">
        <f t="shared" ca="1" si="183"/>
        <v>0</v>
      </c>
      <c r="AY71" s="739">
        <f t="shared" ca="1" si="183"/>
        <v>0</v>
      </c>
      <c r="AZ71" s="739">
        <f t="shared" ca="1" si="183"/>
        <v>0</v>
      </c>
      <c r="BA71" s="739">
        <f t="shared" ca="1" si="183"/>
        <v>0</v>
      </c>
      <c r="BB71" s="739">
        <f t="shared" ca="1" si="183"/>
        <v>0</v>
      </c>
      <c r="BC71" s="739">
        <f t="shared" ca="1" si="183"/>
        <v>0</v>
      </c>
      <c r="BD71" s="739">
        <f t="shared" ca="1" si="183"/>
        <v>0</v>
      </c>
      <c r="BE71" s="739">
        <f t="shared" ca="1" si="183"/>
        <v>0</v>
      </c>
      <c r="BF71" s="709">
        <f ca="1">SUM(AM71:BE71)</f>
        <v>0</v>
      </c>
      <c r="BG71" s="532"/>
      <c r="BH71" s="733">
        <f ca="1">IFERROR(INDEX(INDIRECT($C71&amp;".Outputs["&amp;this.Year&amp;"]"), MATCH(BH$5, INDIRECT($C71&amp;".Outputs[Vector]"), 0)), 0)</f>
        <v>0</v>
      </c>
      <c r="BI71" s="733">
        <f ca="1">IFERROR(INDEX(INDIRECT($C71&amp;".Outputs["&amp;this.Year&amp;"]"), MATCH(BI$5, INDIRECT($C71&amp;".Outputs[Vector]"), 0)), 0)</f>
        <v>0</v>
      </c>
      <c r="BJ71" s="732">
        <f ca="1">SUM(BH71:BI71)</f>
        <v>0</v>
      </c>
      <c r="BK71" s="532"/>
      <c r="BL71" s="576">
        <f ca="1">Q71+AK71+BF71+BJ71</f>
        <v>0</v>
      </c>
      <c r="BM71" s="576"/>
      <c r="BN71" s="592"/>
      <c r="BO71" s="1086">
        <f t="shared" ref="BO71:DF71" ca="1" si="185">IFERROR(SUMIFS(INDIRECT($C71&amp;".Emissions["&amp;this.Year&amp;"]"), INDIRECT($C71&amp;".Emissions[GHG]"), BO$6, INDIRECT($C71&amp;".Emissions[IPCC Sector]"), BO$5),0)</f>
        <v>0</v>
      </c>
      <c r="BP71" s="1087">
        <f t="shared" ca="1" si="185"/>
        <v>0</v>
      </c>
      <c r="BQ71" s="1087">
        <f t="shared" ca="1" si="185"/>
        <v>0</v>
      </c>
      <c r="BR71" s="1087">
        <f t="shared" ca="1" si="185"/>
        <v>0</v>
      </c>
      <c r="BS71" s="1087">
        <f t="shared" ca="1" si="185"/>
        <v>0</v>
      </c>
      <c r="BT71" s="1087">
        <f t="shared" ca="1" si="185"/>
        <v>0</v>
      </c>
      <c r="BU71" s="1087">
        <f t="shared" ca="1" si="185"/>
        <v>0</v>
      </c>
      <c r="BV71" s="1087">
        <f t="shared" ca="1" si="185"/>
        <v>0</v>
      </c>
      <c r="BW71" s="1087">
        <f t="shared" ca="1" si="185"/>
        <v>0</v>
      </c>
      <c r="BX71" s="1087">
        <f t="shared" ca="1" si="185"/>
        <v>0</v>
      </c>
      <c r="BY71" s="1087">
        <f t="shared" ca="1" si="185"/>
        <v>0</v>
      </c>
      <c r="BZ71" s="1087">
        <f t="shared" ca="1" si="185"/>
        <v>0</v>
      </c>
      <c r="CA71" s="1087">
        <f t="shared" ca="1" si="185"/>
        <v>0</v>
      </c>
      <c r="CB71" s="1087">
        <f t="shared" ca="1" si="185"/>
        <v>0</v>
      </c>
      <c r="CC71" s="1087">
        <f t="shared" ca="1" si="185"/>
        <v>0</v>
      </c>
      <c r="CD71" s="1087">
        <f t="shared" ca="1" si="185"/>
        <v>0</v>
      </c>
      <c r="CE71" s="1087">
        <f t="shared" ca="1" si="185"/>
        <v>0</v>
      </c>
      <c r="CF71" s="1087">
        <f t="shared" ca="1" si="185"/>
        <v>0</v>
      </c>
      <c r="CG71" s="1087">
        <f t="shared" ca="1" si="185"/>
        <v>0</v>
      </c>
      <c r="CH71" s="1087">
        <f t="shared" ca="1" si="185"/>
        <v>0</v>
      </c>
      <c r="CI71" s="1087">
        <f t="shared" ca="1" si="185"/>
        <v>0</v>
      </c>
      <c r="CJ71" s="1087">
        <f t="shared" ca="1" si="185"/>
        <v>0</v>
      </c>
      <c r="CK71" s="1087">
        <f t="shared" ca="1" si="185"/>
        <v>0</v>
      </c>
      <c r="CL71" s="1087">
        <f t="shared" ca="1" si="185"/>
        <v>0</v>
      </c>
      <c r="CM71" s="1087">
        <f t="shared" ca="1" si="185"/>
        <v>0</v>
      </c>
      <c r="CN71" s="1087">
        <f t="shared" ca="1" si="185"/>
        <v>0</v>
      </c>
      <c r="CO71" s="1087">
        <f t="shared" ca="1" si="185"/>
        <v>0</v>
      </c>
      <c r="CP71" s="1087">
        <f t="shared" ca="1" si="185"/>
        <v>0</v>
      </c>
      <c r="CQ71" s="1087">
        <f t="shared" ca="1" si="185"/>
        <v>0</v>
      </c>
      <c r="CR71" s="1087">
        <f t="shared" ca="1" si="185"/>
        <v>0</v>
      </c>
      <c r="CS71" s="1087">
        <f t="shared" ca="1" si="185"/>
        <v>0</v>
      </c>
      <c r="CT71" s="1087">
        <f t="shared" ca="1" si="185"/>
        <v>0</v>
      </c>
      <c r="CU71" s="1087">
        <f t="shared" ca="1" si="185"/>
        <v>0</v>
      </c>
      <c r="CV71" s="1087">
        <f t="shared" ca="1" si="185"/>
        <v>0</v>
      </c>
      <c r="CW71" s="1087">
        <f t="shared" ca="1" si="185"/>
        <v>0</v>
      </c>
      <c r="CX71" s="1087">
        <f t="shared" ca="1" si="185"/>
        <v>0</v>
      </c>
      <c r="CY71" s="1087">
        <f t="shared" ca="1" si="185"/>
        <v>0</v>
      </c>
      <c r="CZ71" s="1087">
        <f t="shared" ca="1" si="185"/>
        <v>0</v>
      </c>
      <c r="DA71" s="1087">
        <f t="shared" ca="1" si="185"/>
        <v>0</v>
      </c>
      <c r="DB71" s="1087">
        <f t="shared" ca="1" si="185"/>
        <v>0</v>
      </c>
      <c r="DC71" s="1087">
        <f t="shared" ca="1" si="185"/>
        <v>0</v>
      </c>
      <c r="DD71" s="1087">
        <f t="shared" ca="1" si="185"/>
        <v>0</v>
      </c>
      <c r="DE71" s="1087">
        <f t="shared" ca="1" si="185"/>
        <v>0</v>
      </c>
      <c r="DF71" s="1087">
        <f t="shared" ca="1" si="185"/>
        <v>0</v>
      </c>
      <c r="DH71" s="590">
        <f t="shared" ca="1" si="124"/>
        <v>0</v>
      </c>
    </row>
    <row r="72" spans="1:112" s="532" customFormat="1" ht="15">
      <c r="A72" s="22"/>
      <c r="B72" s="537"/>
      <c r="C72" s="533" t="s">
        <v>979</v>
      </c>
      <c r="D72" s="507" t="str">
        <f>INDEX(Workstreams[Workstream], MATCH($C72, Workstreams[Code], 0))</f>
        <v>District heating</v>
      </c>
      <c r="E72" s="503"/>
      <c r="G72" s="718">
        <f ca="1">G71</f>
        <v>0</v>
      </c>
      <c r="H72" s="718">
        <f t="shared" ref="H72:P72" ca="1" si="186">H71</f>
        <v>0</v>
      </c>
      <c r="I72" s="718">
        <f t="shared" ca="1" si="186"/>
        <v>0</v>
      </c>
      <c r="J72" s="718">
        <f t="shared" ca="1" si="186"/>
        <v>0</v>
      </c>
      <c r="K72" s="718">
        <f t="shared" ca="1" si="186"/>
        <v>0</v>
      </c>
      <c r="L72" s="718">
        <f t="shared" ca="1" si="186"/>
        <v>0</v>
      </c>
      <c r="M72" s="718">
        <f t="shared" ca="1" si="186"/>
        <v>0</v>
      </c>
      <c r="N72" s="718">
        <f t="shared" ca="1" si="186"/>
        <v>0</v>
      </c>
      <c r="O72" s="718">
        <f t="shared" ca="1" si="186"/>
        <v>0</v>
      </c>
      <c r="P72" s="718">
        <f t="shared" ca="1" si="186"/>
        <v>0</v>
      </c>
      <c r="Q72" s="718">
        <f ca="1">SUM(G72:P72)</f>
        <v>0</v>
      </c>
      <c r="S72" s="668">
        <f t="shared" ref="S72:AJ72" ca="1" si="187">S71</f>
        <v>0</v>
      </c>
      <c r="T72" s="668">
        <f t="shared" ca="1" si="187"/>
        <v>0</v>
      </c>
      <c r="U72" s="668">
        <f t="shared" ca="1" si="187"/>
        <v>0</v>
      </c>
      <c r="V72" s="668">
        <f t="shared" ca="1" si="187"/>
        <v>0</v>
      </c>
      <c r="W72" s="668">
        <f t="shared" ca="1" si="187"/>
        <v>0</v>
      </c>
      <c r="X72" s="668">
        <f t="shared" ca="1" si="187"/>
        <v>0</v>
      </c>
      <c r="Y72" s="668">
        <f t="shared" ca="1" si="187"/>
        <v>0</v>
      </c>
      <c r="Z72" s="668">
        <f t="shared" ca="1" si="187"/>
        <v>0</v>
      </c>
      <c r="AA72" s="668">
        <f t="shared" ca="1" si="187"/>
        <v>0</v>
      </c>
      <c r="AB72" s="668">
        <f t="shared" ca="1" si="187"/>
        <v>0</v>
      </c>
      <c r="AC72" s="668">
        <f t="shared" ca="1" si="187"/>
        <v>0</v>
      </c>
      <c r="AD72" s="668">
        <f ca="1">AD71</f>
        <v>0</v>
      </c>
      <c r="AE72" s="668">
        <f ca="1">AE71</f>
        <v>0</v>
      </c>
      <c r="AF72" s="668">
        <f t="shared" ca="1" si="187"/>
        <v>0</v>
      </c>
      <c r="AG72" s="668">
        <f t="shared" ca="1" si="187"/>
        <v>0</v>
      </c>
      <c r="AH72" s="668">
        <f ca="1">AH71</f>
        <v>0</v>
      </c>
      <c r="AI72" s="668">
        <f ca="1">AI71</f>
        <v>0</v>
      </c>
      <c r="AJ72" s="668">
        <f t="shared" ca="1" si="187"/>
        <v>0</v>
      </c>
      <c r="AK72" s="668">
        <f ca="1">SUM(S72:AJ72)</f>
        <v>0</v>
      </c>
      <c r="AM72" s="674">
        <f ca="1">AM71</f>
        <v>0</v>
      </c>
      <c r="AN72" s="674">
        <f t="shared" ref="AN72:BE72" ca="1" si="188">AN71</f>
        <v>0</v>
      </c>
      <c r="AO72" s="674">
        <f t="shared" ca="1" si="188"/>
        <v>0</v>
      </c>
      <c r="AP72" s="674">
        <f t="shared" ca="1" si="188"/>
        <v>0</v>
      </c>
      <c r="AQ72" s="674">
        <f t="shared" ca="1" si="188"/>
        <v>0</v>
      </c>
      <c r="AR72" s="674">
        <f t="shared" ca="1" si="188"/>
        <v>0</v>
      </c>
      <c r="AS72" s="674">
        <f t="shared" ca="1" si="188"/>
        <v>0</v>
      </c>
      <c r="AT72" s="674">
        <f t="shared" ca="1" si="188"/>
        <v>0</v>
      </c>
      <c r="AU72" s="674">
        <f t="shared" ca="1" si="188"/>
        <v>0</v>
      </c>
      <c r="AV72" s="674">
        <f t="shared" ca="1" si="188"/>
        <v>0</v>
      </c>
      <c r="AW72" s="674">
        <f t="shared" ca="1" si="188"/>
        <v>0</v>
      </c>
      <c r="AX72" s="674">
        <f t="shared" ca="1" si="188"/>
        <v>0</v>
      </c>
      <c r="AY72" s="674">
        <f t="shared" ca="1" si="188"/>
        <v>0</v>
      </c>
      <c r="AZ72" s="674">
        <f t="shared" ca="1" si="188"/>
        <v>0</v>
      </c>
      <c r="BA72" s="674">
        <f t="shared" ca="1" si="188"/>
        <v>0</v>
      </c>
      <c r="BB72" s="674">
        <f t="shared" ca="1" si="188"/>
        <v>0</v>
      </c>
      <c r="BC72" s="674">
        <f t="shared" ca="1" si="188"/>
        <v>0</v>
      </c>
      <c r="BD72" s="674">
        <f t="shared" ca="1" si="188"/>
        <v>0</v>
      </c>
      <c r="BE72" s="674">
        <f t="shared" ca="1" si="188"/>
        <v>0</v>
      </c>
      <c r="BF72" s="674">
        <f ca="1">SUM(AM72:BE72)</f>
        <v>0</v>
      </c>
      <c r="BH72" s="688">
        <f ca="1">BH71</f>
        <v>0</v>
      </c>
      <c r="BI72" s="688">
        <f ca="1">BI71</f>
        <v>0</v>
      </c>
      <c r="BJ72" s="688">
        <f ca="1">SUM(BH72:BI72)</f>
        <v>0</v>
      </c>
      <c r="BL72" s="505">
        <f ca="1">Q72+AK72+BF72+BJ72</f>
        <v>0</v>
      </c>
      <c r="BM72" s="505"/>
      <c r="BN72" s="592"/>
      <c r="BO72" s="1083">
        <f t="shared" ref="BO72:DF72" ca="1" si="189">BO71</f>
        <v>0</v>
      </c>
      <c r="BP72" s="1083">
        <f t="shared" ca="1" si="189"/>
        <v>0</v>
      </c>
      <c r="BQ72" s="1083">
        <f t="shared" ca="1" si="189"/>
        <v>0</v>
      </c>
      <c r="BR72" s="1083">
        <f t="shared" ca="1" si="189"/>
        <v>0</v>
      </c>
      <c r="BS72" s="1083">
        <f t="shared" ca="1" si="189"/>
        <v>0</v>
      </c>
      <c r="BT72" s="1083">
        <f t="shared" ca="1" si="189"/>
        <v>0</v>
      </c>
      <c r="BU72" s="1083">
        <f t="shared" ca="1" si="189"/>
        <v>0</v>
      </c>
      <c r="BV72" s="1083">
        <f t="shared" ca="1" si="189"/>
        <v>0</v>
      </c>
      <c r="BW72" s="1083">
        <f t="shared" ca="1" si="189"/>
        <v>0</v>
      </c>
      <c r="BX72" s="1083">
        <f t="shared" ca="1" si="189"/>
        <v>0</v>
      </c>
      <c r="BY72" s="1083">
        <f t="shared" ca="1" si="189"/>
        <v>0</v>
      </c>
      <c r="BZ72" s="1083">
        <f t="shared" ca="1" si="189"/>
        <v>0</v>
      </c>
      <c r="CA72" s="1083">
        <f t="shared" ca="1" si="189"/>
        <v>0</v>
      </c>
      <c r="CB72" s="1083">
        <f t="shared" ca="1" si="189"/>
        <v>0</v>
      </c>
      <c r="CC72" s="1083">
        <f t="shared" ca="1" si="189"/>
        <v>0</v>
      </c>
      <c r="CD72" s="1083">
        <f t="shared" ca="1" si="189"/>
        <v>0</v>
      </c>
      <c r="CE72" s="1083">
        <f t="shared" ca="1" si="189"/>
        <v>0</v>
      </c>
      <c r="CF72" s="1083">
        <f t="shared" ca="1" si="189"/>
        <v>0</v>
      </c>
      <c r="CG72" s="1083">
        <f t="shared" ca="1" si="189"/>
        <v>0</v>
      </c>
      <c r="CH72" s="1083">
        <f t="shared" ca="1" si="189"/>
        <v>0</v>
      </c>
      <c r="CI72" s="1083">
        <f t="shared" ca="1" si="189"/>
        <v>0</v>
      </c>
      <c r="CJ72" s="1083">
        <f t="shared" ca="1" si="189"/>
        <v>0</v>
      </c>
      <c r="CK72" s="1083">
        <f t="shared" ca="1" si="189"/>
        <v>0</v>
      </c>
      <c r="CL72" s="1083">
        <f t="shared" ca="1" si="189"/>
        <v>0</v>
      </c>
      <c r="CM72" s="1083">
        <f t="shared" ca="1" si="189"/>
        <v>0</v>
      </c>
      <c r="CN72" s="1083">
        <f t="shared" ca="1" si="189"/>
        <v>0</v>
      </c>
      <c r="CO72" s="1083">
        <f t="shared" ca="1" si="189"/>
        <v>0</v>
      </c>
      <c r="CP72" s="1083">
        <f t="shared" ca="1" si="189"/>
        <v>0</v>
      </c>
      <c r="CQ72" s="1083">
        <f t="shared" ca="1" si="189"/>
        <v>0</v>
      </c>
      <c r="CR72" s="1083">
        <f t="shared" ca="1" si="189"/>
        <v>0</v>
      </c>
      <c r="CS72" s="1083">
        <f t="shared" ca="1" si="189"/>
        <v>0</v>
      </c>
      <c r="CT72" s="1083">
        <f t="shared" ca="1" si="189"/>
        <v>0</v>
      </c>
      <c r="CU72" s="1083">
        <f t="shared" ca="1" si="189"/>
        <v>0</v>
      </c>
      <c r="CV72" s="1083">
        <f t="shared" ca="1" si="189"/>
        <v>0</v>
      </c>
      <c r="CW72" s="1083">
        <f t="shared" ca="1" si="189"/>
        <v>0</v>
      </c>
      <c r="CX72" s="1083">
        <f t="shared" ca="1" si="189"/>
        <v>0</v>
      </c>
      <c r="CY72" s="1083">
        <f t="shared" ca="1" si="189"/>
        <v>0</v>
      </c>
      <c r="CZ72" s="1083">
        <f t="shared" ca="1" si="189"/>
        <v>0</v>
      </c>
      <c r="DA72" s="1083">
        <f t="shared" ca="1" si="189"/>
        <v>0</v>
      </c>
      <c r="DB72" s="1083">
        <f t="shared" ca="1" si="189"/>
        <v>0</v>
      </c>
      <c r="DC72" s="1083">
        <f t="shared" ca="1" si="189"/>
        <v>0</v>
      </c>
      <c r="DD72" s="1083">
        <f t="shared" ca="1" si="189"/>
        <v>0</v>
      </c>
      <c r="DE72" s="1083">
        <f t="shared" ca="1" si="189"/>
        <v>0</v>
      </c>
      <c r="DF72" s="1083">
        <f t="shared" ca="1" si="189"/>
        <v>0</v>
      </c>
      <c r="DH72" s="590">
        <f t="shared" ca="1" si="124"/>
        <v>0</v>
      </c>
    </row>
    <row r="73" spans="1:112" s="532" customFormat="1" ht="12.75" customHeight="1" outlineLevel="1">
      <c r="A73" s="22"/>
      <c r="B73" s="22"/>
      <c r="C73" s="535"/>
      <c r="D73" s="503"/>
      <c r="E73" s="503"/>
      <c r="G73" s="656"/>
      <c r="H73" s="656"/>
      <c r="I73" s="656"/>
      <c r="J73" s="656"/>
      <c r="K73" s="658"/>
      <c r="L73" s="656"/>
      <c r="M73" s="656"/>
      <c r="N73" s="656"/>
      <c r="O73" s="656"/>
      <c r="P73" s="656"/>
      <c r="Q73" s="656"/>
      <c r="S73" s="668"/>
      <c r="T73" s="668"/>
      <c r="U73" s="668"/>
      <c r="V73" s="668"/>
      <c r="W73" s="668"/>
      <c r="X73" s="668"/>
      <c r="Y73" s="668"/>
      <c r="Z73" s="668"/>
      <c r="AA73" s="668"/>
      <c r="AB73" s="668"/>
      <c r="AC73" s="668"/>
      <c r="AD73" s="668"/>
      <c r="AE73" s="668"/>
      <c r="AF73" s="668"/>
      <c r="AG73" s="668"/>
      <c r="AH73" s="668"/>
      <c r="AI73" s="668"/>
      <c r="AJ73" s="668"/>
      <c r="AK73" s="668"/>
      <c r="AM73" s="674"/>
      <c r="AN73" s="674"/>
      <c r="AO73" s="674"/>
      <c r="AP73" s="674"/>
      <c r="AQ73" s="674"/>
      <c r="AR73" s="674"/>
      <c r="AS73" s="674"/>
      <c r="AT73" s="674"/>
      <c r="AU73" s="674"/>
      <c r="AV73" s="674"/>
      <c r="AW73" s="674"/>
      <c r="AX73" s="674"/>
      <c r="AY73" s="674"/>
      <c r="AZ73" s="674"/>
      <c r="BA73" s="674"/>
      <c r="BB73" s="674"/>
      <c r="BC73" s="674"/>
      <c r="BD73" s="674"/>
      <c r="BE73" s="674"/>
      <c r="BF73" s="674"/>
      <c r="BH73" s="688"/>
      <c r="BI73" s="688"/>
      <c r="BJ73" s="688"/>
      <c r="BL73" s="505"/>
      <c r="BM73" s="505"/>
      <c r="BN73" s="22"/>
      <c r="BO73" s="1083"/>
      <c r="BP73" s="1083"/>
      <c r="BQ73" s="1083"/>
      <c r="BR73" s="1083"/>
      <c r="BS73" s="1083"/>
      <c r="BT73" s="1083"/>
      <c r="BU73" s="1083"/>
      <c r="BV73" s="1083"/>
      <c r="BW73" s="1083"/>
      <c r="BX73" s="1083"/>
      <c r="BY73" s="1083"/>
      <c r="BZ73" s="1083"/>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c r="CU73" s="1083"/>
      <c r="CV73" s="1083"/>
      <c r="CW73" s="1083"/>
      <c r="CX73" s="1083"/>
      <c r="CY73" s="1083"/>
      <c r="CZ73" s="1083"/>
      <c r="DA73" s="1083"/>
      <c r="DB73" s="1083"/>
      <c r="DC73" s="1083"/>
      <c r="DD73" s="1083"/>
      <c r="DE73" s="1083"/>
      <c r="DF73" s="1083"/>
      <c r="DH73" s="590">
        <f t="shared" si="124"/>
        <v>0</v>
      </c>
    </row>
    <row r="74" spans="1:112" s="1089" customFormat="1" ht="12.75" customHeight="1" outlineLevel="1">
      <c r="C74" s="743" t="s">
        <v>1060</v>
      </c>
      <c r="D74" s="744" t="s">
        <v>977</v>
      </c>
      <c r="E74" s="744"/>
      <c r="F74" s="532"/>
      <c r="G74" s="745"/>
      <c r="H74" s="745"/>
      <c r="I74" s="745"/>
      <c r="J74" s="745"/>
      <c r="K74" s="746"/>
      <c r="L74" s="745"/>
      <c r="M74" s="745"/>
      <c r="N74" s="745"/>
      <c r="O74" s="745"/>
      <c r="P74" s="745"/>
      <c r="Q74" s="745"/>
      <c r="R74" s="532"/>
      <c r="S74" s="747">
        <f ca="1">S$40+S$46+S$51+S$99+S$55+S$93+S$63+S$68+S$72</f>
        <v>0</v>
      </c>
      <c r="T74" s="747">
        <f ca="1">T$40+T$46+T$51+T$99+T$55+T$93+T$63+T$68+T$72</f>
        <v>0</v>
      </c>
      <c r="U74" s="747"/>
      <c r="V74" s="747"/>
      <c r="W74" s="747"/>
      <c r="X74" s="747"/>
      <c r="Y74" s="747"/>
      <c r="Z74" s="747"/>
      <c r="AA74" s="747"/>
      <c r="AB74" s="747"/>
      <c r="AC74" s="747"/>
      <c r="AD74" s="747"/>
      <c r="AE74" s="747"/>
      <c r="AF74" s="747"/>
      <c r="AG74" s="747"/>
      <c r="AH74" s="747"/>
      <c r="AI74" s="747"/>
      <c r="AJ74" s="747"/>
      <c r="AK74" s="747"/>
      <c r="AL74" s="532"/>
      <c r="AM74" s="748"/>
      <c r="AN74" s="748"/>
      <c r="AO74" s="748"/>
      <c r="AP74" s="748"/>
      <c r="AQ74" s="748"/>
      <c r="AR74" s="748"/>
      <c r="AS74" s="748"/>
      <c r="AT74" s="748"/>
      <c r="AU74" s="748"/>
      <c r="AV74" s="748"/>
      <c r="AW74" s="748"/>
      <c r="AX74" s="748"/>
      <c r="AY74" s="748"/>
      <c r="AZ74" s="748"/>
      <c r="BA74" s="748"/>
      <c r="BB74" s="748"/>
      <c r="BC74" s="748"/>
      <c r="BD74" s="748"/>
      <c r="BE74" s="748"/>
      <c r="BF74" s="748"/>
      <c r="BG74" s="532"/>
      <c r="BH74" s="749"/>
      <c r="BI74" s="749"/>
      <c r="BJ74" s="749">
        <f>SUM(BH74:BI74)</f>
        <v>0</v>
      </c>
      <c r="BK74" s="532"/>
      <c r="BL74" s="603">
        <f t="shared" ref="BL74:BL80" si="190">Q74+AK74+BF74+BJ74</f>
        <v>0</v>
      </c>
      <c r="BM74" s="603"/>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c r="CU74" s="1091"/>
      <c r="CV74" s="1091"/>
      <c r="CW74" s="1091"/>
      <c r="CX74" s="1091"/>
      <c r="CY74" s="1091"/>
      <c r="CZ74" s="1091"/>
      <c r="DA74" s="1091"/>
      <c r="DB74" s="1091"/>
      <c r="DC74" s="1091"/>
      <c r="DD74" s="1091"/>
      <c r="DE74" s="1091"/>
      <c r="DF74" s="1091"/>
      <c r="DH74" s="590">
        <f t="shared" si="124"/>
        <v>0</v>
      </c>
    </row>
    <row r="75" spans="1:112" s="1085" customFormat="1" ht="12.75" customHeight="1" outlineLevel="1">
      <c r="C75" s="534" t="s">
        <v>635</v>
      </c>
      <c r="D75" s="707" t="str">
        <f>INDEX(Modules[Module], MATCH($C75, Modules[Code], 0))</f>
        <v>Nuclear power</v>
      </c>
      <c r="E75" s="707"/>
      <c r="F75" s="532"/>
      <c r="G75" s="719">
        <f t="shared" ref="G75:P75" ca="1" si="191">IFERROR(INDEX(INDIRECT($C75&amp;".Outputs["&amp;this.Year&amp;"]"), MATCH(G$5, INDIRECT($C75&amp;".Outputs[Vector]"), 0)), 0)</f>
        <v>0</v>
      </c>
      <c r="H75" s="719">
        <f t="shared" ca="1" si="191"/>
        <v>0</v>
      </c>
      <c r="I75" s="719">
        <f t="shared" ca="1" si="191"/>
        <v>0</v>
      </c>
      <c r="J75" s="719">
        <f t="shared" ca="1" si="191"/>
        <v>0</v>
      </c>
      <c r="K75" s="719">
        <f t="shared" ca="1" si="191"/>
        <v>0</v>
      </c>
      <c r="L75" s="719">
        <f t="shared" ca="1" si="191"/>
        <v>0</v>
      </c>
      <c r="M75" s="719">
        <f t="shared" ca="1" si="191"/>
        <v>0</v>
      </c>
      <c r="N75" s="719">
        <f t="shared" ca="1" si="191"/>
        <v>0</v>
      </c>
      <c r="O75" s="719">
        <f t="shared" ca="1" si="191"/>
        <v>0</v>
      </c>
      <c r="P75" s="719">
        <f t="shared" ca="1" si="191"/>
        <v>0</v>
      </c>
      <c r="Q75" s="717">
        <f ca="1">SUM(G75:P75)</f>
        <v>0</v>
      </c>
      <c r="R75" s="532"/>
      <c r="S75" s="728">
        <f t="shared" ref="S75:BE75" ca="1" si="192">IFERROR(INDEX(INDIRECT($C75&amp;".Outputs["&amp;this.Year&amp;"]"), MATCH(S$5, INDIRECT($C75&amp;".Outputs[Vector]"), 0)), 0)</f>
        <v>0</v>
      </c>
      <c r="T75" s="728">
        <f t="shared" ca="1" si="192"/>
        <v>0</v>
      </c>
      <c r="U75" s="728">
        <f t="shared" ca="1" si="192"/>
        <v>0</v>
      </c>
      <c r="V75" s="728">
        <f t="shared" ca="1" si="192"/>
        <v>0</v>
      </c>
      <c r="W75" s="728">
        <f t="shared" ca="1" si="192"/>
        <v>0</v>
      </c>
      <c r="X75" s="728">
        <f ca="1">IFERROR(INDEX(INDIRECT($C75&amp;".Outputs["&amp;this.Year&amp;"]"), MATCH(X$5, INDIRECT($C75&amp;".Outputs[Vector]"), 0)), 0)</f>
        <v>0</v>
      </c>
      <c r="Y75" s="728">
        <f ca="1">IFERROR(INDEX(INDIRECT($C75&amp;".Outputs["&amp;this.Year&amp;"]"), MATCH(Y$5, INDIRECT($C75&amp;".Outputs[Vector]"), 0)), 0)</f>
        <v>0</v>
      </c>
      <c r="Z75" s="728">
        <f ca="1">IFERROR(INDEX(INDIRECT($C75&amp;".Outputs["&amp;this.Year&amp;"]"), MATCH(Z$5, INDIRECT($C75&amp;".Outputs[Vector]"), 0)), 0)</f>
        <v>0</v>
      </c>
      <c r="AA75" s="728">
        <f t="shared" ca="1" si="192"/>
        <v>0</v>
      </c>
      <c r="AB75" s="728">
        <f t="shared" ca="1" si="192"/>
        <v>0</v>
      </c>
      <c r="AC75" s="728">
        <f t="shared" ca="1" si="192"/>
        <v>0</v>
      </c>
      <c r="AD75" s="728">
        <f t="shared" ca="1" si="192"/>
        <v>0</v>
      </c>
      <c r="AE75" s="728">
        <f t="shared" ca="1" si="192"/>
        <v>0</v>
      </c>
      <c r="AF75" s="728">
        <f t="shared" ca="1" si="192"/>
        <v>0</v>
      </c>
      <c r="AG75" s="728">
        <f t="shared" ca="1" si="192"/>
        <v>0</v>
      </c>
      <c r="AH75" s="728">
        <f t="shared" ca="1" si="192"/>
        <v>0</v>
      </c>
      <c r="AI75" s="728">
        <f t="shared" ca="1" si="192"/>
        <v>0</v>
      </c>
      <c r="AJ75" s="728">
        <f t="shared" ca="1" si="192"/>
        <v>0</v>
      </c>
      <c r="AK75" s="727">
        <f ca="1">SUM(S75:AJ75)</f>
        <v>0</v>
      </c>
      <c r="AL75" s="532"/>
      <c r="AM75" s="739">
        <f t="shared" ref="AM75:AU75" ca="1" si="193">IFERROR(INDEX(INDIRECT($C75&amp;".Outputs["&amp;this.Year&amp;"]"), MATCH(AM$5, INDIRECT($C75&amp;".Outputs[Vector]"), 0)), 0)</f>
        <v>0</v>
      </c>
      <c r="AN75" s="739">
        <f t="shared" ca="1" si="193"/>
        <v>0</v>
      </c>
      <c r="AO75" s="739">
        <f t="shared" ca="1" si="193"/>
        <v>0</v>
      </c>
      <c r="AP75" s="739">
        <f t="shared" ca="1" si="193"/>
        <v>0</v>
      </c>
      <c r="AQ75" s="739">
        <f t="shared" ca="1" si="193"/>
        <v>0</v>
      </c>
      <c r="AR75" s="739">
        <f t="shared" ca="1" si="193"/>
        <v>0</v>
      </c>
      <c r="AS75" s="739">
        <f t="shared" ca="1" si="193"/>
        <v>0</v>
      </c>
      <c r="AT75" s="739">
        <f t="shared" ca="1" si="193"/>
        <v>0</v>
      </c>
      <c r="AU75" s="739">
        <f t="shared" ca="1" si="193"/>
        <v>0</v>
      </c>
      <c r="AV75" s="739">
        <f t="shared" ca="1" si="192"/>
        <v>0</v>
      </c>
      <c r="AW75" s="739">
        <f t="shared" ca="1" si="192"/>
        <v>0</v>
      </c>
      <c r="AX75" s="739">
        <f t="shared" ca="1" si="192"/>
        <v>0</v>
      </c>
      <c r="AY75" s="739">
        <f t="shared" ca="1" si="192"/>
        <v>0</v>
      </c>
      <c r="AZ75" s="739">
        <f t="shared" ca="1" si="192"/>
        <v>0</v>
      </c>
      <c r="BA75" s="739">
        <f t="shared" ca="1" si="192"/>
        <v>0</v>
      </c>
      <c r="BB75" s="739">
        <f t="shared" ca="1" si="192"/>
        <v>0</v>
      </c>
      <c r="BC75" s="739">
        <f t="shared" ca="1" si="192"/>
        <v>0</v>
      </c>
      <c r="BD75" s="739">
        <f t="shared" ca="1" si="192"/>
        <v>0</v>
      </c>
      <c r="BE75" s="739">
        <f t="shared" ca="1" si="192"/>
        <v>0</v>
      </c>
      <c r="BF75" s="709">
        <f ca="1">SUM(AM75:BE75)</f>
        <v>0</v>
      </c>
      <c r="BG75" s="532"/>
      <c r="BH75" s="733">
        <f ca="1">IFERROR(INDEX(INDIRECT($C75&amp;".Outputs["&amp;this.Year&amp;"]"), MATCH(BH$5, INDIRECT($C75&amp;".Outputs[Vector]"), 0)), 0)</f>
        <v>0</v>
      </c>
      <c r="BI75" s="733">
        <f ca="1">IFERROR(INDEX(INDIRECT($C75&amp;".Outputs["&amp;this.Year&amp;"]"), MATCH(BI$5, INDIRECT($C75&amp;".Outputs[Vector]"), 0)), 0)</f>
        <v>0</v>
      </c>
      <c r="BJ75" s="732">
        <f ca="1">SUM(BH75:BI75)</f>
        <v>0</v>
      </c>
      <c r="BK75" s="532"/>
      <c r="BL75" s="576">
        <f t="shared" ca="1" si="190"/>
        <v>0</v>
      </c>
      <c r="BM75" s="576"/>
      <c r="BN75" s="592"/>
      <c r="BO75" s="1086">
        <f t="shared" ref="BO75:DF75" ca="1" si="194">IFERROR(SUMIFS(INDIRECT($C75&amp;".Emissions["&amp;this.Year&amp;"]"), INDIRECT($C75&amp;".Emissions[GHG]"), BO$6, INDIRECT($C75&amp;".Emissions[IPCC Sector]"), BO$5),0)</f>
        <v>0</v>
      </c>
      <c r="BP75" s="1087">
        <f t="shared" ca="1" si="194"/>
        <v>0</v>
      </c>
      <c r="BQ75" s="1087">
        <f t="shared" ca="1" si="194"/>
        <v>0</v>
      </c>
      <c r="BR75" s="1087">
        <f t="shared" ca="1" si="194"/>
        <v>0</v>
      </c>
      <c r="BS75" s="1087">
        <f t="shared" ca="1" si="194"/>
        <v>0</v>
      </c>
      <c r="BT75" s="1087">
        <f t="shared" ca="1" si="194"/>
        <v>0</v>
      </c>
      <c r="BU75" s="1087">
        <f t="shared" ca="1" si="194"/>
        <v>0</v>
      </c>
      <c r="BV75" s="1087">
        <f t="shared" ca="1" si="194"/>
        <v>0</v>
      </c>
      <c r="BW75" s="1087">
        <f t="shared" ca="1" si="194"/>
        <v>0</v>
      </c>
      <c r="BX75" s="1087">
        <f t="shared" ca="1" si="194"/>
        <v>0</v>
      </c>
      <c r="BY75" s="1087">
        <f t="shared" ca="1" si="194"/>
        <v>0</v>
      </c>
      <c r="BZ75" s="1087">
        <f t="shared" ca="1" si="194"/>
        <v>0</v>
      </c>
      <c r="CA75" s="1087">
        <f t="shared" ca="1" si="194"/>
        <v>0</v>
      </c>
      <c r="CB75" s="1087">
        <f t="shared" ca="1" si="194"/>
        <v>0</v>
      </c>
      <c r="CC75" s="1087">
        <f t="shared" ca="1" si="194"/>
        <v>0</v>
      </c>
      <c r="CD75" s="1087">
        <f t="shared" ca="1" si="194"/>
        <v>0</v>
      </c>
      <c r="CE75" s="1087">
        <f t="shared" ca="1" si="194"/>
        <v>0</v>
      </c>
      <c r="CF75" s="1087">
        <f t="shared" ca="1" si="194"/>
        <v>0</v>
      </c>
      <c r="CG75" s="1087">
        <f t="shared" ca="1" si="194"/>
        <v>0</v>
      </c>
      <c r="CH75" s="1087">
        <f t="shared" ca="1" si="194"/>
        <v>0</v>
      </c>
      <c r="CI75" s="1087">
        <f t="shared" ca="1" si="194"/>
        <v>0</v>
      </c>
      <c r="CJ75" s="1087">
        <f t="shared" ca="1" si="194"/>
        <v>0</v>
      </c>
      <c r="CK75" s="1087">
        <f t="shared" ca="1" si="194"/>
        <v>0</v>
      </c>
      <c r="CL75" s="1087">
        <f t="shared" ca="1" si="194"/>
        <v>0</v>
      </c>
      <c r="CM75" s="1087">
        <f t="shared" ca="1" si="194"/>
        <v>0</v>
      </c>
      <c r="CN75" s="1087">
        <f t="shared" ca="1" si="194"/>
        <v>0</v>
      </c>
      <c r="CO75" s="1087">
        <f t="shared" ca="1" si="194"/>
        <v>0</v>
      </c>
      <c r="CP75" s="1087">
        <f t="shared" ca="1" si="194"/>
        <v>0</v>
      </c>
      <c r="CQ75" s="1087">
        <f t="shared" ca="1" si="194"/>
        <v>0</v>
      </c>
      <c r="CR75" s="1087">
        <f t="shared" ca="1" si="194"/>
        <v>0</v>
      </c>
      <c r="CS75" s="1087">
        <f t="shared" ca="1" si="194"/>
        <v>0</v>
      </c>
      <c r="CT75" s="1087">
        <f t="shared" ca="1" si="194"/>
        <v>0</v>
      </c>
      <c r="CU75" s="1087">
        <f t="shared" ca="1" si="194"/>
        <v>0</v>
      </c>
      <c r="CV75" s="1087">
        <f t="shared" ca="1" si="194"/>
        <v>0</v>
      </c>
      <c r="CW75" s="1087">
        <f t="shared" ca="1" si="194"/>
        <v>0</v>
      </c>
      <c r="CX75" s="1087">
        <f t="shared" ca="1" si="194"/>
        <v>0</v>
      </c>
      <c r="CY75" s="1087">
        <f t="shared" ca="1" si="194"/>
        <v>0</v>
      </c>
      <c r="CZ75" s="1087">
        <f t="shared" ca="1" si="194"/>
        <v>0</v>
      </c>
      <c r="DA75" s="1087">
        <f t="shared" ca="1" si="194"/>
        <v>0</v>
      </c>
      <c r="DB75" s="1087">
        <f t="shared" ca="1" si="194"/>
        <v>0</v>
      </c>
      <c r="DC75" s="1087">
        <f t="shared" ca="1" si="194"/>
        <v>0</v>
      </c>
      <c r="DD75" s="1087">
        <f t="shared" ca="1" si="194"/>
        <v>0</v>
      </c>
      <c r="DE75" s="1087">
        <f t="shared" ca="1" si="194"/>
        <v>0</v>
      </c>
      <c r="DF75" s="1087">
        <f t="shared" ca="1" si="194"/>
        <v>0</v>
      </c>
      <c r="DH75" s="590">
        <f t="shared" ca="1" si="124"/>
        <v>0</v>
      </c>
    </row>
    <row r="76" spans="1:112" s="532" customFormat="1" ht="15">
      <c r="A76" s="22"/>
      <c r="B76" s="537"/>
      <c r="C76" s="533" t="s">
        <v>69</v>
      </c>
      <c r="D76" s="507" t="str">
        <f>INDEX(Workstreams[Workstream], MATCH($C76, Workstreams[Code], 0))</f>
        <v>Nuclear power generation</v>
      </c>
      <c r="E76" s="503"/>
      <c r="G76" s="718">
        <f ca="1">G75</f>
        <v>0</v>
      </c>
      <c r="H76" s="718">
        <f t="shared" ref="H76:P76" ca="1" si="195">H75</f>
        <v>0</v>
      </c>
      <c r="I76" s="718">
        <f t="shared" ca="1" si="195"/>
        <v>0</v>
      </c>
      <c r="J76" s="718">
        <f t="shared" ca="1" si="195"/>
        <v>0</v>
      </c>
      <c r="K76" s="718">
        <f t="shared" ca="1" si="195"/>
        <v>0</v>
      </c>
      <c r="L76" s="718">
        <f t="shared" ca="1" si="195"/>
        <v>0</v>
      </c>
      <c r="M76" s="718">
        <f t="shared" ca="1" si="195"/>
        <v>0</v>
      </c>
      <c r="N76" s="718">
        <f t="shared" ca="1" si="195"/>
        <v>0</v>
      </c>
      <c r="O76" s="718">
        <f t="shared" ca="1" si="195"/>
        <v>0</v>
      </c>
      <c r="P76" s="718">
        <f t="shared" ca="1" si="195"/>
        <v>0</v>
      </c>
      <c r="Q76" s="718">
        <f ca="1">SUM(G76:P76)</f>
        <v>0</v>
      </c>
      <c r="S76" s="668">
        <f t="shared" ref="S76:AJ76" ca="1" si="196">S75</f>
        <v>0</v>
      </c>
      <c r="T76" s="668">
        <f t="shared" ca="1" si="196"/>
        <v>0</v>
      </c>
      <c r="U76" s="668">
        <f t="shared" ca="1" si="196"/>
        <v>0</v>
      </c>
      <c r="V76" s="668">
        <f t="shared" ca="1" si="196"/>
        <v>0</v>
      </c>
      <c r="W76" s="668">
        <f t="shared" ca="1" si="196"/>
        <v>0</v>
      </c>
      <c r="X76" s="668">
        <f t="shared" ca="1" si="196"/>
        <v>0</v>
      </c>
      <c r="Y76" s="668">
        <f t="shared" ca="1" si="196"/>
        <v>0</v>
      </c>
      <c r="Z76" s="668">
        <f t="shared" ca="1" si="196"/>
        <v>0</v>
      </c>
      <c r="AA76" s="668">
        <f t="shared" ca="1" si="196"/>
        <v>0</v>
      </c>
      <c r="AB76" s="668">
        <f t="shared" ca="1" si="196"/>
        <v>0</v>
      </c>
      <c r="AC76" s="668">
        <f t="shared" ca="1" si="196"/>
        <v>0</v>
      </c>
      <c r="AD76" s="668">
        <f ca="1">AD75</f>
        <v>0</v>
      </c>
      <c r="AE76" s="668">
        <f ca="1">AE75</f>
        <v>0</v>
      </c>
      <c r="AF76" s="668">
        <f t="shared" ca="1" si="196"/>
        <v>0</v>
      </c>
      <c r="AG76" s="668">
        <f ca="1">AG75</f>
        <v>0</v>
      </c>
      <c r="AH76" s="668">
        <f ca="1">AH75</f>
        <v>0</v>
      </c>
      <c r="AI76" s="668">
        <f ca="1">AI75</f>
        <v>0</v>
      </c>
      <c r="AJ76" s="668">
        <f t="shared" ca="1" si="196"/>
        <v>0</v>
      </c>
      <c r="AK76" s="668">
        <f ca="1">SUM(S76:AJ76)</f>
        <v>0</v>
      </c>
      <c r="AM76" s="674">
        <f ca="1">AM75</f>
        <v>0</v>
      </c>
      <c r="AN76" s="674">
        <f t="shared" ref="AN76:BE76" ca="1" si="197">AN75</f>
        <v>0</v>
      </c>
      <c r="AO76" s="674">
        <f t="shared" ca="1" si="197"/>
        <v>0</v>
      </c>
      <c r="AP76" s="674">
        <f t="shared" ca="1" si="197"/>
        <v>0</v>
      </c>
      <c r="AQ76" s="674">
        <f t="shared" ca="1" si="197"/>
        <v>0</v>
      </c>
      <c r="AR76" s="674">
        <f t="shared" ca="1" si="197"/>
        <v>0</v>
      </c>
      <c r="AS76" s="674">
        <f t="shared" ca="1" si="197"/>
        <v>0</v>
      </c>
      <c r="AT76" s="674">
        <f t="shared" ca="1" si="197"/>
        <v>0</v>
      </c>
      <c r="AU76" s="674">
        <f t="shared" ca="1" si="197"/>
        <v>0</v>
      </c>
      <c r="AV76" s="674">
        <f t="shared" ca="1" si="197"/>
        <v>0</v>
      </c>
      <c r="AW76" s="674">
        <f t="shared" ca="1" si="197"/>
        <v>0</v>
      </c>
      <c r="AX76" s="674">
        <f t="shared" ca="1" si="197"/>
        <v>0</v>
      </c>
      <c r="AY76" s="674">
        <f t="shared" ca="1" si="197"/>
        <v>0</v>
      </c>
      <c r="AZ76" s="674">
        <f t="shared" ca="1" si="197"/>
        <v>0</v>
      </c>
      <c r="BA76" s="674">
        <f t="shared" ca="1" si="197"/>
        <v>0</v>
      </c>
      <c r="BB76" s="674">
        <f t="shared" ca="1" si="197"/>
        <v>0</v>
      </c>
      <c r="BC76" s="674">
        <f t="shared" ca="1" si="197"/>
        <v>0</v>
      </c>
      <c r="BD76" s="674">
        <f t="shared" ca="1" si="197"/>
        <v>0</v>
      </c>
      <c r="BE76" s="674">
        <f t="shared" ca="1" si="197"/>
        <v>0</v>
      </c>
      <c r="BF76" s="674">
        <f ca="1">SUM(AM76:BE76)</f>
        <v>0</v>
      </c>
      <c r="BH76" s="688">
        <f ca="1">BH75</f>
        <v>0</v>
      </c>
      <c r="BI76" s="688">
        <f ca="1">BI75</f>
        <v>0</v>
      </c>
      <c r="BJ76" s="688">
        <f ca="1">SUM(BH76:BI76)</f>
        <v>0</v>
      </c>
      <c r="BL76" s="505">
        <f t="shared" ca="1" si="190"/>
        <v>0</v>
      </c>
      <c r="BM76" s="505"/>
      <c r="BN76" s="592"/>
      <c r="BO76" s="1083">
        <f t="shared" ref="BO76:DF76" ca="1" si="198">BO75</f>
        <v>0</v>
      </c>
      <c r="BP76" s="1083">
        <f t="shared" ca="1" si="198"/>
        <v>0</v>
      </c>
      <c r="BQ76" s="1083">
        <f t="shared" ca="1" si="198"/>
        <v>0</v>
      </c>
      <c r="BR76" s="1083">
        <f t="shared" ca="1" si="198"/>
        <v>0</v>
      </c>
      <c r="BS76" s="1083">
        <f t="shared" ca="1" si="198"/>
        <v>0</v>
      </c>
      <c r="BT76" s="1083">
        <f t="shared" ca="1" si="198"/>
        <v>0</v>
      </c>
      <c r="BU76" s="1083">
        <f t="shared" ca="1" si="198"/>
        <v>0</v>
      </c>
      <c r="BV76" s="1083">
        <f t="shared" ca="1" si="198"/>
        <v>0</v>
      </c>
      <c r="BW76" s="1083">
        <f t="shared" ca="1" si="198"/>
        <v>0</v>
      </c>
      <c r="BX76" s="1083">
        <f t="shared" ca="1" si="198"/>
        <v>0</v>
      </c>
      <c r="BY76" s="1083">
        <f t="shared" ca="1" si="198"/>
        <v>0</v>
      </c>
      <c r="BZ76" s="1083">
        <f t="shared" ca="1" si="198"/>
        <v>0</v>
      </c>
      <c r="CA76" s="1083">
        <f t="shared" ca="1" si="198"/>
        <v>0</v>
      </c>
      <c r="CB76" s="1083">
        <f t="shared" ca="1" si="198"/>
        <v>0</v>
      </c>
      <c r="CC76" s="1083">
        <f t="shared" ca="1" si="198"/>
        <v>0</v>
      </c>
      <c r="CD76" s="1083">
        <f t="shared" ca="1" si="198"/>
        <v>0</v>
      </c>
      <c r="CE76" s="1083">
        <f t="shared" ca="1" si="198"/>
        <v>0</v>
      </c>
      <c r="CF76" s="1083">
        <f t="shared" ca="1" si="198"/>
        <v>0</v>
      </c>
      <c r="CG76" s="1083">
        <f t="shared" ca="1" si="198"/>
        <v>0</v>
      </c>
      <c r="CH76" s="1083">
        <f t="shared" ca="1" si="198"/>
        <v>0</v>
      </c>
      <c r="CI76" s="1083">
        <f t="shared" ca="1" si="198"/>
        <v>0</v>
      </c>
      <c r="CJ76" s="1083">
        <f t="shared" ca="1" si="198"/>
        <v>0</v>
      </c>
      <c r="CK76" s="1083">
        <f t="shared" ca="1" si="198"/>
        <v>0</v>
      </c>
      <c r="CL76" s="1083">
        <f t="shared" ca="1" si="198"/>
        <v>0</v>
      </c>
      <c r="CM76" s="1083">
        <f t="shared" ca="1" si="198"/>
        <v>0</v>
      </c>
      <c r="CN76" s="1083">
        <f t="shared" ca="1" si="198"/>
        <v>0</v>
      </c>
      <c r="CO76" s="1083">
        <f t="shared" ca="1" si="198"/>
        <v>0</v>
      </c>
      <c r="CP76" s="1083">
        <f t="shared" ca="1" si="198"/>
        <v>0</v>
      </c>
      <c r="CQ76" s="1083">
        <f t="shared" ca="1" si="198"/>
        <v>0</v>
      </c>
      <c r="CR76" s="1083">
        <f t="shared" ca="1" si="198"/>
        <v>0</v>
      </c>
      <c r="CS76" s="1083">
        <f t="shared" ca="1" si="198"/>
        <v>0</v>
      </c>
      <c r="CT76" s="1083">
        <f t="shared" ca="1" si="198"/>
        <v>0</v>
      </c>
      <c r="CU76" s="1083">
        <f t="shared" ca="1" si="198"/>
        <v>0</v>
      </c>
      <c r="CV76" s="1083">
        <f t="shared" ca="1" si="198"/>
        <v>0</v>
      </c>
      <c r="CW76" s="1083">
        <f t="shared" ca="1" si="198"/>
        <v>0</v>
      </c>
      <c r="CX76" s="1083">
        <f t="shared" ca="1" si="198"/>
        <v>0</v>
      </c>
      <c r="CY76" s="1083">
        <f t="shared" ca="1" si="198"/>
        <v>0</v>
      </c>
      <c r="CZ76" s="1083">
        <f t="shared" ca="1" si="198"/>
        <v>0</v>
      </c>
      <c r="DA76" s="1083">
        <f t="shared" ca="1" si="198"/>
        <v>0</v>
      </c>
      <c r="DB76" s="1083">
        <f t="shared" ca="1" si="198"/>
        <v>0</v>
      </c>
      <c r="DC76" s="1083">
        <f t="shared" ca="1" si="198"/>
        <v>0</v>
      </c>
      <c r="DD76" s="1083">
        <f t="shared" ca="1" si="198"/>
        <v>0</v>
      </c>
      <c r="DE76" s="1083">
        <f t="shared" ca="1" si="198"/>
        <v>0</v>
      </c>
      <c r="DF76" s="1083">
        <f t="shared" ca="1" si="198"/>
        <v>0</v>
      </c>
      <c r="DH76" s="590">
        <f t="shared" ca="1" si="124"/>
        <v>0</v>
      </c>
    </row>
    <row r="77" spans="1:112" s="532" customFormat="1" ht="12.75" customHeight="1" outlineLevel="1">
      <c r="A77" s="22"/>
      <c r="B77" s="22"/>
      <c r="C77" s="535"/>
      <c r="D77" s="503"/>
      <c r="E77" s="503"/>
      <c r="G77" s="656"/>
      <c r="H77" s="656"/>
      <c r="I77" s="656"/>
      <c r="J77" s="656"/>
      <c r="K77" s="658"/>
      <c r="L77" s="656"/>
      <c r="M77" s="656"/>
      <c r="N77" s="656"/>
      <c r="O77" s="656"/>
      <c r="P77" s="656"/>
      <c r="Q77" s="656"/>
      <c r="S77" s="668"/>
      <c r="T77" s="668"/>
      <c r="U77" s="668"/>
      <c r="V77" s="668"/>
      <c r="W77" s="668"/>
      <c r="X77" s="668"/>
      <c r="Y77" s="668"/>
      <c r="Z77" s="668"/>
      <c r="AA77" s="668"/>
      <c r="AB77" s="668"/>
      <c r="AC77" s="668"/>
      <c r="AD77" s="668"/>
      <c r="AE77" s="668"/>
      <c r="AF77" s="668"/>
      <c r="AG77" s="668"/>
      <c r="AH77" s="668"/>
      <c r="AI77" s="668"/>
      <c r="AJ77" s="668"/>
      <c r="AK77" s="668"/>
      <c r="AM77" s="674"/>
      <c r="AN77" s="674"/>
      <c r="AO77" s="674"/>
      <c r="AP77" s="674"/>
      <c r="AQ77" s="674"/>
      <c r="AR77" s="674"/>
      <c r="AS77" s="674"/>
      <c r="AT77" s="674"/>
      <c r="AU77" s="674"/>
      <c r="AV77" s="674"/>
      <c r="AW77" s="674"/>
      <c r="AX77" s="674"/>
      <c r="AY77" s="674"/>
      <c r="AZ77" s="674"/>
      <c r="BA77" s="674"/>
      <c r="BB77" s="674"/>
      <c r="BC77" s="674"/>
      <c r="BD77" s="674"/>
      <c r="BE77" s="674"/>
      <c r="BF77" s="674"/>
      <c r="BH77" s="688"/>
      <c r="BI77" s="688"/>
      <c r="BJ77" s="688"/>
      <c r="BL77" s="505">
        <f t="shared" si="190"/>
        <v>0</v>
      </c>
      <c r="BM77" s="505"/>
      <c r="BN77" s="22"/>
      <c r="BO77" s="1083"/>
      <c r="BP77" s="1083"/>
      <c r="BQ77" s="1083"/>
      <c r="BR77" s="1083"/>
      <c r="BS77" s="1083"/>
      <c r="BT77" s="1083"/>
      <c r="BU77" s="1083"/>
      <c r="BV77" s="1083"/>
      <c r="BW77" s="1083"/>
      <c r="BX77" s="1083"/>
      <c r="BY77" s="1083"/>
      <c r="BZ77" s="1083"/>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c r="CU77" s="1083"/>
      <c r="CV77" s="1083"/>
      <c r="CW77" s="1083"/>
      <c r="CX77" s="1083"/>
      <c r="CY77" s="1083"/>
      <c r="CZ77" s="1083"/>
      <c r="DA77" s="1083"/>
      <c r="DB77" s="1083"/>
      <c r="DC77" s="1083"/>
      <c r="DD77" s="1083"/>
      <c r="DE77" s="1083"/>
      <c r="DF77" s="1083"/>
      <c r="DH77" s="590">
        <f t="shared" si="124"/>
        <v>0</v>
      </c>
    </row>
    <row r="78" spans="1:112" s="1089" customFormat="1" ht="12.75" customHeight="1" outlineLevel="1">
      <c r="C78" s="743" t="s">
        <v>1061</v>
      </c>
      <c r="D78" s="744" t="s">
        <v>977</v>
      </c>
      <c r="E78" s="744"/>
      <c r="F78" s="532"/>
      <c r="G78" s="745"/>
      <c r="H78" s="745"/>
      <c r="I78" s="745"/>
      <c r="J78" s="745"/>
      <c r="K78" s="746"/>
      <c r="L78" s="745"/>
      <c r="M78" s="745"/>
      <c r="N78" s="745"/>
      <c r="O78" s="745"/>
      <c r="P78" s="745"/>
      <c r="Q78" s="745"/>
      <c r="R78" s="532"/>
      <c r="S78" s="747">
        <f ca="1">S$74+S$76</f>
        <v>0</v>
      </c>
      <c r="T78" s="747">
        <f ca="1">T$74+T$76</f>
        <v>0</v>
      </c>
      <c r="U78" s="747"/>
      <c r="V78" s="747"/>
      <c r="W78" s="747"/>
      <c r="X78" s="747"/>
      <c r="Y78" s="747"/>
      <c r="Z78" s="747"/>
      <c r="AA78" s="747"/>
      <c r="AB78" s="747"/>
      <c r="AC78" s="747"/>
      <c r="AD78" s="747"/>
      <c r="AE78" s="747"/>
      <c r="AF78" s="747"/>
      <c r="AG78" s="747"/>
      <c r="AH78" s="747"/>
      <c r="AI78" s="747"/>
      <c r="AJ78" s="747"/>
      <c r="AK78" s="747"/>
      <c r="AL78" s="532"/>
      <c r="AM78" s="748"/>
      <c r="AN78" s="748"/>
      <c r="AO78" s="748"/>
      <c r="AP78" s="748"/>
      <c r="AQ78" s="748"/>
      <c r="AR78" s="748"/>
      <c r="AS78" s="748"/>
      <c r="AT78" s="748"/>
      <c r="AU78" s="748"/>
      <c r="AV78" s="748"/>
      <c r="AW78" s="748"/>
      <c r="AX78" s="748"/>
      <c r="AY78" s="748"/>
      <c r="AZ78" s="748"/>
      <c r="BA78" s="748"/>
      <c r="BB78" s="748"/>
      <c r="BC78" s="748"/>
      <c r="BD78" s="748"/>
      <c r="BE78" s="748"/>
      <c r="BF78" s="748"/>
      <c r="BG78" s="532"/>
      <c r="BH78" s="749"/>
      <c r="BI78" s="749"/>
      <c r="BJ78" s="749"/>
      <c r="BK78" s="532"/>
      <c r="BL78" s="603">
        <f t="shared" si="190"/>
        <v>0</v>
      </c>
      <c r="BM78" s="603"/>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c r="CU78" s="1091"/>
      <c r="CV78" s="1091"/>
      <c r="CW78" s="1091"/>
      <c r="CX78" s="1091"/>
      <c r="CY78" s="1091"/>
      <c r="CZ78" s="1091"/>
      <c r="DA78" s="1091"/>
      <c r="DB78" s="1091"/>
      <c r="DC78" s="1091"/>
      <c r="DD78" s="1091"/>
      <c r="DE78" s="1091"/>
      <c r="DF78" s="1091"/>
      <c r="DH78" s="590">
        <f t="shared" si="124"/>
        <v>0</v>
      </c>
    </row>
    <row r="79" spans="1:112" s="1085" customFormat="1" ht="12.75" customHeight="1" outlineLevel="1">
      <c r="C79" s="534" t="s">
        <v>679</v>
      </c>
      <c r="D79" s="511" t="str">
        <f>INDEX(Modules[Module], MATCH($C79, Modules[Code], 0))</f>
        <v>Carbon Capture Storage (CCS)</v>
      </c>
      <c r="E79" s="511"/>
      <c r="F79" s="532"/>
      <c r="G79" s="1318">
        <f t="shared" ref="G79:P79" ca="1" si="199">IFERROR(INDEX(INDIRECT($C79&amp;".Outputs["&amp;this.Year&amp;"]"), MATCH(G$5, INDIRECT($C79&amp;".Outputs[Vector]"), 0)), 0)</f>
        <v>0</v>
      </c>
      <c r="H79" s="1318">
        <f t="shared" ca="1" si="199"/>
        <v>0</v>
      </c>
      <c r="I79" s="1318">
        <f t="shared" ca="1" si="199"/>
        <v>0</v>
      </c>
      <c r="J79" s="1318">
        <f t="shared" ca="1" si="199"/>
        <v>0</v>
      </c>
      <c r="K79" s="1318">
        <f t="shared" ca="1" si="199"/>
        <v>0</v>
      </c>
      <c r="L79" s="1318">
        <f t="shared" ca="1" si="199"/>
        <v>0</v>
      </c>
      <c r="M79" s="1318">
        <f t="shared" ca="1" si="199"/>
        <v>0</v>
      </c>
      <c r="N79" s="1318">
        <f t="shared" ca="1" si="199"/>
        <v>0</v>
      </c>
      <c r="O79" s="1318">
        <f t="shared" ca="1" si="199"/>
        <v>0</v>
      </c>
      <c r="P79" s="1318">
        <f t="shared" ca="1" si="199"/>
        <v>0</v>
      </c>
      <c r="Q79" s="1319">
        <f ca="1">SUM(G79:P79)</f>
        <v>0</v>
      </c>
      <c r="R79" s="532"/>
      <c r="S79" s="1320">
        <f t="shared" ref="S79:BE79" ca="1" si="200">IFERROR(INDEX(INDIRECT($C79&amp;".Outputs["&amp;this.Year&amp;"]"), MATCH(S$5, INDIRECT($C79&amp;".Outputs[Vector]"), 0)), 0)</f>
        <v>0</v>
      </c>
      <c r="T79" s="1320">
        <f t="shared" ca="1" si="200"/>
        <v>261.96211411772401</v>
      </c>
      <c r="U79" s="1320">
        <f t="shared" ca="1" si="200"/>
        <v>-400.12025503680002</v>
      </c>
      <c r="V79" s="1320">
        <f t="shared" ca="1" si="200"/>
        <v>0</v>
      </c>
      <c r="W79" s="1320">
        <f t="shared" ca="1" si="200"/>
        <v>-151.89074227938463</v>
      </c>
      <c r="X79" s="1320">
        <f ca="1">IFERROR(INDEX(INDIRECT($C79&amp;".Outputs["&amp;this.Year&amp;"]"), MATCH(X$5, INDIRECT($C79&amp;".Outputs[Vector]"), 0)), 0)</f>
        <v>0</v>
      </c>
      <c r="Y79" s="1320">
        <f ca="1">IFERROR(INDEX(INDIRECT($C79&amp;".Outputs["&amp;this.Year&amp;"]"), MATCH(Y$5, INDIRECT($C79&amp;".Outputs[Vector]"), 0)), 0)</f>
        <v>0</v>
      </c>
      <c r="Z79" s="1320">
        <f ca="1">IFERROR(INDEX(INDIRECT($C79&amp;".Outputs["&amp;this.Year&amp;"]"), MATCH(Z$5, INDIRECT($C79&amp;".Outputs[Vector]"), 0)), 0)</f>
        <v>0</v>
      </c>
      <c r="AA79" s="1320">
        <f t="shared" ca="1" si="200"/>
        <v>0</v>
      </c>
      <c r="AB79" s="1320">
        <f t="shared" ca="1" si="200"/>
        <v>0</v>
      </c>
      <c r="AC79" s="1320">
        <f t="shared" ca="1" si="200"/>
        <v>0</v>
      </c>
      <c r="AD79" s="1320">
        <f t="shared" ca="1" si="200"/>
        <v>0</v>
      </c>
      <c r="AE79" s="1320">
        <f t="shared" ca="1" si="200"/>
        <v>0</v>
      </c>
      <c r="AF79" s="1320">
        <f t="shared" ca="1" si="200"/>
        <v>0</v>
      </c>
      <c r="AG79" s="1320">
        <f t="shared" ca="1" si="200"/>
        <v>0</v>
      </c>
      <c r="AH79" s="1320">
        <f t="shared" ca="1" si="200"/>
        <v>0</v>
      </c>
      <c r="AI79" s="1320">
        <f t="shared" ca="1" si="200"/>
        <v>0</v>
      </c>
      <c r="AJ79" s="1320">
        <f t="shared" ca="1" si="200"/>
        <v>0</v>
      </c>
      <c r="AK79" s="1321">
        <f ca="1">SUM(S79:AJ79)</f>
        <v>-290.04888319846066</v>
      </c>
      <c r="AL79" s="532"/>
      <c r="AM79" s="1322">
        <f t="shared" ref="AM79:AU79" ca="1" si="201">IFERROR(INDEX(INDIRECT($C79&amp;".Outputs["&amp;this.Year&amp;"]"), MATCH(AM$5, INDIRECT($C79&amp;".Outputs[Vector]"), 0)), 0)</f>
        <v>0</v>
      </c>
      <c r="AN79" s="1322">
        <f t="shared" ca="1" si="201"/>
        <v>0</v>
      </c>
      <c r="AO79" s="1322">
        <f t="shared" ca="1" si="201"/>
        <v>0</v>
      </c>
      <c r="AP79" s="1322">
        <f t="shared" ca="1" si="201"/>
        <v>0</v>
      </c>
      <c r="AQ79" s="1322">
        <f t="shared" ca="1" si="201"/>
        <v>0</v>
      </c>
      <c r="AR79" s="1322">
        <f t="shared" ca="1" si="201"/>
        <v>0</v>
      </c>
      <c r="AS79" s="1322">
        <f t="shared" ca="1" si="201"/>
        <v>0</v>
      </c>
      <c r="AT79" s="1322">
        <f t="shared" ca="1" si="201"/>
        <v>0</v>
      </c>
      <c r="AU79" s="1322">
        <f t="shared" ca="1" si="201"/>
        <v>0</v>
      </c>
      <c r="AV79" s="1322">
        <f t="shared" ca="1" si="200"/>
        <v>0</v>
      </c>
      <c r="AW79" s="1322">
        <f t="shared" ca="1" si="200"/>
        <v>0</v>
      </c>
      <c r="AX79" s="1322">
        <f t="shared" ca="1" si="200"/>
        <v>0</v>
      </c>
      <c r="AY79" s="1322">
        <f t="shared" ca="1" si="200"/>
        <v>0</v>
      </c>
      <c r="AZ79" s="1322">
        <f t="shared" ca="1" si="200"/>
        <v>0</v>
      </c>
      <c r="BA79" s="1322">
        <f t="shared" ca="1" si="200"/>
        <v>0</v>
      </c>
      <c r="BB79" s="1322">
        <f t="shared" ca="1" si="200"/>
        <v>0</v>
      </c>
      <c r="BC79" s="1322">
        <f t="shared" ca="1" si="200"/>
        <v>0</v>
      </c>
      <c r="BD79" s="1322">
        <f t="shared" ca="1" si="200"/>
        <v>0</v>
      </c>
      <c r="BE79" s="1322">
        <f t="shared" ca="1" si="200"/>
        <v>0</v>
      </c>
      <c r="BF79" s="1323">
        <f ca="1">SUM(AM79:BE79)</f>
        <v>0</v>
      </c>
      <c r="BG79" s="532"/>
      <c r="BH79" s="1324">
        <f ca="1">IFERROR(INDEX(INDIRECT($C79&amp;".Outputs["&amp;this.Year&amp;"]"), MATCH(BH$5, INDIRECT($C79&amp;".Outputs[Vector]"), 0)), 0)</f>
        <v>253.22188731618462</v>
      </c>
      <c r="BI79" s="1324">
        <f ca="1">IFERROR(INDEX(INDIRECT($C79&amp;".Outputs["&amp;this.Year&amp;"]"), MATCH(BI$5, INDIRECT($C79&amp;".Outputs[Vector]"), 0)), 0)</f>
        <v>36.826995882276002</v>
      </c>
      <c r="BJ79" s="1325">
        <f ca="1">SUM(BH79:BI79)</f>
        <v>290.0488831984606</v>
      </c>
      <c r="BK79" s="532"/>
      <c r="BL79" s="576">
        <f t="shared" ca="1" si="190"/>
        <v>0</v>
      </c>
      <c r="BM79" s="576"/>
      <c r="BN79" s="592"/>
      <c r="BO79" s="1082">
        <f t="shared" ref="BO79:DF79" ca="1" si="202">IFERROR(SUMIFS(INDIRECT($C79&amp;".Emissions["&amp;this.Year&amp;"]"), INDIRECT($C79&amp;".Emissions[GHG]"), BO$6, INDIRECT($C79&amp;".Emissions[IPCC Sector]"), BO$5),0)</f>
        <v>151.18493513074114</v>
      </c>
      <c r="BP79" s="1083">
        <f t="shared" ca="1" si="202"/>
        <v>0.41804704360476075</v>
      </c>
      <c r="BQ79" s="1083">
        <f t="shared" ca="1" si="202"/>
        <v>1.1519504422738793</v>
      </c>
      <c r="BR79" s="1083">
        <f t="shared" ca="1" si="202"/>
        <v>0</v>
      </c>
      <c r="BS79" s="1083">
        <f t="shared" ca="1" si="202"/>
        <v>0</v>
      </c>
      <c r="BT79" s="1083">
        <f t="shared" ca="1" si="202"/>
        <v>0</v>
      </c>
      <c r="BU79" s="1083">
        <f t="shared" ca="1" si="202"/>
        <v>0</v>
      </c>
      <c r="BV79" s="1083">
        <f t="shared" ca="1" si="202"/>
        <v>0</v>
      </c>
      <c r="BW79" s="1083">
        <f t="shared" ca="1" si="202"/>
        <v>0</v>
      </c>
      <c r="BX79" s="1083">
        <f t="shared" ca="1" si="202"/>
        <v>0</v>
      </c>
      <c r="BY79" s="1083">
        <f t="shared" ca="1" si="202"/>
        <v>0</v>
      </c>
      <c r="BZ79" s="1083">
        <f t="shared" ca="1" si="202"/>
        <v>0</v>
      </c>
      <c r="CA79" s="1083">
        <f t="shared" ca="1" si="202"/>
        <v>0</v>
      </c>
      <c r="CB79" s="1083">
        <f t="shared" ca="1" si="202"/>
        <v>0</v>
      </c>
      <c r="CC79" s="1083">
        <f t="shared" ca="1" si="202"/>
        <v>0</v>
      </c>
      <c r="CD79" s="1083">
        <f t="shared" ca="1" si="202"/>
        <v>0</v>
      </c>
      <c r="CE79" s="1083">
        <f t="shared" ca="1" si="202"/>
        <v>0</v>
      </c>
      <c r="CF79" s="1083">
        <f t="shared" ca="1" si="202"/>
        <v>0</v>
      </c>
      <c r="CG79" s="1083">
        <f t="shared" ca="1" si="202"/>
        <v>0</v>
      </c>
      <c r="CH79" s="1083">
        <f t="shared" ca="1" si="202"/>
        <v>0</v>
      </c>
      <c r="CI79" s="1083">
        <f t="shared" ca="1" si="202"/>
        <v>0</v>
      </c>
      <c r="CJ79" s="1083">
        <f t="shared" ca="1" si="202"/>
        <v>0</v>
      </c>
      <c r="CK79" s="1083">
        <f t="shared" ca="1" si="202"/>
        <v>0</v>
      </c>
      <c r="CL79" s="1083">
        <f t="shared" ca="1" si="202"/>
        <v>0</v>
      </c>
      <c r="CM79" s="1083">
        <f t="shared" ca="1" si="202"/>
        <v>0</v>
      </c>
      <c r="CN79" s="1083">
        <f t="shared" ca="1" si="202"/>
        <v>0</v>
      </c>
      <c r="CO79" s="1083">
        <f t="shared" ca="1" si="202"/>
        <v>0</v>
      </c>
      <c r="CP79" s="1083">
        <f t="shared" ca="1" si="202"/>
        <v>0</v>
      </c>
      <c r="CQ79" s="1083">
        <f t="shared" ca="1" si="202"/>
        <v>0</v>
      </c>
      <c r="CR79" s="1083">
        <f t="shared" ca="1" si="202"/>
        <v>0</v>
      </c>
      <c r="CS79" s="1083">
        <f t="shared" ca="1" si="202"/>
        <v>0</v>
      </c>
      <c r="CT79" s="1083">
        <f t="shared" ca="1" si="202"/>
        <v>0</v>
      </c>
      <c r="CU79" s="1083">
        <f t="shared" ca="1" si="202"/>
        <v>0</v>
      </c>
      <c r="CV79" s="1083">
        <f t="shared" ca="1" si="202"/>
        <v>0</v>
      </c>
      <c r="CW79" s="1083">
        <f t="shared" ca="1" si="202"/>
        <v>0</v>
      </c>
      <c r="CX79" s="1083">
        <f t="shared" ca="1" si="202"/>
        <v>0</v>
      </c>
      <c r="CY79" s="1083">
        <f t="shared" ca="1" si="202"/>
        <v>0</v>
      </c>
      <c r="CZ79" s="1083">
        <f t="shared" ca="1" si="202"/>
        <v>0</v>
      </c>
      <c r="DA79" s="1083">
        <f t="shared" ca="1" si="202"/>
        <v>0</v>
      </c>
      <c r="DB79" s="1083">
        <f t="shared" ca="1" si="202"/>
        <v>0</v>
      </c>
      <c r="DC79" s="1083">
        <f t="shared" ca="1" si="202"/>
        <v>-136.06644161766704</v>
      </c>
      <c r="DD79" s="1083">
        <f t="shared" ca="1" si="202"/>
        <v>0</v>
      </c>
      <c r="DE79" s="1083">
        <f t="shared" ca="1" si="202"/>
        <v>0</v>
      </c>
      <c r="DF79" s="1083">
        <f t="shared" ca="1" si="202"/>
        <v>0</v>
      </c>
      <c r="DH79" s="590">
        <f t="shared" ca="1" si="124"/>
        <v>16.688490998952744</v>
      </c>
    </row>
    <row r="80" spans="1:112" s="1092" customFormat="1" ht="12.75" customHeight="1" outlineLevel="1">
      <c r="C80" s="1101" t="s">
        <v>1062</v>
      </c>
      <c r="D80" s="744" t="s">
        <v>977</v>
      </c>
      <c r="E80" s="1102"/>
      <c r="F80" s="1262"/>
      <c r="G80" s="759"/>
      <c r="H80" s="759"/>
      <c r="I80" s="759"/>
      <c r="J80" s="759"/>
      <c r="K80" s="760"/>
      <c r="L80" s="759"/>
      <c r="M80" s="759"/>
      <c r="N80" s="759"/>
      <c r="O80" s="759"/>
      <c r="P80" s="759"/>
      <c r="Q80" s="759"/>
      <c r="R80" s="1262"/>
      <c r="S80" s="761">
        <f ca="1">S78+S79</f>
        <v>0</v>
      </c>
      <c r="T80" s="761">
        <f ca="1">T78+T79</f>
        <v>261.96211411772401</v>
      </c>
      <c r="U80" s="761"/>
      <c r="V80" s="761"/>
      <c r="W80" s="761"/>
      <c r="X80" s="761"/>
      <c r="Y80" s="761"/>
      <c r="Z80" s="761"/>
      <c r="AA80" s="761"/>
      <c r="AB80" s="761"/>
      <c r="AC80" s="761"/>
      <c r="AD80" s="761"/>
      <c r="AE80" s="761"/>
      <c r="AF80" s="761"/>
      <c r="AG80" s="761"/>
      <c r="AH80" s="761"/>
      <c r="AI80" s="761"/>
      <c r="AJ80" s="761"/>
      <c r="AK80" s="761"/>
      <c r="AL80" s="1262"/>
      <c r="AM80" s="762"/>
      <c r="AN80" s="762"/>
      <c r="AO80" s="762"/>
      <c r="AP80" s="762"/>
      <c r="AQ80" s="762"/>
      <c r="AR80" s="762"/>
      <c r="AS80" s="762"/>
      <c r="AT80" s="762"/>
      <c r="AU80" s="762"/>
      <c r="AV80" s="762"/>
      <c r="AW80" s="762"/>
      <c r="AX80" s="762"/>
      <c r="AY80" s="762"/>
      <c r="AZ80" s="762"/>
      <c r="BA80" s="762"/>
      <c r="BB80" s="762"/>
      <c r="BC80" s="762"/>
      <c r="BD80" s="762"/>
      <c r="BE80" s="762"/>
      <c r="BF80" s="762"/>
      <c r="BG80" s="1262"/>
      <c r="BH80" s="763"/>
      <c r="BI80" s="763"/>
      <c r="BJ80" s="763"/>
      <c r="BK80" s="1262"/>
      <c r="BL80" s="1103">
        <f t="shared" si="190"/>
        <v>0</v>
      </c>
      <c r="BM80" s="1103"/>
      <c r="BO80" s="1268"/>
      <c r="BP80" s="1268"/>
      <c r="BQ80" s="1268"/>
      <c r="BR80" s="1268"/>
      <c r="BS80" s="1268"/>
      <c r="BT80" s="1268"/>
      <c r="BU80" s="1268"/>
      <c r="BV80" s="1268"/>
      <c r="BW80" s="1268"/>
      <c r="BX80" s="1268"/>
      <c r="BY80" s="1268"/>
      <c r="BZ80" s="1268"/>
      <c r="CA80" s="1268"/>
      <c r="CB80" s="1268"/>
      <c r="CC80" s="1268"/>
      <c r="CD80" s="1268"/>
      <c r="CE80" s="1268"/>
      <c r="CF80" s="1268"/>
      <c r="CG80" s="1268"/>
      <c r="CH80" s="1268"/>
      <c r="CI80" s="1268"/>
      <c r="CJ80" s="1268"/>
      <c r="CK80" s="1268"/>
      <c r="CL80" s="1268"/>
      <c r="CM80" s="1268"/>
      <c r="CN80" s="1268"/>
      <c r="CO80" s="1268"/>
      <c r="CP80" s="1268"/>
      <c r="CQ80" s="1268"/>
      <c r="CR80" s="1268"/>
      <c r="CS80" s="1268"/>
      <c r="CT80" s="1268"/>
      <c r="CU80" s="1268"/>
      <c r="CV80" s="1268"/>
      <c r="CW80" s="1268"/>
      <c r="CX80" s="1268"/>
      <c r="CY80" s="1268"/>
      <c r="CZ80" s="1268"/>
      <c r="DA80" s="1268"/>
      <c r="DB80" s="1268"/>
      <c r="DC80" s="1268"/>
      <c r="DD80" s="1268"/>
      <c r="DE80" s="1268"/>
      <c r="DF80" s="1268"/>
      <c r="DH80" s="1267">
        <f t="shared" si="124"/>
        <v>0</v>
      </c>
    </row>
    <row r="81" spans="1:112" s="1085" customFormat="1" ht="12.75" customHeight="1" outlineLevel="1">
      <c r="C81" s="534" t="s">
        <v>623</v>
      </c>
      <c r="D81" s="511" t="str">
        <f>INDEX(Modules[Module], MATCH($C81, Modules[Code], 0))</f>
        <v>Biomass/Coal power stations</v>
      </c>
      <c r="E81" s="511"/>
      <c r="F81" s="532"/>
      <c r="G81" s="719">
        <f t="shared" ref="G81:P81" ca="1" si="203">IFERROR(INDEX(INDIRECT($C81&amp;".Outputs["&amp;this.Year&amp;"]"), MATCH(G$5, INDIRECT($C81&amp;".Outputs[Vector]"), 0)), 0)</f>
        <v>0</v>
      </c>
      <c r="H81" s="719">
        <f t="shared" ca="1" si="203"/>
        <v>0</v>
      </c>
      <c r="I81" s="719">
        <f t="shared" ca="1" si="203"/>
        <v>0</v>
      </c>
      <c r="J81" s="719">
        <f t="shared" ca="1" si="203"/>
        <v>0</v>
      </c>
      <c r="K81" s="719">
        <f t="shared" ca="1" si="203"/>
        <v>0</v>
      </c>
      <c r="L81" s="719">
        <f t="shared" ca="1" si="203"/>
        <v>0</v>
      </c>
      <c r="M81" s="719">
        <f t="shared" ca="1" si="203"/>
        <v>0</v>
      </c>
      <c r="N81" s="719">
        <f t="shared" ca="1" si="203"/>
        <v>0</v>
      </c>
      <c r="O81" s="719">
        <f t="shared" ca="1" si="203"/>
        <v>0</v>
      </c>
      <c r="P81" s="719">
        <f t="shared" ca="1" si="203"/>
        <v>0</v>
      </c>
      <c r="Q81" s="717">
        <f ca="1">SUM(G81:P81)</f>
        <v>0</v>
      </c>
      <c r="R81" s="532"/>
      <c r="S81" s="728">
        <f t="shared" ref="S81:BE81" ca="1" si="204">IFERROR(INDEX(INDIRECT($C81&amp;".Outputs["&amp;this.Year&amp;"]"), MATCH(S$5, INDIRECT($C81&amp;".Outputs[Vector]"), 0)), 0)</f>
        <v>0</v>
      </c>
      <c r="T81" s="728">
        <f t="shared" ca="1" si="204"/>
        <v>0</v>
      </c>
      <c r="U81" s="728">
        <f t="shared" ca="1" si="204"/>
        <v>0</v>
      </c>
      <c r="V81" s="728">
        <f t="shared" ca="1" si="204"/>
        <v>0</v>
      </c>
      <c r="W81" s="728">
        <f t="shared" ca="1" si="204"/>
        <v>0</v>
      </c>
      <c r="X81" s="728">
        <f ca="1">IFERROR(INDEX(INDIRECT($C81&amp;".Outputs["&amp;this.Year&amp;"]"), MATCH(X$5, INDIRECT($C81&amp;".Outputs[Vector]"), 0)), 0)</f>
        <v>0</v>
      </c>
      <c r="Y81" s="728">
        <f ca="1">IFERROR(INDEX(INDIRECT($C81&amp;".Outputs["&amp;this.Year&amp;"]"), MATCH(Y$5, INDIRECT($C81&amp;".Outputs[Vector]"), 0)), 0)</f>
        <v>0</v>
      </c>
      <c r="Z81" s="728">
        <f ca="1">IFERROR(INDEX(INDIRECT($C81&amp;".Outputs["&amp;this.Year&amp;"]"), MATCH(Z$5, INDIRECT($C81&amp;".Outputs[Vector]"), 0)), 0)</f>
        <v>0</v>
      </c>
      <c r="AA81" s="728">
        <f t="shared" ca="1" si="204"/>
        <v>0</v>
      </c>
      <c r="AB81" s="728">
        <f t="shared" ca="1" si="204"/>
        <v>0</v>
      </c>
      <c r="AC81" s="728">
        <f t="shared" ca="1" si="204"/>
        <v>0</v>
      </c>
      <c r="AD81" s="728">
        <f t="shared" ca="1" si="204"/>
        <v>0</v>
      </c>
      <c r="AE81" s="728">
        <f t="shared" ca="1" si="204"/>
        <v>0</v>
      </c>
      <c r="AF81" s="728">
        <f t="shared" ca="1" si="204"/>
        <v>0</v>
      </c>
      <c r="AG81" s="728">
        <f t="shared" ca="1" si="204"/>
        <v>0</v>
      </c>
      <c r="AH81" s="728">
        <f t="shared" ca="1" si="204"/>
        <v>0</v>
      </c>
      <c r="AI81" s="728">
        <f t="shared" ca="1" si="204"/>
        <v>0</v>
      </c>
      <c r="AJ81" s="728">
        <f t="shared" ca="1" si="204"/>
        <v>0</v>
      </c>
      <c r="AK81" s="727">
        <f ca="1">SUM(S81:AJ81)</f>
        <v>0</v>
      </c>
      <c r="AL81" s="532"/>
      <c r="AM81" s="739">
        <f t="shared" ref="AM81:AU81" ca="1" si="205">IFERROR(INDEX(INDIRECT($C81&amp;".Outputs["&amp;this.Year&amp;"]"), MATCH(AM$5, INDIRECT($C81&amp;".Outputs[Vector]"), 0)), 0)</f>
        <v>0</v>
      </c>
      <c r="AN81" s="739">
        <f t="shared" ca="1" si="205"/>
        <v>0</v>
      </c>
      <c r="AO81" s="739">
        <f t="shared" ca="1" si="205"/>
        <v>0</v>
      </c>
      <c r="AP81" s="739">
        <f t="shared" ca="1" si="205"/>
        <v>0</v>
      </c>
      <c r="AQ81" s="739">
        <f t="shared" ca="1" si="205"/>
        <v>0</v>
      </c>
      <c r="AR81" s="739">
        <f t="shared" ca="1" si="205"/>
        <v>0</v>
      </c>
      <c r="AS81" s="739">
        <f t="shared" ca="1" si="205"/>
        <v>0</v>
      </c>
      <c r="AT81" s="739">
        <f t="shared" ca="1" si="205"/>
        <v>0</v>
      </c>
      <c r="AU81" s="739">
        <f t="shared" ca="1" si="205"/>
        <v>0</v>
      </c>
      <c r="AV81" s="739">
        <f t="shared" ca="1" si="204"/>
        <v>0</v>
      </c>
      <c r="AW81" s="739">
        <f t="shared" ca="1" si="204"/>
        <v>0</v>
      </c>
      <c r="AX81" s="739">
        <f t="shared" ca="1" si="204"/>
        <v>0</v>
      </c>
      <c r="AY81" s="739">
        <f t="shared" ca="1" si="204"/>
        <v>0</v>
      </c>
      <c r="AZ81" s="739">
        <f t="shared" ca="1" si="204"/>
        <v>0</v>
      </c>
      <c r="BA81" s="739">
        <f t="shared" ca="1" si="204"/>
        <v>0</v>
      </c>
      <c r="BB81" s="739">
        <f t="shared" ca="1" si="204"/>
        <v>0</v>
      </c>
      <c r="BC81" s="739">
        <f t="shared" ca="1" si="204"/>
        <v>0</v>
      </c>
      <c r="BD81" s="739">
        <f t="shared" ca="1" si="204"/>
        <v>0</v>
      </c>
      <c r="BE81" s="739">
        <f t="shared" ca="1" si="204"/>
        <v>0</v>
      </c>
      <c r="BF81" s="709">
        <f ca="1">SUM(AM81:BE81)</f>
        <v>0</v>
      </c>
      <c r="BG81" s="532"/>
      <c r="BH81" s="733">
        <f ca="1">IFERROR(INDEX(INDIRECT($C81&amp;".Outputs["&amp;this.Year&amp;"]"), MATCH(BH$5, INDIRECT($C81&amp;".Outputs[Vector]"), 0)), 0)</f>
        <v>0</v>
      </c>
      <c r="BI81" s="733">
        <f ca="1">IFERROR(INDEX(INDIRECT($C81&amp;".Outputs["&amp;this.Year&amp;"]"), MATCH(BI$5, INDIRECT($C81&amp;".Outputs[Vector]"), 0)), 0)</f>
        <v>0</v>
      </c>
      <c r="BJ81" s="732">
        <f ca="1">SUM(BH81:BI81)</f>
        <v>0</v>
      </c>
      <c r="BK81" s="532"/>
      <c r="BL81" s="576">
        <f t="shared" ref="BL81:BL87" ca="1" si="206">Q81+AK81+BF81+BJ81</f>
        <v>0</v>
      </c>
      <c r="BM81" s="576"/>
      <c r="BN81" s="592"/>
      <c r="BO81" s="1086">
        <f t="shared" ref="BO81:DF81" ca="1" si="207">IFERROR(SUMIFS(INDIRECT($C81&amp;".Emissions["&amp;this.Year&amp;"]"), INDIRECT($C81&amp;".Emissions[GHG]"), BO$6, INDIRECT($C81&amp;".Emissions[IPCC Sector]"), BO$5),0)</f>
        <v>0</v>
      </c>
      <c r="BP81" s="1087">
        <f t="shared" ca="1" si="207"/>
        <v>0</v>
      </c>
      <c r="BQ81" s="1087">
        <f t="shared" ca="1" si="207"/>
        <v>0</v>
      </c>
      <c r="BR81" s="1087">
        <f t="shared" ca="1" si="207"/>
        <v>0</v>
      </c>
      <c r="BS81" s="1087">
        <f t="shared" ca="1" si="207"/>
        <v>0</v>
      </c>
      <c r="BT81" s="1087">
        <f t="shared" ca="1" si="207"/>
        <v>0</v>
      </c>
      <c r="BU81" s="1087">
        <f t="shared" ca="1" si="207"/>
        <v>0</v>
      </c>
      <c r="BV81" s="1087">
        <f t="shared" ca="1" si="207"/>
        <v>0</v>
      </c>
      <c r="BW81" s="1087">
        <f t="shared" ca="1" si="207"/>
        <v>0</v>
      </c>
      <c r="BX81" s="1087">
        <f t="shared" ca="1" si="207"/>
        <v>0</v>
      </c>
      <c r="BY81" s="1087">
        <f t="shared" ca="1" si="207"/>
        <v>0</v>
      </c>
      <c r="BZ81" s="1087">
        <f t="shared" ca="1" si="207"/>
        <v>0</v>
      </c>
      <c r="CA81" s="1087">
        <f t="shared" ca="1" si="207"/>
        <v>0</v>
      </c>
      <c r="CB81" s="1087">
        <f t="shared" ca="1" si="207"/>
        <v>0</v>
      </c>
      <c r="CC81" s="1087">
        <f t="shared" ca="1" si="207"/>
        <v>0</v>
      </c>
      <c r="CD81" s="1087">
        <f t="shared" ca="1" si="207"/>
        <v>0</v>
      </c>
      <c r="CE81" s="1087">
        <f t="shared" ca="1" si="207"/>
        <v>0</v>
      </c>
      <c r="CF81" s="1087">
        <f t="shared" ca="1" si="207"/>
        <v>0</v>
      </c>
      <c r="CG81" s="1087">
        <f t="shared" ca="1" si="207"/>
        <v>0</v>
      </c>
      <c r="CH81" s="1087">
        <f t="shared" ca="1" si="207"/>
        <v>0</v>
      </c>
      <c r="CI81" s="1087">
        <f t="shared" ca="1" si="207"/>
        <v>0</v>
      </c>
      <c r="CJ81" s="1087">
        <f t="shared" ca="1" si="207"/>
        <v>0</v>
      </c>
      <c r="CK81" s="1087">
        <f t="shared" ca="1" si="207"/>
        <v>0</v>
      </c>
      <c r="CL81" s="1087">
        <f t="shared" ca="1" si="207"/>
        <v>0</v>
      </c>
      <c r="CM81" s="1087">
        <f t="shared" ca="1" si="207"/>
        <v>0</v>
      </c>
      <c r="CN81" s="1087">
        <f t="shared" ca="1" si="207"/>
        <v>0</v>
      </c>
      <c r="CO81" s="1087">
        <f t="shared" ca="1" si="207"/>
        <v>0</v>
      </c>
      <c r="CP81" s="1087">
        <f t="shared" ca="1" si="207"/>
        <v>0</v>
      </c>
      <c r="CQ81" s="1087">
        <f t="shared" ca="1" si="207"/>
        <v>0</v>
      </c>
      <c r="CR81" s="1087">
        <f t="shared" ca="1" si="207"/>
        <v>0</v>
      </c>
      <c r="CS81" s="1087">
        <f t="shared" ca="1" si="207"/>
        <v>0</v>
      </c>
      <c r="CT81" s="1087">
        <f t="shared" ca="1" si="207"/>
        <v>0</v>
      </c>
      <c r="CU81" s="1087">
        <f t="shared" ca="1" si="207"/>
        <v>0</v>
      </c>
      <c r="CV81" s="1087">
        <f t="shared" ca="1" si="207"/>
        <v>0</v>
      </c>
      <c r="CW81" s="1087">
        <f t="shared" ca="1" si="207"/>
        <v>0</v>
      </c>
      <c r="CX81" s="1087">
        <f t="shared" ca="1" si="207"/>
        <v>0</v>
      </c>
      <c r="CY81" s="1087">
        <f t="shared" ca="1" si="207"/>
        <v>0</v>
      </c>
      <c r="CZ81" s="1087">
        <f t="shared" ca="1" si="207"/>
        <v>0</v>
      </c>
      <c r="DA81" s="1087">
        <f t="shared" ca="1" si="207"/>
        <v>0</v>
      </c>
      <c r="DB81" s="1087">
        <f t="shared" ca="1" si="207"/>
        <v>0</v>
      </c>
      <c r="DC81" s="1087">
        <f t="shared" ca="1" si="207"/>
        <v>0</v>
      </c>
      <c r="DD81" s="1087">
        <f t="shared" ca="1" si="207"/>
        <v>0</v>
      </c>
      <c r="DE81" s="1087">
        <f t="shared" ca="1" si="207"/>
        <v>0</v>
      </c>
      <c r="DF81" s="1087">
        <f t="shared" ca="1" si="207"/>
        <v>0</v>
      </c>
      <c r="DH81" s="590">
        <f t="shared" ca="1" si="124"/>
        <v>0</v>
      </c>
    </row>
    <row r="82" spans="1:112" s="532" customFormat="1" ht="15">
      <c r="A82" s="22"/>
      <c r="B82" s="537"/>
      <c r="C82" s="533" t="s">
        <v>68</v>
      </c>
      <c r="D82" s="507" t="str">
        <f>INDEX(Workstreams[Workstream], MATCH($C82, Workstreams[Code], 0))</f>
        <v>Hydrocarbon fuel power generation</v>
      </c>
      <c r="E82" s="503"/>
      <c r="G82" s="718">
        <f t="shared" ref="G82:P82" ca="1" si="208">G79+G81</f>
        <v>0</v>
      </c>
      <c r="H82" s="718">
        <f t="shared" ca="1" si="208"/>
        <v>0</v>
      </c>
      <c r="I82" s="718">
        <f t="shared" ca="1" si="208"/>
        <v>0</v>
      </c>
      <c r="J82" s="718">
        <f t="shared" ca="1" si="208"/>
        <v>0</v>
      </c>
      <c r="K82" s="718">
        <f t="shared" ca="1" si="208"/>
        <v>0</v>
      </c>
      <c r="L82" s="718">
        <f t="shared" ca="1" si="208"/>
        <v>0</v>
      </c>
      <c r="M82" s="718">
        <f t="shared" ca="1" si="208"/>
        <v>0</v>
      </c>
      <c r="N82" s="718">
        <f t="shared" ca="1" si="208"/>
        <v>0</v>
      </c>
      <c r="O82" s="718">
        <f t="shared" ca="1" si="208"/>
        <v>0</v>
      </c>
      <c r="P82" s="718">
        <f t="shared" ca="1" si="208"/>
        <v>0</v>
      </c>
      <c r="Q82" s="718">
        <f ca="1">SUM(G82:P82)</f>
        <v>0</v>
      </c>
      <c r="S82" s="668">
        <f t="shared" ref="S82:AJ82" ca="1" si="209">S79+S81</f>
        <v>0</v>
      </c>
      <c r="T82" s="668">
        <f t="shared" ca="1" si="209"/>
        <v>261.96211411772401</v>
      </c>
      <c r="U82" s="668">
        <f t="shared" ca="1" si="209"/>
        <v>-400.12025503680002</v>
      </c>
      <c r="V82" s="668">
        <f t="shared" ca="1" si="209"/>
        <v>0</v>
      </c>
      <c r="W82" s="668">
        <f t="shared" ca="1" si="209"/>
        <v>-151.89074227938463</v>
      </c>
      <c r="X82" s="668">
        <f t="shared" ca="1" si="209"/>
        <v>0</v>
      </c>
      <c r="Y82" s="668">
        <f t="shared" ca="1" si="209"/>
        <v>0</v>
      </c>
      <c r="Z82" s="668">
        <f t="shared" ca="1" si="209"/>
        <v>0</v>
      </c>
      <c r="AA82" s="668">
        <f t="shared" ca="1" si="209"/>
        <v>0</v>
      </c>
      <c r="AB82" s="668">
        <f t="shared" ca="1" si="209"/>
        <v>0</v>
      </c>
      <c r="AC82" s="668">
        <f t="shared" ca="1" si="209"/>
        <v>0</v>
      </c>
      <c r="AD82" s="668">
        <f ca="1">AD79+AD81</f>
        <v>0</v>
      </c>
      <c r="AE82" s="668">
        <f ca="1">AE79+AE81</f>
        <v>0</v>
      </c>
      <c r="AF82" s="668">
        <f t="shared" ca="1" si="209"/>
        <v>0</v>
      </c>
      <c r="AG82" s="668">
        <f t="shared" ca="1" si="209"/>
        <v>0</v>
      </c>
      <c r="AH82" s="668">
        <f ca="1">AH79+AH81</f>
        <v>0</v>
      </c>
      <c r="AI82" s="668">
        <f t="shared" ca="1" si="209"/>
        <v>0</v>
      </c>
      <c r="AJ82" s="668">
        <f t="shared" ca="1" si="209"/>
        <v>0</v>
      </c>
      <c r="AK82" s="668">
        <f ca="1">SUM(S82:AJ82)</f>
        <v>-290.04888319846066</v>
      </c>
      <c r="AM82" s="674">
        <f t="shared" ref="AM82:BE82" ca="1" si="210">AM79+AM81</f>
        <v>0</v>
      </c>
      <c r="AN82" s="674">
        <f t="shared" ca="1" si="210"/>
        <v>0</v>
      </c>
      <c r="AO82" s="674">
        <f t="shared" ca="1" si="210"/>
        <v>0</v>
      </c>
      <c r="AP82" s="674">
        <f t="shared" ca="1" si="210"/>
        <v>0</v>
      </c>
      <c r="AQ82" s="674">
        <f t="shared" ca="1" si="210"/>
        <v>0</v>
      </c>
      <c r="AR82" s="674">
        <f t="shared" ca="1" si="210"/>
        <v>0</v>
      </c>
      <c r="AS82" s="674">
        <f t="shared" ca="1" si="210"/>
        <v>0</v>
      </c>
      <c r="AT82" s="674">
        <f t="shared" ca="1" si="210"/>
        <v>0</v>
      </c>
      <c r="AU82" s="674">
        <f t="shared" ca="1" si="210"/>
        <v>0</v>
      </c>
      <c r="AV82" s="674">
        <f t="shared" ca="1" si="210"/>
        <v>0</v>
      </c>
      <c r="AW82" s="674">
        <f t="shared" ca="1" si="210"/>
        <v>0</v>
      </c>
      <c r="AX82" s="674">
        <f t="shared" ca="1" si="210"/>
        <v>0</v>
      </c>
      <c r="AY82" s="674">
        <f t="shared" ca="1" si="210"/>
        <v>0</v>
      </c>
      <c r="AZ82" s="674">
        <f t="shared" ca="1" si="210"/>
        <v>0</v>
      </c>
      <c r="BA82" s="674">
        <f t="shared" ca="1" si="210"/>
        <v>0</v>
      </c>
      <c r="BB82" s="674">
        <f t="shared" ca="1" si="210"/>
        <v>0</v>
      </c>
      <c r="BC82" s="674">
        <f t="shared" ca="1" si="210"/>
        <v>0</v>
      </c>
      <c r="BD82" s="674">
        <f t="shared" ca="1" si="210"/>
        <v>0</v>
      </c>
      <c r="BE82" s="674">
        <f t="shared" ca="1" si="210"/>
        <v>0</v>
      </c>
      <c r="BF82" s="674">
        <f ca="1">SUM(AM82:BE82)</f>
        <v>0</v>
      </c>
      <c r="BH82" s="688">
        <f ca="1">BH79+BH81</f>
        <v>253.22188731618462</v>
      </c>
      <c r="BI82" s="688">
        <f ca="1">BI79+BI81</f>
        <v>36.826995882276002</v>
      </c>
      <c r="BJ82" s="688">
        <f ca="1">SUM(BH82:BI82)</f>
        <v>290.0488831984606</v>
      </c>
      <c r="BL82" s="505">
        <f t="shared" ca="1" si="206"/>
        <v>0</v>
      </c>
      <c r="BM82" s="505"/>
      <c r="BN82" s="592"/>
      <c r="BO82" s="1083">
        <f t="shared" ref="BO82:DF82" ca="1" si="211">BO79+BO81</f>
        <v>151.18493513074114</v>
      </c>
      <c r="BP82" s="1083">
        <f t="shared" ca="1" si="211"/>
        <v>0.41804704360476075</v>
      </c>
      <c r="BQ82" s="1083">
        <f t="shared" ca="1" si="211"/>
        <v>1.1519504422738793</v>
      </c>
      <c r="BR82" s="1083">
        <f t="shared" ca="1" si="211"/>
        <v>0</v>
      </c>
      <c r="BS82" s="1083">
        <f t="shared" ca="1" si="211"/>
        <v>0</v>
      </c>
      <c r="BT82" s="1083">
        <f t="shared" ca="1" si="211"/>
        <v>0</v>
      </c>
      <c r="BU82" s="1083">
        <f t="shared" ca="1" si="211"/>
        <v>0</v>
      </c>
      <c r="BV82" s="1083">
        <f t="shared" ca="1" si="211"/>
        <v>0</v>
      </c>
      <c r="BW82" s="1083">
        <f t="shared" ca="1" si="211"/>
        <v>0</v>
      </c>
      <c r="BX82" s="1083">
        <f t="shared" ca="1" si="211"/>
        <v>0</v>
      </c>
      <c r="BY82" s="1083">
        <f t="shared" ca="1" si="211"/>
        <v>0</v>
      </c>
      <c r="BZ82" s="1083">
        <f t="shared" ca="1" si="211"/>
        <v>0</v>
      </c>
      <c r="CA82" s="1083">
        <f t="shared" ca="1" si="211"/>
        <v>0</v>
      </c>
      <c r="CB82" s="1083">
        <f t="shared" ca="1" si="211"/>
        <v>0</v>
      </c>
      <c r="CC82" s="1083">
        <f t="shared" ca="1" si="211"/>
        <v>0</v>
      </c>
      <c r="CD82" s="1083">
        <f t="shared" ca="1" si="211"/>
        <v>0</v>
      </c>
      <c r="CE82" s="1083">
        <f t="shared" ca="1" si="211"/>
        <v>0</v>
      </c>
      <c r="CF82" s="1083">
        <f t="shared" ca="1" si="211"/>
        <v>0</v>
      </c>
      <c r="CG82" s="1083">
        <f t="shared" ca="1" si="211"/>
        <v>0</v>
      </c>
      <c r="CH82" s="1083">
        <f t="shared" ca="1" si="211"/>
        <v>0</v>
      </c>
      <c r="CI82" s="1083">
        <f t="shared" ca="1" si="211"/>
        <v>0</v>
      </c>
      <c r="CJ82" s="1083">
        <f t="shared" ca="1" si="211"/>
        <v>0</v>
      </c>
      <c r="CK82" s="1083">
        <f t="shared" ca="1" si="211"/>
        <v>0</v>
      </c>
      <c r="CL82" s="1083">
        <f t="shared" ca="1" si="211"/>
        <v>0</v>
      </c>
      <c r="CM82" s="1083">
        <f t="shared" ca="1" si="211"/>
        <v>0</v>
      </c>
      <c r="CN82" s="1083">
        <f t="shared" ca="1" si="211"/>
        <v>0</v>
      </c>
      <c r="CO82" s="1083">
        <f t="shared" ca="1" si="211"/>
        <v>0</v>
      </c>
      <c r="CP82" s="1083">
        <f t="shared" ca="1" si="211"/>
        <v>0</v>
      </c>
      <c r="CQ82" s="1083">
        <f t="shared" ca="1" si="211"/>
        <v>0</v>
      </c>
      <c r="CR82" s="1083">
        <f t="shared" ca="1" si="211"/>
        <v>0</v>
      </c>
      <c r="CS82" s="1083">
        <f t="shared" ca="1" si="211"/>
        <v>0</v>
      </c>
      <c r="CT82" s="1083">
        <f t="shared" ca="1" si="211"/>
        <v>0</v>
      </c>
      <c r="CU82" s="1083">
        <f t="shared" ca="1" si="211"/>
        <v>0</v>
      </c>
      <c r="CV82" s="1083">
        <f t="shared" ca="1" si="211"/>
        <v>0</v>
      </c>
      <c r="CW82" s="1083">
        <f t="shared" ca="1" si="211"/>
        <v>0</v>
      </c>
      <c r="CX82" s="1083">
        <f t="shared" ca="1" si="211"/>
        <v>0</v>
      </c>
      <c r="CY82" s="1083">
        <f t="shared" ca="1" si="211"/>
        <v>0</v>
      </c>
      <c r="CZ82" s="1083">
        <f t="shared" ca="1" si="211"/>
        <v>0</v>
      </c>
      <c r="DA82" s="1083">
        <f t="shared" ca="1" si="211"/>
        <v>0</v>
      </c>
      <c r="DB82" s="1083">
        <f t="shared" ca="1" si="211"/>
        <v>0</v>
      </c>
      <c r="DC82" s="1083">
        <f t="shared" ca="1" si="211"/>
        <v>-136.06644161766704</v>
      </c>
      <c r="DD82" s="1083">
        <f t="shared" ca="1" si="211"/>
        <v>0</v>
      </c>
      <c r="DE82" s="1083">
        <f t="shared" ca="1" si="211"/>
        <v>0</v>
      </c>
      <c r="DF82" s="1083">
        <f t="shared" ca="1" si="211"/>
        <v>0</v>
      </c>
      <c r="DH82" s="590">
        <f t="shared" ca="1" si="124"/>
        <v>16.688490998952744</v>
      </c>
    </row>
    <row r="83" spans="1:112" s="532" customFormat="1" ht="6" customHeight="1">
      <c r="C83" s="506"/>
      <c r="D83" s="507"/>
      <c r="E83" s="501"/>
      <c r="G83" s="656"/>
      <c r="H83" s="656"/>
      <c r="I83" s="656"/>
      <c r="J83" s="656"/>
      <c r="K83" s="658"/>
      <c r="L83" s="656"/>
      <c r="M83" s="656"/>
      <c r="N83" s="656"/>
      <c r="O83" s="656"/>
      <c r="P83" s="656"/>
      <c r="Q83" s="656"/>
      <c r="S83" s="668"/>
      <c r="T83" s="668"/>
      <c r="U83" s="668"/>
      <c r="V83" s="668"/>
      <c r="W83" s="668"/>
      <c r="X83" s="668"/>
      <c r="Y83" s="668"/>
      <c r="Z83" s="668"/>
      <c r="AA83" s="668"/>
      <c r="AB83" s="668"/>
      <c r="AC83" s="668"/>
      <c r="AD83" s="668"/>
      <c r="AE83" s="668"/>
      <c r="AF83" s="668"/>
      <c r="AG83" s="668"/>
      <c r="AH83" s="668"/>
      <c r="AI83" s="668"/>
      <c r="AJ83" s="668"/>
      <c r="AK83" s="668"/>
      <c r="AM83" s="674"/>
      <c r="AN83" s="674"/>
      <c r="AO83" s="674"/>
      <c r="AP83" s="674"/>
      <c r="AQ83" s="674"/>
      <c r="AR83" s="674"/>
      <c r="AS83" s="674"/>
      <c r="AT83" s="674"/>
      <c r="AU83" s="674"/>
      <c r="AV83" s="674"/>
      <c r="AW83" s="674"/>
      <c r="AX83" s="674"/>
      <c r="AY83" s="674"/>
      <c r="AZ83" s="674"/>
      <c r="BA83" s="674"/>
      <c r="BB83" s="674"/>
      <c r="BC83" s="674"/>
      <c r="BD83" s="674"/>
      <c r="BE83" s="674"/>
      <c r="BF83" s="674">
        <f>SUM(AM83:BE83)</f>
        <v>0</v>
      </c>
      <c r="BH83" s="688"/>
      <c r="BI83" s="688"/>
      <c r="BJ83" s="688"/>
      <c r="BL83" s="505">
        <f t="shared" si="206"/>
        <v>0</v>
      </c>
      <c r="BM83" s="505"/>
      <c r="BO83" s="1083"/>
      <c r="BP83" s="1083"/>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c r="CU83" s="1083"/>
      <c r="CV83" s="1083"/>
      <c r="CW83" s="1083"/>
      <c r="CX83" s="1083"/>
      <c r="CY83" s="1083"/>
      <c r="CZ83" s="1083"/>
      <c r="DA83" s="1083"/>
      <c r="DB83" s="1083"/>
      <c r="DC83" s="1083"/>
      <c r="DD83" s="1083"/>
      <c r="DE83" s="1083"/>
      <c r="DF83" s="1083"/>
      <c r="DH83" s="590"/>
    </row>
    <row r="84" spans="1:112" s="532" customFormat="1" ht="15">
      <c r="B84" s="537"/>
      <c r="C84" s="1349" t="s">
        <v>1145</v>
      </c>
      <c r="D84" s="518" t="s">
        <v>233</v>
      </c>
      <c r="E84" s="519"/>
      <c r="G84" s="764">
        <f t="shared" ref="G84:P84" ca="1" si="212">G$51+G$55+G$63+G$68+G$72+G$76+G$82+G$46</f>
        <v>0</v>
      </c>
      <c r="H84" s="764">
        <f t="shared" ca="1" si="212"/>
        <v>0</v>
      </c>
      <c r="I84" s="764">
        <f t="shared" ca="1" si="212"/>
        <v>0</v>
      </c>
      <c r="J84" s="764">
        <f t="shared" ca="1" si="212"/>
        <v>0</v>
      </c>
      <c r="K84" s="765">
        <f t="shared" ca="1" si="212"/>
        <v>0</v>
      </c>
      <c r="L84" s="764">
        <f t="shared" ca="1" si="212"/>
        <v>0</v>
      </c>
      <c r="M84" s="764">
        <f t="shared" ca="1" si="212"/>
        <v>0</v>
      </c>
      <c r="N84" s="764">
        <f t="shared" ca="1" si="212"/>
        <v>0</v>
      </c>
      <c r="O84" s="764">
        <f t="shared" ca="1" si="212"/>
        <v>0</v>
      </c>
      <c r="P84" s="764">
        <f t="shared" ca="1" si="212"/>
        <v>0</v>
      </c>
      <c r="Q84" s="720">
        <f ca="1">SUM(G84:P84)</f>
        <v>0</v>
      </c>
      <c r="S84" s="711">
        <f t="shared" ref="S84:AJ84" ca="1" si="213">S$51+S$55+S$63+S$68+S$72+S$76+S$82+S$46</f>
        <v>0</v>
      </c>
      <c r="T84" s="711">
        <f t="shared" ca="1" si="213"/>
        <v>261.96211411772401</v>
      </c>
      <c r="U84" s="711">
        <f t="shared" ca="1" si="213"/>
        <v>-400.12025503680002</v>
      </c>
      <c r="V84" s="711">
        <f t="shared" ca="1" si="213"/>
        <v>0</v>
      </c>
      <c r="W84" s="711">
        <f t="shared" ca="1" si="213"/>
        <v>-151.89074227938463</v>
      </c>
      <c r="X84" s="711">
        <f t="shared" ca="1" si="213"/>
        <v>63.965000000000003</v>
      </c>
      <c r="Y84" s="711">
        <f t="shared" ca="1" si="213"/>
        <v>107.70336000383915</v>
      </c>
      <c r="Z84" s="711">
        <f t="shared" ca="1" si="213"/>
        <v>82.232541885272198</v>
      </c>
      <c r="AA84" s="711">
        <f t="shared" ca="1" si="213"/>
        <v>0</v>
      </c>
      <c r="AB84" s="711">
        <f t="shared" ca="1" si="213"/>
        <v>0</v>
      </c>
      <c r="AC84" s="711">
        <f t="shared" ca="1" si="213"/>
        <v>0</v>
      </c>
      <c r="AD84" s="711">
        <f t="shared" ca="1" si="213"/>
        <v>0</v>
      </c>
      <c r="AE84" s="711">
        <f t="shared" ca="1" si="213"/>
        <v>0</v>
      </c>
      <c r="AF84" s="711">
        <f t="shared" ca="1" si="213"/>
        <v>0</v>
      </c>
      <c r="AG84" s="711">
        <f t="shared" ca="1" si="213"/>
        <v>0</v>
      </c>
      <c r="AH84" s="711">
        <f t="shared" ca="1" si="213"/>
        <v>0</v>
      </c>
      <c r="AI84" s="711">
        <f t="shared" ca="1" si="213"/>
        <v>0</v>
      </c>
      <c r="AJ84" s="711">
        <f t="shared" ca="1" si="213"/>
        <v>0</v>
      </c>
      <c r="AK84" s="711">
        <f ca="1">SUM(S84:AJ84)</f>
        <v>-36.147981309349305</v>
      </c>
      <c r="AM84" s="712">
        <f t="shared" ref="AM84:BE84" ca="1" si="214">AM$51+AM$55+AM$63+AM$68+AM$72+AM$76+AM$82+AM$46</f>
        <v>-63.965000000000003</v>
      </c>
      <c r="AN84" s="712">
        <f t="shared" ca="1" si="214"/>
        <v>-107.70336000383915</v>
      </c>
      <c r="AO84" s="712">
        <f t="shared" ca="1" si="214"/>
        <v>-82.232541885272198</v>
      </c>
      <c r="AP84" s="712">
        <f t="shared" ca="1" si="214"/>
        <v>0</v>
      </c>
      <c r="AQ84" s="712">
        <f t="shared" ca="1" si="214"/>
        <v>0</v>
      </c>
      <c r="AR84" s="712">
        <f t="shared" ca="1" si="214"/>
        <v>0</v>
      </c>
      <c r="AS84" s="712">
        <f t="shared" ca="1" si="214"/>
        <v>0</v>
      </c>
      <c r="AT84" s="712">
        <f t="shared" ca="1" si="214"/>
        <v>0</v>
      </c>
      <c r="AU84" s="712">
        <f t="shared" ca="1" si="214"/>
        <v>0</v>
      </c>
      <c r="AV84" s="712">
        <f t="shared" ca="1" si="214"/>
        <v>0</v>
      </c>
      <c r="AW84" s="712">
        <f t="shared" ca="1" si="214"/>
        <v>0</v>
      </c>
      <c r="AX84" s="712">
        <f t="shared" ca="1" si="214"/>
        <v>0</v>
      </c>
      <c r="AY84" s="712">
        <f t="shared" ca="1" si="214"/>
        <v>0</v>
      </c>
      <c r="AZ84" s="712">
        <f t="shared" ca="1" si="214"/>
        <v>0</v>
      </c>
      <c r="BA84" s="712">
        <f t="shared" ca="1" si="214"/>
        <v>0</v>
      </c>
      <c r="BB84" s="712">
        <f t="shared" ca="1" si="214"/>
        <v>0</v>
      </c>
      <c r="BC84" s="712">
        <f t="shared" ca="1" si="214"/>
        <v>0</v>
      </c>
      <c r="BD84" s="712">
        <f t="shared" ca="1" si="214"/>
        <v>0</v>
      </c>
      <c r="BE84" s="712">
        <f t="shared" ca="1" si="214"/>
        <v>0</v>
      </c>
      <c r="BF84" s="712">
        <f ca="1">SUM(AM84:BE84)</f>
        <v>-253.90090188911137</v>
      </c>
      <c r="BH84" s="713">
        <f ca="1">BH$51+BH$55+BH$63+BH$68+BH$72+BH$76+BH$82+BH$46</f>
        <v>253.22188731618462</v>
      </c>
      <c r="BI84" s="713">
        <f ca="1">BI$51+BI$55+BI$63+BI$68+BI$72+BI$76+BI$82+BI$46</f>
        <v>36.826995882276002</v>
      </c>
      <c r="BJ84" s="713">
        <f ca="1">SUM(BH84:BI84)</f>
        <v>290.0488831984606</v>
      </c>
      <c r="BL84" s="508">
        <f t="shared" ca="1" si="206"/>
        <v>0</v>
      </c>
      <c r="BM84" s="508"/>
      <c r="BO84" s="1088">
        <f t="shared" ref="BO84:DE84" ca="1" si="215">BO$51+BO$55+BO$63+BO$68+BO$72+BO$76+BO$82+BO$46</f>
        <v>151.18493513074114</v>
      </c>
      <c r="BP84" s="1088">
        <f t="shared" ca="1" si="215"/>
        <v>0.41804704360476075</v>
      </c>
      <c r="BQ84" s="1088">
        <f t="shared" ca="1" si="215"/>
        <v>1.1519504422738793</v>
      </c>
      <c r="BR84" s="1088">
        <f t="shared" ca="1" si="215"/>
        <v>0</v>
      </c>
      <c r="BS84" s="1088">
        <f t="shared" ca="1" si="215"/>
        <v>0.56193892646400301</v>
      </c>
      <c r="BT84" s="1088">
        <f t="shared" ca="1" si="215"/>
        <v>1.3576644262911814</v>
      </c>
      <c r="BU84" s="1088">
        <f t="shared" ca="1" si="215"/>
        <v>0</v>
      </c>
      <c r="BV84" s="1088">
        <f t="shared" ca="1" si="215"/>
        <v>0</v>
      </c>
      <c r="BW84" s="1088">
        <f t="shared" ca="1" si="215"/>
        <v>0</v>
      </c>
      <c r="BX84" s="1088">
        <f t="shared" ca="1" si="215"/>
        <v>0</v>
      </c>
      <c r="BY84" s="1088">
        <f t="shared" ca="1" si="215"/>
        <v>0</v>
      </c>
      <c r="BZ84" s="1088">
        <f t="shared" ca="1" si="215"/>
        <v>0</v>
      </c>
      <c r="CA84" s="1088">
        <f t="shared" ca="1" si="215"/>
        <v>0</v>
      </c>
      <c r="CB84" s="1088">
        <f t="shared" ca="1" si="215"/>
        <v>0</v>
      </c>
      <c r="CC84" s="1088">
        <f t="shared" ca="1" si="215"/>
        <v>0</v>
      </c>
      <c r="CD84" s="1088">
        <f t="shared" ca="1" si="215"/>
        <v>0</v>
      </c>
      <c r="CE84" s="1088">
        <f t="shared" ca="1" si="215"/>
        <v>0</v>
      </c>
      <c r="CF84" s="1088">
        <f t="shared" ca="1" si="215"/>
        <v>0</v>
      </c>
      <c r="CG84" s="1088">
        <f t="shared" ca="1" si="215"/>
        <v>0</v>
      </c>
      <c r="CH84" s="1088">
        <f t="shared" ca="1" si="215"/>
        <v>0</v>
      </c>
      <c r="CI84" s="1088">
        <f t="shared" ca="1" si="215"/>
        <v>0</v>
      </c>
      <c r="CJ84" s="1088">
        <f t="shared" ca="1" si="215"/>
        <v>0</v>
      </c>
      <c r="CK84" s="1088">
        <f t="shared" ca="1" si="215"/>
        <v>0</v>
      </c>
      <c r="CL84" s="1088">
        <f t="shared" ca="1" si="215"/>
        <v>0</v>
      </c>
      <c r="CM84" s="1088">
        <f t="shared" ca="1" si="215"/>
        <v>0</v>
      </c>
      <c r="CN84" s="1088">
        <f t="shared" ca="1" si="215"/>
        <v>0</v>
      </c>
      <c r="CO84" s="1088">
        <f t="shared" ca="1" si="215"/>
        <v>0</v>
      </c>
      <c r="CP84" s="1088">
        <f t="shared" ca="1" si="215"/>
        <v>0</v>
      </c>
      <c r="CQ84" s="1088">
        <f t="shared" ca="1" si="215"/>
        <v>0</v>
      </c>
      <c r="CR84" s="1088">
        <f t="shared" ca="1" si="215"/>
        <v>0</v>
      </c>
      <c r="CS84" s="1088">
        <f t="shared" ca="1" si="215"/>
        <v>0</v>
      </c>
      <c r="CT84" s="1088">
        <f t="shared" ca="1" si="215"/>
        <v>0</v>
      </c>
      <c r="CU84" s="1088">
        <f t="shared" ca="1" si="215"/>
        <v>0</v>
      </c>
      <c r="CV84" s="1088">
        <f t="shared" ca="1" si="215"/>
        <v>0</v>
      </c>
      <c r="CW84" s="1088">
        <f t="shared" ca="1" si="215"/>
        <v>0</v>
      </c>
      <c r="CX84" s="1088">
        <f t="shared" ca="1" si="215"/>
        <v>0</v>
      </c>
      <c r="CY84" s="1088">
        <f t="shared" ca="1" si="215"/>
        <v>0</v>
      </c>
      <c r="CZ84" s="1088">
        <f t="shared" ca="1" si="215"/>
        <v>0</v>
      </c>
      <c r="DA84" s="1088">
        <f t="shared" ca="1" si="215"/>
        <v>0</v>
      </c>
      <c r="DB84" s="1088">
        <f t="shared" ca="1" si="215"/>
        <v>0</v>
      </c>
      <c r="DC84" s="1088">
        <f t="shared" ca="1" si="215"/>
        <v>-136.06644161766704</v>
      </c>
      <c r="DD84" s="1088">
        <f t="shared" ca="1" si="215"/>
        <v>0</v>
      </c>
      <c r="DE84" s="1088">
        <f t="shared" ca="1" si="215"/>
        <v>0</v>
      </c>
      <c r="DF84" s="1088">
        <f ca="1">DF$51+DF$99+DF$55+DF$63+DF$68+DF$76+DF$82+DF$46</f>
        <v>0</v>
      </c>
      <c r="DH84" s="587">
        <f ca="1">SUM(BO84:DF84)</f>
        <v>18.608094351707933</v>
      </c>
    </row>
    <row r="85" spans="1:112" s="532" customFormat="1" ht="6" customHeight="1">
      <c r="C85" s="506"/>
      <c r="D85" s="507"/>
      <c r="E85" s="501"/>
      <c r="G85" s="656"/>
      <c r="H85" s="656"/>
      <c r="I85" s="656"/>
      <c r="J85" s="656"/>
      <c r="K85" s="658"/>
      <c r="L85" s="656"/>
      <c r="M85" s="656"/>
      <c r="N85" s="656"/>
      <c r="O85" s="656"/>
      <c r="P85" s="656"/>
      <c r="Q85" s="656"/>
      <c r="S85" s="668"/>
      <c r="T85" s="668"/>
      <c r="U85" s="668"/>
      <c r="V85" s="668"/>
      <c r="W85" s="668"/>
      <c r="X85" s="668"/>
      <c r="Y85" s="668"/>
      <c r="Z85" s="668"/>
      <c r="AA85" s="668"/>
      <c r="AB85" s="668"/>
      <c r="AC85" s="668"/>
      <c r="AD85" s="668"/>
      <c r="AE85" s="668"/>
      <c r="AF85" s="668"/>
      <c r="AG85" s="668"/>
      <c r="AH85" s="668"/>
      <c r="AI85" s="668"/>
      <c r="AJ85" s="668"/>
      <c r="AK85" s="668"/>
      <c r="AM85" s="674"/>
      <c r="AN85" s="674"/>
      <c r="AO85" s="674"/>
      <c r="AP85" s="674"/>
      <c r="AQ85" s="674"/>
      <c r="AR85" s="674"/>
      <c r="AS85" s="674"/>
      <c r="AT85" s="674"/>
      <c r="AU85" s="674"/>
      <c r="AV85" s="674"/>
      <c r="AW85" s="674"/>
      <c r="AX85" s="674"/>
      <c r="AY85" s="674"/>
      <c r="AZ85" s="674"/>
      <c r="BA85" s="674"/>
      <c r="BB85" s="674"/>
      <c r="BC85" s="674"/>
      <c r="BD85" s="674"/>
      <c r="BE85" s="674"/>
      <c r="BF85" s="674"/>
      <c r="BH85" s="688"/>
      <c r="BI85" s="688"/>
      <c r="BJ85" s="688"/>
      <c r="BL85" s="505">
        <f t="shared" si="206"/>
        <v>0</v>
      </c>
      <c r="BM85" s="505"/>
      <c r="BO85" s="1083"/>
      <c r="BP85" s="1083"/>
      <c r="BQ85" s="1083"/>
      <c r="BR85" s="1083"/>
      <c r="BS85" s="1083"/>
      <c r="BT85" s="1083"/>
      <c r="BU85" s="1083"/>
      <c r="BV85" s="1083"/>
      <c r="BW85" s="1083"/>
      <c r="BX85" s="1083"/>
      <c r="BY85" s="1083"/>
      <c r="BZ85" s="1083"/>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c r="CU85" s="1083"/>
      <c r="CV85" s="1083"/>
      <c r="CW85" s="1083"/>
      <c r="CX85" s="1083"/>
      <c r="CY85" s="1083"/>
      <c r="CZ85" s="1083"/>
      <c r="DA85" s="1083"/>
      <c r="DB85" s="1083"/>
      <c r="DC85" s="1083"/>
      <c r="DD85" s="1083"/>
      <c r="DE85" s="1083"/>
      <c r="DF85" s="1083"/>
      <c r="DH85" s="590"/>
    </row>
    <row r="86" spans="1:112" s="532" customFormat="1" ht="24" customHeight="1">
      <c r="C86" s="495" t="s">
        <v>746</v>
      </c>
      <c r="D86" s="495"/>
      <c r="E86" s="517"/>
      <c r="G86" s="655"/>
      <c r="H86" s="655"/>
      <c r="I86" s="655"/>
      <c r="J86" s="655"/>
      <c r="K86" s="655"/>
      <c r="L86" s="655"/>
      <c r="M86" s="655"/>
      <c r="N86" s="655"/>
      <c r="O86" s="655"/>
      <c r="P86" s="655"/>
      <c r="Q86" s="655"/>
      <c r="S86" s="671"/>
      <c r="T86" s="671"/>
      <c r="U86" s="671"/>
      <c r="V86" s="671"/>
      <c r="W86" s="671"/>
      <c r="X86" s="667"/>
      <c r="Y86" s="667"/>
      <c r="Z86" s="667"/>
      <c r="AA86" s="671"/>
      <c r="AB86" s="671"/>
      <c r="AC86" s="671"/>
      <c r="AD86" s="671"/>
      <c r="AE86" s="671"/>
      <c r="AF86" s="671"/>
      <c r="AG86" s="671"/>
      <c r="AH86" s="671"/>
      <c r="AI86" s="671"/>
      <c r="AJ86" s="671"/>
      <c r="AK86" s="671"/>
      <c r="AM86" s="678"/>
      <c r="AN86" s="678"/>
      <c r="AO86" s="678"/>
      <c r="AP86" s="678"/>
      <c r="AQ86" s="678"/>
      <c r="AR86" s="678"/>
      <c r="AS86" s="678"/>
      <c r="AT86" s="678"/>
      <c r="AU86" s="678"/>
      <c r="AV86" s="678"/>
      <c r="AW86" s="673"/>
      <c r="AX86" s="673"/>
      <c r="AY86" s="673"/>
      <c r="AZ86" s="673"/>
      <c r="BA86" s="673"/>
      <c r="BB86" s="673"/>
      <c r="BC86" s="673"/>
      <c r="BD86" s="673"/>
      <c r="BE86" s="673"/>
      <c r="BF86" s="678"/>
      <c r="BH86" s="691"/>
      <c r="BI86" s="691"/>
      <c r="BJ86" s="691"/>
      <c r="BL86" s="504">
        <f t="shared" si="206"/>
        <v>0</v>
      </c>
      <c r="BM86" s="504"/>
      <c r="BO86" s="1083"/>
      <c r="BP86" s="1083"/>
      <c r="BQ86" s="1083"/>
      <c r="BR86" s="1083"/>
      <c r="BS86" s="1083"/>
      <c r="BT86" s="1083"/>
      <c r="BU86" s="1083"/>
      <c r="BV86" s="1083"/>
      <c r="BW86" s="1083"/>
      <c r="BX86" s="1083"/>
      <c r="BY86" s="1083"/>
      <c r="BZ86" s="1083"/>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c r="CU86" s="1083"/>
      <c r="CV86" s="1083"/>
      <c r="CW86" s="1083"/>
      <c r="CX86" s="1083"/>
      <c r="CY86" s="1083"/>
      <c r="CZ86" s="1083"/>
      <c r="DA86" s="1083"/>
      <c r="DB86" s="1083"/>
      <c r="DC86" s="1083"/>
      <c r="DD86" s="1083"/>
      <c r="DE86" s="1083"/>
      <c r="DF86" s="1083"/>
      <c r="DH86" s="590"/>
    </row>
    <row r="87" spans="1:112" s="532" customFormat="1" ht="6" customHeight="1">
      <c r="C87" s="510"/>
      <c r="D87" s="38"/>
      <c r="E87" s="501"/>
      <c r="G87" s="656"/>
      <c r="H87" s="656"/>
      <c r="I87" s="656"/>
      <c r="J87" s="656"/>
      <c r="K87" s="658"/>
      <c r="L87" s="656"/>
      <c r="M87" s="656"/>
      <c r="N87" s="656"/>
      <c r="O87" s="656"/>
      <c r="P87" s="656"/>
      <c r="Q87" s="656"/>
      <c r="S87" s="668"/>
      <c r="T87" s="668"/>
      <c r="U87" s="668"/>
      <c r="V87" s="668"/>
      <c r="W87" s="668"/>
      <c r="X87" s="668"/>
      <c r="Y87" s="668"/>
      <c r="Z87" s="668"/>
      <c r="AA87" s="668"/>
      <c r="AB87" s="668"/>
      <c r="AC87" s="668"/>
      <c r="AD87" s="668"/>
      <c r="AE87" s="668"/>
      <c r="AF87" s="668"/>
      <c r="AG87" s="668"/>
      <c r="AH87" s="668"/>
      <c r="AI87" s="668"/>
      <c r="AJ87" s="668"/>
      <c r="AK87" s="668"/>
      <c r="AM87" s="674"/>
      <c r="AN87" s="674"/>
      <c r="AO87" s="674"/>
      <c r="AP87" s="674"/>
      <c r="AQ87" s="674"/>
      <c r="AR87" s="674"/>
      <c r="AS87" s="674"/>
      <c r="AT87" s="674"/>
      <c r="AU87" s="674"/>
      <c r="AV87" s="674"/>
      <c r="AW87" s="674"/>
      <c r="AX87" s="674"/>
      <c r="AY87" s="674"/>
      <c r="AZ87" s="674"/>
      <c r="BA87" s="674"/>
      <c r="BB87" s="674"/>
      <c r="BC87" s="674"/>
      <c r="BD87" s="674"/>
      <c r="BE87" s="674"/>
      <c r="BF87" s="674"/>
      <c r="BH87" s="688"/>
      <c r="BI87" s="688"/>
      <c r="BJ87" s="688"/>
      <c r="BL87" s="505">
        <f t="shared" si="206"/>
        <v>0</v>
      </c>
      <c r="BM87" s="505"/>
      <c r="BO87" s="1083"/>
      <c r="BP87" s="1083"/>
      <c r="BQ87" s="1083"/>
      <c r="BR87" s="1083"/>
      <c r="BS87" s="1083"/>
      <c r="BT87" s="1083"/>
      <c r="BU87" s="1083"/>
      <c r="BV87" s="1083"/>
      <c r="BW87" s="1083"/>
      <c r="BX87" s="1083"/>
      <c r="BY87" s="1083"/>
      <c r="BZ87" s="1083"/>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c r="CU87" s="1083"/>
      <c r="CV87" s="1083"/>
      <c r="CW87" s="1083"/>
      <c r="CX87" s="1083"/>
      <c r="CY87" s="1083"/>
      <c r="CZ87" s="1083"/>
      <c r="DA87" s="1083"/>
      <c r="DB87" s="1083"/>
      <c r="DC87" s="1083"/>
      <c r="DD87" s="1083"/>
      <c r="DE87" s="1083"/>
      <c r="DF87" s="1083"/>
      <c r="DH87" s="590"/>
    </row>
    <row r="88" spans="1:112" s="532" customFormat="1" outlineLevel="1">
      <c r="A88" s="1089"/>
      <c r="B88" s="1089"/>
      <c r="C88" s="601"/>
      <c r="D88" s="602"/>
      <c r="E88" s="602"/>
      <c r="G88" s="659"/>
      <c r="H88" s="659"/>
      <c r="I88" s="659"/>
      <c r="J88" s="659"/>
      <c r="K88" s="660"/>
      <c r="L88" s="659"/>
      <c r="M88" s="659"/>
      <c r="N88" s="659"/>
      <c r="O88" s="659"/>
      <c r="P88" s="659"/>
      <c r="Q88" s="659"/>
      <c r="S88" s="669"/>
      <c r="T88" s="669"/>
      <c r="U88" s="669"/>
      <c r="V88" s="669"/>
      <c r="W88" s="669"/>
      <c r="X88" s="669"/>
      <c r="Y88" s="669"/>
      <c r="Z88" s="669"/>
      <c r="AA88" s="669"/>
      <c r="AB88" s="669"/>
      <c r="AC88" s="669"/>
      <c r="AD88" s="669"/>
      <c r="AE88" s="669"/>
      <c r="AF88" s="669"/>
      <c r="AG88" s="669"/>
      <c r="AH88" s="669"/>
      <c r="AI88" s="669"/>
      <c r="AJ88" s="669"/>
      <c r="AK88" s="669"/>
      <c r="AM88" s="676"/>
      <c r="AN88" s="676"/>
      <c r="AO88" s="676"/>
      <c r="AP88" s="676"/>
      <c r="AQ88" s="676"/>
      <c r="AR88" s="676"/>
      <c r="AS88" s="676"/>
      <c r="AT88" s="676"/>
      <c r="AU88" s="676"/>
      <c r="AV88" s="676"/>
      <c r="AW88" s="676"/>
      <c r="AX88" s="676"/>
      <c r="AY88" s="676"/>
      <c r="AZ88" s="676"/>
      <c r="BA88" s="676"/>
      <c r="BB88" s="676"/>
      <c r="BC88" s="676"/>
      <c r="BD88" s="676"/>
      <c r="BE88" s="676"/>
      <c r="BF88" s="676"/>
      <c r="BH88" s="689"/>
      <c r="BI88" s="689"/>
      <c r="BJ88" s="689"/>
      <c r="BL88" s="603"/>
      <c r="BM88" s="603"/>
      <c r="BN88" s="1089"/>
      <c r="BO88" s="1091"/>
      <c r="BP88" s="1083"/>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c r="CU88" s="1083"/>
      <c r="CV88" s="1083"/>
      <c r="CW88" s="1083"/>
      <c r="CX88" s="1083"/>
      <c r="CY88" s="1083"/>
      <c r="CZ88" s="1083"/>
      <c r="DA88" s="1083"/>
      <c r="DB88" s="1083"/>
      <c r="DC88" s="1083"/>
      <c r="DD88" s="1083"/>
      <c r="DE88" s="1083"/>
      <c r="DF88" s="1083"/>
      <c r="DH88" s="590"/>
    </row>
    <row r="89" spans="1:112" s="1085" customFormat="1" outlineLevel="1">
      <c r="C89" s="512" t="s">
        <v>639</v>
      </c>
      <c r="D89" s="511" t="str">
        <f>INDEX(Modules[Module], MATCH($C89, Modules[Code], 0))</f>
        <v>Electricity imports</v>
      </c>
      <c r="E89" s="511"/>
      <c r="F89" s="532"/>
      <c r="G89" s="714">
        <f t="shared" ref="G89:P89" ca="1" si="216">IFERROR(INDEX(INDIRECT($C89&amp;".Outputs["&amp;this.Year&amp;"]"), MATCH(G$5, INDIRECT($C89&amp;".Outputs[Vector]"), 0)), 0)</f>
        <v>0</v>
      </c>
      <c r="H89" s="714">
        <f t="shared" ca="1" si="216"/>
        <v>0</v>
      </c>
      <c r="I89" s="714">
        <f t="shared" ca="1" si="216"/>
        <v>0</v>
      </c>
      <c r="J89" s="714">
        <f t="shared" ca="1" si="216"/>
        <v>0</v>
      </c>
      <c r="K89" s="714">
        <f t="shared" ca="1" si="216"/>
        <v>0</v>
      </c>
      <c r="L89" s="714">
        <f t="shared" ca="1" si="216"/>
        <v>0</v>
      </c>
      <c r="M89" s="714">
        <f t="shared" ca="1" si="216"/>
        <v>0</v>
      </c>
      <c r="N89" s="714">
        <f t="shared" ca="1" si="216"/>
        <v>0</v>
      </c>
      <c r="O89" s="714">
        <f t="shared" ca="1" si="216"/>
        <v>0</v>
      </c>
      <c r="P89" s="714">
        <f t="shared" ca="1" si="216"/>
        <v>0</v>
      </c>
      <c r="Q89" s="716">
        <f ca="1">SUM(G89:P89)</f>
        <v>0</v>
      </c>
      <c r="R89" s="532"/>
      <c r="S89" s="723">
        <f t="shared" ref="S89:AJ89" ca="1" si="217">IFERROR(INDEX(INDIRECT($C89&amp;".Outputs["&amp;this.Year&amp;"]"), MATCH(S$5, INDIRECT($C89&amp;".Outputs[Vector]"), 0)), 0)</f>
        <v>0</v>
      </c>
      <c r="T89" s="723">
        <f t="shared" ca="1" si="217"/>
        <v>0</v>
      </c>
      <c r="U89" s="723">
        <f t="shared" ca="1" si="217"/>
        <v>0</v>
      </c>
      <c r="V89" s="723">
        <f t="shared" ca="1" si="217"/>
        <v>0</v>
      </c>
      <c r="W89" s="723">
        <f t="shared" ca="1" si="217"/>
        <v>0</v>
      </c>
      <c r="X89" s="723">
        <f ca="1">IFERROR(INDEX(INDIRECT($C89&amp;".Outputs["&amp;this.Year&amp;"]"), MATCH(X$5, INDIRECT($C89&amp;".Outputs[Vector]"), 0)), 0)</f>
        <v>0</v>
      </c>
      <c r="Y89" s="723">
        <f ca="1">IFERROR(INDEX(INDIRECT($C89&amp;".Outputs["&amp;this.Year&amp;"]"), MATCH(Y$5, INDIRECT($C89&amp;".Outputs[Vector]"), 0)), 0)</f>
        <v>0</v>
      </c>
      <c r="Z89" s="723">
        <f ca="1">IFERROR(INDEX(INDIRECT($C89&amp;".Outputs["&amp;this.Year&amp;"]"), MATCH(Z$5, INDIRECT($C89&amp;".Outputs[Vector]"), 0)), 0)</f>
        <v>0</v>
      </c>
      <c r="AA89" s="723">
        <f t="shared" ca="1" si="217"/>
        <v>0</v>
      </c>
      <c r="AB89" s="723">
        <f t="shared" ca="1" si="217"/>
        <v>0</v>
      </c>
      <c r="AC89" s="723">
        <f t="shared" ca="1" si="217"/>
        <v>0</v>
      </c>
      <c r="AD89" s="723">
        <f t="shared" ca="1" si="217"/>
        <v>0</v>
      </c>
      <c r="AE89" s="723">
        <f t="shared" ca="1" si="217"/>
        <v>0</v>
      </c>
      <c r="AF89" s="723">
        <f t="shared" ca="1" si="217"/>
        <v>0</v>
      </c>
      <c r="AG89" s="723">
        <f t="shared" ca="1" si="217"/>
        <v>0</v>
      </c>
      <c r="AH89" s="723">
        <f t="shared" ca="1" si="217"/>
        <v>0</v>
      </c>
      <c r="AI89" s="723">
        <f t="shared" ca="1" si="217"/>
        <v>0</v>
      </c>
      <c r="AJ89" s="723">
        <f t="shared" ca="1" si="217"/>
        <v>0</v>
      </c>
      <c r="AK89" s="724">
        <f ca="1">SUM(S89:AJ89)</f>
        <v>0</v>
      </c>
      <c r="AL89" s="532"/>
      <c r="AM89" s="735">
        <f t="shared" ref="AM89:AU89" ca="1" si="218">IFERROR(INDEX(INDIRECT($C89&amp;".Outputs["&amp;this.Year&amp;"]"), MATCH(AM$5, INDIRECT($C89&amp;".Outputs[Vector]"), 0)), 0)</f>
        <v>0</v>
      </c>
      <c r="AN89" s="735">
        <f t="shared" ca="1" si="218"/>
        <v>0</v>
      </c>
      <c r="AO89" s="735">
        <f t="shared" ca="1" si="218"/>
        <v>0</v>
      </c>
      <c r="AP89" s="735">
        <f t="shared" ca="1" si="218"/>
        <v>0</v>
      </c>
      <c r="AQ89" s="735">
        <f t="shared" ca="1" si="218"/>
        <v>0</v>
      </c>
      <c r="AR89" s="735">
        <f t="shared" ca="1" si="218"/>
        <v>0</v>
      </c>
      <c r="AS89" s="735">
        <f t="shared" ca="1" si="218"/>
        <v>0</v>
      </c>
      <c r="AT89" s="735">
        <f t="shared" ca="1" si="218"/>
        <v>0</v>
      </c>
      <c r="AU89" s="735">
        <f t="shared" ca="1" si="218"/>
        <v>0</v>
      </c>
      <c r="AV89" s="735">
        <f t="shared" ref="AV89:BE89" ca="1" si="219">IFERROR(INDEX(INDIRECT($C89&amp;".Outputs["&amp;this.Year&amp;"]"), MATCH(AV$5, INDIRECT($C89&amp;".Outputs[Vector]"), 0)), 0)</f>
        <v>0</v>
      </c>
      <c r="AW89" s="735">
        <f t="shared" ca="1" si="219"/>
        <v>0</v>
      </c>
      <c r="AX89" s="735">
        <f t="shared" ca="1" si="219"/>
        <v>0</v>
      </c>
      <c r="AY89" s="735">
        <f t="shared" ca="1" si="219"/>
        <v>0</v>
      </c>
      <c r="AZ89" s="735">
        <f t="shared" ca="1" si="219"/>
        <v>0</v>
      </c>
      <c r="BA89" s="735">
        <f t="shared" ca="1" si="219"/>
        <v>0</v>
      </c>
      <c r="BB89" s="735">
        <f t="shared" ca="1" si="219"/>
        <v>0</v>
      </c>
      <c r="BC89" s="735">
        <f t="shared" ca="1" si="219"/>
        <v>0</v>
      </c>
      <c r="BD89" s="735">
        <f t="shared" ca="1" si="219"/>
        <v>0</v>
      </c>
      <c r="BE89" s="735">
        <f t="shared" ca="1" si="219"/>
        <v>0</v>
      </c>
      <c r="BF89" s="677">
        <f ca="1">SUM(AM89:BE89)</f>
        <v>0</v>
      </c>
      <c r="BG89" s="532"/>
      <c r="BH89" s="729">
        <f ca="1">IFERROR(INDEX(INDIRECT($C89&amp;".Outputs["&amp;this.Year&amp;"]"), MATCH(BH$5, INDIRECT($C89&amp;".Outputs[Vector]"), 0)), 0)</f>
        <v>0</v>
      </c>
      <c r="BI89" s="729">
        <f ca="1">IFERROR(INDEX(INDIRECT($C89&amp;".Outputs["&amp;this.Year&amp;"]"), MATCH(BI$5, INDIRECT($C89&amp;".Outputs[Vector]"), 0)), 0)</f>
        <v>0</v>
      </c>
      <c r="BJ89" s="731">
        <f ca="1">SUM(BH89:BI89)</f>
        <v>0</v>
      </c>
      <c r="BK89" s="532"/>
      <c r="BL89" s="576">
        <f t="shared" ref="BL89:BL94" ca="1" si="220">Q89+AK89+BF89+BJ89</f>
        <v>0</v>
      </c>
      <c r="BM89" s="576"/>
      <c r="BO89" s="1082">
        <f t="shared" ref="BO89:DF89" ca="1" si="221">IFERROR(SUMIFS(INDIRECT($C89&amp;".Emissions["&amp;this.Year&amp;"]"), INDIRECT($C89&amp;".Emissions[GHG]"), BO$6, INDIRECT($C89&amp;".Emissions[IPCC Sector]"), BO$5),0)</f>
        <v>0</v>
      </c>
      <c r="BP89" s="1083">
        <f t="shared" ca="1" si="221"/>
        <v>0</v>
      </c>
      <c r="BQ89" s="1083">
        <f t="shared" ca="1" si="221"/>
        <v>0</v>
      </c>
      <c r="BR89" s="1083">
        <f t="shared" ca="1" si="221"/>
        <v>0</v>
      </c>
      <c r="BS89" s="1083">
        <f t="shared" ca="1" si="221"/>
        <v>0</v>
      </c>
      <c r="BT89" s="1083">
        <f t="shared" ca="1" si="221"/>
        <v>0</v>
      </c>
      <c r="BU89" s="1083">
        <f t="shared" ca="1" si="221"/>
        <v>0</v>
      </c>
      <c r="BV89" s="1083">
        <f t="shared" ca="1" si="221"/>
        <v>0</v>
      </c>
      <c r="BW89" s="1083">
        <f t="shared" ca="1" si="221"/>
        <v>0</v>
      </c>
      <c r="BX89" s="1083">
        <f t="shared" ca="1" si="221"/>
        <v>0</v>
      </c>
      <c r="BY89" s="1083">
        <f t="shared" ca="1" si="221"/>
        <v>0</v>
      </c>
      <c r="BZ89" s="1083">
        <f t="shared" ca="1" si="221"/>
        <v>0</v>
      </c>
      <c r="CA89" s="1083">
        <f t="shared" ca="1" si="221"/>
        <v>0</v>
      </c>
      <c r="CB89" s="1083">
        <f t="shared" ca="1" si="221"/>
        <v>0</v>
      </c>
      <c r="CC89" s="1083">
        <f t="shared" ca="1" si="221"/>
        <v>0</v>
      </c>
      <c r="CD89" s="1083">
        <f t="shared" ca="1" si="221"/>
        <v>0</v>
      </c>
      <c r="CE89" s="1083">
        <f t="shared" ca="1" si="221"/>
        <v>0</v>
      </c>
      <c r="CF89" s="1083">
        <f t="shared" ca="1" si="221"/>
        <v>0</v>
      </c>
      <c r="CG89" s="1083">
        <f t="shared" ca="1" si="221"/>
        <v>0</v>
      </c>
      <c r="CH89" s="1083">
        <f t="shared" ca="1" si="221"/>
        <v>0</v>
      </c>
      <c r="CI89" s="1083">
        <f t="shared" ca="1" si="221"/>
        <v>0</v>
      </c>
      <c r="CJ89" s="1083">
        <f t="shared" ca="1" si="221"/>
        <v>0</v>
      </c>
      <c r="CK89" s="1083">
        <f t="shared" ca="1" si="221"/>
        <v>0</v>
      </c>
      <c r="CL89" s="1083">
        <f t="shared" ca="1" si="221"/>
        <v>0</v>
      </c>
      <c r="CM89" s="1083">
        <f t="shared" ca="1" si="221"/>
        <v>0</v>
      </c>
      <c r="CN89" s="1083">
        <f t="shared" ca="1" si="221"/>
        <v>0</v>
      </c>
      <c r="CO89" s="1083">
        <f t="shared" ca="1" si="221"/>
        <v>0</v>
      </c>
      <c r="CP89" s="1083">
        <f t="shared" ca="1" si="221"/>
        <v>0</v>
      </c>
      <c r="CQ89" s="1083">
        <f t="shared" ca="1" si="221"/>
        <v>0</v>
      </c>
      <c r="CR89" s="1083">
        <f t="shared" ca="1" si="221"/>
        <v>0</v>
      </c>
      <c r="CS89" s="1083">
        <f t="shared" ca="1" si="221"/>
        <v>0</v>
      </c>
      <c r="CT89" s="1083">
        <f t="shared" ca="1" si="221"/>
        <v>0</v>
      </c>
      <c r="CU89" s="1083">
        <f t="shared" ca="1" si="221"/>
        <v>0</v>
      </c>
      <c r="CV89" s="1083">
        <f t="shared" ca="1" si="221"/>
        <v>0</v>
      </c>
      <c r="CW89" s="1083">
        <f t="shared" ca="1" si="221"/>
        <v>0</v>
      </c>
      <c r="CX89" s="1083">
        <f t="shared" ca="1" si="221"/>
        <v>0</v>
      </c>
      <c r="CY89" s="1083">
        <f t="shared" ca="1" si="221"/>
        <v>0</v>
      </c>
      <c r="CZ89" s="1083">
        <f t="shared" ca="1" si="221"/>
        <v>0</v>
      </c>
      <c r="DA89" s="1083">
        <f t="shared" ca="1" si="221"/>
        <v>0</v>
      </c>
      <c r="DB89" s="1083">
        <f t="shared" ca="1" si="221"/>
        <v>0</v>
      </c>
      <c r="DC89" s="1083">
        <f t="shared" ca="1" si="221"/>
        <v>0</v>
      </c>
      <c r="DD89" s="1083">
        <f t="shared" ca="1" si="221"/>
        <v>0</v>
      </c>
      <c r="DE89" s="1083">
        <f t="shared" ca="1" si="221"/>
        <v>0</v>
      </c>
      <c r="DF89" s="1083">
        <f t="shared" ca="1" si="221"/>
        <v>0</v>
      </c>
      <c r="DH89" s="590"/>
    </row>
    <row r="90" spans="1:112" s="1089" customFormat="1" ht="12.75" customHeight="1" outlineLevel="1">
      <c r="C90" s="743" t="s">
        <v>1063</v>
      </c>
      <c r="D90" s="744" t="s">
        <v>978</v>
      </c>
      <c r="E90" s="744"/>
      <c r="F90" s="532"/>
      <c r="G90" s="759"/>
      <c r="H90" s="759"/>
      <c r="I90" s="759"/>
      <c r="J90" s="759"/>
      <c r="K90" s="760"/>
      <c r="L90" s="759"/>
      <c r="M90" s="759"/>
      <c r="N90" s="759"/>
      <c r="O90" s="759"/>
      <c r="P90" s="759"/>
      <c r="Q90" s="759"/>
      <c r="R90" s="532"/>
      <c r="S90" s="761">
        <f ca="1">S$40+$S46+S$51+S$99+S$55+S$89</f>
        <v>0</v>
      </c>
      <c r="T90" s="761">
        <f ca="1">T$40+$S46+T$51+T$99+T$55+T$89</f>
        <v>0</v>
      </c>
      <c r="U90" s="761"/>
      <c r="V90" s="761"/>
      <c r="W90" s="761"/>
      <c r="X90" s="761"/>
      <c r="Y90" s="761"/>
      <c r="Z90" s="761"/>
      <c r="AA90" s="761"/>
      <c r="AB90" s="761"/>
      <c r="AC90" s="761"/>
      <c r="AD90" s="761"/>
      <c r="AE90" s="761"/>
      <c r="AF90" s="761"/>
      <c r="AG90" s="761"/>
      <c r="AH90" s="761"/>
      <c r="AI90" s="761"/>
      <c r="AJ90" s="761"/>
      <c r="AK90" s="761"/>
      <c r="AL90" s="532"/>
      <c r="AM90" s="762"/>
      <c r="AN90" s="762"/>
      <c r="AO90" s="762"/>
      <c r="AP90" s="762"/>
      <c r="AQ90" s="762"/>
      <c r="AR90" s="762"/>
      <c r="AS90" s="762"/>
      <c r="AT90" s="762"/>
      <c r="AU90" s="762"/>
      <c r="AV90" s="762"/>
      <c r="AW90" s="762"/>
      <c r="AX90" s="762"/>
      <c r="AY90" s="762"/>
      <c r="AZ90" s="762"/>
      <c r="BA90" s="762"/>
      <c r="BB90" s="762"/>
      <c r="BC90" s="762"/>
      <c r="BD90" s="762"/>
      <c r="BE90" s="762"/>
      <c r="BF90" s="762"/>
      <c r="BG90" s="532"/>
      <c r="BH90" s="763"/>
      <c r="BI90" s="763"/>
      <c r="BJ90" s="763"/>
      <c r="BK90" s="532"/>
      <c r="BL90" s="603">
        <f t="shared" si="220"/>
        <v>0</v>
      </c>
      <c r="BM90" s="603"/>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c r="CU90" s="1091"/>
      <c r="CV90" s="1091"/>
      <c r="CW90" s="1091"/>
      <c r="CX90" s="1091"/>
      <c r="CY90" s="1091"/>
      <c r="CZ90" s="1091"/>
      <c r="DA90" s="1091"/>
      <c r="DB90" s="1091"/>
      <c r="DC90" s="1091"/>
      <c r="DD90" s="1091"/>
      <c r="DE90" s="1091"/>
      <c r="DF90" s="1091"/>
      <c r="DH90" s="590"/>
    </row>
    <row r="91" spans="1:112" s="1085" customFormat="1" outlineLevel="1">
      <c r="C91" s="512" t="s">
        <v>642</v>
      </c>
      <c r="D91" s="511" t="str">
        <f>INDEX(Modules[Module], MATCH($C91, Modules[Code], 0))</f>
        <v>Electricity grid distribution</v>
      </c>
      <c r="E91" s="511"/>
      <c r="F91" s="532"/>
      <c r="G91" s="714">
        <f t="shared" ref="G91:P92" ca="1" si="222">IFERROR(INDEX(INDIRECT($C91&amp;".Outputs["&amp;this.Year&amp;"]"), MATCH(G$5, INDIRECT($C91&amp;".Outputs[Vector]"), 0)), 0)</f>
        <v>0</v>
      </c>
      <c r="H91" s="714">
        <f t="shared" ca="1" si="222"/>
        <v>0</v>
      </c>
      <c r="I91" s="714">
        <f t="shared" ca="1" si="222"/>
        <v>0</v>
      </c>
      <c r="J91" s="714">
        <f t="shared" ca="1" si="222"/>
        <v>0</v>
      </c>
      <c r="K91" s="714">
        <f t="shared" ca="1" si="222"/>
        <v>0</v>
      </c>
      <c r="L91" s="714">
        <f t="shared" ca="1" si="222"/>
        <v>0</v>
      </c>
      <c r="M91" s="714">
        <f t="shared" ca="1" si="222"/>
        <v>0</v>
      </c>
      <c r="N91" s="714">
        <f t="shared" ca="1" si="222"/>
        <v>0</v>
      </c>
      <c r="O91" s="714">
        <f t="shared" ca="1" si="222"/>
        <v>0</v>
      </c>
      <c r="P91" s="714">
        <f t="shared" ca="1" si="222"/>
        <v>0</v>
      </c>
      <c r="Q91" s="716">
        <f ca="1">SUM(G91:P91)</f>
        <v>0</v>
      </c>
      <c r="R91" s="532"/>
      <c r="S91" s="723">
        <f t="shared" ref="S91:AJ92" ca="1" si="223">IFERROR(INDEX(INDIRECT($C91&amp;".Outputs["&amp;this.Year&amp;"]"), MATCH(S$5, INDIRECT($C91&amp;".Outputs[Vector]"), 0)), 0)</f>
        <v>0</v>
      </c>
      <c r="T91" s="723">
        <f t="shared" ca="1" si="223"/>
        <v>0</v>
      </c>
      <c r="U91" s="723">
        <f t="shared" ca="1" si="223"/>
        <v>0</v>
      </c>
      <c r="V91" s="723">
        <f t="shared" ca="1" si="223"/>
        <v>0</v>
      </c>
      <c r="W91" s="723">
        <f t="shared" ca="1" si="223"/>
        <v>0</v>
      </c>
      <c r="X91" s="723">
        <f t="shared" ref="X91:Z92" ca="1" si="224">IFERROR(INDEX(INDIRECT($C91&amp;".Outputs["&amp;this.Year&amp;"]"), MATCH(X$5, INDIRECT($C91&amp;".Outputs[Vector]"), 0)), 0)</f>
        <v>0</v>
      </c>
      <c r="Y91" s="723">
        <f t="shared" ca="1" si="224"/>
        <v>0</v>
      </c>
      <c r="Z91" s="723">
        <f t="shared" ca="1" si="224"/>
        <v>0</v>
      </c>
      <c r="AA91" s="723">
        <f t="shared" ca="1" si="223"/>
        <v>0</v>
      </c>
      <c r="AB91" s="723">
        <f t="shared" ca="1" si="223"/>
        <v>0</v>
      </c>
      <c r="AC91" s="723">
        <f t="shared" ca="1" si="223"/>
        <v>0</v>
      </c>
      <c r="AD91" s="723">
        <f t="shared" ca="1" si="223"/>
        <v>0</v>
      </c>
      <c r="AE91" s="723">
        <f t="shared" ca="1" si="223"/>
        <v>0</v>
      </c>
      <c r="AF91" s="723">
        <f t="shared" ca="1" si="223"/>
        <v>0</v>
      </c>
      <c r="AG91" s="723">
        <f t="shared" ca="1" si="223"/>
        <v>0</v>
      </c>
      <c r="AH91" s="723">
        <f t="shared" ca="1" si="223"/>
        <v>0</v>
      </c>
      <c r="AI91" s="723">
        <f t="shared" ca="1" si="223"/>
        <v>0</v>
      </c>
      <c r="AJ91" s="723">
        <f t="shared" ca="1" si="223"/>
        <v>0</v>
      </c>
      <c r="AK91" s="724">
        <f ca="1">SUM(S91:AJ91)</f>
        <v>0</v>
      </c>
      <c r="AL91" s="532"/>
      <c r="AM91" s="735">
        <f t="shared" ref="AM91:AU92" ca="1" si="225">IFERROR(INDEX(INDIRECT($C91&amp;".Outputs["&amp;this.Year&amp;"]"), MATCH(AM$5, INDIRECT($C91&amp;".Outputs[Vector]"), 0)), 0)</f>
        <v>0</v>
      </c>
      <c r="AN91" s="735">
        <f t="shared" ca="1" si="225"/>
        <v>0</v>
      </c>
      <c r="AO91" s="735">
        <f t="shared" ca="1" si="225"/>
        <v>0</v>
      </c>
      <c r="AP91" s="735">
        <f t="shared" ca="1" si="225"/>
        <v>0</v>
      </c>
      <c r="AQ91" s="735">
        <f t="shared" ca="1" si="225"/>
        <v>0</v>
      </c>
      <c r="AR91" s="735">
        <f t="shared" ca="1" si="225"/>
        <v>0</v>
      </c>
      <c r="AS91" s="735">
        <f t="shared" ca="1" si="225"/>
        <v>0</v>
      </c>
      <c r="AT91" s="735">
        <f t="shared" ca="1" si="225"/>
        <v>0</v>
      </c>
      <c r="AU91" s="735">
        <f t="shared" ca="1" si="225"/>
        <v>0</v>
      </c>
      <c r="AV91" s="735">
        <f t="shared" ref="AV91:BE92" ca="1" si="226">IFERROR(INDEX(INDIRECT($C91&amp;".Outputs["&amp;this.Year&amp;"]"), MATCH(AV$5, INDIRECT($C91&amp;".Outputs[Vector]"), 0)), 0)</f>
        <v>0</v>
      </c>
      <c r="AW91" s="735">
        <f t="shared" ca="1" si="226"/>
        <v>0</v>
      </c>
      <c r="AX91" s="735">
        <f t="shared" ca="1" si="226"/>
        <v>0</v>
      </c>
      <c r="AY91" s="735">
        <f t="shared" ca="1" si="226"/>
        <v>0</v>
      </c>
      <c r="AZ91" s="735">
        <f t="shared" ca="1" si="226"/>
        <v>0</v>
      </c>
      <c r="BA91" s="735">
        <f t="shared" ca="1" si="226"/>
        <v>0</v>
      </c>
      <c r="BB91" s="735">
        <f t="shared" ca="1" si="226"/>
        <v>0</v>
      </c>
      <c r="BC91" s="735">
        <f t="shared" ca="1" si="226"/>
        <v>0</v>
      </c>
      <c r="BD91" s="735">
        <f t="shared" ca="1" si="226"/>
        <v>0</v>
      </c>
      <c r="BE91" s="735">
        <f t="shared" ca="1" si="226"/>
        <v>0</v>
      </c>
      <c r="BF91" s="677">
        <f ca="1">SUM(AM91:BE91)</f>
        <v>0</v>
      </c>
      <c r="BG91" s="532"/>
      <c r="BH91" s="729">
        <f ca="1">IFERROR(INDEX(INDIRECT($C91&amp;".Outputs["&amp;this.Year&amp;"]"), MATCH(BH$5, INDIRECT($C91&amp;".Outputs[Vector]"), 0)), 0)</f>
        <v>0</v>
      </c>
      <c r="BI91" s="729">
        <f ca="1">IFERROR(INDEX(INDIRECT($C91&amp;".Outputs["&amp;this.Year&amp;"]"), MATCH(BI$5, INDIRECT($C91&amp;".Outputs[Vector]"), 0)), 0)</f>
        <v>0</v>
      </c>
      <c r="BJ91" s="731">
        <f ca="1">SUM(BH91:BI91)</f>
        <v>0</v>
      </c>
      <c r="BK91" s="532"/>
      <c r="BL91" s="603">
        <f t="shared" ca="1" si="220"/>
        <v>0</v>
      </c>
      <c r="BM91" s="576"/>
      <c r="BO91" s="1082">
        <f t="shared" ref="BO91:BX92" ca="1" si="227">IFERROR(SUMIFS(INDIRECT($C91&amp;".Emissions["&amp;this.Year&amp;"]"), INDIRECT($C91&amp;".Emissions[GHG]"), BO$6, INDIRECT($C91&amp;".Emissions[IPCC Sector]"), BO$5),0)</f>
        <v>0</v>
      </c>
      <c r="BP91" s="1083">
        <f t="shared" ca="1" si="227"/>
        <v>0</v>
      </c>
      <c r="BQ91" s="1083">
        <f t="shared" ca="1" si="227"/>
        <v>0</v>
      </c>
      <c r="BR91" s="1083">
        <f t="shared" ca="1" si="227"/>
        <v>0</v>
      </c>
      <c r="BS91" s="1083">
        <f t="shared" ca="1" si="227"/>
        <v>0</v>
      </c>
      <c r="BT91" s="1083">
        <f t="shared" ca="1" si="227"/>
        <v>0</v>
      </c>
      <c r="BU91" s="1083">
        <f t="shared" ca="1" si="227"/>
        <v>0</v>
      </c>
      <c r="BV91" s="1083">
        <f t="shared" ca="1" si="227"/>
        <v>0</v>
      </c>
      <c r="BW91" s="1083">
        <f t="shared" ca="1" si="227"/>
        <v>0</v>
      </c>
      <c r="BX91" s="1083">
        <f t="shared" ca="1" si="227"/>
        <v>0</v>
      </c>
      <c r="BY91" s="1083">
        <f t="shared" ref="BY91:CH92" ca="1" si="228">IFERROR(SUMIFS(INDIRECT($C91&amp;".Emissions["&amp;this.Year&amp;"]"), INDIRECT($C91&amp;".Emissions[GHG]"), BY$6, INDIRECT($C91&amp;".Emissions[IPCC Sector]"), BY$5),0)</f>
        <v>0</v>
      </c>
      <c r="BZ91" s="1083">
        <f t="shared" ca="1" si="228"/>
        <v>0</v>
      </c>
      <c r="CA91" s="1083">
        <f t="shared" ca="1" si="228"/>
        <v>0</v>
      </c>
      <c r="CB91" s="1083">
        <f t="shared" ca="1" si="228"/>
        <v>0</v>
      </c>
      <c r="CC91" s="1083">
        <f t="shared" ca="1" si="228"/>
        <v>0</v>
      </c>
      <c r="CD91" s="1083">
        <f t="shared" ca="1" si="228"/>
        <v>0</v>
      </c>
      <c r="CE91" s="1083">
        <f t="shared" ca="1" si="228"/>
        <v>0</v>
      </c>
      <c r="CF91" s="1083">
        <f t="shared" ca="1" si="228"/>
        <v>0</v>
      </c>
      <c r="CG91" s="1083">
        <f t="shared" ca="1" si="228"/>
        <v>0</v>
      </c>
      <c r="CH91" s="1083">
        <f t="shared" ca="1" si="228"/>
        <v>0</v>
      </c>
      <c r="CI91" s="1083">
        <f t="shared" ref="CI91:CR92" ca="1" si="229">IFERROR(SUMIFS(INDIRECT($C91&amp;".Emissions["&amp;this.Year&amp;"]"), INDIRECT($C91&amp;".Emissions[GHG]"), CI$6, INDIRECT($C91&amp;".Emissions[IPCC Sector]"), CI$5),0)</f>
        <v>0</v>
      </c>
      <c r="CJ91" s="1083">
        <f t="shared" ca="1" si="229"/>
        <v>0</v>
      </c>
      <c r="CK91" s="1083">
        <f t="shared" ca="1" si="229"/>
        <v>0</v>
      </c>
      <c r="CL91" s="1083">
        <f t="shared" ca="1" si="229"/>
        <v>0</v>
      </c>
      <c r="CM91" s="1083">
        <f t="shared" ca="1" si="229"/>
        <v>0</v>
      </c>
      <c r="CN91" s="1083">
        <f t="shared" ca="1" si="229"/>
        <v>0</v>
      </c>
      <c r="CO91" s="1083">
        <f t="shared" ca="1" si="229"/>
        <v>0</v>
      </c>
      <c r="CP91" s="1083">
        <f t="shared" ca="1" si="229"/>
        <v>0</v>
      </c>
      <c r="CQ91" s="1083">
        <f t="shared" ca="1" si="229"/>
        <v>0</v>
      </c>
      <c r="CR91" s="1083">
        <f t="shared" ca="1" si="229"/>
        <v>0</v>
      </c>
      <c r="CS91" s="1083">
        <f t="shared" ref="CS91:DF92" ca="1" si="230">IFERROR(SUMIFS(INDIRECT($C91&amp;".Emissions["&amp;this.Year&amp;"]"), INDIRECT($C91&amp;".Emissions[GHG]"), CS$6, INDIRECT($C91&amp;".Emissions[IPCC Sector]"), CS$5),0)</f>
        <v>0</v>
      </c>
      <c r="CT91" s="1083">
        <f t="shared" ca="1" si="230"/>
        <v>0</v>
      </c>
      <c r="CU91" s="1083">
        <f t="shared" ca="1" si="230"/>
        <v>0</v>
      </c>
      <c r="CV91" s="1083">
        <f t="shared" ca="1" si="230"/>
        <v>0</v>
      </c>
      <c r="CW91" s="1083">
        <f t="shared" ca="1" si="230"/>
        <v>0</v>
      </c>
      <c r="CX91" s="1083">
        <f t="shared" ca="1" si="230"/>
        <v>0</v>
      </c>
      <c r="CY91" s="1083">
        <f t="shared" ca="1" si="230"/>
        <v>0</v>
      </c>
      <c r="CZ91" s="1083">
        <f t="shared" ca="1" si="230"/>
        <v>0</v>
      </c>
      <c r="DA91" s="1083">
        <f t="shared" ca="1" si="230"/>
        <v>0</v>
      </c>
      <c r="DB91" s="1083">
        <f t="shared" ca="1" si="230"/>
        <v>0</v>
      </c>
      <c r="DC91" s="1083">
        <f t="shared" ca="1" si="230"/>
        <v>0</v>
      </c>
      <c r="DD91" s="1083">
        <f t="shared" ca="1" si="230"/>
        <v>0</v>
      </c>
      <c r="DE91" s="1083">
        <f t="shared" ca="1" si="230"/>
        <v>0</v>
      </c>
      <c r="DF91" s="1083">
        <f t="shared" ca="1" si="230"/>
        <v>0</v>
      </c>
      <c r="DH91" s="590"/>
    </row>
    <row r="92" spans="1:112" s="1085" customFormat="1" outlineLevel="1">
      <c r="C92" s="512" t="s">
        <v>646</v>
      </c>
      <c r="D92" s="707" t="str">
        <f>INDEX(Modules[Module], MATCH($C92, Modules[Code], 0))</f>
        <v>Storage, demand shifting, interconnection</v>
      </c>
      <c r="E92" s="707"/>
      <c r="F92" s="532"/>
      <c r="G92" s="719">
        <f t="shared" ca="1" si="222"/>
        <v>0</v>
      </c>
      <c r="H92" s="719">
        <f t="shared" ca="1" si="222"/>
        <v>0</v>
      </c>
      <c r="I92" s="719">
        <f t="shared" ca="1" si="222"/>
        <v>0</v>
      </c>
      <c r="J92" s="719">
        <f t="shared" ca="1" si="222"/>
        <v>0</v>
      </c>
      <c r="K92" s="719">
        <f t="shared" ca="1" si="222"/>
        <v>0</v>
      </c>
      <c r="L92" s="719">
        <f t="shared" ca="1" si="222"/>
        <v>0</v>
      </c>
      <c r="M92" s="719">
        <f t="shared" ca="1" si="222"/>
        <v>0</v>
      </c>
      <c r="N92" s="719">
        <f t="shared" ca="1" si="222"/>
        <v>0</v>
      </c>
      <c r="O92" s="719">
        <f t="shared" ca="1" si="222"/>
        <v>0</v>
      </c>
      <c r="P92" s="719">
        <f t="shared" ca="1" si="222"/>
        <v>0</v>
      </c>
      <c r="Q92" s="717">
        <f ca="1">SUM(G92:P92)</f>
        <v>0</v>
      </c>
      <c r="R92" s="532"/>
      <c r="S92" s="728">
        <f t="shared" ca="1" si="223"/>
        <v>0</v>
      </c>
      <c r="T92" s="728">
        <f t="shared" ca="1" si="223"/>
        <v>0</v>
      </c>
      <c r="U92" s="728">
        <f t="shared" ca="1" si="223"/>
        <v>0</v>
      </c>
      <c r="V92" s="728">
        <f t="shared" ca="1" si="223"/>
        <v>0</v>
      </c>
      <c r="W92" s="728">
        <f t="shared" ca="1" si="223"/>
        <v>0</v>
      </c>
      <c r="X92" s="728">
        <f t="shared" ca="1" si="224"/>
        <v>0</v>
      </c>
      <c r="Y92" s="728">
        <f t="shared" ca="1" si="224"/>
        <v>0</v>
      </c>
      <c r="Z92" s="728">
        <f t="shared" ca="1" si="224"/>
        <v>0</v>
      </c>
      <c r="AA92" s="728">
        <f t="shared" ca="1" si="223"/>
        <v>0</v>
      </c>
      <c r="AB92" s="728">
        <f t="shared" ca="1" si="223"/>
        <v>0</v>
      </c>
      <c r="AC92" s="728">
        <f t="shared" ca="1" si="223"/>
        <v>0</v>
      </c>
      <c r="AD92" s="728">
        <f t="shared" ca="1" si="223"/>
        <v>0</v>
      </c>
      <c r="AE92" s="728">
        <f t="shared" ca="1" si="223"/>
        <v>0</v>
      </c>
      <c r="AF92" s="728">
        <f t="shared" ca="1" si="223"/>
        <v>0</v>
      </c>
      <c r="AG92" s="728">
        <f t="shared" ca="1" si="223"/>
        <v>0</v>
      </c>
      <c r="AH92" s="728">
        <f t="shared" ca="1" si="223"/>
        <v>0</v>
      </c>
      <c r="AI92" s="728">
        <f t="shared" ca="1" si="223"/>
        <v>0</v>
      </c>
      <c r="AJ92" s="728">
        <f t="shared" ca="1" si="223"/>
        <v>0</v>
      </c>
      <c r="AK92" s="727">
        <f ca="1">SUM(S92:AJ92)</f>
        <v>0</v>
      </c>
      <c r="AL92" s="532"/>
      <c r="AM92" s="739">
        <f t="shared" ca="1" si="225"/>
        <v>0</v>
      </c>
      <c r="AN92" s="739">
        <f t="shared" ca="1" si="225"/>
        <v>0</v>
      </c>
      <c r="AO92" s="739">
        <f t="shared" ca="1" si="225"/>
        <v>0</v>
      </c>
      <c r="AP92" s="739">
        <f t="shared" ca="1" si="225"/>
        <v>0</v>
      </c>
      <c r="AQ92" s="739">
        <f t="shared" ca="1" si="225"/>
        <v>0</v>
      </c>
      <c r="AR92" s="739">
        <f t="shared" ca="1" si="225"/>
        <v>0</v>
      </c>
      <c r="AS92" s="739">
        <f t="shared" ca="1" si="225"/>
        <v>0</v>
      </c>
      <c r="AT92" s="739">
        <f t="shared" ca="1" si="225"/>
        <v>0</v>
      </c>
      <c r="AU92" s="739">
        <f t="shared" ca="1" si="225"/>
        <v>0</v>
      </c>
      <c r="AV92" s="739">
        <f t="shared" ca="1" si="226"/>
        <v>0</v>
      </c>
      <c r="AW92" s="739">
        <f t="shared" ca="1" si="226"/>
        <v>0</v>
      </c>
      <c r="AX92" s="739">
        <f t="shared" ca="1" si="226"/>
        <v>0</v>
      </c>
      <c r="AY92" s="739">
        <f t="shared" ca="1" si="226"/>
        <v>0</v>
      </c>
      <c r="AZ92" s="739">
        <f t="shared" ca="1" si="226"/>
        <v>0</v>
      </c>
      <c r="BA92" s="739">
        <f t="shared" ca="1" si="226"/>
        <v>0</v>
      </c>
      <c r="BB92" s="739">
        <f t="shared" ca="1" si="226"/>
        <v>0</v>
      </c>
      <c r="BC92" s="739">
        <f t="shared" ca="1" si="226"/>
        <v>0</v>
      </c>
      <c r="BD92" s="739">
        <f t="shared" ca="1" si="226"/>
        <v>0</v>
      </c>
      <c r="BE92" s="739">
        <f t="shared" ca="1" si="226"/>
        <v>0</v>
      </c>
      <c r="BF92" s="709">
        <f ca="1">SUM(AM92:BE92)</f>
        <v>0</v>
      </c>
      <c r="BG92" s="532"/>
      <c r="BH92" s="733">
        <f ca="1">IFERROR(INDEX(INDIRECT($C92&amp;".Outputs["&amp;this.Year&amp;"]"), MATCH(BH$5, INDIRECT($C92&amp;".Outputs[Vector]"), 0)), 0)</f>
        <v>0</v>
      </c>
      <c r="BI92" s="733">
        <f ca="1">IFERROR(INDEX(INDIRECT($C92&amp;".Outputs["&amp;this.Year&amp;"]"), MATCH(BI$5, INDIRECT($C92&amp;".Outputs[Vector]"), 0)), 0)</f>
        <v>0</v>
      </c>
      <c r="BJ92" s="732">
        <f ca="1">SUM(BH92:BI92)</f>
        <v>0</v>
      </c>
      <c r="BK92" s="532"/>
      <c r="BL92" s="603">
        <f t="shared" ca="1" si="220"/>
        <v>0</v>
      </c>
      <c r="BM92" s="576"/>
      <c r="BO92" s="1086">
        <f t="shared" ca="1" si="227"/>
        <v>0</v>
      </c>
      <c r="BP92" s="1087">
        <f t="shared" ca="1" si="227"/>
        <v>0</v>
      </c>
      <c r="BQ92" s="1087">
        <f t="shared" ca="1" si="227"/>
        <v>0</v>
      </c>
      <c r="BR92" s="1087">
        <f t="shared" ca="1" si="227"/>
        <v>0</v>
      </c>
      <c r="BS92" s="1087">
        <f t="shared" ca="1" si="227"/>
        <v>0</v>
      </c>
      <c r="BT92" s="1087">
        <f t="shared" ca="1" si="227"/>
        <v>0</v>
      </c>
      <c r="BU92" s="1087">
        <f t="shared" ca="1" si="227"/>
        <v>0</v>
      </c>
      <c r="BV92" s="1087">
        <f t="shared" ca="1" si="227"/>
        <v>0</v>
      </c>
      <c r="BW92" s="1087">
        <f t="shared" ca="1" si="227"/>
        <v>0</v>
      </c>
      <c r="BX92" s="1087">
        <f t="shared" ca="1" si="227"/>
        <v>0</v>
      </c>
      <c r="BY92" s="1087">
        <f t="shared" ca="1" si="228"/>
        <v>0</v>
      </c>
      <c r="BZ92" s="1087">
        <f t="shared" ca="1" si="228"/>
        <v>0</v>
      </c>
      <c r="CA92" s="1087">
        <f t="shared" ca="1" si="228"/>
        <v>0</v>
      </c>
      <c r="CB92" s="1087">
        <f t="shared" ca="1" si="228"/>
        <v>0</v>
      </c>
      <c r="CC92" s="1087">
        <f t="shared" ca="1" si="228"/>
        <v>0</v>
      </c>
      <c r="CD92" s="1087">
        <f t="shared" ca="1" si="228"/>
        <v>0</v>
      </c>
      <c r="CE92" s="1087">
        <f t="shared" ca="1" si="228"/>
        <v>0</v>
      </c>
      <c r="CF92" s="1087">
        <f t="shared" ca="1" si="228"/>
        <v>0</v>
      </c>
      <c r="CG92" s="1087">
        <f t="shared" ca="1" si="228"/>
        <v>0</v>
      </c>
      <c r="CH92" s="1087">
        <f t="shared" ca="1" si="228"/>
        <v>0</v>
      </c>
      <c r="CI92" s="1087">
        <f t="shared" ca="1" si="229"/>
        <v>0</v>
      </c>
      <c r="CJ92" s="1087">
        <f t="shared" ca="1" si="229"/>
        <v>0</v>
      </c>
      <c r="CK92" s="1087">
        <f t="shared" ca="1" si="229"/>
        <v>0</v>
      </c>
      <c r="CL92" s="1087">
        <f t="shared" ca="1" si="229"/>
        <v>0</v>
      </c>
      <c r="CM92" s="1087">
        <f t="shared" ca="1" si="229"/>
        <v>0</v>
      </c>
      <c r="CN92" s="1087">
        <f t="shared" ca="1" si="229"/>
        <v>0</v>
      </c>
      <c r="CO92" s="1087">
        <f t="shared" ca="1" si="229"/>
        <v>0</v>
      </c>
      <c r="CP92" s="1087">
        <f t="shared" ca="1" si="229"/>
        <v>0</v>
      </c>
      <c r="CQ92" s="1087">
        <f t="shared" ca="1" si="229"/>
        <v>0</v>
      </c>
      <c r="CR92" s="1087">
        <f t="shared" ca="1" si="229"/>
        <v>0</v>
      </c>
      <c r="CS92" s="1087">
        <f t="shared" ca="1" si="230"/>
        <v>0</v>
      </c>
      <c r="CT92" s="1087">
        <f t="shared" ca="1" si="230"/>
        <v>0</v>
      </c>
      <c r="CU92" s="1087">
        <f t="shared" ca="1" si="230"/>
        <v>0</v>
      </c>
      <c r="CV92" s="1087">
        <f t="shared" ca="1" si="230"/>
        <v>0</v>
      </c>
      <c r="CW92" s="1087">
        <f t="shared" ca="1" si="230"/>
        <v>0</v>
      </c>
      <c r="CX92" s="1087">
        <f t="shared" ca="1" si="230"/>
        <v>0</v>
      </c>
      <c r="CY92" s="1087">
        <f t="shared" ca="1" si="230"/>
        <v>0</v>
      </c>
      <c r="CZ92" s="1087">
        <f t="shared" ca="1" si="230"/>
        <v>0</v>
      </c>
      <c r="DA92" s="1087">
        <f t="shared" ca="1" si="230"/>
        <v>0</v>
      </c>
      <c r="DB92" s="1087">
        <f t="shared" ca="1" si="230"/>
        <v>0</v>
      </c>
      <c r="DC92" s="1087">
        <f t="shared" ca="1" si="230"/>
        <v>0</v>
      </c>
      <c r="DD92" s="1087">
        <f t="shared" ca="1" si="230"/>
        <v>0</v>
      </c>
      <c r="DE92" s="1087">
        <f t="shared" ca="1" si="230"/>
        <v>0</v>
      </c>
      <c r="DF92" s="1087">
        <f t="shared" ca="1" si="230"/>
        <v>0</v>
      </c>
      <c r="DH92" s="590"/>
    </row>
    <row r="93" spans="1:112" s="22" customFormat="1" ht="12.75" customHeight="1">
      <c r="B93" s="537"/>
      <c r="C93" s="533" t="s">
        <v>562</v>
      </c>
      <c r="D93" s="507" t="str">
        <f>INDEX(Workstreams[Workstream], MATCH($C93, Workstreams[Code], 0))</f>
        <v>Electricity distribution, storage, and balancing</v>
      </c>
      <c r="E93" s="503"/>
      <c r="F93" s="532"/>
      <c r="G93" s="656">
        <f t="shared" ref="G93:P93" ca="1" si="231">G$89+G$91+G$92</f>
        <v>0</v>
      </c>
      <c r="H93" s="656">
        <f t="shared" ca="1" si="231"/>
        <v>0</v>
      </c>
      <c r="I93" s="656">
        <f t="shared" ca="1" si="231"/>
        <v>0</v>
      </c>
      <c r="J93" s="656">
        <f t="shared" ca="1" si="231"/>
        <v>0</v>
      </c>
      <c r="K93" s="658">
        <f t="shared" ca="1" si="231"/>
        <v>0</v>
      </c>
      <c r="L93" s="656">
        <f t="shared" ca="1" si="231"/>
        <v>0</v>
      </c>
      <c r="M93" s="656">
        <f t="shared" ca="1" si="231"/>
        <v>0</v>
      </c>
      <c r="N93" s="656">
        <f t="shared" ca="1" si="231"/>
        <v>0</v>
      </c>
      <c r="O93" s="656">
        <f t="shared" ca="1" si="231"/>
        <v>0</v>
      </c>
      <c r="P93" s="656">
        <f t="shared" ca="1" si="231"/>
        <v>0</v>
      </c>
      <c r="Q93" s="718">
        <f ca="1">SUM(G93:P93)</f>
        <v>0</v>
      </c>
      <c r="R93" s="532"/>
      <c r="S93" s="668">
        <f t="shared" ref="S93:AJ93" ca="1" si="232">S$89+S$91+S$92</f>
        <v>0</v>
      </c>
      <c r="T93" s="668">
        <f t="shared" ca="1" si="232"/>
        <v>0</v>
      </c>
      <c r="U93" s="668">
        <f t="shared" ca="1" si="232"/>
        <v>0</v>
      </c>
      <c r="V93" s="668">
        <f t="shared" ca="1" si="232"/>
        <v>0</v>
      </c>
      <c r="W93" s="668">
        <f t="shared" ca="1" si="232"/>
        <v>0</v>
      </c>
      <c r="X93" s="668">
        <f ca="1">X$89+X$91+X$92</f>
        <v>0</v>
      </c>
      <c r="Y93" s="668">
        <f ca="1">Y$89+Y$91+Y$92</f>
        <v>0</v>
      </c>
      <c r="Z93" s="668">
        <f ca="1">Z$89+Z$91+Z$92</f>
        <v>0</v>
      </c>
      <c r="AA93" s="668">
        <f t="shared" ca="1" si="232"/>
        <v>0</v>
      </c>
      <c r="AB93" s="668">
        <f t="shared" ca="1" si="232"/>
        <v>0</v>
      </c>
      <c r="AC93" s="668">
        <f t="shared" ca="1" si="232"/>
        <v>0</v>
      </c>
      <c r="AD93" s="668">
        <f t="shared" ca="1" si="232"/>
        <v>0</v>
      </c>
      <c r="AE93" s="668">
        <f t="shared" ca="1" si="232"/>
        <v>0</v>
      </c>
      <c r="AF93" s="668">
        <f t="shared" ca="1" si="232"/>
        <v>0</v>
      </c>
      <c r="AG93" s="668">
        <f t="shared" ca="1" si="232"/>
        <v>0</v>
      </c>
      <c r="AH93" s="668">
        <f t="shared" ca="1" si="232"/>
        <v>0</v>
      </c>
      <c r="AI93" s="668">
        <f t="shared" ca="1" si="232"/>
        <v>0</v>
      </c>
      <c r="AJ93" s="668">
        <f t="shared" ca="1" si="232"/>
        <v>0</v>
      </c>
      <c r="AK93" s="668">
        <f ca="1">SUM(S93:AJ93)</f>
        <v>0</v>
      </c>
      <c r="AL93" s="532"/>
      <c r="AM93" s="674">
        <f t="shared" ref="AM93:BE93" ca="1" si="233">AM$89+AM$91+AM$92</f>
        <v>0</v>
      </c>
      <c r="AN93" s="674">
        <f t="shared" ca="1" si="233"/>
        <v>0</v>
      </c>
      <c r="AO93" s="674">
        <f t="shared" ca="1" si="233"/>
        <v>0</v>
      </c>
      <c r="AP93" s="674">
        <f t="shared" ca="1" si="233"/>
        <v>0</v>
      </c>
      <c r="AQ93" s="674">
        <f t="shared" ca="1" si="233"/>
        <v>0</v>
      </c>
      <c r="AR93" s="674">
        <f t="shared" ca="1" si="233"/>
        <v>0</v>
      </c>
      <c r="AS93" s="674">
        <f t="shared" ca="1" si="233"/>
        <v>0</v>
      </c>
      <c r="AT93" s="674">
        <f t="shared" ca="1" si="233"/>
        <v>0</v>
      </c>
      <c r="AU93" s="674">
        <f t="shared" ca="1" si="233"/>
        <v>0</v>
      </c>
      <c r="AV93" s="674">
        <f t="shared" ca="1" si="233"/>
        <v>0</v>
      </c>
      <c r="AW93" s="674">
        <f t="shared" ca="1" si="233"/>
        <v>0</v>
      </c>
      <c r="AX93" s="674">
        <f t="shared" ca="1" si="233"/>
        <v>0</v>
      </c>
      <c r="AY93" s="674">
        <f t="shared" ca="1" si="233"/>
        <v>0</v>
      </c>
      <c r="AZ93" s="674">
        <f t="shared" ca="1" si="233"/>
        <v>0</v>
      </c>
      <c r="BA93" s="674">
        <f t="shared" ca="1" si="233"/>
        <v>0</v>
      </c>
      <c r="BB93" s="674">
        <f t="shared" ca="1" si="233"/>
        <v>0</v>
      </c>
      <c r="BC93" s="674">
        <f t="shared" ca="1" si="233"/>
        <v>0</v>
      </c>
      <c r="BD93" s="674">
        <f t="shared" ca="1" si="233"/>
        <v>0</v>
      </c>
      <c r="BE93" s="674">
        <f t="shared" ca="1" si="233"/>
        <v>0</v>
      </c>
      <c r="BF93" s="674">
        <f ca="1">SUM(AM93:BE93)</f>
        <v>0</v>
      </c>
      <c r="BG93" s="532"/>
      <c r="BH93" s="688">
        <f ca="1">BH$89+BH$91+BH$92</f>
        <v>0</v>
      </c>
      <c r="BI93" s="688">
        <f ca="1">BI$89+BI$91+BI$92</f>
        <v>0</v>
      </c>
      <c r="BJ93" s="688">
        <f ca="1">SUM(BH93:BI93)</f>
        <v>0</v>
      </c>
      <c r="BK93" s="532"/>
      <c r="BL93" s="505">
        <f t="shared" ca="1" si="220"/>
        <v>0</v>
      </c>
      <c r="BM93" s="505"/>
      <c r="BN93" s="592"/>
      <c r="BO93" s="1083">
        <f t="shared" ref="BO93:DF93" ca="1" si="234">BO$89+BO$91+BO$92</f>
        <v>0</v>
      </c>
      <c r="BP93" s="1083">
        <f t="shared" ca="1" si="234"/>
        <v>0</v>
      </c>
      <c r="BQ93" s="1083">
        <f t="shared" ca="1" si="234"/>
        <v>0</v>
      </c>
      <c r="BR93" s="1083">
        <f t="shared" ca="1" si="234"/>
        <v>0</v>
      </c>
      <c r="BS93" s="1083">
        <f t="shared" ca="1" si="234"/>
        <v>0</v>
      </c>
      <c r="BT93" s="1083">
        <f t="shared" ca="1" si="234"/>
        <v>0</v>
      </c>
      <c r="BU93" s="1083">
        <f t="shared" ca="1" si="234"/>
        <v>0</v>
      </c>
      <c r="BV93" s="1083">
        <f t="shared" ca="1" si="234"/>
        <v>0</v>
      </c>
      <c r="BW93" s="1083">
        <f t="shared" ca="1" si="234"/>
        <v>0</v>
      </c>
      <c r="BX93" s="1083">
        <f t="shared" ca="1" si="234"/>
        <v>0</v>
      </c>
      <c r="BY93" s="1083">
        <f t="shared" ca="1" si="234"/>
        <v>0</v>
      </c>
      <c r="BZ93" s="1083">
        <f t="shared" ca="1" si="234"/>
        <v>0</v>
      </c>
      <c r="CA93" s="1083">
        <f t="shared" ca="1" si="234"/>
        <v>0</v>
      </c>
      <c r="CB93" s="1083">
        <f t="shared" ca="1" si="234"/>
        <v>0</v>
      </c>
      <c r="CC93" s="1083">
        <f t="shared" ca="1" si="234"/>
        <v>0</v>
      </c>
      <c r="CD93" s="1083">
        <f t="shared" ca="1" si="234"/>
        <v>0</v>
      </c>
      <c r="CE93" s="1083">
        <f t="shared" ca="1" si="234"/>
        <v>0</v>
      </c>
      <c r="CF93" s="1083">
        <f t="shared" ca="1" si="234"/>
        <v>0</v>
      </c>
      <c r="CG93" s="1083">
        <f t="shared" ca="1" si="234"/>
        <v>0</v>
      </c>
      <c r="CH93" s="1083">
        <f t="shared" ca="1" si="234"/>
        <v>0</v>
      </c>
      <c r="CI93" s="1083">
        <f t="shared" ca="1" si="234"/>
        <v>0</v>
      </c>
      <c r="CJ93" s="1083">
        <f t="shared" ca="1" si="234"/>
        <v>0</v>
      </c>
      <c r="CK93" s="1083">
        <f t="shared" ca="1" si="234"/>
        <v>0</v>
      </c>
      <c r="CL93" s="1083">
        <f t="shared" ca="1" si="234"/>
        <v>0</v>
      </c>
      <c r="CM93" s="1083">
        <f t="shared" ca="1" si="234"/>
        <v>0</v>
      </c>
      <c r="CN93" s="1083">
        <f t="shared" ca="1" si="234"/>
        <v>0</v>
      </c>
      <c r="CO93" s="1083">
        <f t="shared" ca="1" si="234"/>
        <v>0</v>
      </c>
      <c r="CP93" s="1083">
        <f t="shared" ca="1" si="234"/>
        <v>0</v>
      </c>
      <c r="CQ93" s="1083">
        <f t="shared" ca="1" si="234"/>
        <v>0</v>
      </c>
      <c r="CR93" s="1083">
        <f t="shared" ca="1" si="234"/>
        <v>0</v>
      </c>
      <c r="CS93" s="1083">
        <f t="shared" ca="1" si="234"/>
        <v>0</v>
      </c>
      <c r="CT93" s="1083">
        <f t="shared" ca="1" si="234"/>
        <v>0</v>
      </c>
      <c r="CU93" s="1083">
        <f t="shared" ca="1" si="234"/>
        <v>0</v>
      </c>
      <c r="CV93" s="1083">
        <f t="shared" ca="1" si="234"/>
        <v>0</v>
      </c>
      <c r="CW93" s="1083">
        <f t="shared" ca="1" si="234"/>
        <v>0</v>
      </c>
      <c r="CX93" s="1083">
        <f t="shared" ca="1" si="234"/>
        <v>0</v>
      </c>
      <c r="CY93" s="1083">
        <f t="shared" ca="1" si="234"/>
        <v>0</v>
      </c>
      <c r="CZ93" s="1083">
        <f t="shared" ca="1" si="234"/>
        <v>0</v>
      </c>
      <c r="DA93" s="1083">
        <f t="shared" ca="1" si="234"/>
        <v>0</v>
      </c>
      <c r="DB93" s="1083">
        <f t="shared" ca="1" si="234"/>
        <v>0</v>
      </c>
      <c r="DC93" s="1083">
        <f t="shared" ca="1" si="234"/>
        <v>0</v>
      </c>
      <c r="DD93" s="1083">
        <f t="shared" ca="1" si="234"/>
        <v>0</v>
      </c>
      <c r="DE93" s="1083">
        <f t="shared" ca="1" si="234"/>
        <v>0</v>
      </c>
      <c r="DF93" s="1083">
        <f t="shared" ca="1" si="234"/>
        <v>0</v>
      </c>
      <c r="DH93" s="590">
        <f t="shared" ref="DH93:DH104" ca="1" si="235">SUM(BO93:DF93)</f>
        <v>0</v>
      </c>
    </row>
    <row r="94" spans="1:112" s="532" customFormat="1" ht="12.75" customHeight="1" outlineLevel="1">
      <c r="A94" s="22"/>
      <c r="B94" s="22"/>
      <c r="C94" s="535"/>
      <c r="D94" s="503"/>
      <c r="E94" s="503"/>
      <c r="G94" s="656"/>
      <c r="H94" s="656"/>
      <c r="I94" s="656"/>
      <c r="J94" s="656"/>
      <c r="K94" s="658"/>
      <c r="L94" s="656"/>
      <c r="M94" s="656"/>
      <c r="N94" s="656"/>
      <c r="O94" s="656"/>
      <c r="P94" s="656"/>
      <c r="Q94" s="656"/>
      <c r="S94" s="668"/>
      <c r="T94" s="668"/>
      <c r="U94" s="668"/>
      <c r="V94" s="668"/>
      <c r="W94" s="668"/>
      <c r="X94" s="668"/>
      <c r="Y94" s="668"/>
      <c r="Z94" s="668"/>
      <c r="AA94" s="668"/>
      <c r="AB94" s="668"/>
      <c r="AC94" s="668"/>
      <c r="AD94" s="668"/>
      <c r="AE94" s="668"/>
      <c r="AF94" s="668"/>
      <c r="AG94" s="668"/>
      <c r="AH94" s="668"/>
      <c r="AI94" s="668"/>
      <c r="AJ94" s="668"/>
      <c r="AK94" s="668"/>
      <c r="AM94" s="674"/>
      <c r="AN94" s="674"/>
      <c r="AO94" s="674"/>
      <c r="AP94" s="674"/>
      <c r="AQ94" s="674"/>
      <c r="AR94" s="674"/>
      <c r="AS94" s="674"/>
      <c r="AT94" s="674"/>
      <c r="AU94" s="674"/>
      <c r="AV94" s="674"/>
      <c r="AW94" s="674"/>
      <c r="AX94" s="674"/>
      <c r="AY94" s="674"/>
      <c r="AZ94" s="674"/>
      <c r="BA94" s="674"/>
      <c r="BB94" s="674"/>
      <c r="BC94" s="674"/>
      <c r="BD94" s="674"/>
      <c r="BE94" s="674"/>
      <c r="BF94" s="674"/>
      <c r="BH94" s="688"/>
      <c r="BI94" s="688"/>
      <c r="BJ94" s="688"/>
      <c r="BL94" s="505">
        <f t="shared" si="220"/>
        <v>0</v>
      </c>
      <c r="BM94" s="505"/>
      <c r="BN94" s="592"/>
      <c r="BO94" s="1083"/>
      <c r="BP94" s="1083"/>
      <c r="BQ94" s="1083"/>
      <c r="BR94" s="1083"/>
      <c r="BS94" s="1083"/>
      <c r="BT94" s="1083"/>
      <c r="BU94" s="1083"/>
      <c r="BV94" s="1083"/>
      <c r="BW94" s="1083"/>
      <c r="BX94" s="1083"/>
      <c r="BY94" s="1083"/>
      <c r="BZ94" s="1083"/>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c r="CU94" s="1083"/>
      <c r="CV94" s="1083"/>
      <c r="CW94" s="1083"/>
      <c r="CX94" s="1083"/>
      <c r="CY94" s="1083"/>
      <c r="CZ94" s="1083"/>
      <c r="DA94" s="1083"/>
      <c r="DB94" s="1083"/>
      <c r="DC94" s="1083"/>
      <c r="DD94" s="1083"/>
      <c r="DE94" s="1083"/>
      <c r="DF94" s="1083"/>
      <c r="DH94" s="590">
        <f t="shared" si="235"/>
        <v>0</v>
      </c>
    </row>
    <row r="95" spans="1:112" s="1092" customFormat="1" ht="12.75" customHeight="1" outlineLevel="1">
      <c r="C95" s="1101" t="s">
        <v>1064</v>
      </c>
      <c r="D95" s="1102" t="s">
        <v>1031</v>
      </c>
      <c r="E95" s="1102"/>
      <c r="G95" s="759"/>
      <c r="H95" s="759"/>
      <c r="I95" s="759"/>
      <c r="J95" s="759"/>
      <c r="K95" s="760"/>
      <c r="L95" s="759"/>
      <c r="M95" s="759"/>
      <c r="N95" s="759"/>
      <c r="O95" s="759"/>
      <c r="P95" s="759"/>
      <c r="Q95" s="759"/>
      <c r="S95" s="761"/>
      <c r="T95" s="761"/>
      <c r="U95" s="761">
        <f ca="1">(U$40+U$84+U$93)</f>
        <v>-400.12025503680002</v>
      </c>
      <c r="V95" s="761">
        <f ca="1">(V$40+V$84+V$93)</f>
        <v>0</v>
      </c>
      <c r="W95" s="761">
        <f ca="1">(W$40+W$84+W$93)</f>
        <v>-151.89074227938463</v>
      </c>
      <c r="X95" s="761"/>
      <c r="Y95" s="761"/>
      <c r="Z95" s="761"/>
      <c r="AA95" s="761"/>
      <c r="AB95" s="761"/>
      <c r="AC95" s="761">
        <f t="shared" ref="AC95:AH95" ca="1" si="236">(AC$40+AC$84+AC$93)</f>
        <v>0</v>
      </c>
      <c r="AD95" s="761">
        <f t="shared" ca="1" si="236"/>
        <v>0</v>
      </c>
      <c r="AE95" s="761">
        <f t="shared" ca="1" si="236"/>
        <v>0</v>
      </c>
      <c r="AF95" s="761">
        <f t="shared" ca="1" si="236"/>
        <v>0</v>
      </c>
      <c r="AG95" s="761">
        <f t="shared" ca="1" si="236"/>
        <v>0</v>
      </c>
      <c r="AH95" s="761">
        <f t="shared" ca="1" si="236"/>
        <v>0</v>
      </c>
      <c r="AI95" s="761"/>
      <c r="AJ95" s="761"/>
      <c r="AK95" s="761"/>
      <c r="AM95" s="762"/>
      <c r="AN95" s="762"/>
      <c r="AO95" s="762"/>
      <c r="AP95" s="762"/>
      <c r="AQ95" s="762"/>
      <c r="AR95" s="762"/>
      <c r="AS95" s="762"/>
      <c r="AT95" s="762"/>
      <c r="AU95" s="762"/>
      <c r="AV95" s="762"/>
      <c r="AW95" s="762"/>
      <c r="AX95" s="762"/>
      <c r="AY95" s="762"/>
      <c r="AZ95" s="762"/>
      <c r="BA95" s="762"/>
      <c r="BB95" s="762"/>
      <c r="BC95" s="762"/>
      <c r="BD95" s="762"/>
      <c r="BE95" s="762">
        <f ca="1">BE40+BE46+BE51</f>
        <v>0</v>
      </c>
      <c r="BF95" s="762">
        <f ca="1">SUM(AM95:BE95)</f>
        <v>0</v>
      </c>
      <c r="BH95" s="763"/>
      <c r="BI95" s="763"/>
      <c r="BJ95" s="763"/>
      <c r="BL95" s="1103"/>
      <c r="BM95" s="1103"/>
      <c r="BN95" s="1104"/>
      <c r="BO95" s="1105"/>
      <c r="BP95" s="1105"/>
      <c r="BQ95" s="1105"/>
      <c r="BR95" s="1105"/>
      <c r="BS95" s="1105"/>
      <c r="BT95" s="1105"/>
      <c r="BU95" s="1105"/>
      <c r="BV95" s="1105"/>
      <c r="BW95" s="1105"/>
      <c r="BX95" s="1105"/>
      <c r="BY95" s="1105"/>
      <c r="BZ95" s="1105"/>
      <c r="CA95" s="1105"/>
      <c r="CB95" s="1105"/>
      <c r="CC95" s="1105"/>
      <c r="CD95" s="1105"/>
      <c r="CE95" s="1105"/>
      <c r="CF95" s="1105"/>
      <c r="CG95" s="1105"/>
      <c r="CH95" s="1105"/>
      <c r="CI95" s="1105"/>
      <c r="CJ95" s="1105"/>
      <c r="CK95" s="1105"/>
      <c r="CL95" s="1105"/>
      <c r="CM95" s="1105"/>
      <c r="CN95" s="1105"/>
      <c r="CO95" s="1105"/>
      <c r="CP95" s="1105"/>
      <c r="CQ95" s="1105"/>
      <c r="CR95" s="1105"/>
      <c r="CS95" s="1105"/>
      <c r="CT95" s="1105"/>
      <c r="CU95" s="1105"/>
      <c r="CV95" s="1105"/>
      <c r="CW95" s="1105"/>
      <c r="CX95" s="1105"/>
      <c r="CY95" s="1105"/>
      <c r="CZ95" s="1105"/>
      <c r="DA95" s="1105"/>
      <c r="DB95" s="1105"/>
      <c r="DC95" s="1105"/>
      <c r="DD95" s="1105"/>
      <c r="DE95" s="1105"/>
      <c r="DF95" s="1105"/>
      <c r="DH95" s="1104">
        <f t="shared" si="235"/>
        <v>0</v>
      </c>
    </row>
    <row r="96" spans="1:112" s="1262" customFormat="1" ht="12.75" customHeight="1" outlineLevel="1">
      <c r="A96" s="1259"/>
      <c r="B96" s="1259"/>
      <c r="C96" s="1260" t="s">
        <v>734</v>
      </c>
      <c r="D96" s="1261" t="str">
        <f>INDEX(Modules[Module], MATCH($C96, Modules[Code], 0))</f>
        <v>Types of fuel from Biomass</v>
      </c>
      <c r="E96" s="1261"/>
      <c r="G96" s="750">
        <f t="shared" ref="G96:P96" ca="1" si="237">IFERROR(INDEX(INDIRECT($C96&amp;".Outputs["&amp;this.Year&amp;"]"), MATCH(G$5, INDIRECT($C96&amp;".Outputs[Vector]"), 0)), 0)</f>
        <v>0</v>
      </c>
      <c r="H96" s="750">
        <f t="shared" ca="1" si="237"/>
        <v>0</v>
      </c>
      <c r="I96" s="750">
        <f t="shared" ca="1" si="237"/>
        <v>0</v>
      </c>
      <c r="J96" s="750">
        <f t="shared" ca="1" si="237"/>
        <v>0</v>
      </c>
      <c r="K96" s="750">
        <f t="shared" ca="1" si="237"/>
        <v>0</v>
      </c>
      <c r="L96" s="750">
        <f t="shared" ca="1" si="237"/>
        <v>0</v>
      </c>
      <c r="M96" s="750">
        <f t="shared" ca="1" si="237"/>
        <v>0</v>
      </c>
      <c r="N96" s="750">
        <f t="shared" ca="1" si="237"/>
        <v>0</v>
      </c>
      <c r="O96" s="750">
        <f t="shared" ca="1" si="237"/>
        <v>0</v>
      </c>
      <c r="P96" s="750">
        <f t="shared" ca="1" si="237"/>
        <v>0</v>
      </c>
      <c r="Q96" s="751">
        <f ca="1">SUM(G96:P96)</f>
        <v>0</v>
      </c>
      <c r="S96" s="752">
        <f t="shared" ref="S96:AJ96" ca="1" si="238">IFERROR(INDEX(INDIRECT($C96&amp;".Outputs["&amp;this.Year&amp;"]"), MATCH(S$5, INDIRECT($C96&amp;".Outputs[Vector]"), 0)), 0)</f>
        <v>0</v>
      </c>
      <c r="T96" s="752">
        <f t="shared" ca="1" si="238"/>
        <v>0</v>
      </c>
      <c r="U96" s="752">
        <f t="shared" ca="1" si="238"/>
        <v>0</v>
      </c>
      <c r="V96" s="752">
        <f t="shared" ca="1" si="238"/>
        <v>0</v>
      </c>
      <c r="W96" s="752">
        <f t="shared" ca="1" si="238"/>
        <v>0</v>
      </c>
      <c r="X96" s="752">
        <f t="shared" ca="1" si="238"/>
        <v>0</v>
      </c>
      <c r="Y96" s="752">
        <f t="shared" ca="1" si="238"/>
        <v>0</v>
      </c>
      <c r="Z96" s="752">
        <f t="shared" ca="1" si="238"/>
        <v>0</v>
      </c>
      <c r="AA96" s="752">
        <f t="shared" ca="1" si="238"/>
        <v>0</v>
      </c>
      <c r="AB96" s="752">
        <f t="shared" ca="1" si="238"/>
        <v>0</v>
      </c>
      <c r="AC96" s="752">
        <f t="shared" ca="1" si="238"/>
        <v>0</v>
      </c>
      <c r="AD96" s="752">
        <f t="shared" ca="1" si="238"/>
        <v>0</v>
      </c>
      <c r="AE96" s="752">
        <f t="shared" ca="1" si="238"/>
        <v>0</v>
      </c>
      <c r="AF96" s="752">
        <f t="shared" ca="1" si="238"/>
        <v>0</v>
      </c>
      <c r="AG96" s="752">
        <f t="shared" ca="1" si="238"/>
        <v>0</v>
      </c>
      <c r="AH96" s="752">
        <f t="shared" ca="1" si="238"/>
        <v>0</v>
      </c>
      <c r="AI96" s="752">
        <f t="shared" ca="1" si="238"/>
        <v>0</v>
      </c>
      <c r="AJ96" s="752">
        <f t="shared" ca="1" si="238"/>
        <v>0</v>
      </c>
      <c r="AK96" s="753">
        <f ca="1">SUM(S96:AJ96)</f>
        <v>0</v>
      </c>
      <c r="AM96" s="754">
        <f t="shared" ref="AM96:BE96" ca="1" si="239">IFERROR(INDEX(INDIRECT($C96&amp;".Outputs["&amp;this.Year&amp;"]"), MATCH(AM$5, INDIRECT($C96&amp;".Outputs[Vector]"), 0)), 0)</f>
        <v>0</v>
      </c>
      <c r="AN96" s="754">
        <f t="shared" ca="1" si="239"/>
        <v>0</v>
      </c>
      <c r="AO96" s="754">
        <f t="shared" ca="1" si="239"/>
        <v>0</v>
      </c>
      <c r="AP96" s="754">
        <f t="shared" ca="1" si="239"/>
        <v>0</v>
      </c>
      <c r="AQ96" s="754">
        <f t="shared" ca="1" si="239"/>
        <v>0</v>
      </c>
      <c r="AR96" s="754">
        <f t="shared" ca="1" si="239"/>
        <v>0</v>
      </c>
      <c r="AS96" s="754">
        <f t="shared" ca="1" si="239"/>
        <v>0</v>
      </c>
      <c r="AT96" s="754">
        <f t="shared" ca="1" si="239"/>
        <v>0</v>
      </c>
      <c r="AU96" s="754">
        <f t="shared" ca="1" si="239"/>
        <v>0</v>
      </c>
      <c r="AV96" s="754">
        <f t="shared" ca="1" si="239"/>
        <v>0</v>
      </c>
      <c r="AW96" s="754">
        <f t="shared" ca="1" si="239"/>
        <v>0</v>
      </c>
      <c r="AX96" s="754">
        <f t="shared" ca="1" si="239"/>
        <v>0</v>
      </c>
      <c r="AY96" s="754">
        <f t="shared" ca="1" si="239"/>
        <v>0</v>
      </c>
      <c r="AZ96" s="754">
        <f t="shared" ca="1" si="239"/>
        <v>0</v>
      </c>
      <c r="BA96" s="754">
        <f t="shared" ca="1" si="239"/>
        <v>0</v>
      </c>
      <c r="BB96" s="754">
        <f t="shared" ca="1" si="239"/>
        <v>0</v>
      </c>
      <c r="BC96" s="754">
        <f t="shared" ca="1" si="239"/>
        <v>0</v>
      </c>
      <c r="BD96" s="754">
        <f t="shared" ca="1" si="239"/>
        <v>0</v>
      </c>
      <c r="BE96" s="754">
        <f t="shared" ca="1" si="239"/>
        <v>0</v>
      </c>
      <c r="BF96" s="755">
        <f ca="1">SUM(AM96:BE96)</f>
        <v>0</v>
      </c>
      <c r="BH96" s="756">
        <f ca="1">IFERROR(INDEX(INDIRECT($C96&amp;".Outputs["&amp;this.Year&amp;"]"), MATCH(BH$5, INDIRECT($C96&amp;".Outputs[Vector]"), 0)), 0)</f>
        <v>0</v>
      </c>
      <c r="BI96" s="756">
        <f ca="1">IFERROR(INDEX(INDIRECT($C96&amp;".Outputs["&amp;this.Year&amp;"]"), MATCH(BI$5, INDIRECT($C96&amp;".Outputs[Vector]"), 0)), 0)</f>
        <v>0</v>
      </c>
      <c r="BJ96" s="757">
        <f ca="1">SUM(BH96:BI96)</f>
        <v>0</v>
      </c>
      <c r="BL96" s="1263">
        <f ca="1">Q96+AK96+BF96+BJ96</f>
        <v>0</v>
      </c>
      <c r="BM96" s="1263"/>
      <c r="BN96" s="1264"/>
      <c r="BO96" s="1265">
        <f t="shared" ref="BO96:DF96" ca="1" si="240">IFERROR(SUMIFS(INDIRECT($C96&amp;".Emissions["&amp;this.Year&amp;"]"), INDIRECT($C96&amp;".Emissions[GHG]"), BO$6, INDIRECT($C96&amp;".Emissions[IPCC Sector]"), BO$5),0)</f>
        <v>0</v>
      </c>
      <c r="BP96" s="1266">
        <f t="shared" ca="1" si="240"/>
        <v>0</v>
      </c>
      <c r="BQ96" s="1266">
        <f t="shared" ca="1" si="240"/>
        <v>0</v>
      </c>
      <c r="BR96" s="1266">
        <f t="shared" ca="1" si="240"/>
        <v>0</v>
      </c>
      <c r="BS96" s="1266">
        <f t="shared" ca="1" si="240"/>
        <v>0</v>
      </c>
      <c r="BT96" s="1266">
        <f t="shared" ca="1" si="240"/>
        <v>0</v>
      </c>
      <c r="BU96" s="1266">
        <f t="shared" ca="1" si="240"/>
        <v>0</v>
      </c>
      <c r="BV96" s="1266">
        <f t="shared" ca="1" si="240"/>
        <v>0</v>
      </c>
      <c r="BW96" s="1266">
        <f t="shared" ca="1" si="240"/>
        <v>0</v>
      </c>
      <c r="BX96" s="1266">
        <f t="shared" ca="1" si="240"/>
        <v>0</v>
      </c>
      <c r="BY96" s="1266">
        <f t="shared" ca="1" si="240"/>
        <v>0</v>
      </c>
      <c r="BZ96" s="1266">
        <f t="shared" ca="1" si="240"/>
        <v>0</v>
      </c>
      <c r="CA96" s="1266">
        <f t="shared" ca="1" si="240"/>
        <v>0</v>
      </c>
      <c r="CB96" s="1266">
        <f t="shared" ca="1" si="240"/>
        <v>0</v>
      </c>
      <c r="CC96" s="1266">
        <f t="shared" ca="1" si="240"/>
        <v>0</v>
      </c>
      <c r="CD96" s="1266">
        <f t="shared" ca="1" si="240"/>
        <v>0</v>
      </c>
      <c r="CE96" s="1266">
        <f t="shared" ca="1" si="240"/>
        <v>0</v>
      </c>
      <c r="CF96" s="1266">
        <f t="shared" ca="1" si="240"/>
        <v>0</v>
      </c>
      <c r="CG96" s="1266">
        <f t="shared" ca="1" si="240"/>
        <v>0</v>
      </c>
      <c r="CH96" s="1266">
        <f t="shared" ca="1" si="240"/>
        <v>0</v>
      </c>
      <c r="CI96" s="1266">
        <f t="shared" ca="1" si="240"/>
        <v>0</v>
      </c>
      <c r="CJ96" s="1266">
        <f t="shared" ca="1" si="240"/>
        <v>0</v>
      </c>
      <c r="CK96" s="1266">
        <f t="shared" ca="1" si="240"/>
        <v>0</v>
      </c>
      <c r="CL96" s="1266">
        <f t="shared" ca="1" si="240"/>
        <v>0</v>
      </c>
      <c r="CM96" s="1266">
        <f t="shared" ca="1" si="240"/>
        <v>0</v>
      </c>
      <c r="CN96" s="1266">
        <f t="shared" ca="1" si="240"/>
        <v>0</v>
      </c>
      <c r="CO96" s="1266">
        <f t="shared" ca="1" si="240"/>
        <v>0</v>
      </c>
      <c r="CP96" s="1266">
        <f t="shared" ca="1" si="240"/>
        <v>0</v>
      </c>
      <c r="CQ96" s="1266">
        <f t="shared" ca="1" si="240"/>
        <v>0</v>
      </c>
      <c r="CR96" s="1266">
        <f t="shared" ca="1" si="240"/>
        <v>0</v>
      </c>
      <c r="CS96" s="1266">
        <f t="shared" ca="1" si="240"/>
        <v>0</v>
      </c>
      <c r="CT96" s="1266">
        <f t="shared" ca="1" si="240"/>
        <v>0</v>
      </c>
      <c r="CU96" s="1266">
        <f t="shared" ca="1" si="240"/>
        <v>0</v>
      </c>
      <c r="CV96" s="1266">
        <f t="shared" ca="1" si="240"/>
        <v>0</v>
      </c>
      <c r="CW96" s="1266">
        <f t="shared" ca="1" si="240"/>
        <v>0</v>
      </c>
      <c r="CX96" s="1266">
        <f t="shared" ca="1" si="240"/>
        <v>0</v>
      </c>
      <c r="CY96" s="1266">
        <f t="shared" ca="1" si="240"/>
        <v>0</v>
      </c>
      <c r="CZ96" s="1266">
        <f t="shared" ca="1" si="240"/>
        <v>0</v>
      </c>
      <c r="DA96" s="1266">
        <f t="shared" ca="1" si="240"/>
        <v>0</v>
      </c>
      <c r="DB96" s="1266">
        <f t="shared" ca="1" si="240"/>
        <v>0</v>
      </c>
      <c r="DC96" s="1266">
        <f t="shared" ca="1" si="240"/>
        <v>0</v>
      </c>
      <c r="DD96" s="1266">
        <f t="shared" ca="1" si="240"/>
        <v>0</v>
      </c>
      <c r="DE96" s="1266">
        <f t="shared" ca="1" si="240"/>
        <v>0</v>
      </c>
      <c r="DF96" s="1266">
        <f t="shared" ca="1" si="240"/>
        <v>0</v>
      </c>
      <c r="DH96" s="1267">
        <f t="shared" ca="1" si="235"/>
        <v>0</v>
      </c>
    </row>
    <row r="97" spans="1:112" s="1092" customFormat="1" ht="12.75" customHeight="1" outlineLevel="1">
      <c r="C97" s="1101" t="s">
        <v>1065</v>
      </c>
      <c r="D97" s="1102" t="s">
        <v>1031</v>
      </c>
      <c r="E97" s="1102"/>
      <c r="G97" s="759"/>
      <c r="H97" s="759"/>
      <c r="I97" s="759"/>
      <c r="J97" s="759"/>
      <c r="K97" s="760"/>
      <c r="L97" s="759"/>
      <c r="M97" s="759"/>
      <c r="N97" s="759"/>
      <c r="O97" s="759"/>
      <c r="P97" s="759"/>
      <c r="Q97" s="759"/>
      <c r="S97" s="761"/>
      <c r="T97" s="761"/>
      <c r="U97" s="761">
        <f ca="1">U$95+U$96</f>
        <v>-400.12025503680002</v>
      </c>
      <c r="V97" s="761">
        <f ca="1">V$95+V$96</f>
        <v>0</v>
      </c>
      <c r="W97" s="761">
        <f ca="1">W$95+W$96</f>
        <v>-151.89074227938463</v>
      </c>
      <c r="X97" s="761"/>
      <c r="Y97" s="761"/>
      <c r="Z97" s="761"/>
      <c r="AA97" s="761"/>
      <c r="AB97" s="761"/>
      <c r="AC97" s="761">
        <f t="shared" ref="AC97:AH97" ca="1" si="241">AC$95+AC$96</f>
        <v>0</v>
      </c>
      <c r="AD97" s="761">
        <f t="shared" ca="1" si="241"/>
        <v>0</v>
      </c>
      <c r="AE97" s="761">
        <f t="shared" ca="1" si="241"/>
        <v>0</v>
      </c>
      <c r="AF97" s="761">
        <f t="shared" ca="1" si="241"/>
        <v>0</v>
      </c>
      <c r="AG97" s="761">
        <f t="shared" ca="1" si="241"/>
        <v>0</v>
      </c>
      <c r="AH97" s="761">
        <f t="shared" ca="1" si="241"/>
        <v>0</v>
      </c>
      <c r="AI97" s="761"/>
      <c r="AJ97" s="761"/>
      <c r="AK97" s="761"/>
      <c r="AM97" s="762"/>
      <c r="AN97" s="762"/>
      <c r="AO97" s="762"/>
      <c r="AP97" s="762"/>
      <c r="AQ97" s="762"/>
      <c r="AR97" s="762"/>
      <c r="AS97" s="762"/>
      <c r="AT97" s="762"/>
      <c r="AU97" s="762"/>
      <c r="AV97" s="762"/>
      <c r="AW97" s="762"/>
      <c r="AX97" s="762"/>
      <c r="AY97" s="762"/>
      <c r="AZ97" s="762"/>
      <c r="BA97" s="762"/>
      <c r="BB97" s="762"/>
      <c r="BC97" s="762"/>
      <c r="BD97" s="762"/>
      <c r="BE97" s="762">
        <f ca="1">BE42+BE49+BE53</f>
        <v>0</v>
      </c>
      <c r="BF97" s="762">
        <f ca="1">SUM(AM97:BE97)</f>
        <v>0</v>
      </c>
      <c r="BH97" s="763"/>
      <c r="BI97" s="763"/>
      <c r="BJ97" s="763"/>
      <c r="BL97" s="1103"/>
      <c r="BM97" s="1103"/>
      <c r="BN97" s="1104"/>
      <c r="BO97" s="1105"/>
      <c r="BP97" s="1105"/>
      <c r="BQ97" s="1105"/>
      <c r="BR97" s="1105"/>
      <c r="BS97" s="1105"/>
      <c r="BT97" s="1105"/>
      <c r="BU97" s="1105"/>
      <c r="BV97" s="1105"/>
      <c r="BW97" s="1105"/>
      <c r="BX97" s="1105"/>
      <c r="BY97" s="1105"/>
      <c r="BZ97" s="1105"/>
      <c r="CA97" s="1105"/>
      <c r="CB97" s="1105"/>
      <c r="CC97" s="1105"/>
      <c r="CD97" s="1105"/>
      <c r="CE97" s="1105"/>
      <c r="CF97" s="1105"/>
      <c r="CG97" s="1105"/>
      <c r="CH97" s="1105"/>
      <c r="CI97" s="1105"/>
      <c r="CJ97" s="1105"/>
      <c r="CK97" s="1105"/>
      <c r="CL97" s="1105"/>
      <c r="CM97" s="1105"/>
      <c r="CN97" s="1105"/>
      <c r="CO97" s="1105"/>
      <c r="CP97" s="1105"/>
      <c r="CQ97" s="1105"/>
      <c r="CR97" s="1105"/>
      <c r="CS97" s="1105"/>
      <c r="CT97" s="1105"/>
      <c r="CU97" s="1105"/>
      <c r="CV97" s="1105"/>
      <c r="CW97" s="1105"/>
      <c r="CX97" s="1105"/>
      <c r="CY97" s="1105"/>
      <c r="CZ97" s="1105"/>
      <c r="DA97" s="1105"/>
      <c r="DB97" s="1105"/>
      <c r="DC97" s="1105"/>
      <c r="DD97" s="1105"/>
      <c r="DE97" s="1105"/>
      <c r="DF97" s="1105"/>
      <c r="DH97" s="1104">
        <f>SUM(BO97:DF97)</f>
        <v>0</v>
      </c>
    </row>
    <row r="98" spans="1:112" s="532" customFormat="1" ht="12.75" customHeight="1" outlineLevel="1">
      <c r="A98" s="1085"/>
      <c r="B98" s="1085"/>
      <c r="C98" s="534" t="s">
        <v>1043</v>
      </c>
      <c r="D98" s="707" t="str">
        <f>INDEX(Modules[Module], MATCH($C98, Modules[Code], 0))</f>
        <v>Bioenergy imports</v>
      </c>
      <c r="E98" s="707"/>
      <c r="G98" s="719">
        <f t="shared" ref="G98:P98" ca="1" si="242">IFERROR(INDEX(INDIRECT($C98&amp;".Outputs["&amp;this.Year&amp;"]"), MATCH(G$5, INDIRECT($C98&amp;".Outputs[Vector]"), 0)), 0)</f>
        <v>0</v>
      </c>
      <c r="H98" s="719">
        <f t="shared" ca="1" si="242"/>
        <v>0</v>
      </c>
      <c r="I98" s="719">
        <f t="shared" ca="1" si="242"/>
        <v>0</v>
      </c>
      <c r="J98" s="719">
        <f t="shared" ca="1" si="242"/>
        <v>0</v>
      </c>
      <c r="K98" s="719">
        <f t="shared" ca="1" si="242"/>
        <v>0</v>
      </c>
      <c r="L98" s="719">
        <f t="shared" ca="1" si="242"/>
        <v>0</v>
      </c>
      <c r="M98" s="719">
        <f t="shared" ca="1" si="242"/>
        <v>0</v>
      </c>
      <c r="N98" s="719">
        <f t="shared" ca="1" si="242"/>
        <v>0</v>
      </c>
      <c r="O98" s="719">
        <f t="shared" ca="1" si="242"/>
        <v>0</v>
      </c>
      <c r="P98" s="719">
        <f t="shared" ca="1" si="242"/>
        <v>0</v>
      </c>
      <c r="Q98" s="717">
        <f ca="1">SUM(G98:P98)</f>
        <v>0</v>
      </c>
      <c r="S98" s="728">
        <f t="shared" ref="S98:AJ98" ca="1" si="243">IFERROR(INDEX(INDIRECT($C98&amp;".Outputs["&amp;this.Year&amp;"]"), MATCH(S$5, INDIRECT($C98&amp;".Outputs[Vector]"), 0)), 0)</f>
        <v>0</v>
      </c>
      <c r="T98" s="728">
        <f t="shared" ca="1" si="243"/>
        <v>0</v>
      </c>
      <c r="U98" s="728">
        <f t="shared" ca="1" si="243"/>
        <v>0</v>
      </c>
      <c r="V98" s="728">
        <f t="shared" ca="1" si="243"/>
        <v>0</v>
      </c>
      <c r="W98" s="728">
        <f t="shared" ca="1" si="243"/>
        <v>0</v>
      </c>
      <c r="X98" s="728">
        <f t="shared" ca="1" si="243"/>
        <v>0</v>
      </c>
      <c r="Y98" s="728">
        <f t="shared" ca="1" si="243"/>
        <v>0</v>
      </c>
      <c r="Z98" s="728">
        <f t="shared" ca="1" si="243"/>
        <v>0</v>
      </c>
      <c r="AA98" s="728">
        <f t="shared" ca="1" si="243"/>
        <v>0</v>
      </c>
      <c r="AB98" s="728">
        <f t="shared" ca="1" si="243"/>
        <v>0</v>
      </c>
      <c r="AC98" s="728">
        <f t="shared" ca="1" si="243"/>
        <v>0</v>
      </c>
      <c r="AD98" s="728">
        <f t="shared" ca="1" si="243"/>
        <v>0</v>
      </c>
      <c r="AE98" s="728">
        <f t="shared" ca="1" si="243"/>
        <v>0</v>
      </c>
      <c r="AF98" s="728">
        <f t="shared" ca="1" si="243"/>
        <v>0</v>
      </c>
      <c r="AG98" s="728">
        <f t="shared" ca="1" si="243"/>
        <v>0</v>
      </c>
      <c r="AH98" s="728">
        <f t="shared" ca="1" si="243"/>
        <v>0</v>
      </c>
      <c r="AI98" s="728">
        <f t="shared" ca="1" si="243"/>
        <v>0</v>
      </c>
      <c r="AJ98" s="728">
        <f t="shared" ca="1" si="243"/>
        <v>0</v>
      </c>
      <c r="AK98" s="727">
        <f ca="1">SUM(S98:AJ98)</f>
        <v>0</v>
      </c>
      <c r="AM98" s="739">
        <f t="shared" ref="AM98:BE98" ca="1" si="244">IFERROR(INDEX(INDIRECT($C98&amp;".Outputs["&amp;this.Year&amp;"]"), MATCH(AM$5, INDIRECT($C98&amp;".Outputs[Vector]"), 0)), 0)</f>
        <v>0</v>
      </c>
      <c r="AN98" s="739">
        <f t="shared" ca="1" si="244"/>
        <v>0</v>
      </c>
      <c r="AO98" s="739">
        <f t="shared" ca="1" si="244"/>
        <v>0</v>
      </c>
      <c r="AP98" s="739">
        <f t="shared" ca="1" si="244"/>
        <v>0</v>
      </c>
      <c r="AQ98" s="739">
        <f t="shared" ca="1" si="244"/>
        <v>0</v>
      </c>
      <c r="AR98" s="739">
        <f t="shared" ca="1" si="244"/>
        <v>0</v>
      </c>
      <c r="AS98" s="739">
        <f t="shared" ca="1" si="244"/>
        <v>0</v>
      </c>
      <c r="AT98" s="739">
        <f t="shared" ca="1" si="244"/>
        <v>0</v>
      </c>
      <c r="AU98" s="739">
        <f t="shared" ca="1" si="244"/>
        <v>0</v>
      </c>
      <c r="AV98" s="739">
        <f t="shared" ca="1" si="244"/>
        <v>0</v>
      </c>
      <c r="AW98" s="739">
        <f t="shared" ca="1" si="244"/>
        <v>0</v>
      </c>
      <c r="AX98" s="739">
        <f t="shared" ca="1" si="244"/>
        <v>0</v>
      </c>
      <c r="AY98" s="739">
        <f t="shared" ca="1" si="244"/>
        <v>0</v>
      </c>
      <c r="AZ98" s="739">
        <f t="shared" ca="1" si="244"/>
        <v>0</v>
      </c>
      <c r="BA98" s="739">
        <f t="shared" ca="1" si="244"/>
        <v>0</v>
      </c>
      <c r="BB98" s="739">
        <f t="shared" ca="1" si="244"/>
        <v>0</v>
      </c>
      <c r="BC98" s="739">
        <f t="shared" ca="1" si="244"/>
        <v>0</v>
      </c>
      <c r="BD98" s="739">
        <f t="shared" ca="1" si="244"/>
        <v>0</v>
      </c>
      <c r="BE98" s="739">
        <f t="shared" ca="1" si="244"/>
        <v>0</v>
      </c>
      <c r="BF98" s="709">
        <f ca="1">SUM(AM98:BE98)</f>
        <v>0</v>
      </c>
      <c r="BH98" s="733">
        <f ca="1">IFERROR(INDEX(INDIRECT($C98&amp;".Outputs["&amp;this.Year&amp;"]"), MATCH(BH$5, INDIRECT($C98&amp;".Outputs[Vector]"), 0)), 0)</f>
        <v>0</v>
      </c>
      <c r="BI98" s="733">
        <f ca="1">IFERROR(INDEX(INDIRECT($C98&amp;".Outputs["&amp;this.Year&amp;"]"), MATCH(BI$5, INDIRECT($C98&amp;".Outputs[Vector]"), 0)), 0)</f>
        <v>0</v>
      </c>
      <c r="BJ98" s="732">
        <f ca="1">SUM(BH98:BI98)</f>
        <v>0</v>
      </c>
      <c r="BL98" s="576">
        <f ca="1">Q98+AK98+BF98+BJ98</f>
        <v>0</v>
      </c>
      <c r="BM98" s="576"/>
      <c r="BN98" s="592"/>
      <c r="BO98" s="1086">
        <f t="shared" ref="BO98:DF98" ca="1" si="245">IFERROR(SUMIFS(INDIRECT($C98&amp;".Emissions["&amp;this.Year&amp;"]"), INDIRECT($C98&amp;".Emissions[GHG]"), BO$6, INDIRECT($C98&amp;".Emissions[IPCC Sector]"), BO$5),0)</f>
        <v>0</v>
      </c>
      <c r="BP98" s="1087">
        <f t="shared" ca="1" si="245"/>
        <v>0</v>
      </c>
      <c r="BQ98" s="1087">
        <f t="shared" ca="1" si="245"/>
        <v>0</v>
      </c>
      <c r="BR98" s="1087">
        <f t="shared" ca="1" si="245"/>
        <v>0</v>
      </c>
      <c r="BS98" s="1087">
        <f t="shared" ca="1" si="245"/>
        <v>0</v>
      </c>
      <c r="BT98" s="1087">
        <f t="shared" ca="1" si="245"/>
        <v>0</v>
      </c>
      <c r="BU98" s="1087">
        <f t="shared" ca="1" si="245"/>
        <v>0</v>
      </c>
      <c r="BV98" s="1087">
        <f t="shared" ca="1" si="245"/>
        <v>0</v>
      </c>
      <c r="BW98" s="1087">
        <f t="shared" ca="1" si="245"/>
        <v>0</v>
      </c>
      <c r="BX98" s="1087">
        <f t="shared" ca="1" si="245"/>
        <v>0</v>
      </c>
      <c r="BY98" s="1087">
        <f t="shared" ca="1" si="245"/>
        <v>0</v>
      </c>
      <c r="BZ98" s="1087">
        <f t="shared" ca="1" si="245"/>
        <v>0</v>
      </c>
      <c r="CA98" s="1087">
        <f t="shared" ca="1" si="245"/>
        <v>0</v>
      </c>
      <c r="CB98" s="1087">
        <f t="shared" ca="1" si="245"/>
        <v>0</v>
      </c>
      <c r="CC98" s="1087">
        <f t="shared" ca="1" si="245"/>
        <v>0</v>
      </c>
      <c r="CD98" s="1087">
        <f t="shared" ca="1" si="245"/>
        <v>0</v>
      </c>
      <c r="CE98" s="1087">
        <f t="shared" ca="1" si="245"/>
        <v>0</v>
      </c>
      <c r="CF98" s="1087">
        <f t="shared" ca="1" si="245"/>
        <v>0</v>
      </c>
      <c r="CG98" s="1087">
        <f t="shared" ca="1" si="245"/>
        <v>0</v>
      </c>
      <c r="CH98" s="1087">
        <f t="shared" ca="1" si="245"/>
        <v>0</v>
      </c>
      <c r="CI98" s="1087">
        <f t="shared" ca="1" si="245"/>
        <v>0</v>
      </c>
      <c r="CJ98" s="1087">
        <f t="shared" ca="1" si="245"/>
        <v>0</v>
      </c>
      <c r="CK98" s="1087">
        <f t="shared" ca="1" si="245"/>
        <v>0</v>
      </c>
      <c r="CL98" s="1087">
        <f t="shared" ca="1" si="245"/>
        <v>0</v>
      </c>
      <c r="CM98" s="1087">
        <f t="shared" ca="1" si="245"/>
        <v>0</v>
      </c>
      <c r="CN98" s="1087">
        <f t="shared" ca="1" si="245"/>
        <v>0</v>
      </c>
      <c r="CO98" s="1087">
        <f t="shared" ca="1" si="245"/>
        <v>0</v>
      </c>
      <c r="CP98" s="1087">
        <f t="shared" ca="1" si="245"/>
        <v>0</v>
      </c>
      <c r="CQ98" s="1087">
        <f t="shared" ca="1" si="245"/>
        <v>0</v>
      </c>
      <c r="CR98" s="1087">
        <f t="shared" ca="1" si="245"/>
        <v>0</v>
      </c>
      <c r="CS98" s="1087">
        <f t="shared" ca="1" si="245"/>
        <v>0</v>
      </c>
      <c r="CT98" s="1087">
        <f t="shared" ca="1" si="245"/>
        <v>0</v>
      </c>
      <c r="CU98" s="1087">
        <f t="shared" ca="1" si="245"/>
        <v>0</v>
      </c>
      <c r="CV98" s="1087">
        <f t="shared" ca="1" si="245"/>
        <v>0</v>
      </c>
      <c r="CW98" s="1087">
        <f t="shared" ca="1" si="245"/>
        <v>0</v>
      </c>
      <c r="CX98" s="1087">
        <f t="shared" ca="1" si="245"/>
        <v>0</v>
      </c>
      <c r="CY98" s="1087">
        <f t="shared" ca="1" si="245"/>
        <v>0</v>
      </c>
      <c r="CZ98" s="1087">
        <f t="shared" ca="1" si="245"/>
        <v>0</v>
      </c>
      <c r="DA98" s="1087">
        <f t="shared" ca="1" si="245"/>
        <v>0</v>
      </c>
      <c r="DB98" s="1087">
        <f t="shared" ca="1" si="245"/>
        <v>0</v>
      </c>
      <c r="DC98" s="1087">
        <f t="shared" ca="1" si="245"/>
        <v>0</v>
      </c>
      <c r="DD98" s="1087">
        <f t="shared" ca="1" si="245"/>
        <v>0</v>
      </c>
      <c r="DE98" s="1087">
        <f t="shared" ca="1" si="245"/>
        <v>0</v>
      </c>
      <c r="DF98" s="1087">
        <f t="shared" ca="1" si="245"/>
        <v>0</v>
      </c>
      <c r="DH98" s="590">
        <f ca="1">SUM(BO98:DF98)</f>
        <v>0</v>
      </c>
    </row>
    <row r="99" spans="1:112" s="532" customFormat="1" ht="15">
      <c r="A99" s="22"/>
      <c r="B99" s="537"/>
      <c r="C99" s="533" t="s">
        <v>560</v>
      </c>
      <c r="D99" s="507" t="str">
        <f>INDEX(Workstreams[Workstream], MATCH($C99, Workstreams[Code], 0))</f>
        <v>Bioenergy</v>
      </c>
      <c r="E99" s="503"/>
      <c r="G99" s="718">
        <f ca="1">G$96+G98</f>
        <v>0</v>
      </c>
      <c r="H99" s="718">
        <f t="shared" ref="H99:P99" ca="1" si="246">H$96+H98</f>
        <v>0</v>
      </c>
      <c r="I99" s="718">
        <f t="shared" ca="1" si="246"/>
        <v>0</v>
      </c>
      <c r="J99" s="718">
        <f t="shared" ca="1" si="246"/>
        <v>0</v>
      </c>
      <c r="K99" s="718">
        <f t="shared" ca="1" si="246"/>
        <v>0</v>
      </c>
      <c r="L99" s="718">
        <f t="shared" ca="1" si="246"/>
        <v>0</v>
      </c>
      <c r="M99" s="718">
        <f t="shared" ca="1" si="246"/>
        <v>0</v>
      </c>
      <c r="N99" s="718">
        <f t="shared" ca="1" si="246"/>
        <v>0</v>
      </c>
      <c r="O99" s="718">
        <f t="shared" ca="1" si="246"/>
        <v>0</v>
      </c>
      <c r="P99" s="718">
        <f t="shared" ca="1" si="246"/>
        <v>0</v>
      </c>
      <c r="Q99" s="718">
        <f ca="1">SUM(G99:P99)</f>
        <v>0</v>
      </c>
      <c r="S99" s="668">
        <f t="shared" ref="S99:AJ99" ca="1" si="247">S$96+S98</f>
        <v>0</v>
      </c>
      <c r="T99" s="668">
        <f t="shared" ca="1" si="247"/>
        <v>0</v>
      </c>
      <c r="U99" s="668">
        <f t="shared" ca="1" si="247"/>
        <v>0</v>
      </c>
      <c r="V99" s="668">
        <f t="shared" ca="1" si="247"/>
        <v>0</v>
      </c>
      <c r="W99" s="668">
        <f t="shared" ca="1" si="247"/>
        <v>0</v>
      </c>
      <c r="X99" s="668">
        <f t="shared" ca="1" si="247"/>
        <v>0</v>
      </c>
      <c r="Y99" s="668">
        <f t="shared" ca="1" si="247"/>
        <v>0</v>
      </c>
      <c r="Z99" s="668">
        <f t="shared" ca="1" si="247"/>
        <v>0</v>
      </c>
      <c r="AA99" s="668">
        <f t="shared" ca="1" si="247"/>
        <v>0</v>
      </c>
      <c r="AB99" s="668">
        <f t="shared" ca="1" si="247"/>
        <v>0</v>
      </c>
      <c r="AC99" s="668">
        <f t="shared" ca="1" si="247"/>
        <v>0</v>
      </c>
      <c r="AD99" s="668">
        <f ca="1">AD$96+AD98</f>
        <v>0</v>
      </c>
      <c r="AE99" s="668">
        <f ca="1">AE$96+AE98</f>
        <v>0</v>
      </c>
      <c r="AF99" s="668">
        <f t="shared" ca="1" si="247"/>
        <v>0</v>
      </c>
      <c r="AG99" s="668">
        <f t="shared" ca="1" si="247"/>
        <v>0</v>
      </c>
      <c r="AH99" s="668">
        <f ca="1">AH$96+AH98</f>
        <v>0</v>
      </c>
      <c r="AI99" s="668">
        <f t="shared" ca="1" si="247"/>
        <v>0</v>
      </c>
      <c r="AJ99" s="668">
        <f t="shared" ca="1" si="247"/>
        <v>0</v>
      </c>
      <c r="AK99" s="668">
        <f ca="1">SUM(S99:AJ99)</f>
        <v>0</v>
      </c>
      <c r="AM99" s="674">
        <f t="shared" ref="AM99:BE99" ca="1" si="248">AM$96+AM98</f>
        <v>0</v>
      </c>
      <c r="AN99" s="674">
        <f t="shared" ca="1" si="248"/>
        <v>0</v>
      </c>
      <c r="AO99" s="674">
        <f t="shared" ca="1" si="248"/>
        <v>0</v>
      </c>
      <c r="AP99" s="674">
        <f ca="1">AP$96+AP98</f>
        <v>0</v>
      </c>
      <c r="AQ99" s="674">
        <f t="shared" ca="1" si="248"/>
        <v>0</v>
      </c>
      <c r="AR99" s="674">
        <f t="shared" ca="1" si="248"/>
        <v>0</v>
      </c>
      <c r="AS99" s="674">
        <f t="shared" ca="1" si="248"/>
        <v>0</v>
      </c>
      <c r="AT99" s="674">
        <f t="shared" ca="1" si="248"/>
        <v>0</v>
      </c>
      <c r="AU99" s="674">
        <f t="shared" ca="1" si="248"/>
        <v>0</v>
      </c>
      <c r="AV99" s="674">
        <f t="shared" ca="1" si="248"/>
        <v>0</v>
      </c>
      <c r="AW99" s="674">
        <f t="shared" ca="1" si="248"/>
        <v>0</v>
      </c>
      <c r="AX99" s="674">
        <f t="shared" ca="1" si="248"/>
        <v>0</v>
      </c>
      <c r="AY99" s="674">
        <f t="shared" ca="1" si="248"/>
        <v>0</v>
      </c>
      <c r="AZ99" s="674">
        <f t="shared" ca="1" si="248"/>
        <v>0</v>
      </c>
      <c r="BA99" s="674">
        <f t="shared" ca="1" si="248"/>
        <v>0</v>
      </c>
      <c r="BB99" s="674">
        <f t="shared" ca="1" si="248"/>
        <v>0</v>
      </c>
      <c r="BC99" s="674">
        <f t="shared" ca="1" si="248"/>
        <v>0</v>
      </c>
      <c r="BD99" s="674">
        <f t="shared" ca="1" si="248"/>
        <v>0</v>
      </c>
      <c r="BE99" s="674">
        <f t="shared" ca="1" si="248"/>
        <v>0</v>
      </c>
      <c r="BF99" s="674">
        <f ca="1">SUM(AM99:BE99)</f>
        <v>0</v>
      </c>
      <c r="BH99" s="688">
        <f ca="1">BH$96+BH98</f>
        <v>0</v>
      </c>
      <c r="BI99" s="688">
        <f ca="1">BI$96+BI98</f>
        <v>0</v>
      </c>
      <c r="BJ99" s="688">
        <f ca="1">SUM(BH99:BI99)</f>
        <v>0</v>
      </c>
      <c r="BL99" s="505">
        <f ca="1">Q99+AK99+BF99+BJ99</f>
        <v>0</v>
      </c>
      <c r="BM99" s="505"/>
      <c r="BN99" s="592"/>
      <c r="BO99" s="1083">
        <f t="shared" ref="BO99:DF99" ca="1" si="249">BO$96+BO98</f>
        <v>0</v>
      </c>
      <c r="BP99" s="1083">
        <f t="shared" ca="1" si="249"/>
        <v>0</v>
      </c>
      <c r="BQ99" s="1083">
        <f t="shared" ca="1" si="249"/>
        <v>0</v>
      </c>
      <c r="BR99" s="1083">
        <f t="shared" ca="1" si="249"/>
        <v>0</v>
      </c>
      <c r="BS99" s="1083">
        <f t="shared" ca="1" si="249"/>
        <v>0</v>
      </c>
      <c r="BT99" s="1083">
        <f t="shared" ca="1" si="249"/>
        <v>0</v>
      </c>
      <c r="BU99" s="1083">
        <f t="shared" ca="1" si="249"/>
        <v>0</v>
      </c>
      <c r="BV99" s="1083">
        <f t="shared" ca="1" si="249"/>
        <v>0</v>
      </c>
      <c r="BW99" s="1083">
        <f t="shared" ca="1" si="249"/>
        <v>0</v>
      </c>
      <c r="BX99" s="1083">
        <f t="shared" ca="1" si="249"/>
        <v>0</v>
      </c>
      <c r="BY99" s="1083">
        <f t="shared" ca="1" si="249"/>
        <v>0</v>
      </c>
      <c r="BZ99" s="1083">
        <f t="shared" ca="1" si="249"/>
        <v>0</v>
      </c>
      <c r="CA99" s="1083">
        <f t="shared" ca="1" si="249"/>
        <v>0</v>
      </c>
      <c r="CB99" s="1083">
        <f t="shared" ca="1" si="249"/>
        <v>0</v>
      </c>
      <c r="CC99" s="1083">
        <f t="shared" ca="1" si="249"/>
        <v>0</v>
      </c>
      <c r="CD99" s="1083">
        <f t="shared" ca="1" si="249"/>
        <v>0</v>
      </c>
      <c r="CE99" s="1083">
        <f t="shared" ca="1" si="249"/>
        <v>0</v>
      </c>
      <c r="CF99" s="1083">
        <f t="shared" ca="1" si="249"/>
        <v>0</v>
      </c>
      <c r="CG99" s="1083">
        <f t="shared" ca="1" si="249"/>
        <v>0</v>
      </c>
      <c r="CH99" s="1083">
        <f t="shared" ca="1" si="249"/>
        <v>0</v>
      </c>
      <c r="CI99" s="1083">
        <f t="shared" ca="1" si="249"/>
        <v>0</v>
      </c>
      <c r="CJ99" s="1083">
        <f t="shared" ca="1" si="249"/>
        <v>0</v>
      </c>
      <c r="CK99" s="1083">
        <f t="shared" ca="1" si="249"/>
        <v>0</v>
      </c>
      <c r="CL99" s="1083">
        <f t="shared" ca="1" si="249"/>
        <v>0</v>
      </c>
      <c r="CM99" s="1083">
        <f t="shared" ca="1" si="249"/>
        <v>0</v>
      </c>
      <c r="CN99" s="1083">
        <f t="shared" ca="1" si="249"/>
        <v>0</v>
      </c>
      <c r="CO99" s="1083">
        <f t="shared" ca="1" si="249"/>
        <v>0</v>
      </c>
      <c r="CP99" s="1083">
        <f t="shared" ca="1" si="249"/>
        <v>0</v>
      </c>
      <c r="CQ99" s="1083">
        <f t="shared" ca="1" si="249"/>
        <v>0</v>
      </c>
      <c r="CR99" s="1083">
        <f t="shared" ca="1" si="249"/>
        <v>0</v>
      </c>
      <c r="CS99" s="1083">
        <f t="shared" ca="1" si="249"/>
        <v>0</v>
      </c>
      <c r="CT99" s="1083">
        <f t="shared" ca="1" si="249"/>
        <v>0</v>
      </c>
      <c r="CU99" s="1083">
        <f t="shared" ca="1" si="249"/>
        <v>0</v>
      </c>
      <c r="CV99" s="1083">
        <f t="shared" ca="1" si="249"/>
        <v>0</v>
      </c>
      <c r="CW99" s="1083">
        <f t="shared" ca="1" si="249"/>
        <v>0</v>
      </c>
      <c r="CX99" s="1083">
        <f t="shared" ca="1" si="249"/>
        <v>0</v>
      </c>
      <c r="CY99" s="1083">
        <f t="shared" ca="1" si="249"/>
        <v>0</v>
      </c>
      <c r="CZ99" s="1083">
        <f t="shared" ca="1" si="249"/>
        <v>0</v>
      </c>
      <c r="DA99" s="1083">
        <f t="shared" ca="1" si="249"/>
        <v>0</v>
      </c>
      <c r="DB99" s="1083">
        <f t="shared" ca="1" si="249"/>
        <v>0</v>
      </c>
      <c r="DC99" s="1083">
        <f t="shared" ca="1" si="249"/>
        <v>0</v>
      </c>
      <c r="DD99" s="1083">
        <f t="shared" ca="1" si="249"/>
        <v>0</v>
      </c>
      <c r="DE99" s="1083">
        <f t="shared" ca="1" si="249"/>
        <v>0</v>
      </c>
      <c r="DF99" s="1083">
        <f t="shared" ca="1" si="249"/>
        <v>0</v>
      </c>
      <c r="DH99" s="590">
        <f t="shared" ca="1" si="235"/>
        <v>0</v>
      </c>
    </row>
    <row r="100" spans="1:112" s="22" customFormat="1" ht="12.75" customHeight="1" outlineLevel="1">
      <c r="B100" s="537"/>
      <c r="C100" s="533"/>
      <c r="D100" s="507"/>
      <c r="E100" s="503"/>
      <c r="F100" s="532"/>
      <c r="G100" s="656"/>
      <c r="H100" s="656"/>
      <c r="I100" s="656"/>
      <c r="J100" s="656"/>
      <c r="K100" s="658"/>
      <c r="L100" s="656"/>
      <c r="M100" s="656"/>
      <c r="N100" s="656"/>
      <c r="O100" s="656"/>
      <c r="P100" s="656"/>
      <c r="Q100" s="718"/>
      <c r="R100" s="532"/>
      <c r="S100" s="668"/>
      <c r="T100" s="668"/>
      <c r="U100" s="668"/>
      <c r="V100" s="668"/>
      <c r="W100" s="668"/>
      <c r="X100" s="668"/>
      <c r="Y100" s="668"/>
      <c r="Z100" s="668"/>
      <c r="AA100" s="668"/>
      <c r="AB100" s="668"/>
      <c r="AC100" s="668"/>
      <c r="AD100" s="668"/>
      <c r="AE100" s="668"/>
      <c r="AF100" s="668"/>
      <c r="AG100" s="668"/>
      <c r="AH100" s="668"/>
      <c r="AI100" s="668"/>
      <c r="AJ100" s="668"/>
      <c r="AK100" s="668"/>
      <c r="AL100" s="532"/>
      <c r="AM100" s="674"/>
      <c r="AN100" s="674"/>
      <c r="AO100" s="674"/>
      <c r="AP100" s="674"/>
      <c r="AQ100" s="674"/>
      <c r="AR100" s="674"/>
      <c r="AS100" s="674"/>
      <c r="AT100" s="674"/>
      <c r="AU100" s="674"/>
      <c r="AV100" s="674"/>
      <c r="AW100" s="674"/>
      <c r="AX100" s="674"/>
      <c r="AY100" s="674"/>
      <c r="AZ100" s="674"/>
      <c r="BA100" s="674"/>
      <c r="BB100" s="674"/>
      <c r="BC100" s="674"/>
      <c r="BD100" s="674"/>
      <c r="BE100" s="674"/>
      <c r="BF100" s="674"/>
      <c r="BG100" s="532"/>
      <c r="BH100" s="688"/>
      <c r="BI100" s="688"/>
      <c r="BJ100" s="688"/>
      <c r="BK100" s="532"/>
      <c r="BL100" s="505"/>
      <c r="BM100" s="505"/>
      <c r="BO100" s="1083"/>
      <c r="BP100" s="1083"/>
      <c r="BQ100" s="1083"/>
      <c r="BR100" s="1083"/>
      <c r="BS100" s="1083"/>
      <c r="BT100" s="1083"/>
      <c r="BU100" s="1083"/>
      <c r="BV100" s="1083"/>
      <c r="BW100" s="1083"/>
      <c r="BX100" s="1083"/>
      <c r="BY100" s="1083"/>
      <c r="BZ100" s="1083"/>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c r="CU100" s="1083"/>
      <c r="CV100" s="1083"/>
      <c r="CW100" s="1083"/>
      <c r="CX100" s="1083"/>
      <c r="CY100" s="1083"/>
      <c r="CZ100" s="1083"/>
      <c r="DA100" s="1083"/>
      <c r="DB100" s="1083"/>
      <c r="DC100" s="1083"/>
      <c r="DD100" s="1083"/>
      <c r="DE100" s="1083"/>
      <c r="DF100" s="1083"/>
      <c r="DH100" s="590">
        <f t="shared" si="235"/>
        <v>0</v>
      </c>
    </row>
    <row r="101" spans="1:112" s="1089" customFormat="1" ht="12.75" customHeight="1" outlineLevel="1">
      <c r="C101" s="743" t="s">
        <v>1066</v>
      </c>
      <c r="D101" s="602" t="s">
        <v>937</v>
      </c>
      <c r="E101" s="602"/>
      <c r="G101" s="759"/>
      <c r="H101" s="759"/>
      <c r="I101" s="759"/>
      <c r="J101" s="759"/>
      <c r="K101" s="760"/>
      <c r="L101" s="759"/>
      <c r="M101" s="759"/>
      <c r="N101" s="759"/>
      <c r="O101" s="759"/>
      <c r="P101" s="759"/>
      <c r="Q101" s="1079"/>
      <c r="R101" s="1092"/>
      <c r="S101" s="761">
        <f ca="1">(S$40+S$84+S$93+S$99)</f>
        <v>0</v>
      </c>
      <c r="T101" s="761">
        <f ca="1">(T$40+T$84+T$93+T$99)</f>
        <v>261.96211411772401</v>
      </c>
      <c r="U101" s="761">
        <f ca="1">(U$40+U$84+U$93+U$99)</f>
        <v>-400.12025503680002</v>
      </c>
      <c r="V101" s="761">
        <f ca="1">(V$40+V$84+V$93+V$99)</f>
        <v>0</v>
      </c>
      <c r="W101" s="761">
        <f ca="1">(W$40+W$84+W$93+W$99)</f>
        <v>-151.89074227938463</v>
      </c>
      <c r="X101" s="761"/>
      <c r="Y101" s="761"/>
      <c r="Z101" s="761"/>
      <c r="AA101" s="761"/>
      <c r="AB101" s="761"/>
      <c r="AC101" s="761"/>
      <c r="AD101" s="761"/>
      <c r="AE101" s="761"/>
      <c r="AF101" s="761"/>
      <c r="AG101" s="761"/>
      <c r="AH101" s="761"/>
      <c r="AI101" s="761"/>
      <c r="AJ101" s="761"/>
      <c r="AK101" s="761"/>
      <c r="AL101" s="1092"/>
      <c r="AM101" s="762"/>
      <c r="AN101" s="762"/>
      <c r="AO101" s="762"/>
      <c r="AP101" s="762"/>
      <c r="AQ101" s="762"/>
      <c r="AR101" s="762"/>
      <c r="AS101" s="762"/>
      <c r="AT101" s="762"/>
      <c r="AU101" s="762"/>
      <c r="AV101" s="762"/>
      <c r="AW101" s="762"/>
      <c r="AX101" s="762"/>
      <c r="AY101" s="762"/>
      <c r="AZ101" s="762"/>
      <c r="BA101" s="762"/>
      <c r="BB101" s="762"/>
      <c r="BC101" s="762"/>
      <c r="BD101" s="762"/>
      <c r="BE101" s="762"/>
      <c r="BF101" s="762"/>
      <c r="BG101" s="1092"/>
      <c r="BH101" s="763"/>
      <c r="BI101" s="763"/>
      <c r="BJ101" s="763"/>
      <c r="BL101" s="603"/>
      <c r="BM101" s="603"/>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c r="CU101" s="1091"/>
      <c r="CV101" s="1091"/>
      <c r="CW101" s="1091"/>
      <c r="CX101" s="1091"/>
      <c r="CY101" s="1091"/>
      <c r="CZ101" s="1091"/>
      <c r="DA101" s="1091"/>
      <c r="DB101" s="1091"/>
      <c r="DC101" s="1091"/>
      <c r="DD101" s="1091"/>
      <c r="DE101" s="1091"/>
      <c r="DF101" s="1091"/>
      <c r="DH101" s="590">
        <f t="shared" si="235"/>
        <v>0</v>
      </c>
    </row>
    <row r="102" spans="1:112" s="1085" customFormat="1" ht="12.75" customHeight="1" outlineLevel="1">
      <c r="B102" s="1093"/>
      <c r="C102" s="512" t="s">
        <v>771</v>
      </c>
      <c r="D102" s="511" t="str">
        <f>INDEX(Modules[Module], MATCH($C102, Modules[Code], 0))</f>
        <v>Fossil fuel transfers</v>
      </c>
      <c r="E102" s="511"/>
      <c r="F102" s="532"/>
      <c r="G102" s="661">
        <f t="shared" ref="G102:P102" ca="1" si="250">IFERROR(INDEX(INDIRECT($C102&amp;".Outputs["&amp;this.Year&amp;"]"), MATCH(G$5, INDIRECT($C102&amp;".Outputs[Vector]"), 0)), 0)</f>
        <v>0</v>
      </c>
      <c r="H102" s="661">
        <f t="shared" ca="1" si="250"/>
        <v>0</v>
      </c>
      <c r="I102" s="661">
        <f t="shared" ca="1" si="250"/>
        <v>0</v>
      </c>
      <c r="J102" s="661">
        <f t="shared" ca="1" si="250"/>
        <v>0</v>
      </c>
      <c r="K102" s="662">
        <f t="shared" ca="1" si="250"/>
        <v>0</v>
      </c>
      <c r="L102" s="661">
        <f t="shared" ca="1" si="250"/>
        <v>0</v>
      </c>
      <c r="M102" s="661">
        <f t="shared" ca="1" si="250"/>
        <v>0</v>
      </c>
      <c r="N102" s="661">
        <f t="shared" ca="1" si="250"/>
        <v>0</v>
      </c>
      <c r="O102" s="661">
        <f t="shared" ca="1" si="250"/>
        <v>0</v>
      </c>
      <c r="P102" s="661">
        <f t="shared" ca="1" si="250"/>
        <v>0</v>
      </c>
      <c r="Q102" s="783">
        <f ca="1">SUM(G102:P102)</f>
        <v>0</v>
      </c>
      <c r="R102" s="532"/>
      <c r="S102" s="670">
        <f t="shared" ref="S102:AJ102" ca="1" si="251">IFERROR(INDEX(INDIRECT($C102&amp;".Outputs["&amp;this.Year&amp;"]"), MATCH(S$5, INDIRECT($C102&amp;".Outputs[Vector]"), 0)), 0)</f>
        <v>0</v>
      </c>
      <c r="T102" s="670">
        <f t="shared" ca="1" si="251"/>
        <v>0</v>
      </c>
      <c r="U102" s="670">
        <f t="shared" ca="1" si="251"/>
        <v>400.12025503680002</v>
      </c>
      <c r="V102" s="670">
        <f t="shared" ca="1" si="251"/>
        <v>0</v>
      </c>
      <c r="W102" s="670">
        <f t="shared" ca="1" si="251"/>
        <v>151.89074227938463</v>
      </c>
      <c r="X102" s="670">
        <f t="shared" ca="1" si="251"/>
        <v>-400.12025503680002</v>
      </c>
      <c r="Y102" s="670">
        <f t="shared" ca="1" si="251"/>
        <v>0</v>
      </c>
      <c r="Z102" s="670">
        <f t="shared" ca="1" si="251"/>
        <v>0</v>
      </c>
      <c r="AA102" s="670">
        <f t="shared" ca="1" si="251"/>
        <v>0</v>
      </c>
      <c r="AB102" s="670">
        <f t="shared" ca="1" si="251"/>
        <v>0</v>
      </c>
      <c r="AC102" s="670">
        <f t="shared" ca="1" si="251"/>
        <v>0</v>
      </c>
      <c r="AD102" s="670">
        <f t="shared" ca="1" si="251"/>
        <v>0</v>
      </c>
      <c r="AE102" s="670">
        <f t="shared" ca="1" si="251"/>
        <v>0</v>
      </c>
      <c r="AF102" s="670">
        <f t="shared" ca="1" si="251"/>
        <v>0</v>
      </c>
      <c r="AG102" s="670">
        <f t="shared" ca="1" si="251"/>
        <v>0</v>
      </c>
      <c r="AH102" s="670">
        <f t="shared" ca="1" si="251"/>
        <v>0</v>
      </c>
      <c r="AI102" s="670">
        <f t="shared" ca="1" si="251"/>
        <v>0</v>
      </c>
      <c r="AJ102" s="670">
        <f t="shared" ca="1" si="251"/>
        <v>0</v>
      </c>
      <c r="AK102" s="670">
        <f ca="1">SUM(S102:AJ102)</f>
        <v>151.89074227938465</v>
      </c>
      <c r="AL102" s="532"/>
      <c r="AM102" s="677">
        <f t="shared" ref="AM102:BE102" ca="1" si="252">IFERROR(INDEX(INDIRECT($C102&amp;".Outputs["&amp;this.Year&amp;"]"), MATCH(AM$5, INDIRECT($C102&amp;".Outputs[Vector]"), 0)), 0)</f>
        <v>0</v>
      </c>
      <c r="AN102" s="677">
        <f t="shared" ca="1" si="252"/>
        <v>0</v>
      </c>
      <c r="AO102" s="677">
        <f t="shared" ca="1" si="252"/>
        <v>0</v>
      </c>
      <c r="AP102" s="677">
        <f t="shared" ca="1" si="252"/>
        <v>0</v>
      </c>
      <c r="AQ102" s="677">
        <f t="shared" ca="1" si="252"/>
        <v>0</v>
      </c>
      <c r="AR102" s="677">
        <f t="shared" ca="1" si="252"/>
        <v>0</v>
      </c>
      <c r="AS102" s="677">
        <f t="shared" ca="1" si="252"/>
        <v>0</v>
      </c>
      <c r="AT102" s="677">
        <f t="shared" ca="1" si="252"/>
        <v>0</v>
      </c>
      <c r="AU102" s="677">
        <f t="shared" ca="1" si="252"/>
        <v>0</v>
      </c>
      <c r="AV102" s="677">
        <f t="shared" ca="1" si="252"/>
        <v>0</v>
      </c>
      <c r="AW102" s="677">
        <f t="shared" ca="1" si="252"/>
        <v>0</v>
      </c>
      <c r="AX102" s="677">
        <f t="shared" ca="1" si="252"/>
        <v>0</v>
      </c>
      <c r="AY102" s="677">
        <f t="shared" ca="1" si="252"/>
        <v>0</v>
      </c>
      <c r="AZ102" s="677">
        <f t="shared" ca="1" si="252"/>
        <v>0</v>
      </c>
      <c r="BA102" s="677">
        <f t="shared" ca="1" si="252"/>
        <v>0</v>
      </c>
      <c r="BB102" s="677">
        <f t="shared" ca="1" si="252"/>
        <v>0</v>
      </c>
      <c r="BC102" s="677">
        <f t="shared" ca="1" si="252"/>
        <v>0</v>
      </c>
      <c r="BD102" s="677">
        <f t="shared" ca="1" si="252"/>
        <v>0</v>
      </c>
      <c r="BE102" s="677">
        <f t="shared" ca="1" si="252"/>
        <v>0</v>
      </c>
      <c r="BF102" s="677">
        <f ca="1">SUM(AM102:BE102)</f>
        <v>0</v>
      </c>
      <c r="BG102" s="532"/>
      <c r="BH102" s="690">
        <f ca="1">IFERROR(INDEX(INDIRECT($C102&amp;".Outputs["&amp;this.Year&amp;"]"), MATCH(BH$5, INDIRECT($C102&amp;".Outputs[Vector]"), 0)), 0)</f>
        <v>0</v>
      </c>
      <c r="BI102" s="690">
        <f ca="1">IFERROR(INDEX(INDIRECT($C102&amp;".Outputs["&amp;this.Year&amp;"]"), MATCH(BI$5, INDIRECT($C102&amp;".Outputs[Vector]"), 0)), 0)</f>
        <v>0</v>
      </c>
      <c r="BJ102" s="690">
        <f ca="1">SUM(BH102:BI102)</f>
        <v>0</v>
      </c>
      <c r="BK102" s="532"/>
      <c r="BL102" s="505">
        <f t="shared" ref="BL102:BL109" ca="1" si="253">Q102+AK102+BF102+BJ102</f>
        <v>151.89074227938465</v>
      </c>
      <c r="BM102" s="576"/>
      <c r="BO102" s="1082">
        <f t="shared" ref="BO102:BX103" ca="1" si="254">IFERROR(SUMIFS(INDIRECT($C102&amp;".Emissions["&amp;this.Year&amp;"]"), INDIRECT($C102&amp;".Emissions[GHG]"), BO$6, INDIRECT($C102&amp;".Emissions[IPCC Sector]"), BO$5),0)</f>
        <v>0</v>
      </c>
      <c r="BP102" s="1083">
        <f t="shared" ca="1" si="254"/>
        <v>0</v>
      </c>
      <c r="BQ102" s="1083">
        <f t="shared" ca="1" si="254"/>
        <v>0</v>
      </c>
      <c r="BR102" s="1083">
        <f t="shared" ca="1" si="254"/>
        <v>0</v>
      </c>
      <c r="BS102" s="1083">
        <f t="shared" ca="1" si="254"/>
        <v>0</v>
      </c>
      <c r="BT102" s="1083">
        <f t="shared" ca="1" si="254"/>
        <v>0</v>
      </c>
      <c r="BU102" s="1083">
        <f t="shared" ca="1" si="254"/>
        <v>0</v>
      </c>
      <c r="BV102" s="1083">
        <f t="shared" ca="1" si="254"/>
        <v>0</v>
      </c>
      <c r="BW102" s="1083">
        <f t="shared" ca="1" si="254"/>
        <v>0</v>
      </c>
      <c r="BX102" s="1083">
        <f t="shared" ca="1" si="254"/>
        <v>0</v>
      </c>
      <c r="BY102" s="1083">
        <f t="shared" ref="BY102:CH103" ca="1" si="255">IFERROR(SUMIFS(INDIRECT($C102&amp;".Emissions["&amp;this.Year&amp;"]"), INDIRECT($C102&amp;".Emissions[GHG]"), BY$6, INDIRECT($C102&amp;".Emissions[IPCC Sector]"), BY$5),0)</f>
        <v>0</v>
      </c>
      <c r="BZ102" s="1083">
        <f t="shared" ca="1" si="255"/>
        <v>0</v>
      </c>
      <c r="CA102" s="1083">
        <f t="shared" ca="1" si="255"/>
        <v>0</v>
      </c>
      <c r="CB102" s="1083">
        <f t="shared" ca="1" si="255"/>
        <v>0</v>
      </c>
      <c r="CC102" s="1083">
        <f t="shared" ca="1" si="255"/>
        <v>0</v>
      </c>
      <c r="CD102" s="1083">
        <f t="shared" ca="1" si="255"/>
        <v>0</v>
      </c>
      <c r="CE102" s="1083">
        <f t="shared" ca="1" si="255"/>
        <v>0</v>
      </c>
      <c r="CF102" s="1083">
        <f t="shared" ca="1" si="255"/>
        <v>0</v>
      </c>
      <c r="CG102" s="1083">
        <f t="shared" ca="1" si="255"/>
        <v>0</v>
      </c>
      <c r="CH102" s="1083">
        <f t="shared" ca="1" si="255"/>
        <v>0</v>
      </c>
      <c r="CI102" s="1083">
        <f t="shared" ref="CI102:CR103" ca="1" si="256">IFERROR(SUMIFS(INDIRECT($C102&amp;".Emissions["&amp;this.Year&amp;"]"), INDIRECT($C102&amp;".Emissions[GHG]"), CI$6, INDIRECT($C102&amp;".Emissions[IPCC Sector]"), CI$5),0)</f>
        <v>0</v>
      </c>
      <c r="CJ102" s="1083">
        <f t="shared" ca="1" si="256"/>
        <v>0</v>
      </c>
      <c r="CK102" s="1083">
        <f t="shared" ca="1" si="256"/>
        <v>0</v>
      </c>
      <c r="CL102" s="1083">
        <f t="shared" ca="1" si="256"/>
        <v>0</v>
      </c>
      <c r="CM102" s="1083">
        <f t="shared" ca="1" si="256"/>
        <v>0</v>
      </c>
      <c r="CN102" s="1083">
        <f t="shared" ca="1" si="256"/>
        <v>0</v>
      </c>
      <c r="CO102" s="1083">
        <f t="shared" ca="1" si="256"/>
        <v>0</v>
      </c>
      <c r="CP102" s="1083">
        <f t="shared" ca="1" si="256"/>
        <v>0</v>
      </c>
      <c r="CQ102" s="1083">
        <f t="shared" ca="1" si="256"/>
        <v>0</v>
      </c>
      <c r="CR102" s="1083">
        <f t="shared" ca="1" si="256"/>
        <v>0</v>
      </c>
      <c r="CS102" s="1083">
        <f t="shared" ref="CS102:DF103" ca="1" si="257">IFERROR(SUMIFS(INDIRECT($C102&amp;".Emissions["&amp;this.Year&amp;"]"), INDIRECT($C102&amp;".Emissions[GHG]"), CS$6, INDIRECT($C102&amp;".Emissions[IPCC Sector]"), CS$5),0)</f>
        <v>0</v>
      </c>
      <c r="CT102" s="1083">
        <f t="shared" ca="1" si="257"/>
        <v>0</v>
      </c>
      <c r="CU102" s="1083">
        <f t="shared" ca="1" si="257"/>
        <v>0</v>
      </c>
      <c r="CV102" s="1083">
        <f t="shared" ca="1" si="257"/>
        <v>0</v>
      </c>
      <c r="CW102" s="1083">
        <f t="shared" ca="1" si="257"/>
        <v>0</v>
      </c>
      <c r="CX102" s="1083">
        <f t="shared" ca="1" si="257"/>
        <v>0</v>
      </c>
      <c r="CY102" s="1083">
        <f t="shared" ca="1" si="257"/>
        <v>0</v>
      </c>
      <c r="CZ102" s="1083">
        <f t="shared" ca="1" si="257"/>
        <v>0</v>
      </c>
      <c r="DA102" s="1083">
        <f t="shared" ca="1" si="257"/>
        <v>0</v>
      </c>
      <c r="DB102" s="1083">
        <f t="shared" ca="1" si="257"/>
        <v>0</v>
      </c>
      <c r="DC102" s="1083">
        <f t="shared" ca="1" si="257"/>
        <v>0</v>
      </c>
      <c r="DD102" s="1083">
        <f t="shared" ca="1" si="257"/>
        <v>0</v>
      </c>
      <c r="DE102" s="1083">
        <f t="shared" ca="1" si="257"/>
        <v>0</v>
      </c>
      <c r="DF102" s="1083">
        <f t="shared" ca="1" si="257"/>
        <v>0</v>
      </c>
      <c r="DH102" s="590">
        <f t="shared" ca="1" si="235"/>
        <v>0</v>
      </c>
    </row>
    <row r="103" spans="1:112" s="1085" customFormat="1" ht="12.75" customHeight="1" outlineLevel="1">
      <c r="B103" s="1093" t="s">
        <v>647</v>
      </c>
      <c r="C103" s="512" t="s">
        <v>772</v>
      </c>
      <c r="D103" s="707" t="str">
        <f>INDEX(Modules[Module], MATCH($C103, Modules[Code], 0))</f>
        <v>Balancing imports</v>
      </c>
      <c r="E103" s="707"/>
      <c r="F103" s="532"/>
      <c r="G103" s="788"/>
      <c r="H103" s="788"/>
      <c r="I103" s="788"/>
      <c r="J103" s="788"/>
      <c r="K103" s="789"/>
      <c r="L103" s="788"/>
      <c r="M103" s="788"/>
      <c r="N103" s="788"/>
      <c r="O103" s="788"/>
      <c r="P103" s="788"/>
      <c r="Q103" s="790">
        <f>SUM(G103:P103)</f>
        <v>0</v>
      </c>
      <c r="R103" s="532"/>
      <c r="S103" s="791"/>
      <c r="T103" s="791">
        <f ca="1">-(T$101+S$101)</f>
        <v>-261.96211411772401</v>
      </c>
      <c r="U103" s="791"/>
      <c r="V103" s="791"/>
      <c r="W103" s="791"/>
      <c r="X103" s="791">
        <f ca="1">-(X$40+X$84+X$93+X$99+X$102)</f>
        <v>336.15525503679999</v>
      </c>
      <c r="Y103" s="791">
        <f ca="1">-(Y$40+Y$84+Y$93+Y$99+Y$102)</f>
        <v>-107.70336000383915</v>
      </c>
      <c r="Z103" s="791">
        <f ca="1">-(Z$40+Z$84+Z$93+Z$99+Z$102)</f>
        <v>-82.232541885272198</v>
      </c>
      <c r="AA103" s="791"/>
      <c r="AB103" s="791"/>
      <c r="AC103" s="791"/>
      <c r="AD103" s="791"/>
      <c r="AE103" s="791"/>
      <c r="AF103" s="791"/>
      <c r="AG103" s="791"/>
      <c r="AH103" s="791"/>
      <c r="AI103" s="791"/>
      <c r="AJ103" s="791"/>
      <c r="AK103" s="791">
        <f ca="1">SUM(S103:AJ103)</f>
        <v>-115.74276097003538</v>
      </c>
      <c r="AL103" s="532"/>
      <c r="AM103" s="709"/>
      <c r="AN103" s="709"/>
      <c r="AO103" s="709"/>
      <c r="AP103" s="709"/>
      <c r="AQ103" s="709">
        <f ca="1">-T103</f>
        <v>261.96211411772401</v>
      </c>
      <c r="AR103" s="709">
        <f>-V103</f>
        <v>0</v>
      </c>
      <c r="AS103" s="709">
        <f ca="1">-X103</f>
        <v>-336.15525503679999</v>
      </c>
      <c r="AT103" s="709">
        <f ca="1">-Y103</f>
        <v>107.70336000383915</v>
      </c>
      <c r="AU103" s="709">
        <f ca="1">-Z103</f>
        <v>82.232541885272198</v>
      </c>
      <c r="AV103" s="709"/>
      <c r="AW103" s="709"/>
      <c r="AX103" s="709"/>
      <c r="AY103" s="709"/>
      <c r="AZ103" s="709"/>
      <c r="BA103" s="709"/>
      <c r="BB103" s="709"/>
      <c r="BC103" s="709"/>
      <c r="BD103" s="709"/>
      <c r="BE103" s="709"/>
      <c r="BF103" s="709">
        <f ca="1">SUM(AM103:BE103)</f>
        <v>115.74276097003538</v>
      </c>
      <c r="BG103" s="532"/>
      <c r="BH103" s="792"/>
      <c r="BI103" s="792"/>
      <c r="BJ103" s="792">
        <f>SUM(BH103:BI103)</f>
        <v>0</v>
      </c>
      <c r="BK103" s="532"/>
      <c r="BL103" s="505">
        <f t="shared" ca="1" si="253"/>
        <v>0</v>
      </c>
      <c r="BM103" s="576"/>
      <c r="BO103" s="1086">
        <f t="shared" ca="1" si="254"/>
        <v>0</v>
      </c>
      <c r="BP103" s="1087">
        <f t="shared" ca="1" si="254"/>
        <v>0</v>
      </c>
      <c r="BQ103" s="1087">
        <f t="shared" ca="1" si="254"/>
        <v>0</v>
      </c>
      <c r="BR103" s="1087">
        <f t="shared" ca="1" si="254"/>
        <v>0</v>
      </c>
      <c r="BS103" s="1087">
        <f t="shared" ca="1" si="254"/>
        <v>0</v>
      </c>
      <c r="BT103" s="1087">
        <f t="shared" ca="1" si="254"/>
        <v>0</v>
      </c>
      <c r="BU103" s="1087">
        <f t="shared" ca="1" si="254"/>
        <v>0</v>
      </c>
      <c r="BV103" s="1087">
        <f t="shared" ca="1" si="254"/>
        <v>0</v>
      </c>
      <c r="BW103" s="1087">
        <f t="shared" ca="1" si="254"/>
        <v>0</v>
      </c>
      <c r="BX103" s="1087">
        <f t="shared" ca="1" si="254"/>
        <v>0</v>
      </c>
      <c r="BY103" s="1087">
        <f t="shared" ca="1" si="255"/>
        <v>0</v>
      </c>
      <c r="BZ103" s="1087">
        <f t="shared" ca="1" si="255"/>
        <v>0</v>
      </c>
      <c r="CA103" s="1087">
        <f t="shared" ca="1" si="255"/>
        <v>0</v>
      </c>
      <c r="CB103" s="1087">
        <f t="shared" ca="1" si="255"/>
        <v>0</v>
      </c>
      <c r="CC103" s="1087">
        <f t="shared" ca="1" si="255"/>
        <v>0</v>
      </c>
      <c r="CD103" s="1087">
        <f t="shared" ca="1" si="255"/>
        <v>0</v>
      </c>
      <c r="CE103" s="1087">
        <f t="shared" ca="1" si="255"/>
        <v>0</v>
      </c>
      <c r="CF103" s="1087">
        <f t="shared" ca="1" si="255"/>
        <v>0</v>
      </c>
      <c r="CG103" s="1087">
        <f t="shared" ca="1" si="255"/>
        <v>0</v>
      </c>
      <c r="CH103" s="1087">
        <f t="shared" ca="1" si="255"/>
        <v>0</v>
      </c>
      <c r="CI103" s="1087">
        <f t="shared" ca="1" si="256"/>
        <v>0</v>
      </c>
      <c r="CJ103" s="1087">
        <f t="shared" ca="1" si="256"/>
        <v>0</v>
      </c>
      <c r="CK103" s="1087">
        <f t="shared" ca="1" si="256"/>
        <v>0</v>
      </c>
      <c r="CL103" s="1087">
        <f t="shared" ca="1" si="256"/>
        <v>0</v>
      </c>
      <c r="CM103" s="1087">
        <f t="shared" ca="1" si="256"/>
        <v>0</v>
      </c>
      <c r="CN103" s="1087">
        <f t="shared" ca="1" si="256"/>
        <v>0</v>
      </c>
      <c r="CO103" s="1087">
        <f t="shared" ca="1" si="256"/>
        <v>0</v>
      </c>
      <c r="CP103" s="1087">
        <f t="shared" ca="1" si="256"/>
        <v>0</v>
      </c>
      <c r="CQ103" s="1087">
        <f t="shared" ca="1" si="256"/>
        <v>0</v>
      </c>
      <c r="CR103" s="1087">
        <f t="shared" ca="1" si="256"/>
        <v>0</v>
      </c>
      <c r="CS103" s="1087">
        <f t="shared" ca="1" si="257"/>
        <v>0</v>
      </c>
      <c r="CT103" s="1087">
        <f t="shared" ca="1" si="257"/>
        <v>0</v>
      </c>
      <c r="CU103" s="1087">
        <f t="shared" ca="1" si="257"/>
        <v>0</v>
      </c>
      <c r="CV103" s="1087">
        <f t="shared" ca="1" si="257"/>
        <v>0</v>
      </c>
      <c r="CW103" s="1087">
        <f t="shared" ca="1" si="257"/>
        <v>0</v>
      </c>
      <c r="CX103" s="1087">
        <f t="shared" ca="1" si="257"/>
        <v>0</v>
      </c>
      <c r="CY103" s="1087">
        <f t="shared" ca="1" si="257"/>
        <v>0</v>
      </c>
      <c r="CZ103" s="1087">
        <f t="shared" ca="1" si="257"/>
        <v>0</v>
      </c>
      <c r="DA103" s="1087">
        <f t="shared" ca="1" si="257"/>
        <v>0</v>
      </c>
      <c r="DB103" s="1087">
        <f t="shared" ca="1" si="257"/>
        <v>0</v>
      </c>
      <c r="DC103" s="1087">
        <f t="shared" ca="1" si="257"/>
        <v>0</v>
      </c>
      <c r="DD103" s="1087">
        <f t="shared" ca="1" si="257"/>
        <v>0</v>
      </c>
      <c r="DE103" s="1087">
        <f t="shared" ca="1" si="257"/>
        <v>0</v>
      </c>
      <c r="DF103" s="1087">
        <f t="shared" ca="1" si="257"/>
        <v>0</v>
      </c>
      <c r="DH103" s="590">
        <f t="shared" ca="1" si="235"/>
        <v>0</v>
      </c>
    </row>
    <row r="104" spans="1:112" s="532" customFormat="1" ht="15">
      <c r="B104" s="537" t="s">
        <v>647</v>
      </c>
      <c r="C104" s="506" t="s">
        <v>770</v>
      </c>
      <c r="D104" s="507" t="str">
        <f>INDEX(Workstreams[Workstream], MATCH($C104, Workstreams[Code], 0))</f>
        <v>Transfers</v>
      </c>
      <c r="E104" s="501"/>
      <c r="G104" s="718">
        <f ca="1">SUM(G102:G103)</f>
        <v>0</v>
      </c>
      <c r="H104" s="718">
        <f t="shared" ref="H104:P104" ca="1" si="258">SUM(H102:H103)</f>
        <v>0</v>
      </c>
      <c r="I104" s="718">
        <f t="shared" ca="1" si="258"/>
        <v>0</v>
      </c>
      <c r="J104" s="718">
        <f t="shared" ca="1" si="258"/>
        <v>0</v>
      </c>
      <c r="K104" s="718">
        <f t="shared" ca="1" si="258"/>
        <v>0</v>
      </c>
      <c r="L104" s="718">
        <f t="shared" ca="1" si="258"/>
        <v>0</v>
      </c>
      <c r="M104" s="718">
        <f t="shared" ca="1" si="258"/>
        <v>0</v>
      </c>
      <c r="N104" s="718">
        <f t="shared" ca="1" si="258"/>
        <v>0</v>
      </c>
      <c r="O104" s="718">
        <f t="shared" ca="1" si="258"/>
        <v>0</v>
      </c>
      <c r="P104" s="718">
        <f t="shared" ca="1" si="258"/>
        <v>0</v>
      </c>
      <c r="Q104" s="718">
        <f ca="1">SUM(G104:P104)</f>
        <v>0</v>
      </c>
      <c r="S104" s="668">
        <f t="shared" ref="S104:AJ104" ca="1" si="259">SUM(S102:S103)</f>
        <v>0</v>
      </c>
      <c r="T104" s="668">
        <f t="shared" ca="1" si="259"/>
        <v>-261.96211411772401</v>
      </c>
      <c r="U104" s="668">
        <f t="shared" ca="1" si="259"/>
        <v>400.12025503680002</v>
      </c>
      <c r="V104" s="668">
        <f t="shared" ca="1" si="259"/>
        <v>0</v>
      </c>
      <c r="W104" s="668">
        <f t="shared" ca="1" si="259"/>
        <v>151.89074227938463</v>
      </c>
      <c r="X104" s="668">
        <f t="shared" ca="1" si="259"/>
        <v>-63.965000000000032</v>
      </c>
      <c r="Y104" s="668">
        <f t="shared" ca="1" si="259"/>
        <v>-107.70336000383915</v>
      </c>
      <c r="Z104" s="668">
        <f t="shared" ca="1" si="259"/>
        <v>-82.232541885272198</v>
      </c>
      <c r="AA104" s="668">
        <f t="shared" ca="1" si="259"/>
        <v>0</v>
      </c>
      <c r="AB104" s="668">
        <f t="shared" ca="1" si="259"/>
        <v>0</v>
      </c>
      <c r="AC104" s="668">
        <f t="shared" ca="1" si="259"/>
        <v>0</v>
      </c>
      <c r="AD104" s="668">
        <f ca="1">SUM(AD102:AD103)</f>
        <v>0</v>
      </c>
      <c r="AE104" s="668">
        <f ca="1">SUM(AE102:AE103)</f>
        <v>0</v>
      </c>
      <c r="AF104" s="668">
        <f t="shared" ca="1" si="259"/>
        <v>0</v>
      </c>
      <c r="AG104" s="668">
        <f ca="1">SUM(AG102:AG103)</f>
        <v>0</v>
      </c>
      <c r="AH104" s="668">
        <f ca="1">SUM(AH102:AH103)</f>
        <v>0</v>
      </c>
      <c r="AI104" s="668">
        <f ca="1">SUM(AI102:AI103)</f>
        <v>0</v>
      </c>
      <c r="AJ104" s="668">
        <f t="shared" ca="1" si="259"/>
        <v>0</v>
      </c>
      <c r="AK104" s="668">
        <f ca="1">SUM(S104:AJ104)</f>
        <v>36.147981309349277</v>
      </c>
      <c r="AM104" s="674">
        <f t="shared" ref="AM104:BE104" ca="1" si="260">SUM(AM102:AM103)</f>
        <v>0</v>
      </c>
      <c r="AN104" s="674">
        <f t="shared" ca="1" si="260"/>
        <v>0</v>
      </c>
      <c r="AO104" s="674">
        <f t="shared" ca="1" si="260"/>
        <v>0</v>
      </c>
      <c r="AP104" s="674">
        <f t="shared" ca="1" si="260"/>
        <v>0</v>
      </c>
      <c r="AQ104" s="674">
        <f t="shared" ca="1" si="260"/>
        <v>261.96211411772401</v>
      </c>
      <c r="AR104" s="674">
        <f t="shared" ca="1" si="260"/>
        <v>0</v>
      </c>
      <c r="AS104" s="674">
        <f t="shared" ca="1" si="260"/>
        <v>-336.15525503679999</v>
      </c>
      <c r="AT104" s="674">
        <f t="shared" ca="1" si="260"/>
        <v>107.70336000383915</v>
      </c>
      <c r="AU104" s="674">
        <f t="shared" ca="1" si="260"/>
        <v>82.232541885272198</v>
      </c>
      <c r="AV104" s="674">
        <f t="shared" ca="1" si="260"/>
        <v>0</v>
      </c>
      <c r="AW104" s="674">
        <f t="shared" ca="1" si="260"/>
        <v>0</v>
      </c>
      <c r="AX104" s="674">
        <f t="shared" ca="1" si="260"/>
        <v>0</v>
      </c>
      <c r="AY104" s="674">
        <f t="shared" ca="1" si="260"/>
        <v>0</v>
      </c>
      <c r="AZ104" s="674">
        <f t="shared" ca="1" si="260"/>
        <v>0</v>
      </c>
      <c r="BA104" s="674">
        <f t="shared" ca="1" si="260"/>
        <v>0</v>
      </c>
      <c r="BB104" s="674">
        <f t="shared" ca="1" si="260"/>
        <v>0</v>
      </c>
      <c r="BC104" s="674">
        <f t="shared" ca="1" si="260"/>
        <v>0</v>
      </c>
      <c r="BD104" s="674">
        <f t="shared" ca="1" si="260"/>
        <v>0</v>
      </c>
      <c r="BE104" s="674">
        <f t="shared" ca="1" si="260"/>
        <v>0</v>
      </c>
      <c r="BF104" s="674">
        <f ca="1">SUM(AM104:BE104)</f>
        <v>115.74276097003538</v>
      </c>
      <c r="BH104" s="688">
        <f ca="1">SUM(BH102:BH103)</f>
        <v>0</v>
      </c>
      <c r="BI104" s="688">
        <f ca="1">SUM(BI102:BI103)</f>
        <v>0</v>
      </c>
      <c r="BJ104" s="688">
        <f ca="1">SUM(BH104:BI104)</f>
        <v>0</v>
      </c>
      <c r="BL104" s="505">
        <f t="shared" ca="1" si="253"/>
        <v>151.89074227938465</v>
      </c>
      <c r="BM104" s="505"/>
      <c r="BN104" s="592"/>
      <c r="BO104" s="1083">
        <f t="shared" ref="BO104:DF104" ca="1" si="261">SUM(BO102:BO103)</f>
        <v>0</v>
      </c>
      <c r="BP104" s="1083">
        <f t="shared" ca="1" si="261"/>
        <v>0</v>
      </c>
      <c r="BQ104" s="1083">
        <f t="shared" ca="1" si="261"/>
        <v>0</v>
      </c>
      <c r="BR104" s="1083">
        <f t="shared" ca="1" si="261"/>
        <v>0</v>
      </c>
      <c r="BS104" s="1083">
        <f t="shared" ca="1" si="261"/>
        <v>0</v>
      </c>
      <c r="BT104" s="1083">
        <f t="shared" ca="1" si="261"/>
        <v>0</v>
      </c>
      <c r="BU104" s="1083">
        <f t="shared" ca="1" si="261"/>
        <v>0</v>
      </c>
      <c r="BV104" s="1083">
        <f t="shared" ca="1" si="261"/>
        <v>0</v>
      </c>
      <c r="BW104" s="1083">
        <f t="shared" ca="1" si="261"/>
        <v>0</v>
      </c>
      <c r="BX104" s="1083">
        <f t="shared" ca="1" si="261"/>
        <v>0</v>
      </c>
      <c r="BY104" s="1083">
        <f t="shared" ca="1" si="261"/>
        <v>0</v>
      </c>
      <c r="BZ104" s="1083">
        <f t="shared" ca="1" si="261"/>
        <v>0</v>
      </c>
      <c r="CA104" s="1083">
        <f t="shared" ca="1" si="261"/>
        <v>0</v>
      </c>
      <c r="CB104" s="1083">
        <f t="shared" ca="1" si="261"/>
        <v>0</v>
      </c>
      <c r="CC104" s="1083">
        <f t="shared" ca="1" si="261"/>
        <v>0</v>
      </c>
      <c r="CD104" s="1083">
        <f t="shared" ca="1" si="261"/>
        <v>0</v>
      </c>
      <c r="CE104" s="1083">
        <f t="shared" ca="1" si="261"/>
        <v>0</v>
      </c>
      <c r="CF104" s="1083">
        <f t="shared" ca="1" si="261"/>
        <v>0</v>
      </c>
      <c r="CG104" s="1083">
        <f t="shared" ca="1" si="261"/>
        <v>0</v>
      </c>
      <c r="CH104" s="1083">
        <f t="shared" ca="1" si="261"/>
        <v>0</v>
      </c>
      <c r="CI104" s="1083">
        <f t="shared" ca="1" si="261"/>
        <v>0</v>
      </c>
      <c r="CJ104" s="1083">
        <f t="shared" ca="1" si="261"/>
        <v>0</v>
      </c>
      <c r="CK104" s="1083">
        <f t="shared" ca="1" si="261"/>
        <v>0</v>
      </c>
      <c r="CL104" s="1083">
        <f t="shared" ca="1" si="261"/>
        <v>0</v>
      </c>
      <c r="CM104" s="1083">
        <f t="shared" ca="1" si="261"/>
        <v>0</v>
      </c>
      <c r="CN104" s="1083">
        <f t="shared" ca="1" si="261"/>
        <v>0</v>
      </c>
      <c r="CO104" s="1083">
        <f t="shared" ca="1" si="261"/>
        <v>0</v>
      </c>
      <c r="CP104" s="1083">
        <f t="shared" ca="1" si="261"/>
        <v>0</v>
      </c>
      <c r="CQ104" s="1083">
        <f t="shared" ca="1" si="261"/>
        <v>0</v>
      </c>
      <c r="CR104" s="1083">
        <f t="shared" ca="1" si="261"/>
        <v>0</v>
      </c>
      <c r="CS104" s="1083">
        <f t="shared" ca="1" si="261"/>
        <v>0</v>
      </c>
      <c r="CT104" s="1083">
        <f t="shared" ca="1" si="261"/>
        <v>0</v>
      </c>
      <c r="CU104" s="1083">
        <f t="shared" ca="1" si="261"/>
        <v>0</v>
      </c>
      <c r="CV104" s="1083">
        <f t="shared" ca="1" si="261"/>
        <v>0</v>
      </c>
      <c r="CW104" s="1083">
        <f t="shared" ca="1" si="261"/>
        <v>0</v>
      </c>
      <c r="CX104" s="1083">
        <f t="shared" ca="1" si="261"/>
        <v>0</v>
      </c>
      <c r="CY104" s="1083">
        <f t="shared" ca="1" si="261"/>
        <v>0</v>
      </c>
      <c r="CZ104" s="1083">
        <f t="shared" ca="1" si="261"/>
        <v>0</v>
      </c>
      <c r="DA104" s="1083">
        <f t="shared" ca="1" si="261"/>
        <v>0</v>
      </c>
      <c r="DB104" s="1083">
        <f t="shared" ca="1" si="261"/>
        <v>0</v>
      </c>
      <c r="DC104" s="1083">
        <f t="shared" ca="1" si="261"/>
        <v>0</v>
      </c>
      <c r="DD104" s="1083">
        <f t="shared" ca="1" si="261"/>
        <v>0</v>
      </c>
      <c r="DE104" s="1083">
        <f t="shared" ca="1" si="261"/>
        <v>0</v>
      </c>
      <c r="DF104" s="1083">
        <f t="shared" ca="1" si="261"/>
        <v>0</v>
      </c>
      <c r="DH104" s="590">
        <f t="shared" ca="1" si="235"/>
        <v>0</v>
      </c>
    </row>
    <row r="105" spans="1:112" s="532" customFormat="1" ht="6" customHeight="1">
      <c r="C105" s="500"/>
      <c r="D105" s="501"/>
      <c r="E105" s="501"/>
      <c r="G105" s="656"/>
      <c r="H105" s="656"/>
      <c r="I105" s="656"/>
      <c r="J105" s="656"/>
      <c r="K105" s="658"/>
      <c r="L105" s="656"/>
      <c r="M105" s="656"/>
      <c r="N105" s="656"/>
      <c r="O105" s="656"/>
      <c r="P105" s="656"/>
      <c r="Q105" s="656"/>
      <c r="S105" s="668"/>
      <c r="T105" s="668"/>
      <c r="U105" s="668"/>
      <c r="V105" s="668"/>
      <c r="W105" s="668"/>
      <c r="X105" s="668"/>
      <c r="Y105" s="668"/>
      <c r="Z105" s="668"/>
      <c r="AA105" s="668"/>
      <c r="AB105" s="668"/>
      <c r="AC105" s="668"/>
      <c r="AD105" s="668"/>
      <c r="AE105" s="668"/>
      <c r="AF105" s="668"/>
      <c r="AG105" s="668"/>
      <c r="AH105" s="668"/>
      <c r="AI105" s="668"/>
      <c r="AJ105" s="668"/>
      <c r="AK105" s="668"/>
      <c r="AM105" s="674"/>
      <c r="AN105" s="674"/>
      <c r="AO105" s="674"/>
      <c r="AP105" s="674"/>
      <c r="AQ105" s="674"/>
      <c r="AR105" s="674"/>
      <c r="AS105" s="674"/>
      <c r="AT105" s="674"/>
      <c r="AU105" s="674"/>
      <c r="AV105" s="674"/>
      <c r="AW105" s="674"/>
      <c r="AX105" s="674"/>
      <c r="AY105" s="674"/>
      <c r="AZ105" s="674"/>
      <c r="BA105" s="674"/>
      <c r="BB105" s="674"/>
      <c r="BC105" s="674"/>
      <c r="BD105" s="674"/>
      <c r="BE105" s="674"/>
      <c r="BF105" s="674"/>
      <c r="BH105" s="688"/>
      <c r="BI105" s="688"/>
      <c r="BJ105" s="688"/>
      <c r="BL105" s="505">
        <f t="shared" si="253"/>
        <v>0</v>
      </c>
      <c r="BM105" s="505"/>
      <c r="BO105" s="1083"/>
      <c r="BP105" s="1083"/>
      <c r="BQ105" s="1083"/>
      <c r="BR105" s="1083"/>
      <c r="BS105" s="1083"/>
      <c r="BT105" s="1083"/>
      <c r="BU105" s="1083"/>
      <c r="BV105" s="1083"/>
      <c r="BW105" s="1083"/>
      <c r="BX105" s="1083"/>
      <c r="BY105" s="1083"/>
      <c r="BZ105" s="1083"/>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c r="CU105" s="1083"/>
      <c r="CV105" s="1083"/>
      <c r="CW105" s="1083"/>
      <c r="CX105" s="1083"/>
      <c r="CY105" s="1083"/>
      <c r="CZ105" s="1083"/>
      <c r="DA105" s="1083"/>
      <c r="DB105" s="1083"/>
      <c r="DC105" s="1083"/>
      <c r="DD105" s="1083"/>
      <c r="DE105" s="1083"/>
      <c r="DF105" s="1083"/>
      <c r="DH105" s="590"/>
    </row>
    <row r="106" spans="1:112" s="532" customFormat="1" ht="15">
      <c r="B106" s="537"/>
      <c r="C106" s="1349" t="s">
        <v>1146</v>
      </c>
      <c r="D106" s="518" t="s">
        <v>774</v>
      </c>
      <c r="E106" s="519"/>
      <c r="G106" s="764">
        <f t="shared" ref="G106:P106" ca="1" si="262">G$93+G$99+G$104</f>
        <v>0</v>
      </c>
      <c r="H106" s="764">
        <f t="shared" ca="1" si="262"/>
        <v>0</v>
      </c>
      <c r="I106" s="764">
        <f t="shared" ca="1" si="262"/>
        <v>0</v>
      </c>
      <c r="J106" s="764">
        <f t="shared" ca="1" si="262"/>
        <v>0</v>
      </c>
      <c r="K106" s="765">
        <f t="shared" ca="1" si="262"/>
        <v>0</v>
      </c>
      <c r="L106" s="764">
        <f t="shared" ca="1" si="262"/>
        <v>0</v>
      </c>
      <c r="M106" s="764">
        <f t="shared" ca="1" si="262"/>
        <v>0</v>
      </c>
      <c r="N106" s="764">
        <f t="shared" ca="1" si="262"/>
        <v>0</v>
      </c>
      <c r="O106" s="764">
        <f t="shared" ca="1" si="262"/>
        <v>0</v>
      </c>
      <c r="P106" s="764">
        <f t="shared" ca="1" si="262"/>
        <v>0</v>
      </c>
      <c r="Q106" s="720">
        <f ca="1">SUM(G106:P106)</f>
        <v>0</v>
      </c>
      <c r="S106" s="711">
        <f t="shared" ref="S106:AJ106" ca="1" si="263">S$93+S$99+S$104</f>
        <v>0</v>
      </c>
      <c r="T106" s="711">
        <f t="shared" ca="1" si="263"/>
        <v>-261.96211411772401</v>
      </c>
      <c r="U106" s="711">
        <f t="shared" ca="1" si="263"/>
        <v>400.12025503680002</v>
      </c>
      <c r="V106" s="711">
        <f t="shared" ca="1" si="263"/>
        <v>0</v>
      </c>
      <c r="W106" s="711">
        <f t="shared" ca="1" si="263"/>
        <v>151.89074227938463</v>
      </c>
      <c r="X106" s="711">
        <f t="shared" ca="1" si="263"/>
        <v>-63.965000000000032</v>
      </c>
      <c r="Y106" s="711">
        <f t="shared" ca="1" si="263"/>
        <v>-107.70336000383915</v>
      </c>
      <c r="Z106" s="711">
        <f t="shared" ca="1" si="263"/>
        <v>-82.232541885272198</v>
      </c>
      <c r="AA106" s="711">
        <f t="shared" ca="1" si="263"/>
        <v>0</v>
      </c>
      <c r="AB106" s="711">
        <f t="shared" ca="1" si="263"/>
        <v>0</v>
      </c>
      <c r="AC106" s="711">
        <f t="shared" ca="1" si="263"/>
        <v>0</v>
      </c>
      <c r="AD106" s="711">
        <f t="shared" ca="1" si="263"/>
        <v>0</v>
      </c>
      <c r="AE106" s="711">
        <f t="shared" ca="1" si="263"/>
        <v>0</v>
      </c>
      <c r="AF106" s="711">
        <f t="shared" ca="1" si="263"/>
        <v>0</v>
      </c>
      <c r="AG106" s="711">
        <f t="shared" ca="1" si="263"/>
        <v>0</v>
      </c>
      <c r="AH106" s="711">
        <f t="shared" ca="1" si="263"/>
        <v>0</v>
      </c>
      <c r="AI106" s="711">
        <f t="shared" ca="1" si="263"/>
        <v>0</v>
      </c>
      <c r="AJ106" s="711">
        <f t="shared" ca="1" si="263"/>
        <v>0</v>
      </c>
      <c r="AK106" s="711">
        <f ca="1">SUM(S106:AJ106)</f>
        <v>36.147981309349277</v>
      </c>
      <c r="AM106" s="712">
        <f t="shared" ref="AM106:BE106" ca="1" si="264">AM$93+AM$99+AM$104</f>
        <v>0</v>
      </c>
      <c r="AN106" s="712">
        <f t="shared" ca="1" si="264"/>
        <v>0</v>
      </c>
      <c r="AO106" s="712">
        <f t="shared" ca="1" si="264"/>
        <v>0</v>
      </c>
      <c r="AP106" s="712">
        <f t="shared" ca="1" si="264"/>
        <v>0</v>
      </c>
      <c r="AQ106" s="712">
        <f t="shared" ca="1" si="264"/>
        <v>261.96211411772401</v>
      </c>
      <c r="AR106" s="712">
        <f t="shared" ca="1" si="264"/>
        <v>0</v>
      </c>
      <c r="AS106" s="712">
        <f t="shared" ca="1" si="264"/>
        <v>-336.15525503679999</v>
      </c>
      <c r="AT106" s="712">
        <f t="shared" ca="1" si="264"/>
        <v>107.70336000383915</v>
      </c>
      <c r="AU106" s="712">
        <f t="shared" ca="1" si="264"/>
        <v>82.232541885272198</v>
      </c>
      <c r="AV106" s="712">
        <f t="shared" ca="1" si="264"/>
        <v>0</v>
      </c>
      <c r="AW106" s="712">
        <f t="shared" ca="1" si="264"/>
        <v>0</v>
      </c>
      <c r="AX106" s="712">
        <f t="shared" ca="1" si="264"/>
        <v>0</v>
      </c>
      <c r="AY106" s="712">
        <f t="shared" ca="1" si="264"/>
        <v>0</v>
      </c>
      <c r="AZ106" s="712">
        <f t="shared" ca="1" si="264"/>
        <v>0</v>
      </c>
      <c r="BA106" s="712">
        <f t="shared" ca="1" si="264"/>
        <v>0</v>
      </c>
      <c r="BB106" s="712">
        <f t="shared" ca="1" si="264"/>
        <v>0</v>
      </c>
      <c r="BC106" s="712">
        <f t="shared" ca="1" si="264"/>
        <v>0</v>
      </c>
      <c r="BD106" s="712">
        <f t="shared" ca="1" si="264"/>
        <v>0</v>
      </c>
      <c r="BE106" s="712">
        <f t="shared" ca="1" si="264"/>
        <v>0</v>
      </c>
      <c r="BF106" s="712">
        <f ca="1">SUM(AM106:BE106)</f>
        <v>115.74276097003538</v>
      </c>
      <c r="BH106" s="713">
        <f ca="1">BH$93+BH$99+BH$104</f>
        <v>0</v>
      </c>
      <c r="BI106" s="713">
        <f ca="1">BI$93+BI$99+BI$104</f>
        <v>0</v>
      </c>
      <c r="BJ106" s="713">
        <f ca="1">SUM(BH106:BI106)</f>
        <v>0</v>
      </c>
      <c r="BL106" s="508">
        <f t="shared" ca="1" si="253"/>
        <v>151.89074227938465</v>
      </c>
      <c r="BM106" s="508"/>
      <c r="BO106" s="1088">
        <f t="shared" ref="BO106:DE106" ca="1" si="265">BO$93+BO$99+BO$104</f>
        <v>0</v>
      </c>
      <c r="BP106" s="1088">
        <f t="shared" ca="1" si="265"/>
        <v>0</v>
      </c>
      <c r="BQ106" s="1088">
        <f t="shared" ca="1" si="265"/>
        <v>0</v>
      </c>
      <c r="BR106" s="1088">
        <f t="shared" ca="1" si="265"/>
        <v>0</v>
      </c>
      <c r="BS106" s="1088">
        <f t="shared" ca="1" si="265"/>
        <v>0</v>
      </c>
      <c r="BT106" s="1088">
        <f t="shared" ca="1" si="265"/>
        <v>0</v>
      </c>
      <c r="BU106" s="1088">
        <f t="shared" ca="1" si="265"/>
        <v>0</v>
      </c>
      <c r="BV106" s="1088">
        <f t="shared" ca="1" si="265"/>
        <v>0</v>
      </c>
      <c r="BW106" s="1088">
        <f t="shared" ca="1" si="265"/>
        <v>0</v>
      </c>
      <c r="BX106" s="1088">
        <f t="shared" ca="1" si="265"/>
        <v>0</v>
      </c>
      <c r="BY106" s="1088">
        <f t="shared" ca="1" si="265"/>
        <v>0</v>
      </c>
      <c r="BZ106" s="1088">
        <f t="shared" ca="1" si="265"/>
        <v>0</v>
      </c>
      <c r="CA106" s="1088">
        <f t="shared" ca="1" si="265"/>
        <v>0</v>
      </c>
      <c r="CB106" s="1088">
        <f t="shared" ca="1" si="265"/>
        <v>0</v>
      </c>
      <c r="CC106" s="1088">
        <f t="shared" ca="1" si="265"/>
        <v>0</v>
      </c>
      <c r="CD106" s="1088">
        <f t="shared" ca="1" si="265"/>
        <v>0</v>
      </c>
      <c r="CE106" s="1088">
        <f t="shared" ca="1" si="265"/>
        <v>0</v>
      </c>
      <c r="CF106" s="1088">
        <f t="shared" ca="1" si="265"/>
        <v>0</v>
      </c>
      <c r="CG106" s="1088">
        <f t="shared" ca="1" si="265"/>
        <v>0</v>
      </c>
      <c r="CH106" s="1088">
        <f t="shared" ca="1" si="265"/>
        <v>0</v>
      </c>
      <c r="CI106" s="1088">
        <f t="shared" ca="1" si="265"/>
        <v>0</v>
      </c>
      <c r="CJ106" s="1088">
        <f t="shared" ca="1" si="265"/>
        <v>0</v>
      </c>
      <c r="CK106" s="1088">
        <f t="shared" ca="1" si="265"/>
        <v>0</v>
      </c>
      <c r="CL106" s="1088">
        <f t="shared" ca="1" si="265"/>
        <v>0</v>
      </c>
      <c r="CM106" s="1088">
        <f t="shared" ca="1" si="265"/>
        <v>0</v>
      </c>
      <c r="CN106" s="1088">
        <f t="shared" ca="1" si="265"/>
        <v>0</v>
      </c>
      <c r="CO106" s="1088">
        <f t="shared" ca="1" si="265"/>
        <v>0</v>
      </c>
      <c r="CP106" s="1088">
        <f t="shared" ca="1" si="265"/>
        <v>0</v>
      </c>
      <c r="CQ106" s="1088">
        <f t="shared" ca="1" si="265"/>
        <v>0</v>
      </c>
      <c r="CR106" s="1088">
        <f t="shared" ca="1" si="265"/>
        <v>0</v>
      </c>
      <c r="CS106" s="1088">
        <f t="shared" ca="1" si="265"/>
        <v>0</v>
      </c>
      <c r="CT106" s="1088">
        <f t="shared" ca="1" si="265"/>
        <v>0</v>
      </c>
      <c r="CU106" s="1088">
        <f t="shared" ca="1" si="265"/>
        <v>0</v>
      </c>
      <c r="CV106" s="1088">
        <f t="shared" ca="1" si="265"/>
        <v>0</v>
      </c>
      <c r="CW106" s="1088">
        <f t="shared" ca="1" si="265"/>
        <v>0</v>
      </c>
      <c r="CX106" s="1088">
        <f t="shared" ca="1" si="265"/>
        <v>0</v>
      </c>
      <c r="CY106" s="1088">
        <f t="shared" ca="1" si="265"/>
        <v>0</v>
      </c>
      <c r="CZ106" s="1088">
        <f t="shared" ca="1" si="265"/>
        <v>0</v>
      </c>
      <c r="DA106" s="1088">
        <f t="shared" ca="1" si="265"/>
        <v>0</v>
      </c>
      <c r="DB106" s="1088">
        <f t="shared" ca="1" si="265"/>
        <v>0</v>
      </c>
      <c r="DC106" s="1088">
        <f t="shared" ca="1" si="265"/>
        <v>0</v>
      </c>
      <c r="DD106" s="1088">
        <f t="shared" ca="1" si="265"/>
        <v>0</v>
      </c>
      <c r="DE106" s="1088">
        <f t="shared" ca="1" si="265"/>
        <v>0</v>
      </c>
      <c r="DF106" s="1088">
        <f ca="1">DF$93+DF$104</f>
        <v>0</v>
      </c>
      <c r="DH106" s="587">
        <f ca="1">SUM(BO106:DF106)</f>
        <v>0</v>
      </c>
    </row>
    <row r="107" spans="1:112" s="532" customFormat="1">
      <c r="C107" s="500"/>
      <c r="D107" s="501"/>
      <c r="E107" s="501"/>
      <c r="G107" s="656"/>
      <c r="H107" s="656"/>
      <c r="I107" s="656"/>
      <c r="J107" s="656"/>
      <c r="K107" s="658"/>
      <c r="L107" s="656"/>
      <c r="M107" s="656"/>
      <c r="N107" s="656"/>
      <c r="O107" s="656"/>
      <c r="P107" s="656"/>
      <c r="Q107" s="656"/>
      <c r="S107" s="668"/>
      <c r="T107" s="668"/>
      <c r="U107" s="668"/>
      <c r="V107" s="668"/>
      <c r="W107" s="668"/>
      <c r="X107" s="668"/>
      <c r="Y107" s="668"/>
      <c r="Z107" s="668"/>
      <c r="AA107" s="668"/>
      <c r="AB107" s="668"/>
      <c r="AC107" s="668"/>
      <c r="AD107" s="668"/>
      <c r="AE107" s="668"/>
      <c r="AF107" s="668"/>
      <c r="AG107" s="668"/>
      <c r="AH107" s="668"/>
      <c r="AI107" s="668"/>
      <c r="AJ107" s="668"/>
      <c r="AK107" s="668"/>
      <c r="AM107" s="674"/>
      <c r="AN107" s="674"/>
      <c r="AO107" s="674"/>
      <c r="AP107" s="674"/>
      <c r="AQ107" s="674"/>
      <c r="AR107" s="674"/>
      <c r="AS107" s="674"/>
      <c r="AT107" s="674"/>
      <c r="AU107" s="674"/>
      <c r="AV107" s="674"/>
      <c r="AW107" s="674"/>
      <c r="AX107" s="674"/>
      <c r="AY107" s="674"/>
      <c r="AZ107" s="674"/>
      <c r="BA107" s="674"/>
      <c r="BB107" s="674"/>
      <c r="BC107" s="674"/>
      <c r="BD107" s="674"/>
      <c r="BE107" s="674"/>
      <c r="BF107" s="674"/>
      <c r="BH107" s="688"/>
      <c r="BI107" s="688"/>
      <c r="BJ107" s="688"/>
      <c r="BL107" s="505">
        <f t="shared" si="253"/>
        <v>0</v>
      </c>
      <c r="BM107" s="505"/>
      <c r="BO107" s="1083"/>
      <c r="BP107" s="1083"/>
      <c r="BQ107" s="1083"/>
      <c r="BR107" s="1083"/>
      <c r="BS107" s="1083"/>
      <c r="BT107" s="1083"/>
      <c r="BU107" s="1083"/>
      <c r="BV107" s="1083"/>
      <c r="BW107" s="1083"/>
      <c r="BX107" s="1083"/>
      <c r="BY107" s="1083"/>
      <c r="BZ107" s="1083"/>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c r="CU107" s="1083"/>
      <c r="CV107" s="1083"/>
      <c r="CW107" s="1083"/>
      <c r="CX107" s="1083"/>
      <c r="CY107" s="1083"/>
      <c r="CZ107" s="1083"/>
      <c r="DA107" s="1083"/>
      <c r="DB107" s="1083"/>
      <c r="DC107" s="1083"/>
      <c r="DD107" s="1083"/>
      <c r="DE107" s="1083"/>
      <c r="DF107" s="1083"/>
      <c r="DH107" s="590"/>
    </row>
    <row r="108" spans="1:112" s="532" customFormat="1" ht="14" thickBot="1">
      <c r="C108" s="500"/>
      <c r="D108" s="501"/>
      <c r="E108" s="501"/>
      <c r="G108" s="656"/>
      <c r="H108" s="656"/>
      <c r="I108" s="656"/>
      <c r="J108" s="656"/>
      <c r="K108" s="658"/>
      <c r="L108" s="656"/>
      <c r="M108" s="656"/>
      <c r="N108" s="656"/>
      <c r="O108" s="656"/>
      <c r="P108" s="656"/>
      <c r="Q108" s="656"/>
      <c r="S108" s="668"/>
      <c r="T108" s="668"/>
      <c r="U108" s="668"/>
      <c r="V108" s="668"/>
      <c r="W108" s="668"/>
      <c r="X108" s="668"/>
      <c r="Y108" s="668"/>
      <c r="Z108" s="668"/>
      <c r="AA108" s="668"/>
      <c r="AB108" s="668"/>
      <c r="AC108" s="668"/>
      <c r="AD108" s="668"/>
      <c r="AE108" s="668"/>
      <c r="AF108" s="668"/>
      <c r="AG108" s="668"/>
      <c r="AH108" s="668"/>
      <c r="AI108" s="668"/>
      <c r="AJ108" s="668"/>
      <c r="AK108" s="668"/>
      <c r="AM108" s="674"/>
      <c r="AN108" s="674"/>
      <c r="AO108" s="674"/>
      <c r="AP108" s="674"/>
      <c r="AQ108" s="674"/>
      <c r="AR108" s="674"/>
      <c r="AS108" s="674"/>
      <c r="AT108" s="674"/>
      <c r="AU108" s="674"/>
      <c r="AV108" s="674"/>
      <c r="AW108" s="674"/>
      <c r="AX108" s="674"/>
      <c r="AY108" s="674"/>
      <c r="AZ108" s="674"/>
      <c r="BA108" s="674"/>
      <c r="BB108" s="674"/>
      <c r="BC108" s="674"/>
      <c r="BD108" s="674"/>
      <c r="BE108" s="674"/>
      <c r="BF108" s="674"/>
      <c r="BH108" s="688"/>
      <c r="BI108" s="688"/>
      <c r="BJ108" s="688"/>
      <c r="BL108" s="505">
        <f t="shared" si="253"/>
        <v>0</v>
      </c>
      <c r="BM108" s="505"/>
      <c r="BO108" s="1083"/>
      <c r="BP108" s="1083"/>
      <c r="BQ108" s="1083"/>
      <c r="BR108" s="1083"/>
      <c r="BS108" s="1083"/>
      <c r="BT108" s="1083"/>
      <c r="BU108" s="1083"/>
      <c r="BV108" s="1083"/>
      <c r="BW108" s="1083"/>
      <c r="BX108" s="1083"/>
      <c r="BY108" s="1083"/>
      <c r="BZ108" s="1083"/>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c r="CU108" s="1083"/>
      <c r="CV108" s="1083"/>
      <c r="CW108" s="1083"/>
      <c r="CX108" s="1083"/>
      <c r="CY108" s="1083"/>
      <c r="CZ108" s="1083"/>
      <c r="DA108" s="1083"/>
      <c r="DB108" s="1083"/>
      <c r="DC108" s="1083"/>
      <c r="DD108" s="1083"/>
      <c r="DE108" s="1083"/>
      <c r="DF108" s="1083"/>
      <c r="DH108" s="590"/>
    </row>
    <row r="109" spans="1:112" s="532" customFormat="1" ht="24" customHeight="1" thickBot="1">
      <c r="C109" s="516" t="s">
        <v>524</v>
      </c>
      <c r="D109" s="516"/>
      <c r="E109" s="516"/>
      <c r="G109" s="784">
        <f t="shared" ref="G109:P109" ca="1" si="266">G$40+G$84+G$106</f>
        <v>0</v>
      </c>
      <c r="H109" s="784">
        <f t="shared" ca="1" si="266"/>
        <v>0</v>
      </c>
      <c r="I109" s="784">
        <f t="shared" ca="1" si="266"/>
        <v>0</v>
      </c>
      <c r="J109" s="784">
        <f t="shared" ca="1" si="266"/>
        <v>0</v>
      </c>
      <c r="K109" s="784">
        <f t="shared" ca="1" si="266"/>
        <v>0</v>
      </c>
      <c r="L109" s="784">
        <f t="shared" ca="1" si="266"/>
        <v>0</v>
      </c>
      <c r="M109" s="784">
        <f t="shared" ca="1" si="266"/>
        <v>0</v>
      </c>
      <c r="N109" s="784">
        <f t="shared" ca="1" si="266"/>
        <v>0</v>
      </c>
      <c r="O109" s="784">
        <f t="shared" ca="1" si="266"/>
        <v>0</v>
      </c>
      <c r="P109" s="784">
        <f t="shared" ca="1" si="266"/>
        <v>0</v>
      </c>
      <c r="Q109" s="784">
        <f ca="1">SUM(G109:P109)</f>
        <v>0</v>
      </c>
      <c r="S109" s="785">
        <f t="shared" ref="S109:AJ109" ca="1" si="267">S$40+S$84+S$106</f>
        <v>0</v>
      </c>
      <c r="T109" s="785">
        <f t="shared" ca="1" si="267"/>
        <v>0</v>
      </c>
      <c r="U109" s="785">
        <f t="shared" ca="1" si="267"/>
        <v>0</v>
      </c>
      <c r="V109" s="785">
        <f t="shared" ca="1" si="267"/>
        <v>0</v>
      </c>
      <c r="W109" s="785">
        <f t="shared" ca="1" si="267"/>
        <v>0</v>
      </c>
      <c r="X109" s="785">
        <f t="shared" ca="1" si="267"/>
        <v>0</v>
      </c>
      <c r="Y109" s="785">
        <f t="shared" ca="1" si="267"/>
        <v>0</v>
      </c>
      <c r="Z109" s="785">
        <f t="shared" ca="1" si="267"/>
        <v>0</v>
      </c>
      <c r="AA109" s="785">
        <f t="shared" ca="1" si="267"/>
        <v>0</v>
      </c>
      <c r="AB109" s="785">
        <f t="shared" ca="1" si="267"/>
        <v>0</v>
      </c>
      <c r="AC109" s="785">
        <f t="shared" ca="1" si="267"/>
        <v>0</v>
      </c>
      <c r="AD109" s="785">
        <f t="shared" ca="1" si="267"/>
        <v>0</v>
      </c>
      <c r="AE109" s="785">
        <f t="shared" ca="1" si="267"/>
        <v>0</v>
      </c>
      <c r="AF109" s="785">
        <f t="shared" ca="1" si="267"/>
        <v>0</v>
      </c>
      <c r="AG109" s="785">
        <f t="shared" ca="1" si="267"/>
        <v>0</v>
      </c>
      <c r="AH109" s="785">
        <f t="shared" ca="1" si="267"/>
        <v>0</v>
      </c>
      <c r="AI109" s="785">
        <f t="shared" ca="1" si="267"/>
        <v>0</v>
      </c>
      <c r="AJ109" s="785">
        <f t="shared" ca="1" si="267"/>
        <v>0</v>
      </c>
      <c r="AK109" s="785">
        <f ca="1">SUM(S109:AJ109)</f>
        <v>0</v>
      </c>
      <c r="AM109" s="786">
        <f t="shared" ref="AM109:BE109" ca="1" si="268">AM$40+AM$84+AM$106</f>
        <v>-63.965000000000003</v>
      </c>
      <c r="AN109" s="786">
        <f t="shared" ca="1" si="268"/>
        <v>-107.70336000383915</v>
      </c>
      <c r="AO109" s="786">
        <f t="shared" ca="1" si="268"/>
        <v>-82.232541885272198</v>
      </c>
      <c r="AP109" s="786">
        <f t="shared" ca="1" si="268"/>
        <v>0</v>
      </c>
      <c r="AQ109" s="786">
        <f t="shared" ca="1" si="268"/>
        <v>261.96211411772401</v>
      </c>
      <c r="AR109" s="786">
        <f t="shared" ca="1" si="268"/>
        <v>0</v>
      </c>
      <c r="AS109" s="786">
        <f t="shared" ca="1" si="268"/>
        <v>-336.15525503679999</v>
      </c>
      <c r="AT109" s="786">
        <f t="shared" ca="1" si="268"/>
        <v>107.70336000383915</v>
      </c>
      <c r="AU109" s="786">
        <f t="shared" ca="1" si="268"/>
        <v>82.232541885272198</v>
      </c>
      <c r="AV109" s="786">
        <f t="shared" ca="1" si="268"/>
        <v>0</v>
      </c>
      <c r="AW109" s="786">
        <f t="shared" ca="1" si="268"/>
        <v>0</v>
      </c>
      <c r="AX109" s="786">
        <f t="shared" ca="1" si="268"/>
        <v>0</v>
      </c>
      <c r="AY109" s="786">
        <f t="shared" ca="1" si="268"/>
        <v>0</v>
      </c>
      <c r="AZ109" s="786">
        <f t="shared" ca="1" si="268"/>
        <v>0</v>
      </c>
      <c r="BA109" s="786">
        <f t="shared" ca="1" si="268"/>
        <v>0</v>
      </c>
      <c r="BB109" s="786">
        <f t="shared" ca="1" si="268"/>
        <v>0</v>
      </c>
      <c r="BC109" s="786">
        <f t="shared" ca="1" si="268"/>
        <v>0</v>
      </c>
      <c r="BD109" s="786">
        <f t="shared" ca="1" si="268"/>
        <v>0</v>
      </c>
      <c r="BE109" s="786">
        <f t="shared" ca="1" si="268"/>
        <v>0</v>
      </c>
      <c r="BF109" s="786">
        <f ca="1">SUM(AM109:BE109)</f>
        <v>-138.158140919076</v>
      </c>
      <c r="BH109" s="787">
        <f ca="1">BH$40+BH$84+BH$106</f>
        <v>253.22188731618462</v>
      </c>
      <c r="BI109" s="787">
        <f ca="1">BI$40+BI$84+BI$106</f>
        <v>36.826995882276002</v>
      </c>
      <c r="BJ109" s="787">
        <f ca="1">SUM(BH109:BI109)</f>
        <v>290.0488831984606</v>
      </c>
      <c r="BL109" s="504">
        <f t="shared" ca="1" si="253"/>
        <v>151.8907422793846</v>
      </c>
      <c r="BM109" s="504"/>
      <c r="BO109" s="1094">
        <f t="shared" ref="BO109:DF109" ca="1" si="269">BO$40+BO$84+BO$106</f>
        <v>151.18493513074114</v>
      </c>
      <c r="BP109" s="1094">
        <f t="shared" ca="1" si="269"/>
        <v>0.41804704360476075</v>
      </c>
      <c r="BQ109" s="1094">
        <f t="shared" ca="1" si="269"/>
        <v>1.1519504422738793</v>
      </c>
      <c r="BR109" s="1094">
        <f t="shared" ca="1" si="269"/>
        <v>0</v>
      </c>
      <c r="BS109" s="1094">
        <f t="shared" ca="1" si="269"/>
        <v>0.56193892646400301</v>
      </c>
      <c r="BT109" s="1094">
        <f t="shared" ca="1" si="269"/>
        <v>1.3576644262911814</v>
      </c>
      <c r="BU109" s="1094">
        <f t="shared" ca="1" si="269"/>
        <v>0</v>
      </c>
      <c r="BV109" s="1094">
        <f t="shared" ca="1" si="269"/>
        <v>0</v>
      </c>
      <c r="BW109" s="1094">
        <f t="shared" ca="1" si="269"/>
        <v>0</v>
      </c>
      <c r="BX109" s="1094">
        <f t="shared" ca="1" si="269"/>
        <v>0</v>
      </c>
      <c r="BY109" s="1094">
        <f t="shared" ca="1" si="269"/>
        <v>0</v>
      </c>
      <c r="BZ109" s="1094">
        <f t="shared" ca="1" si="269"/>
        <v>0</v>
      </c>
      <c r="CA109" s="1094">
        <f t="shared" ca="1" si="269"/>
        <v>0</v>
      </c>
      <c r="CB109" s="1094">
        <f t="shared" ca="1" si="269"/>
        <v>0</v>
      </c>
      <c r="CC109" s="1094">
        <f t="shared" ca="1" si="269"/>
        <v>0</v>
      </c>
      <c r="CD109" s="1094">
        <f t="shared" ca="1" si="269"/>
        <v>0</v>
      </c>
      <c r="CE109" s="1094">
        <f t="shared" ca="1" si="269"/>
        <v>0</v>
      </c>
      <c r="CF109" s="1094">
        <f t="shared" ca="1" si="269"/>
        <v>0</v>
      </c>
      <c r="CG109" s="1094">
        <f t="shared" ca="1" si="269"/>
        <v>0</v>
      </c>
      <c r="CH109" s="1094">
        <f t="shared" ca="1" si="269"/>
        <v>0</v>
      </c>
      <c r="CI109" s="1094">
        <f t="shared" ca="1" si="269"/>
        <v>0</v>
      </c>
      <c r="CJ109" s="1094">
        <f t="shared" ca="1" si="269"/>
        <v>0</v>
      </c>
      <c r="CK109" s="1094">
        <f t="shared" ca="1" si="269"/>
        <v>0</v>
      </c>
      <c r="CL109" s="1094">
        <f t="shared" ca="1" si="269"/>
        <v>0</v>
      </c>
      <c r="CM109" s="1094">
        <f t="shared" ca="1" si="269"/>
        <v>0</v>
      </c>
      <c r="CN109" s="1094">
        <f t="shared" ca="1" si="269"/>
        <v>0</v>
      </c>
      <c r="CO109" s="1094">
        <f t="shared" ca="1" si="269"/>
        <v>0</v>
      </c>
      <c r="CP109" s="1094">
        <f t="shared" ca="1" si="269"/>
        <v>0</v>
      </c>
      <c r="CQ109" s="1094">
        <f t="shared" ca="1" si="269"/>
        <v>0</v>
      </c>
      <c r="CR109" s="1094">
        <f t="shared" ca="1" si="269"/>
        <v>0</v>
      </c>
      <c r="CS109" s="1094">
        <f t="shared" ca="1" si="269"/>
        <v>0</v>
      </c>
      <c r="CT109" s="1094">
        <f t="shared" ca="1" si="269"/>
        <v>0</v>
      </c>
      <c r="CU109" s="1094">
        <f t="shared" ca="1" si="269"/>
        <v>0</v>
      </c>
      <c r="CV109" s="1094">
        <f t="shared" ca="1" si="269"/>
        <v>0</v>
      </c>
      <c r="CW109" s="1094">
        <f t="shared" ca="1" si="269"/>
        <v>0</v>
      </c>
      <c r="CX109" s="1094">
        <f t="shared" ca="1" si="269"/>
        <v>0</v>
      </c>
      <c r="CY109" s="1094">
        <f t="shared" ca="1" si="269"/>
        <v>0</v>
      </c>
      <c r="CZ109" s="1094">
        <f t="shared" ca="1" si="269"/>
        <v>0</v>
      </c>
      <c r="DA109" s="1094">
        <f t="shared" ca="1" si="269"/>
        <v>0</v>
      </c>
      <c r="DB109" s="1094">
        <f t="shared" ca="1" si="269"/>
        <v>0</v>
      </c>
      <c r="DC109" s="1094">
        <f t="shared" ca="1" si="269"/>
        <v>-136.06644161766704</v>
      </c>
      <c r="DD109" s="1094">
        <f t="shared" ca="1" si="269"/>
        <v>0</v>
      </c>
      <c r="DE109" s="1094">
        <f t="shared" ca="1" si="269"/>
        <v>0</v>
      </c>
      <c r="DF109" s="1094">
        <f t="shared" ca="1" si="269"/>
        <v>0</v>
      </c>
      <c r="DH109" s="587">
        <f ca="1">SUM(BO109:DF109)</f>
        <v>18.608094351707933</v>
      </c>
    </row>
    <row r="110" spans="1:112" s="532" customFormat="1">
      <c r="C110" s="500"/>
      <c r="D110" s="501"/>
      <c r="E110" s="501"/>
      <c r="G110" s="693"/>
      <c r="H110" s="693"/>
      <c r="I110" s="693"/>
      <c r="J110" s="693"/>
      <c r="K110" s="694"/>
      <c r="L110" s="693"/>
      <c r="M110" s="693"/>
      <c r="N110" s="693"/>
      <c r="O110" s="693"/>
      <c r="P110" s="693"/>
      <c r="Q110" s="693"/>
      <c r="S110" s="696"/>
      <c r="T110" s="696"/>
      <c r="U110" s="696"/>
      <c r="V110" s="696"/>
      <c r="W110" s="696"/>
      <c r="X110" s="696"/>
      <c r="Y110" s="696"/>
      <c r="Z110" s="696"/>
      <c r="AA110" s="696"/>
      <c r="AB110" s="696"/>
      <c r="AC110" s="696"/>
      <c r="AD110" s="696"/>
      <c r="AE110" s="696"/>
      <c r="AF110" s="696"/>
      <c r="AG110" s="696"/>
      <c r="AH110" s="696"/>
      <c r="AI110" s="696"/>
      <c r="AJ110" s="696"/>
      <c r="AK110" s="696"/>
      <c r="AM110" s="698"/>
      <c r="AN110" s="698"/>
      <c r="AO110" s="698"/>
      <c r="AP110" s="698"/>
      <c r="AQ110" s="698"/>
      <c r="AR110" s="698"/>
      <c r="AS110" s="698"/>
      <c r="AT110" s="698"/>
      <c r="AU110" s="698"/>
      <c r="AV110" s="698"/>
      <c r="AW110" s="698"/>
      <c r="AX110" s="698"/>
      <c r="AY110" s="698"/>
      <c r="AZ110" s="698"/>
      <c r="BA110" s="698"/>
      <c r="BB110" s="698"/>
      <c r="BC110" s="698"/>
      <c r="BD110" s="698"/>
      <c r="BE110" s="698"/>
      <c r="BF110" s="698"/>
      <c r="BH110" s="700"/>
      <c r="BI110" s="700"/>
      <c r="BJ110" s="700"/>
      <c r="BL110" s="505"/>
      <c r="BM110" s="505"/>
      <c r="BO110" s="1095"/>
      <c r="BP110" s="1095"/>
      <c r="BQ110" s="1095"/>
      <c r="BR110" s="1095"/>
      <c r="BS110" s="1095"/>
      <c r="BT110" s="1095"/>
      <c r="BU110" s="1095"/>
      <c r="BV110" s="1095"/>
      <c r="BW110" s="1095"/>
      <c r="BX110" s="1095"/>
      <c r="BY110" s="1095"/>
      <c r="BZ110" s="1095"/>
      <c r="CA110" s="1095"/>
      <c r="CB110" s="1095"/>
      <c r="CC110" s="1095"/>
      <c r="CD110" s="1095"/>
      <c r="CE110" s="1095"/>
      <c r="CF110" s="1095"/>
      <c r="CG110" s="1095"/>
      <c r="CH110" s="1095"/>
      <c r="CI110" s="1095"/>
      <c r="CJ110" s="1095"/>
      <c r="CK110" s="1095"/>
      <c r="CL110" s="1095"/>
      <c r="CM110" s="1095"/>
      <c r="CN110" s="1095"/>
      <c r="CO110" s="1095"/>
      <c r="CP110" s="1095"/>
      <c r="CQ110" s="1095"/>
      <c r="CR110" s="1095"/>
      <c r="CS110" s="1095"/>
      <c r="CT110" s="1095"/>
      <c r="CU110" s="1095"/>
      <c r="CV110" s="1095"/>
      <c r="CW110" s="1095"/>
      <c r="CX110" s="1095"/>
      <c r="CY110" s="1095"/>
      <c r="CZ110" s="1095"/>
      <c r="DA110" s="1095"/>
      <c r="DB110" s="1095"/>
      <c r="DC110" s="1095"/>
      <c r="DD110" s="1095"/>
      <c r="DE110" s="1095"/>
      <c r="DF110" s="1095"/>
    </row>
    <row r="111" spans="1:112">
      <c r="G111" s="505"/>
      <c r="H111" s="505"/>
      <c r="I111" s="505"/>
      <c r="J111" s="505"/>
      <c r="K111" s="509"/>
      <c r="L111" s="505"/>
      <c r="M111" s="505"/>
      <c r="N111" s="505"/>
      <c r="O111" s="505"/>
      <c r="P111" s="505"/>
      <c r="Q111" s="505"/>
      <c r="S111" s="505"/>
      <c r="T111" s="505"/>
      <c r="U111" s="505"/>
      <c r="V111" s="505"/>
      <c r="W111" s="505"/>
      <c r="X111" s="505"/>
      <c r="Y111" s="505"/>
      <c r="Z111" s="505"/>
      <c r="AA111" s="505"/>
      <c r="AB111" s="505"/>
      <c r="AC111" s="505"/>
      <c r="AD111" s="505"/>
      <c r="AE111" s="505"/>
      <c r="AF111" s="505"/>
      <c r="AG111" s="505"/>
      <c r="AH111" s="505"/>
      <c r="AI111" s="505"/>
      <c r="AJ111" s="505"/>
      <c r="AK111" s="505"/>
      <c r="AM111" s="505"/>
      <c r="AN111" s="505"/>
      <c r="AO111" s="505"/>
      <c r="AP111" s="505"/>
      <c r="AQ111" s="505"/>
      <c r="AR111" s="505"/>
      <c r="AS111" s="505"/>
      <c r="AT111" s="505"/>
      <c r="AU111" s="505"/>
      <c r="AV111" s="505"/>
      <c r="AW111" s="505"/>
      <c r="AX111" s="505"/>
      <c r="AY111" s="505"/>
      <c r="AZ111" s="505"/>
      <c r="BA111" s="505"/>
      <c r="BB111" s="505"/>
      <c r="BC111" s="505"/>
      <c r="BD111" s="505"/>
      <c r="BE111" s="505"/>
      <c r="BF111" s="505"/>
      <c r="BH111" s="505"/>
      <c r="BI111" s="505"/>
      <c r="BJ111" s="505"/>
      <c r="BL111" s="505"/>
      <c r="BM111" s="505"/>
    </row>
    <row r="112" spans="1:112">
      <c r="G112" s="505"/>
      <c r="H112" s="505"/>
      <c r="I112" s="505"/>
      <c r="J112" s="505"/>
      <c r="K112" s="509"/>
      <c r="L112" s="505"/>
      <c r="M112" s="505"/>
      <c r="N112" s="505"/>
      <c r="O112" s="505"/>
      <c r="P112" s="505"/>
      <c r="Q112" s="505"/>
      <c r="S112" s="505"/>
      <c r="T112" s="505"/>
      <c r="U112" s="505"/>
      <c r="V112" s="505"/>
      <c r="W112" s="505"/>
      <c r="X112" s="505"/>
      <c r="Y112" s="505"/>
      <c r="Z112" s="505"/>
      <c r="AA112" s="505"/>
      <c r="AB112" s="505"/>
      <c r="AC112" s="505"/>
      <c r="AD112" s="505"/>
      <c r="AE112" s="505"/>
      <c r="AF112" s="505"/>
      <c r="AG112" s="505"/>
      <c r="AH112" s="505"/>
      <c r="AI112" s="505"/>
      <c r="AJ112" s="505"/>
      <c r="AK112" s="505"/>
      <c r="AM112" s="505"/>
      <c r="AN112" s="505"/>
      <c r="AO112" s="505"/>
      <c r="AP112" s="505"/>
      <c r="AQ112" s="505"/>
      <c r="AR112" s="505"/>
      <c r="AS112" s="505"/>
      <c r="AT112" s="505"/>
      <c r="AU112" s="505"/>
      <c r="AV112" s="505"/>
      <c r="AW112" s="505"/>
      <c r="AX112" s="505"/>
      <c r="AY112" s="505"/>
      <c r="AZ112" s="505"/>
      <c r="BA112" s="505"/>
      <c r="BB112" s="505"/>
      <c r="BC112" s="505"/>
      <c r="BD112" s="505"/>
      <c r="BE112" s="505"/>
      <c r="BF112" s="505"/>
      <c r="BH112" s="505"/>
      <c r="BI112" s="505"/>
      <c r="BJ112" s="505"/>
      <c r="BL112" s="505"/>
      <c r="BM112" s="505"/>
      <c r="DF112" s="20" t="s">
        <v>1324</v>
      </c>
      <c r="DH112" s="1409">
        <f ca="1">SUM(DH63,DH68,DH76,DH82)</f>
        <v>16.688490998952744</v>
      </c>
    </row>
    <row r="113" spans="2:112">
      <c r="B113" s="121" t="s">
        <v>647</v>
      </c>
      <c r="C113" s="782" t="s">
        <v>775</v>
      </c>
      <c r="G113" s="505"/>
      <c r="H113" s="505"/>
      <c r="I113" s="505"/>
      <c r="J113" s="505"/>
      <c r="K113" s="509"/>
      <c r="L113" s="505"/>
      <c r="M113" s="505"/>
      <c r="N113" s="505"/>
      <c r="O113" s="505"/>
      <c r="P113" s="505"/>
      <c r="Q113" s="505"/>
      <c r="S113" s="505"/>
      <c r="T113" s="505"/>
      <c r="U113" s="505"/>
      <c r="V113" s="505"/>
      <c r="W113" s="505"/>
      <c r="X113" s="505"/>
      <c r="Y113" s="505"/>
      <c r="Z113" s="505"/>
      <c r="AA113" s="505"/>
      <c r="AB113" s="505"/>
      <c r="AC113" s="505"/>
      <c r="AD113" s="505"/>
      <c r="AE113" s="505"/>
      <c r="AF113" s="505"/>
      <c r="AG113" s="505"/>
      <c r="AH113" s="505"/>
      <c r="AI113" s="505"/>
      <c r="AJ113" s="505"/>
      <c r="AK113" s="505"/>
      <c r="AM113" s="505"/>
      <c r="AN113" s="505"/>
      <c r="AO113" s="505"/>
      <c r="AP113" s="505"/>
      <c r="AQ113" s="505"/>
      <c r="AR113" s="505"/>
      <c r="AS113" s="505"/>
      <c r="AT113" s="505"/>
      <c r="AU113" s="505"/>
      <c r="AV113" s="505"/>
      <c r="AW113" s="505"/>
      <c r="AX113" s="505"/>
      <c r="AY113" s="505"/>
      <c r="AZ113" s="505"/>
      <c r="BA113" s="505"/>
      <c r="BB113" s="505"/>
      <c r="BC113" s="505"/>
      <c r="BD113" s="505"/>
      <c r="BE113" s="505"/>
      <c r="BF113" s="505"/>
      <c r="BH113" s="505"/>
      <c r="BI113" s="505"/>
      <c r="BJ113" s="505"/>
      <c r="BL113" s="505"/>
      <c r="BM113" s="505"/>
      <c r="DF113" s="20" t="s">
        <v>1325</v>
      </c>
      <c r="DH113" s="1409">
        <f ca="1">T109-MIN(T103,0)-T72</f>
        <v>261.96211411772401</v>
      </c>
    </row>
    <row r="114" spans="2:112" ht="15">
      <c r="B114" s="3"/>
      <c r="G114" s="505"/>
      <c r="H114" s="505"/>
      <c r="I114" s="505"/>
      <c r="J114" s="505"/>
      <c r="K114" s="509"/>
      <c r="L114" s="505"/>
      <c r="M114" s="505"/>
      <c r="N114" s="505"/>
      <c r="O114" s="505"/>
      <c r="P114" s="505"/>
      <c r="Q114" s="505"/>
      <c r="S114" s="505"/>
      <c r="T114" s="505"/>
      <c r="U114" s="505"/>
      <c r="V114" s="505"/>
      <c r="W114" s="505"/>
      <c r="X114" s="505"/>
      <c r="Y114" s="505"/>
      <c r="Z114" s="505"/>
      <c r="AA114" s="505"/>
      <c r="AB114" s="505"/>
      <c r="AC114" s="505"/>
      <c r="AD114" s="505"/>
      <c r="AE114" s="505"/>
      <c r="AF114" s="505"/>
      <c r="AG114" s="505"/>
      <c r="AH114" s="505"/>
      <c r="AI114" s="505"/>
      <c r="AJ114" s="505"/>
      <c r="AK114" s="505"/>
      <c r="AM114" s="505"/>
      <c r="AN114" s="505"/>
      <c r="AO114" s="505"/>
      <c r="AP114" s="505"/>
      <c r="AQ114" s="505"/>
      <c r="AR114" s="505"/>
      <c r="AS114" s="505"/>
      <c r="AT114" s="505"/>
      <c r="AU114" s="505"/>
      <c r="AV114" s="505"/>
      <c r="AW114" s="505"/>
      <c r="AX114" s="505"/>
      <c r="AY114" s="505"/>
      <c r="AZ114" s="505"/>
      <c r="BA114" s="505"/>
      <c r="BB114" s="505"/>
      <c r="BC114" s="505"/>
      <c r="BD114" s="505"/>
      <c r="BE114" s="505"/>
      <c r="BF114" s="505"/>
      <c r="BH114" s="505"/>
      <c r="BI114" s="505"/>
      <c r="BJ114" s="505"/>
      <c r="BL114" s="505"/>
      <c r="BM114" s="505"/>
      <c r="DF114" s="20" t="s">
        <v>1326</v>
      </c>
      <c r="DH114" s="121">
        <f ca="1">DH112/DH113</f>
        <v>6.3705742546622784E-2</v>
      </c>
    </row>
    <row r="115" spans="2:112">
      <c r="G115" s="505"/>
      <c r="H115" s="505"/>
      <c r="I115" s="505"/>
      <c r="J115" s="505"/>
      <c r="K115" s="509"/>
      <c r="L115" s="505"/>
      <c r="M115" s="505"/>
      <c r="N115" s="505"/>
      <c r="O115" s="505"/>
      <c r="P115" s="505"/>
      <c r="Q115" s="505"/>
      <c r="S115" s="505"/>
      <c r="T115" s="505"/>
      <c r="U115" s="505"/>
      <c r="V115" s="505"/>
      <c r="W115" s="505"/>
      <c r="X115" s="505"/>
      <c r="Y115" s="505"/>
      <c r="Z115" s="505"/>
      <c r="AA115" s="505"/>
      <c r="AB115" s="505"/>
      <c r="AC115" s="505"/>
      <c r="AD115" s="505"/>
      <c r="AE115" s="505"/>
      <c r="AF115" s="505"/>
      <c r="AG115" s="505"/>
      <c r="AH115" s="505"/>
      <c r="AI115" s="505"/>
      <c r="AJ115" s="505"/>
      <c r="AK115" s="505"/>
      <c r="AM115" s="505"/>
      <c r="AN115" s="505"/>
      <c r="AO115" s="505"/>
      <c r="AP115" s="505"/>
      <c r="AQ115" s="505"/>
      <c r="AR115" s="505"/>
      <c r="AS115" s="505"/>
      <c r="AT115" s="505"/>
      <c r="AU115" s="505"/>
      <c r="AV115" s="505"/>
      <c r="AW115" s="505"/>
      <c r="AX115" s="505"/>
      <c r="AY115" s="505"/>
      <c r="AZ115" s="505"/>
      <c r="BA115" s="505"/>
      <c r="BB115" s="505"/>
      <c r="BC115" s="505"/>
      <c r="BD115" s="505"/>
      <c r="BE115" s="505"/>
      <c r="BF115" s="505"/>
      <c r="BH115" s="505"/>
      <c r="BI115" s="505"/>
      <c r="BJ115" s="505"/>
      <c r="BL115" s="505"/>
      <c r="BM115" s="505"/>
    </row>
    <row r="116" spans="2:112" ht="15">
      <c r="B116" s="3"/>
      <c r="G116" s="505"/>
      <c r="H116" s="505"/>
      <c r="I116" s="505"/>
      <c r="J116" s="505"/>
      <c r="K116" s="509"/>
      <c r="L116" s="505"/>
      <c r="M116" s="505"/>
      <c r="N116" s="505"/>
      <c r="O116" s="505"/>
      <c r="P116" s="505"/>
      <c r="Q116" s="505"/>
      <c r="S116" s="505"/>
      <c r="T116" s="505"/>
      <c r="U116" s="505"/>
      <c r="V116" s="505"/>
      <c r="W116" s="505"/>
      <c r="X116" s="505"/>
      <c r="Y116" s="505"/>
      <c r="Z116" s="505"/>
      <c r="AA116" s="505"/>
      <c r="AB116" s="505"/>
      <c r="AC116" s="505"/>
      <c r="AD116" s="505"/>
      <c r="AE116" s="505"/>
      <c r="AF116" s="505"/>
      <c r="AG116" s="505"/>
      <c r="AH116" s="505"/>
      <c r="AI116" s="505"/>
      <c r="AJ116" s="505"/>
      <c r="AK116" s="505"/>
      <c r="AM116" s="505"/>
      <c r="AN116" s="505"/>
      <c r="AO116" s="505"/>
      <c r="AP116" s="505"/>
      <c r="AQ116" s="505"/>
      <c r="AR116" s="505"/>
      <c r="AS116" s="505"/>
      <c r="AT116" s="505"/>
      <c r="AU116" s="505"/>
      <c r="AV116" s="505"/>
      <c r="AW116" s="505"/>
      <c r="AX116" s="505"/>
      <c r="AY116" s="505"/>
      <c r="AZ116" s="505"/>
      <c r="BA116" s="505"/>
      <c r="BB116" s="505"/>
      <c r="BC116" s="505"/>
      <c r="BD116" s="505"/>
      <c r="BE116" s="505"/>
      <c r="BF116" s="505"/>
      <c r="BH116" s="505"/>
      <c r="BI116" s="505"/>
      <c r="BJ116" s="505"/>
      <c r="BL116" s="505"/>
      <c r="BM116" s="505"/>
    </row>
    <row r="117" spans="2:112" ht="15">
      <c r="B117" s="3"/>
      <c r="G117" s="505"/>
      <c r="H117" s="505"/>
      <c r="I117" s="505"/>
      <c r="J117" s="505"/>
      <c r="K117" s="509"/>
      <c r="L117" s="505"/>
      <c r="M117" s="505"/>
      <c r="N117" s="505"/>
      <c r="O117" s="505"/>
      <c r="P117" s="505"/>
      <c r="Q117" s="505"/>
      <c r="S117" s="505"/>
      <c r="T117" s="505"/>
      <c r="U117" s="505"/>
      <c r="V117" s="505"/>
      <c r="W117" s="505"/>
      <c r="X117" s="505"/>
      <c r="Y117" s="505"/>
      <c r="Z117" s="505"/>
      <c r="AA117" s="505"/>
      <c r="AB117" s="505"/>
      <c r="AC117" s="505"/>
      <c r="AD117" s="505"/>
      <c r="AE117" s="505"/>
      <c r="AF117" s="505"/>
      <c r="AG117" s="505"/>
      <c r="AH117" s="505"/>
      <c r="AI117" s="505"/>
      <c r="AJ117" s="505"/>
      <c r="AK117" s="505"/>
      <c r="AM117" s="505"/>
      <c r="AN117" s="505"/>
      <c r="AO117" s="505"/>
      <c r="AP117" s="505"/>
      <c r="AQ117" s="505"/>
      <c r="AR117" s="505"/>
      <c r="AS117" s="505"/>
      <c r="AT117" s="505"/>
      <c r="AU117" s="505"/>
      <c r="AV117" s="505"/>
      <c r="AW117" s="505"/>
      <c r="AX117" s="505"/>
      <c r="AY117" s="505"/>
      <c r="AZ117" s="505"/>
      <c r="BA117" s="505"/>
      <c r="BB117" s="505"/>
      <c r="BC117" s="505"/>
      <c r="BD117" s="505"/>
      <c r="BE117" s="505"/>
      <c r="BF117" s="505"/>
      <c r="BH117" s="505"/>
      <c r="BI117" s="505"/>
      <c r="BJ117" s="505"/>
      <c r="BL117" s="505"/>
      <c r="BM117" s="505"/>
    </row>
    <row r="118" spans="2:112" ht="15">
      <c r="B118" s="3"/>
      <c r="G118" s="505"/>
      <c r="H118" s="505"/>
      <c r="I118" s="505"/>
      <c r="J118" s="505"/>
      <c r="K118" s="509"/>
      <c r="L118" s="505"/>
      <c r="M118" s="505"/>
      <c r="N118" s="505"/>
      <c r="O118" s="505"/>
      <c r="P118" s="505"/>
      <c r="Q118" s="505"/>
      <c r="S118" s="505"/>
      <c r="T118" s="505"/>
      <c r="U118" s="505"/>
      <c r="V118" s="505"/>
      <c r="W118" s="505"/>
      <c r="X118" s="505"/>
      <c r="Y118" s="505"/>
      <c r="Z118" s="505"/>
      <c r="AA118" s="505"/>
      <c r="AB118" s="505"/>
      <c r="AC118" s="505"/>
      <c r="AD118" s="505"/>
      <c r="AE118" s="505"/>
      <c r="AF118" s="505"/>
      <c r="AG118" s="505"/>
      <c r="AH118" s="505"/>
      <c r="AI118" s="505"/>
      <c r="AJ118" s="505"/>
      <c r="AK118" s="505"/>
      <c r="AM118" s="505"/>
      <c r="AN118" s="505"/>
      <c r="AO118" s="505"/>
      <c r="AP118" s="505"/>
      <c r="AQ118" s="505"/>
      <c r="AR118" s="505"/>
      <c r="AS118" s="505"/>
      <c r="AT118" s="505"/>
      <c r="AU118" s="505"/>
      <c r="AV118" s="505"/>
      <c r="AW118" s="505"/>
      <c r="AX118" s="505"/>
      <c r="AY118" s="505"/>
      <c r="AZ118" s="505"/>
      <c r="BA118" s="505"/>
      <c r="BB118" s="505"/>
      <c r="BC118" s="505"/>
      <c r="BD118" s="505"/>
      <c r="BE118" s="505"/>
      <c r="BF118" s="505"/>
      <c r="BH118" s="505"/>
      <c r="BI118" s="505"/>
      <c r="BJ118" s="505"/>
      <c r="BL118" s="505"/>
      <c r="BM118" s="505"/>
    </row>
    <row r="119" spans="2:112" ht="15">
      <c r="B119" s="3"/>
      <c r="G119" s="505"/>
      <c r="H119" s="505"/>
      <c r="I119" s="505"/>
      <c r="J119" s="505"/>
      <c r="K119" s="509"/>
      <c r="L119" s="505"/>
      <c r="M119" s="505"/>
      <c r="N119" s="505"/>
      <c r="O119" s="505"/>
      <c r="P119" s="505"/>
      <c r="Q119" s="505"/>
      <c r="S119" s="505"/>
      <c r="T119" s="505"/>
      <c r="U119" s="505"/>
      <c r="V119" s="505"/>
      <c r="W119" s="505"/>
      <c r="X119" s="505"/>
      <c r="Y119" s="505"/>
      <c r="Z119" s="505"/>
      <c r="AA119" s="505"/>
      <c r="AB119" s="505"/>
      <c r="AC119" s="505"/>
      <c r="AD119" s="505"/>
      <c r="AE119" s="505"/>
      <c r="AF119" s="505"/>
      <c r="AG119" s="505"/>
      <c r="AH119" s="505"/>
      <c r="AI119" s="505"/>
      <c r="AJ119" s="505"/>
      <c r="AK119" s="505"/>
      <c r="AM119" s="505"/>
      <c r="AN119" s="505"/>
      <c r="AO119" s="505"/>
      <c r="AP119" s="505"/>
      <c r="AQ119" s="505"/>
      <c r="AR119" s="505"/>
      <c r="AS119" s="505"/>
      <c r="AT119" s="505"/>
      <c r="AU119" s="505"/>
      <c r="AV119" s="505"/>
      <c r="AW119" s="505"/>
      <c r="AX119" s="505"/>
      <c r="AY119" s="505"/>
      <c r="AZ119" s="505"/>
      <c r="BA119" s="505"/>
      <c r="BB119" s="505"/>
      <c r="BC119" s="505"/>
      <c r="BD119" s="505"/>
      <c r="BE119" s="505"/>
      <c r="BF119" s="505"/>
      <c r="BH119" s="505"/>
      <c r="BI119" s="505"/>
      <c r="BJ119" s="505"/>
      <c r="BL119" s="505"/>
      <c r="BM119" s="505"/>
    </row>
    <row r="120" spans="2:112" ht="15">
      <c r="B120" s="3"/>
      <c r="G120" s="505"/>
      <c r="H120" s="505"/>
      <c r="I120" s="505"/>
      <c r="J120" s="505"/>
      <c r="K120" s="509"/>
      <c r="L120" s="505"/>
      <c r="M120" s="505"/>
      <c r="N120" s="505"/>
      <c r="O120" s="505"/>
      <c r="P120" s="505"/>
      <c r="Q120" s="505"/>
      <c r="S120" s="505"/>
      <c r="T120" s="505"/>
      <c r="U120" s="505"/>
      <c r="V120" s="505"/>
      <c r="W120" s="505"/>
      <c r="X120" s="505"/>
      <c r="Y120" s="505"/>
      <c r="Z120" s="505"/>
      <c r="AA120" s="505"/>
      <c r="AB120" s="505"/>
      <c r="AC120" s="505"/>
      <c r="AD120" s="505"/>
      <c r="AE120" s="505"/>
      <c r="AF120" s="505"/>
      <c r="AG120" s="505"/>
      <c r="AH120" s="505"/>
      <c r="AI120" s="505"/>
      <c r="AJ120" s="505"/>
      <c r="AK120" s="505"/>
      <c r="AM120" s="505"/>
      <c r="AN120" s="505"/>
      <c r="AO120" s="505"/>
      <c r="AP120" s="505"/>
      <c r="AQ120" s="505"/>
      <c r="AR120" s="505"/>
      <c r="AS120" s="505"/>
      <c r="AT120" s="505"/>
      <c r="AU120" s="505"/>
      <c r="AV120" s="505"/>
      <c r="AW120" s="505"/>
      <c r="AX120" s="505"/>
      <c r="AY120" s="505"/>
      <c r="AZ120" s="505"/>
      <c r="BA120" s="505"/>
      <c r="BB120" s="505"/>
      <c r="BC120" s="505"/>
      <c r="BD120" s="505"/>
      <c r="BE120" s="505"/>
      <c r="BF120" s="505"/>
      <c r="BH120" s="505"/>
      <c r="BI120" s="505"/>
      <c r="BJ120" s="505"/>
      <c r="BL120" s="505"/>
      <c r="BM120" s="505"/>
    </row>
    <row r="121" spans="2:112" ht="15">
      <c r="B121" s="3"/>
      <c r="G121" s="505"/>
      <c r="H121" s="505"/>
      <c r="I121" s="505"/>
      <c r="J121" s="505"/>
      <c r="K121" s="509"/>
      <c r="L121" s="505"/>
      <c r="M121" s="505"/>
      <c r="N121" s="505"/>
      <c r="O121" s="505"/>
      <c r="P121" s="505"/>
      <c r="Q121" s="505"/>
      <c r="S121" s="505"/>
      <c r="T121" s="505"/>
      <c r="U121" s="505"/>
      <c r="V121" s="505"/>
      <c r="W121" s="505"/>
      <c r="X121" s="505"/>
      <c r="Y121" s="505"/>
      <c r="Z121" s="505"/>
      <c r="AA121" s="505"/>
      <c r="AB121" s="505"/>
      <c r="AC121" s="505"/>
      <c r="AD121" s="505"/>
      <c r="AE121" s="505"/>
      <c r="AF121" s="505"/>
      <c r="AG121" s="505"/>
      <c r="AH121" s="505"/>
      <c r="AI121" s="505"/>
      <c r="AJ121" s="505"/>
      <c r="AK121" s="505"/>
      <c r="AM121" s="505"/>
      <c r="AN121" s="505"/>
      <c r="AO121" s="505"/>
      <c r="AP121" s="505"/>
      <c r="AQ121" s="505"/>
      <c r="AR121" s="505"/>
      <c r="AS121" s="505"/>
      <c r="AT121" s="505"/>
      <c r="AU121" s="505"/>
      <c r="AV121" s="505"/>
      <c r="AW121" s="505"/>
      <c r="AX121" s="505"/>
      <c r="AY121" s="505"/>
      <c r="AZ121" s="505"/>
      <c r="BA121" s="505"/>
      <c r="BB121" s="505"/>
      <c r="BC121" s="505"/>
      <c r="BD121" s="505"/>
      <c r="BE121" s="505"/>
      <c r="BF121" s="505"/>
      <c r="BH121" s="505"/>
      <c r="BI121" s="505"/>
      <c r="BJ121" s="505"/>
      <c r="BL121" s="505"/>
      <c r="BM121" s="505"/>
    </row>
    <row r="122" spans="2:112">
      <c r="G122" s="505"/>
      <c r="H122" s="505"/>
      <c r="I122" s="505"/>
      <c r="J122" s="505"/>
      <c r="K122" s="509"/>
      <c r="L122" s="505"/>
      <c r="M122" s="505"/>
      <c r="N122" s="505"/>
      <c r="O122" s="505"/>
      <c r="P122" s="505"/>
      <c r="Q122" s="505"/>
      <c r="S122" s="505"/>
      <c r="T122" s="505"/>
      <c r="U122" s="505"/>
      <c r="V122" s="505"/>
      <c r="W122" s="505"/>
      <c r="X122" s="505"/>
      <c r="Y122" s="505"/>
      <c r="Z122" s="505"/>
      <c r="AA122" s="505"/>
      <c r="AB122" s="505"/>
      <c r="AC122" s="505"/>
      <c r="AD122" s="505"/>
      <c r="AE122" s="505"/>
      <c r="AF122" s="505"/>
      <c r="AG122" s="505"/>
      <c r="AH122" s="505"/>
      <c r="AI122" s="505"/>
      <c r="AJ122" s="505"/>
      <c r="AK122" s="505"/>
      <c r="AM122" s="505"/>
      <c r="AN122" s="505"/>
      <c r="AO122" s="505"/>
      <c r="AP122" s="505"/>
      <c r="AQ122" s="505"/>
      <c r="AR122" s="505"/>
      <c r="AS122" s="505"/>
      <c r="AT122" s="505"/>
      <c r="AU122" s="505"/>
      <c r="AV122" s="505"/>
      <c r="AW122" s="505"/>
      <c r="AX122" s="505"/>
      <c r="AY122" s="505"/>
      <c r="AZ122" s="505"/>
      <c r="BA122" s="505"/>
      <c r="BB122" s="505"/>
      <c r="BC122" s="505"/>
      <c r="BD122" s="505"/>
      <c r="BE122" s="505"/>
      <c r="BF122" s="505"/>
      <c r="BH122" s="505"/>
      <c r="BI122" s="505"/>
      <c r="BJ122" s="505"/>
      <c r="BL122" s="505"/>
      <c r="BM122" s="505"/>
    </row>
    <row r="123" spans="2:112" ht="24" customHeight="1">
      <c r="G123" s="505"/>
      <c r="H123" s="505"/>
      <c r="I123" s="505"/>
      <c r="J123" s="505"/>
      <c r="K123" s="509"/>
      <c r="L123" s="505"/>
      <c r="M123" s="505"/>
      <c r="N123" s="505"/>
      <c r="O123" s="505"/>
      <c r="P123" s="505"/>
      <c r="Q123" s="505"/>
      <c r="S123" s="505"/>
      <c r="T123" s="505"/>
      <c r="U123" s="505"/>
      <c r="V123" s="505"/>
      <c r="W123" s="505"/>
      <c r="X123" s="505"/>
      <c r="Y123" s="505"/>
      <c r="Z123" s="505"/>
      <c r="AA123" s="505"/>
      <c r="AB123" s="505"/>
      <c r="AC123" s="505"/>
      <c r="AD123" s="505"/>
      <c r="AE123" s="505"/>
      <c r="AF123" s="505"/>
      <c r="AG123" s="505"/>
      <c r="AH123" s="505"/>
      <c r="AI123" s="505"/>
      <c r="AJ123" s="505"/>
      <c r="AK123" s="505"/>
      <c r="AM123" s="505"/>
      <c r="AN123" s="505"/>
      <c r="AO123" s="505"/>
      <c r="AP123" s="505"/>
      <c r="AQ123" s="505"/>
      <c r="AR123" s="505"/>
      <c r="AS123" s="505"/>
      <c r="AT123" s="505"/>
      <c r="AU123" s="505"/>
      <c r="AV123" s="505"/>
      <c r="AW123" s="505"/>
      <c r="AX123" s="505"/>
      <c r="AY123" s="505"/>
      <c r="AZ123" s="505"/>
      <c r="BA123" s="505"/>
      <c r="BB123" s="505"/>
      <c r="BC123" s="505"/>
      <c r="BD123" s="505"/>
      <c r="BE123" s="505"/>
      <c r="BF123" s="505"/>
      <c r="BH123" s="505"/>
      <c r="BI123" s="505"/>
      <c r="BJ123" s="505"/>
      <c r="BL123" s="505"/>
      <c r="BM123" s="505"/>
    </row>
    <row r="124" spans="2:112">
      <c r="G124" s="505"/>
      <c r="H124" s="505"/>
      <c r="I124" s="505"/>
      <c r="J124" s="505"/>
      <c r="K124" s="509"/>
      <c r="L124" s="505"/>
      <c r="M124" s="505"/>
      <c r="N124" s="505"/>
      <c r="O124" s="505"/>
      <c r="P124" s="505"/>
      <c r="Q124" s="505"/>
      <c r="S124" s="505"/>
      <c r="T124" s="505"/>
      <c r="U124" s="505"/>
      <c r="V124" s="505"/>
      <c r="W124" s="505"/>
      <c r="X124" s="505"/>
      <c r="Y124" s="505"/>
      <c r="Z124" s="505"/>
      <c r="AA124" s="505"/>
      <c r="AB124" s="505"/>
      <c r="AC124" s="505"/>
      <c r="AD124" s="505"/>
      <c r="AE124" s="505"/>
      <c r="AF124" s="505"/>
      <c r="AG124" s="505"/>
      <c r="AH124" s="505"/>
      <c r="AI124" s="505"/>
      <c r="AJ124" s="505"/>
      <c r="AK124" s="505"/>
      <c r="AM124" s="505"/>
      <c r="AN124" s="505"/>
      <c r="AO124" s="505"/>
      <c r="AP124" s="505"/>
      <c r="AQ124" s="505"/>
      <c r="AR124" s="505"/>
      <c r="AS124" s="505"/>
      <c r="AT124" s="505"/>
      <c r="AU124" s="505"/>
      <c r="AV124" s="505"/>
      <c r="AW124" s="505"/>
      <c r="AX124" s="505"/>
      <c r="AY124" s="505"/>
      <c r="AZ124" s="505"/>
      <c r="BA124" s="505"/>
      <c r="BB124" s="505"/>
      <c r="BC124" s="505"/>
      <c r="BD124" s="505"/>
      <c r="BE124" s="505"/>
      <c r="BF124" s="505"/>
      <c r="BH124" s="505"/>
      <c r="BI124" s="505"/>
      <c r="BJ124" s="505"/>
      <c r="BL124" s="505"/>
      <c r="BM124" s="505"/>
    </row>
    <row r="125" spans="2:112">
      <c r="C125" s="510"/>
      <c r="D125" s="38"/>
      <c r="G125" s="505"/>
      <c r="H125" s="505"/>
      <c r="I125" s="505"/>
      <c r="J125" s="505"/>
      <c r="K125" s="509"/>
      <c r="L125" s="505"/>
      <c r="M125" s="505"/>
      <c r="N125" s="505"/>
      <c r="O125" s="505"/>
      <c r="P125" s="505"/>
      <c r="Q125" s="505"/>
      <c r="S125" s="505"/>
      <c r="T125" s="505"/>
      <c r="U125" s="505"/>
      <c r="V125" s="505"/>
      <c r="W125" s="505"/>
      <c r="X125" s="505"/>
      <c r="Y125" s="505"/>
      <c r="Z125" s="505"/>
      <c r="AA125" s="505"/>
      <c r="AB125" s="505"/>
      <c r="AC125" s="505"/>
      <c r="AD125" s="505"/>
      <c r="AE125" s="505"/>
      <c r="AF125" s="505"/>
      <c r="AG125" s="505"/>
      <c r="AH125" s="505"/>
      <c r="AI125" s="505"/>
      <c r="AJ125" s="505"/>
      <c r="AK125" s="505"/>
      <c r="AM125" s="505"/>
      <c r="AN125" s="505"/>
      <c r="AO125" s="505"/>
      <c r="AP125" s="505"/>
      <c r="AQ125" s="505"/>
      <c r="AR125" s="505"/>
      <c r="AS125" s="505"/>
      <c r="AT125" s="505"/>
      <c r="AU125" s="505"/>
      <c r="AV125" s="505"/>
      <c r="AW125" s="505"/>
      <c r="AX125" s="505"/>
      <c r="AY125" s="505"/>
      <c r="AZ125" s="505"/>
      <c r="BA125" s="505"/>
      <c r="BB125" s="505"/>
      <c r="BC125" s="505"/>
      <c r="BD125" s="505"/>
      <c r="BE125" s="505"/>
      <c r="BF125" s="505"/>
      <c r="BH125" s="505"/>
      <c r="BI125" s="505"/>
      <c r="BJ125" s="505"/>
      <c r="BL125" s="505"/>
      <c r="BM125" s="505"/>
    </row>
    <row r="126" spans="2:112">
      <c r="G126" s="505"/>
      <c r="H126" s="505"/>
      <c r="I126" s="505"/>
      <c r="J126" s="505"/>
      <c r="K126" s="509"/>
      <c r="L126" s="505"/>
      <c r="M126" s="505"/>
      <c r="N126" s="505"/>
      <c r="O126" s="505"/>
      <c r="P126" s="505"/>
      <c r="Q126" s="505"/>
      <c r="S126" s="505"/>
      <c r="T126" s="505"/>
      <c r="U126" s="505"/>
      <c r="V126" s="505"/>
      <c r="W126" s="505"/>
      <c r="X126" s="505"/>
      <c r="Y126" s="505"/>
      <c r="Z126" s="505"/>
      <c r="AA126" s="505"/>
      <c r="AB126" s="505"/>
      <c r="AC126" s="505"/>
      <c r="AD126" s="505"/>
      <c r="AE126" s="505"/>
      <c r="AF126" s="505"/>
      <c r="AG126" s="505"/>
      <c r="AH126" s="505"/>
      <c r="AI126" s="505"/>
      <c r="AJ126" s="505"/>
      <c r="AK126" s="505"/>
      <c r="AM126" s="505"/>
      <c r="AN126" s="505"/>
      <c r="AO126" s="505"/>
      <c r="AP126" s="505"/>
      <c r="AQ126" s="505"/>
      <c r="AR126" s="505"/>
      <c r="AS126" s="505"/>
      <c r="AT126" s="505"/>
      <c r="AU126" s="505"/>
      <c r="AV126" s="505"/>
      <c r="AW126" s="505"/>
      <c r="AX126" s="505"/>
      <c r="AY126" s="505"/>
      <c r="AZ126" s="505"/>
      <c r="BA126" s="505"/>
      <c r="BB126" s="505"/>
      <c r="BC126" s="505"/>
      <c r="BD126" s="505"/>
      <c r="BE126" s="505"/>
      <c r="BF126" s="505"/>
      <c r="BH126" s="505"/>
      <c r="BI126" s="505"/>
      <c r="BJ126" s="505"/>
      <c r="BL126" s="505"/>
      <c r="BM126" s="505"/>
    </row>
    <row r="127" spans="2:112">
      <c r="G127" s="505"/>
      <c r="H127" s="505"/>
      <c r="I127" s="505"/>
      <c r="J127" s="505"/>
      <c r="K127" s="509"/>
      <c r="L127" s="505"/>
      <c r="M127" s="505"/>
      <c r="N127" s="505"/>
      <c r="O127" s="505"/>
      <c r="P127" s="505"/>
      <c r="Q127" s="505"/>
      <c r="S127" s="505"/>
      <c r="T127" s="505"/>
      <c r="U127" s="505"/>
      <c r="V127" s="505"/>
      <c r="W127" s="505"/>
      <c r="X127" s="505"/>
      <c r="Y127" s="505"/>
      <c r="Z127" s="505"/>
      <c r="AA127" s="505"/>
      <c r="AB127" s="505"/>
      <c r="AC127" s="505"/>
      <c r="AD127" s="505"/>
      <c r="AE127" s="505"/>
      <c r="AF127" s="505"/>
      <c r="AG127" s="505"/>
      <c r="AH127" s="505"/>
      <c r="AI127" s="505"/>
      <c r="AJ127" s="505"/>
      <c r="AK127" s="505"/>
      <c r="AM127" s="505"/>
      <c r="AN127" s="505"/>
      <c r="AO127" s="505"/>
      <c r="AP127" s="505"/>
      <c r="AQ127" s="505"/>
      <c r="AR127" s="505"/>
      <c r="AS127" s="505"/>
      <c r="AT127" s="505"/>
      <c r="AU127" s="505"/>
      <c r="AV127" s="505"/>
      <c r="AW127" s="505"/>
      <c r="AX127" s="505"/>
      <c r="AY127" s="505"/>
      <c r="AZ127" s="505"/>
      <c r="BA127" s="505"/>
      <c r="BB127" s="505"/>
      <c r="BC127" s="505"/>
      <c r="BD127" s="505"/>
      <c r="BE127" s="505"/>
      <c r="BF127" s="505"/>
      <c r="BH127" s="505"/>
      <c r="BI127" s="505"/>
      <c r="BJ127" s="505"/>
      <c r="BL127" s="505"/>
      <c r="BM127" s="505"/>
    </row>
    <row r="128" spans="2:112">
      <c r="G128" s="505"/>
      <c r="H128" s="505"/>
      <c r="I128" s="505"/>
      <c r="J128" s="505"/>
      <c r="K128" s="509"/>
      <c r="L128" s="505"/>
      <c r="M128" s="505"/>
      <c r="N128" s="505"/>
      <c r="O128" s="505"/>
      <c r="P128" s="505"/>
      <c r="Q128" s="505"/>
      <c r="S128" s="505"/>
      <c r="T128" s="505"/>
      <c r="U128" s="505"/>
      <c r="V128" s="505"/>
      <c r="W128" s="505"/>
      <c r="X128" s="505"/>
      <c r="Y128" s="505"/>
      <c r="Z128" s="505"/>
      <c r="AA128" s="505"/>
      <c r="AB128" s="505"/>
      <c r="AC128" s="505"/>
      <c r="AD128" s="505"/>
      <c r="AE128" s="505"/>
      <c r="AF128" s="505"/>
      <c r="AG128" s="505"/>
      <c r="AH128" s="505"/>
      <c r="AI128" s="505"/>
      <c r="AJ128" s="505"/>
      <c r="AK128" s="505"/>
      <c r="AM128" s="505"/>
      <c r="AN128" s="505"/>
      <c r="AO128" s="505"/>
      <c r="AP128" s="505"/>
      <c r="AQ128" s="505"/>
      <c r="AR128" s="505"/>
      <c r="AS128" s="505"/>
      <c r="AT128" s="505"/>
      <c r="AU128" s="505"/>
      <c r="AV128" s="505"/>
      <c r="AW128" s="505"/>
      <c r="AX128" s="505"/>
      <c r="AY128" s="505"/>
      <c r="AZ128" s="505"/>
      <c r="BA128" s="505"/>
      <c r="BB128" s="505"/>
      <c r="BC128" s="505"/>
      <c r="BD128" s="505"/>
      <c r="BE128" s="505"/>
      <c r="BF128" s="505"/>
      <c r="BH128" s="505"/>
      <c r="BI128" s="505"/>
      <c r="BJ128" s="505"/>
      <c r="BL128" s="505"/>
      <c r="BM128" s="505"/>
    </row>
    <row r="129" spans="7:65">
      <c r="G129" s="505"/>
      <c r="H129" s="505"/>
      <c r="I129" s="505"/>
      <c r="J129" s="505"/>
      <c r="K129" s="509"/>
      <c r="L129" s="505"/>
      <c r="M129" s="505"/>
      <c r="N129" s="505"/>
      <c r="O129" s="505"/>
      <c r="P129" s="505"/>
      <c r="Q129" s="505"/>
      <c r="S129" s="505"/>
      <c r="T129" s="505"/>
      <c r="U129" s="505"/>
      <c r="V129" s="505"/>
      <c r="W129" s="505"/>
      <c r="X129" s="505"/>
      <c r="Y129" s="505"/>
      <c r="Z129" s="505"/>
      <c r="AA129" s="505"/>
      <c r="AB129" s="505"/>
      <c r="AC129" s="505"/>
      <c r="AD129" s="505"/>
      <c r="AE129" s="505"/>
      <c r="AF129" s="505"/>
      <c r="AG129" s="505"/>
      <c r="AH129" s="505"/>
      <c r="AI129" s="505"/>
      <c r="AJ129" s="505"/>
      <c r="AK129" s="505"/>
      <c r="AM129" s="505"/>
      <c r="AN129" s="505"/>
      <c r="AO129" s="505"/>
      <c r="AP129" s="505"/>
      <c r="AQ129" s="505"/>
      <c r="AR129" s="505"/>
      <c r="AS129" s="505"/>
      <c r="AT129" s="505"/>
      <c r="AU129" s="505"/>
      <c r="AV129" s="505"/>
      <c r="AW129" s="505"/>
      <c r="AX129" s="505"/>
      <c r="AY129" s="505"/>
      <c r="AZ129" s="505"/>
      <c r="BA129" s="505"/>
      <c r="BB129" s="505"/>
      <c r="BC129" s="505"/>
      <c r="BD129" s="505"/>
      <c r="BE129" s="505"/>
      <c r="BF129" s="505"/>
      <c r="BH129" s="505"/>
      <c r="BI129" s="505"/>
      <c r="BJ129" s="505"/>
      <c r="BL129" s="505"/>
      <c r="BM129" s="505"/>
    </row>
    <row r="130" spans="7:65">
      <c r="G130" s="505"/>
      <c r="H130" s="505"/>
      <c r="I130" s="505"/>
      <c r="J130" s="505"/>
      <c r="K130" s="509"/>
      <c r="L130" s="505"/>
      <c r="M130" s="505"/>
      <c r="N130" s="505"/>
      <c r="O130" s="505"/>
      <c r="P130" s="505"/>
      <c r="Q130" s="505"/>
      <c r="S130" s="505"/>
      <c r="T130" s="505"/>
      <c r="U130" s="505"/>
      <c r="V130" s="505"/>
      <c r="W130" s="505"/>
      <c r="X130" s="505"/>
      <c r="Y130" s="505"/>
      <c r="Z130" s="505"/>
      <c r="AA130" s="505"/>
      <c r="AB130" s="505"/>
      <c r="AC130" s="505"/>
      <c r="AD130" s="505"/>
      <c r="AE130" s="505"/>
      <c r="AF130" s="505"/>
      <c r="AG130" s="505"/>
      <c r="AH130" s="505"/>
      <c r="AI130" s="505"/>
      <c r="AJ130" s="505"/>
      <c r="AK130" s="505"/>
      <c r="AM130" s="505"/>
      <c r="AN130" s="505"/>
      <c r="AO130" s="505"/>
      <c r="AP130" s="505"/>
      <c r="AQ130" s="505"/>
      <c r="AR130" s="505"/>
      <c r="AS130" s="505"/>
      <c r="AT130" s="505"/>
      <c r="AU130" s="505"/>
      <c r="AV130" s="505"/>
      <c r="AW130" s="505"/>
      <c r="AX130" s="505"/>
      <c r="AY130" s="505"/>
      <c r="AZ130" s="505"/>
      <c r="BA130" s="505"/>
      <c r="BB130" s="505"/>
      <c r="BC130" s="505"/>
      <c r="BD130" s="505"/>
      <c r="BE130" s="505"/>
      <c r="BF130" s="505"/>
      <c r="BH130" s="505"/>
      <c r="BI130" s="505"/>
      <c r="BJ130" s="505"/>
      <c r="BL130" s="505"/>
      <c r="BM130" s="505"/>
    </row>
    <row r="131" spans="7:65">
      <c r="G131" s="505"/>
      <c r="H131" s="505"/>
      <c r="I131" s="505"/>
      <c r="J131" s="505"/>
      <c r="K131" s="509"/>
      <c r="L131" s="505"/>
      <c r="M131" s="505"/>
      <c r="N131" s="505"/>
      <c r="O131" s="505"/>
      <c r="P131" s="505"/>
      <c r="Q131" s="505"/>
      <c r="S131" s="505"/>
      <c r="T131" s="505"/>
      <c r="U131" s="505"/>
      <c r="V131" s="505"/>
      <c r="W131" s="505"/>
      <c r="X131" s="505"/>
      <c r="Y131" s="505"/>
      <c r="Z131" s="505"/>
      <c r="AA131" s="505"/>
      <c r="AB131" s="505"/>
      <c r="AC131" s="505"/>
      <c r="AD131" s="505"/>
      <c r="AE131" s="505"/>
      <c r="AF131" s="505"/>
      <c r="AG131" s="505"/>
      <c r="AH131" s="505"/>
      <c r="AI131" s="505"/>
      <c r="AJ131" s="505"/>
      <c r="AK131" s="505"/>
      <c r="AM131" s="505"/>
      <c r="AN131" s="505"/>
      <c r="AO131" s="505"/>
      <c r="AP131" s="505"/>
      <c r="AQ131" s="505"/>
      <c r="AR131" s="505"/>
      <c r="AS131" s="505"/>
      <c r="AT131" s="505"/>
      <c r="AU131" s="505"/>
      <c r="AV131" s="505"/>
      <c r="AW131" s="505"/>
      <c r="AX131" s="505"/>
      <c r="AY131" s="505"/>
      <c r="AZ131" s="505"/>
      <c r="BA131" s="505"/>
      <c r="BB131" s="505"/>
      <c r="BC131" s="505"/>
      <c r="BD131" s="505"/>
      <c r="BE131" s="505"/>
      <c r="BF131" s="505"/>
      <c r="BH131" s="505"/>
      <c r="BI131" s="505"/>
      <c r="BJ131" s="505"/>
      <c r="BL131" s="505"/>
      <c r="BM131" s="505"/>
    </row>
    <row r="132" spans="7:65">
      <c r="G132" s="505"/>
      <c r="H132" s="505"/>
      <c r="I132" s="505"/>
      <c r="J132" s="505"/>
      <c r="K132" s="509"/>
      <c r="L132" s="505"/>
      <c r="M132" s="505"/>
      <c r="N132" s="505"/>
      <c r="O132" s="505"/>
      <c r="P132" s="505"/>
      <c r="Q132" s="505"/>
      <c r="S132" s="505"/>
      <c r="T132" s="505"/>
      <c r="U132" s="505"/>
      <c r="V132" s="505"/>
      <c r="W132" s="505"/>
      <c r="X132" s="505"/>
      <c r="Y132" s="505"/>
      <c r="Z132" s="505"/>
      <c r="AA132" s="505"/>
      <c r="AB132" s="505"/>
      <c r="AC132" s="505"/>
      <c r="AD132" s="505"/>
      <c r="AE132" s="505"/>
      <c r="AF132" s="505"/>
      <c r="AG132" s="505"/>
      <c r="AH132" s="505"/>
      <c r="AI132" s="505"/>
      <c r="AJ132" s="505"/>
      <c r="AK132" s="505"/>
      <c r="AM132" s="505"/>
      <c r="AN132" s="505"/>
      <c r="AO132" s="505"/>
      <c r="AP132" s="505"/>
      <c r="AQ132" s="505"/>
      <c r="AR132" s="505"/>
      <c r="AS132" s="505"/>
      <c r="AT132" s="505"/>
      <c r="AU132" s="505"/>
      <c r="AV132" s="505"/>
      <c r="AW132" s="505"/>
      <c r="AX132" s="505"/>
      <c r="AY132" s="505"/>
      <c r="AZ132" s="505"/>
      <c r="BA132" s="505"/>
      <c r="BB132" s="505"/>
      <c r="BC132" s="505"/>
      <c r="BD132" s="505"/>
      <c r="BE132" s="505"/>
      <c r="BF132" s="505"/>
      <c r="BH132" s="505"/>
      <c r="BI132" s="505"/>
      <c r="BJ132" s="505"/>
      <c r="BL132" s="505"/>
      <c r="BM132" s="505"/>
    </row>
    <row r="133" spans="7:65">
      <c r="G133" s="505"/>
      <c r="H133" s="505"/>
      <c r="I133" s="505"/>
      <c r="J133" s="505"/>
      <c r="K133" s="509"/>
      <c r="L133" s="505"/>
      <c r="M133" s="505"/>
      <c r="N133" s="505"/>
      <c r="O133" s="505"/>
      <c r="P133" s="505"/>
      <c r="Q133" s="505"/>
      <c r="S133" s="505"/>
      <c r="T133" s="505"/>
      <c r="U133" s="505"/>
      <c r="V133" s="505"/>
      <c r="W133" s="505"/>
      <c r="X133" s="505"/>
      <c r="Y133" s="505"/>
      <c r="Z133" s="505"/>
      <c r="AA133" s="505"/>
      <c r="AB133" s="505"/>
      <c r="AC133" s="505"/>
      <c r="AD133" s="505"/>
      <c r="AE133" s="505"/>
      <c r="AF133" s="505"/>
      <c r="AG133" s="505"/>
      <c r="AH133" s="505"/>
      <c r="AI133" s="505"/>
      <c r="AJ133" s="505"/>
      <c r="AK133" s="505"/>
      <c r="AM133" s="505"/>
      <c r="AN133" s="505"/>
      <c r="AO133" s="505"/>
      <c r="AP133" s="505"/>
      <c r="AQ133" s="505"/>
      <c r="AR133" s="505"/>
      <c r="AS133" s="505"/>
      <c r="AT133" s="505"/>
      <c r="AU133" s="505"/>
      <c r="AV133" s="505"/>
      <c r="AW133" s="505"/>
      <c r="AX133" s="505"/>
      <c r="AY133" s="505"/>
      <c r="AZ133" s="505"/>
      <c r="BA133" s="505"/>
      <c r="BB133" s="505"/>
      <c r="BC133" s="505"/>
      <c r="BD133" s="505"/>
      <c r="BE133" s="505"/>
      <c r="BF133" s="505"/>
      <c r="BH133" s="505"/>
      <c r="BI133" s="505"/>
      <c r="BJ133" s="505"/>
      <c r="BL133" s="505"/>
      <c r="BM133" s="505"/>
    </row>
    <row r="134" spans="7:65">
      <c r="G134" s="505"/>
      <c r="H134" s="505"/>
      <c r="I134" s="505"/>
      <c r="J134" s="505"/>
      <c r="K134" s="509"/>
      <c r="L134" s="505"/>
      <c r="M134" s="505"/>
      <c r="N134" s="505"/>
      <c r="O134" s="505"/>
      <c r="P134" s="505"/>
      <c r="Q134" s="505"/>
      <c r="S134" s="505"/>
      <c r="T134" s="505"/>
      <c r="U134" s="505"/>
      <c r="V134" s="505"/>
      <c r="W134" s="505"/>
      <c r="X134" s="505"/>
      <c r="Y134" s="505"/>
      <c r="Z134" s="505"/>
      <c r="AA134" s="505"/>
      <c r="AB134" s="505"/>
      <c r="AC134" s="505"/>
      <c r="AD134" s="505"/>
      <c r="AE134" s="505"/>
      <c r="AF134" s="505"/>
      <c r="AG134" s="505"/>
      <c r="AH134" s="505"/>
      <c r="AI134" s="505"/>
      <c r="AJ134" s="505"/>
      <c r="AK134" s="505"/>
      <c r="AM134" s="505"/>
      <c r="AN134" s="505"/>
      <c r="AO134" s="505"/>
      <c r="AP134" s="505"/>
      <c r="AQ134" s="505"/>
      <c r="AR134" s="505"/>
      <c r="AS134" s="505"/>
      <c r="AT134" s="505"/>
      <c r="AU134" s="505"/>
      <c r="AV134" s="505"/>
      <c r="AW134" s="505"/>
      <c r="AX134" s="505"/>
      <c r="AY134" s="505"/>
      <c r="AZ134" s="505"/>
      <c r="BA134" s="505"/>
      <c r="BB134" s="505"/>
      <c r="BC134" s="505"/>
      <c r="BD134" s="505"/>
      <c r="BE134" s="505"/>
      <c r="BF134" s="505"/>
      <c r="BH134" s="505"/>
      <c r="BI134" s="505"/>
      <c r="BJ134" s="505"/>
      <c r="BL134" s="505"/>
      <c r="BM134" s="505"/>
    </row>
    <row r="135" spans="7:65">
      <c r="G135" s="505"/>
      <c r="H135" s="505"/>
      <c r="I135" s="505"/>
      <c r="J135" s="505"/>
      <c r="K135" s="509"/>
      <c r="L135" s="505"/>
      <c r="M135" s="505"/>
      <c r="N135" s="505"/>
      <c r="O135" s="505"/>
      <c r="P135" s="505"/>
      <c r="Q135" s="505"/>
      <c r="S135" s="505"/>
      <c r="T135" s="505"/>
      <c r="U135" s="505"/>
      <c r="V135" s="505"/>
      <c r="W135" s="505"/>
      <c r="X135" s="505"/>
      <c r="Y135" s="505"/>
      <c r="Z135" s="505"/>
      <c r="AA135" s="505"/>
      <c r="AB135" s="505"/>
      <c r="AC135" s="505"/>
      <c r="AD135" s="505"/>
      <c r="AE135" s="505"/>
      <c r="AF135" s="505"/>
      <c r="AG135" s="505"/>
      <c r="AH135" s="505"/>
      <c r="AI135" s="505"/>
      <c r="AJ135" s="505"/>
      <c r="AK135" s="505"/>
      <c r="AM135" s="505"/>
      <c r="AN135" s="505"/>
      <c r="AO135" s="505"/>
      <c r="AP135" s="505"/>
      <c r="AQ135" s="505"/>
      <c r="AR135" s="505"/>
      <c r="AS135" s="505"/>
      <c r="AT135" s="505"/>
      <c r="AU135" s="505"/>
      <c r="AV135" s="505"/>
      <c r="AW135" s="505"/>
      <c r="AX135" s="505"/>
      <c r="AY135" s="505"/>
      <c r="AZ135" s="505"/>
      <c r="BA135" s="505"/>
      <c r="BB135" s="505"/>
      <c r="BC135" s="505"/>
      <c r="BD135" s="505"/>
      <c r="BE135" s="505"/>
      <c r="BF135" s="505"/>
      <c r="BH135" s="505"/>
      <c r="BI135" s="505"/>
      <c r="BJ135" s="505"/>
      <c r="BL135" s="505"/>
      <c r="BM135" s="505"/>
    </row>
    <row r="136" spans="7:65">
      <c r="G136" s="505"/>
      <c r="H136" s="505"/>
      <c r="I136" s="505"/>
      <c r="J136" s="505"/>
      <c r="K136" s="509"/>
      <c r="L136" s="505"/>
      <c r="M136" s="505"/>
      <c r="N136" s="505"/>
      <c r="O136" s="505"/>
      <c r="P136" s="505"/>
      <c r="Q136" s="505"/>
      <c r="S136" s="505"/>
      <c r="T136" s="505"/>
      <c r="U136" s="505"/>
      <c r="V136" s="505"/>
      <c r="W136" s="505"/>
      <c r="X136" s="505"/>
      <c r="Y136" s="505"/>
      <c r="Z136" s="505"/>
      <c r="AA136" s="505"/>
      <c r="AB136" s="505"/>
      <c r="AC136" s="505"/>
      <c r="AD136" s="505"/>
      <c r="AE136" s="505"/>
      <c r="AF136" s="505"/>
      <c r="AG136" s="505"/>
      <c r="AH136" s="505"/>
      <c r="AI136" s="505"/>
      <c r="AJ136" s="505"/>
      <c r="AK136" s="505"/>
      <c r="AM136" s="505"/>
      <c r="AN136" s="505"/>
      <c r="AO136" s="505"/>
      <c r="AP136" s="505"/>
      <c r="AQ136" s="505"/>
      <c r="AR136" s="505"/>
      <c r="AS136" s="505"/>
      <c r="AT136" s="505"/>
      <c r="AU136" s="505"/>
      <c r="AV136" s="505"/>
      <c r="AW136" s="505"/>
      <c r="AX136" s="505"/>
      <c r="AY136" s="505"/>
      <c r="AZ136" s="505"/>
      <c r="BA136" s="505"/>
      <c r="BB136" s="505"/>
      <c r="BC136" s="505"/>
      <c r="BD136" s="505"/>
      <c r="BE136" s="505"/>
      <c r="BF136" s="505"/>
      <c r="BH136" s="505"/>
      <c r="BI136" s="505"/>
      <c r="BJ136" s="505"/>
      <c r="BL136" s="505"/>
      <c r="BM136" s="505"/>
    </row>
    <row r="137" spans="7:65">
      <c r="G137" s="505"/>
      <c r="H137" s="505"/>
      <c r="I137" s="505"/>
      <c r="J137" s="505"/>
      <c r="K137" s="509"/>
      <c r="L137" s="505"/>
      <c r="M137" s="505"/>
      <c r="N137" s="505"/>
      <c r="O137" s="505"/>
      <c r="P137" s="505"/>
      <c r="Q137" s="505"/>
      <c r="S137" s="505"/>
      <c r="T137" s="505"/>
      <c r="U137" s="505"/>
      <c r="V137" s="505"/>
      <c r="W137" s="505"/>
      <c r="X137" s="505"/>
      <c r="Y137" s="505"/>
      <c r="Z137" s="505"/>
      <c r="AA137" s="505"/>
      <c r="AB137" s="505"/>
      <c r="AC137" s="505"/>
      <c r="AD137" s="505"/>
      <c r="AE137" s="505"/>
      <c r="AF137" s="505"/>
      <c r="AG137" s="505"/>
      <c r="AH137" s="505"/>
      <c r="AI137" s="505"/>
      <c r="AJ137" s="505"/>
      <c r="AK137" s="505"/>
      <c r="AM137" s="505"/>
      <c r="AN137" s="505"/>
      <c r="AO137" s="505"/>
      <c r="AP137" s="505"/>
      <c r="AQ137" s="505"/>
      <c r="AR137" s="505"/>
      <c r="AS137" s="505"/>
      <c r="AT137" s="505"/>
      <c r="AU137" s="505"/>
      <c r="AV137" s="505"/>
      <c r="AW137" s="505"/>
      <c r="AX137" s="505"/>
      <c r="AY137" s="505"/>
      <c r="AZ137" s="505"/>
      <c r="BA137" s="505"/>
      <c r="BB137" s="505"/>
      <c r="BC137" s="505"/>
      <c r="BD137" s="505"/>
      <c r="BE137" s="505"/>
      <c r="BF137" s="505"/>
      <c r="BH137" s="505"/>
      <c r="BI137" s="505"/>
      <c r="BJ137" s="505"/>
      <c r="BL137" s="505"/>
      <c r="BM137" s="505"/>
    </row>
    <row r="138" spans="7:65">
      <c r="G138" s="505"/>
      <c r="H138" s="505"/>
      <c r="I138" s="505"/>
      <c r="J138" s="505"/>
      <c r="K138" s="509"/>
      <c r="L138" s="505"/>
      <c r="M138" s="505"/>
      <c r="N138" s="505"/>
      <c r="O138" s="505"/>
      <c r="P138" s="505"/>
      <c r="Q138" s="505"/>
      <c r="S138" s="505"/>
      <c r="T138" s="505"/>
      <c r="U138" s="505"/>
      <c r="V138" s="505"/>
      <c r="W138" s="505"/>
      <c r="X138" s="505"/>
      <c r="Y138" s="505"/>
      <c r="Z138" s="505"/>
      <c r="AA138" s="505"/>
      <c r="AB138" s="505"/>
      <c r="AC138" s="505"/>
      <c r="AD138" s="505"/>
      <c r="AE138" s="505"/>
      <c r="AF138" s="505"/>
      <c r="AG138" s="505"/>
      <c r="AH138" s="505"/>
      <c r="AI138" s="505"/>
      <c r="AJ138" s="505"/>
      <c r="AK138" s="505"/>
      <c r="AM138" s="505"/>
      <c r="AN138" s="505"/>
      <c r="AO138" s="505"/>
      <c r="AP138" s="505"/>
      <c r="AQ138" s="505"/>
      <c r="AR138" s="505"/>
      <c r="AS138" s="505"/>
      <c r="AT138" s="505"/>
      <c r="AU138" s="505"/>
      <c r="AV138" s="505"/>
      <c r="AW138" s="505"/>
      <c r="AX138" s="505"/>
      <c r="AY138" s="505"/>
      <c r="AZ138" s="505"/>
      <c r="BA138" s="505"/>
      <c r="BB138" s="505"/>
      <c r="BC138" s="505"/>
      <c r="BD138" s="505"/>
      <c r="BE138" s="505"/>
      <c r="BF138" s="505"/>
      <c r="BH138" s="505"/>
      <c r="BI138" s="505"/>
      <c r="BJ138" s="505"/>
      <c r="BL138" s="505"/>
      <c r="BM138" s="505"/>
    </row>
    <row r="139" spans="7:65">
      <c r="G139" s="505"/>
      <c r="H139" s="505"/>
      <c r="I139" s="505"/>
      <c r="J139" s="505"/>
      <c r="K139" s="509"/>
      <c r="L139" s="505"/>
      <c r="M139" s="505"/>
      <c r="N139" s="505"/>
      <c r="O139" s="505"/>
      <c r="P139" s="505"/>
      <c r="Q139" s="505"/>
      <c r="S139" s="505"/>
      <c r="T139" s="505"/>
      <c r="U139" s="505"/>
      <c r="V139" s="505"/>
      <c r="W139" s="505"/>
      <c r="X139" s="505"/>
      <c r="Y139" s="505"/>
      <c r="Z139" s="505"/>
      <c r="AA139" s="505"/>
      <c r="AB139" s="505"/>
      <c r="AC139" s="505"/>
      <c r="AD139" s="505"/>
      <c r="AE139" s="505"/>
      <c r="AF139" s="505"/>
      <c r="AG139" s="505"/>
      <c r="AH139" s="505"/>
      <c r="AI139" s="505"/>
      <c r="AJ139" s="505"/>
      <c r="AK139" s="505"/>
      <c r="AM139" s="505"/>
      <c r="AN139" s="505"/>
      <c r="AO139" s="505"/>
      <c r="AP139" s="505"/>
      <c r="AQ139" s="505"/>
      <c r="AR139" s="505"/>
      <c r="AS139" s="505"/>
      <c r="AT139" s="505"/>
      <c r="AU139" s="505"/>
      <c r="AV139" s="505"/>
      <c r="AW139" s="505"/>
      <c r="AX139" s="505"/>
      <c r="AY139" s="505"/>
      <c r="AZ139" s="505"/>
      <c r="BA139" s="505"/>
      <c r="BB139" s="505"/>
      <c r="BC139" s="505"/>
      <c r="BD139" s="505"/>
      <c r="BE139" s="505"/>
      <c r="BF139" s="505"/>
      <c r="BH139" s="505"/>
      <c r="BI139" s="505"/>
      <c r="BJ139" s="505"/>
      <c r="BL139" s="505"/>
      <c r="BM139" s="505"/>
    </row>
    <row r="140" spans="7:65">
      <c r="G140" s="505"/>
      <c r="H140" s="505"/>
      <c r="I140" s="505"/>
      <c r="J140" s="505"/>
      <c r="K140" s="509"/>
      <c r="L140" s="505"/>
      <c r="M140" s="505"/>
      <c r="N140" s="505"/>
      <c r="O140" s="505"/>
      <c r="P140" s="505"/>
      <c r="Q140" s="505"/>
      <c r="S140" s="505"/>
      <c r="T140" s="505"/>
      <c r="U140" s="505"/>
      <c r="V140" s="505"/>
      <c r="W140" s="505"/>
      <c r="X140" s="505"/>
      <c r="Y140" s="505"/>
      <c r="Z140" s="505"/>
      <c r="AA140" s="505"/>
      <c r="AB140" s="505"/>
      <c r="AC140" s="505"/>
      <c r="AD140" s="505"/>
      <c r="AE140" s="505"/>
      <c r="AF140" s="505"/>
      <c r="AG140" s="505"/>
      <c r="AH140" s="505"/>
      <c r="AI140" s="505"/>
      <c r="AJ140" s="505"/>
      <c r="AK140" s="505"/>
      <c r="AM140" s="505"/>
      <c r="AN140" s="505"/>
      <c r="AO140" s="505"/>
      <c r="AP140" s="505"/>
      <c r="AQ140" s="505"/>
      <c r="AR140" s="505"/>
      <c r="AS140" s="505"/>
      <c r="AT140" s="505"/>
      <c r="AU140" s="505"/>
      <c r="AV140" s="505"/>
      <c r="AW140" s="505"/>
      <c r="AX140" s="505"/>
      <c r="AY140" s="505"/>
      <c r="AZ140" s="505"/>
      <c r="BA140" s="505"/>
      <c r="BB140" s="505"/>
      <c r="BC140" s="505"/>
      <c r="BD140" s="505"/>
      <c r="BE140" s="505"/>
      <c r="BF140" s="505"/>
      <c r="BH140" s="505"/>
      <c r="BI140" s="505"/>
      <c r="BJ140" s="505"/>
      <c r="BL140" s="505"/>
      <c r="BM140" s="505"/>
    </row>
    <row r="141" spans="7:65">
      <c r="G141" s="505"/>
      <c r="H141" s="505"/>
      <c r="I141" s="505"/>
      <c r="J141" s="505"/>
      <c r="K141" s="509"/>
      <c r="L141" s="505"/>
      <c r="M141" s="505"/>
      <c r="N141" s="505"/>
      <c r="O141" s="505"/>
      <c r="P141" s="505"/>
      <c r="Q141" s="505"/>
      <c r="S141" s="505"/>
      <c r="T141" s="505"/>
      <c r="U141" s="505"/>
      <c r="V141" s="505"/>
      <c r="W141" s="505"/>
      <c r="X141" s="505"/>
      <c r="Y141" s="505"/>
      <c r="Z141" s="505"/>
      <c r="AA141" s="505"/>
      <c r="AB141" s="505"/>
      <c r="AC141" s="505"/>
      <c r="AD141" s="505"/>
      <c r="AE141" s="505"/>
      <c r="AF141" s="505"/>
      <c r="AG141" s="505"/>
      <c r="AH141" s="505"/>
      <c r="AI141" s="505"/>
      <c r="AJ141" s="505"/>
      <c r="AK141" s="505"/>
      <c r="AM141" s="505"/>
      <c r="AN141" s="505"/>
      <c r="AO141" s="505"/>
      <c r="AP141" s="505"/>
      <c r="AQ141" s="505"/>
      <c r="AR141" s="505"/>
      <c r="AS141" s="505"/>
      <c r="AT141" s="505"/>
      <c r="AU141" s="505"/>
      <c r="AV141" s="505"/>
      <c r="AW141" s="505"/>
      <c r="AX141" s="505"/>
      <c r="AY141" s="505"/>
      <c r="AZ141" s="505"/>
      <c r="BA141" s="505"/>
      <c r="BB141" s="505"/>
      <c r="BC141" s="505"/>
      <c r="BD141" s="505"/>
      <c r="BE141" s="505"/>
      <c r="BF141" s="505"/>
      <c r="BH141" s="505"/>
      <c r="BI141" s="505"/>
      <c r="BJ141" s="505"/>
      <c r="BL141" s="505"/>
      <c r="BM141" s="505"/>
    </row>
    <row r="142" spans="7:65">
      <c r="G142" s="505"/>
      <c r="H142" s="505"/>
      <c r="I142" s="505"/>
      <c r="J142" s="505"/>
      <c r="K142" s="509"/>
      <c r="L142" s="505"/>
      <c r="M142" s="505"/>
      <c r="N142" s="505"/>
      <c r="O142" s="505"/>
      <c r="P142" s="505"/>
      <c r="Q142" s="505"/>
      <c r="S142" s="505"/>
      <c r="T142" s="505"/>
      <c r="U142" s="505"/>
      <c r="V142" s="505"/>
      <c r="W142" s="505"/>
      <c r="X142" s="505"/>
      <c r="Y142" s="505"/>
      <c r="Z142" s="505"/>
      <c r="AA142" s="505"/>
      <c r="AB142" s="505"/>
      <c r="AC142" s="505"/>
      <c r="AD142" s="505"/>
      <c r="AE142" s="505"/>
      <c r="AF142" s="505"/>
      <c r="AG142" s="505"/>
      <c r="AH142" s="505"/>
      <c r="AI142" s="505"/>
      <c r="AJ142" s="505"/>
      <c r="AK142" s="505"/>
      <c r="AM142" s="505"/>
      <c r="AN142" s="505"/>
      <c r="AO142" s="505"/>
      <c r="AP142" s="505"/>
      <c r="AQ142" s="505"/>
      <c r="AR142" s="505"/>
      <c r="AS142" s="505"/>
      <c r="AT142" s="505"/>
      <c r="AU142" s="505"/>
      <c r="AV142" s="505"/>
      <c r="AW142" s="505"/>
      <c r="AX142" s="505"/>
      <c r="AY142" s="505"/>
      <c r="AZ142" s="505"/>
      <c r="BA142" s="505"/>
      <c r="BB142" s="505"/>
      <c r="BC142" s="505"/>
      <c r="BD142" s="505"/>
      <c r="BE142" s="505"/>
      <c r="BF142" s="505"/>
      <c r="BH142" s="505"/>
      <c r="BI142" s="505"/>
      <c r="BJ142" s="505"/>
      <c r="BL142" s="505"/>
      <c r="BM142" s="505"/>
    </row>
    <row r="143" spans="7:65">
      <c r="G143" s="505"/>
      <c r="H143" s="505"/>
      <c r="I143" s="505"/>
      <c r="J143" s="505"/>
      <c r="K143" s="509"/>
      <c r="L143" s="505"/>
      <c r="M143" s="505"/>
      <c r="N143" s="505"/>
      <c r="O143" s="505"/>
      <c r="P143" s="505"/>
      <c r="Q143" s="505"/>
      <c r="S143" s="505"/>
      <c r="T143" s="505"/>
      <c r="U143" s="505"/>
      <c r="V143" s="505"/>
      <c r="W143" s="505"/>
      <c r="X143" s="505"/>
      <c r="Y143" s="505"/>
      <c r="Z143" s="505"/>
      <c r="AA143" s="505"/>
      <c r="AB143" s="505"/>
      <c r="AC143" s="505"/>
      <c r="AD143" s="505"/>
      <c r="AE143" s="505"/>
      <c r="AF143" s="505"/>
      <c r="AG143" s="505"/>
      <c r="AH143" s="505"/>
      <c r="AI143" s="505"/>
      <c r="AJ143" s="505"/>
      <c r="AK143" s="505"/>
      <c r="AM143" s="505"/>
      <c r="AN143" s="505"/>
      <c r="AO143" s="505"/>
      <c r="AP143" s="505"/>
      <c r="AQ143" s="505"/>
      <c r="AR143" s="505"/>
      <c r="AS143" s="505"/>
      <c r="AT143" s="505"/>
      <c r="AU143" s="505"/>
      <c r="AV143" s="505"/>
      <c r="AW143" s="505"/>
      <c r="AX143" s="505"/>
      <c r="AY143" s="505"/>
      <c r="AZ143" s="505"/>
      <c r="BA143" s="505"/>
      <c r="BB143" s="505"/>
      <c r="BC143" s="505"/>
      <c r="BD143" s="505"/>
      <c r="BE143" s="505"/>
      <c r="BF143" s="505"/>
      <c r="BH143" s="505"/>
      <c r="BI143" s="505"/>
      <c r="BJ143" s="505"/>
      <c r="BL143" s="505"/>
      <c r="BM143" s="505"/>
    </row>
    <row r="144" spans="7:65">
      <c r="G144" s="505"/>
      <c r="H144" s="505"/>
      <c r="I144" s="505"/>
      <c r="J144" s="505"/>
      <c r="K144" s="509"/>
      <c r="L144" s="505"/>
      <c r="M144" s="505"/>
      <c r="N144" s="505"/>
      <c r="O144" s="505"/>
      <c r="P144" s="505"/>
      <c r="Q144" s="505"/>
      <c r="S144" s="505"/>
      <c r="T144" s="505"/>
      <c r="U144" s="505"/>
      <c r="V144" s="505"/>
      <c r="W144" s="505"/>
      <c r="X144" s="505"/>
      <c r="Y144" s="505"/>
      <c r="Z144" s="505"/>
      <c r="AA144" s="505"/>
      <c r="AB144" s="505"/>
      <c r="AC144" s="505"/>
      <c r="AD144" s="505"/>
      <c r="AE144" s="505"/>
      <c r="AF144" s="505"/>
      <c r="AG144" s="505"/>
      <c r="AH144" s="505"/>
      <c r="AI144" s="505"/>
      <c r="AJ144" s="505"/>
      <c r="AK144" s="505"/>
      <c r="AM144" s="505"/>
      <c r="AN144" s="505"/>
      <c r="AO144" s="505"/>
      <c r="AP144" s="505"/>
      <c r="AQ144" s="505"/>
      <c r="AR144" s="505"/>
      <c r="AS144" s="505"/>
      <c r="AT144" s="505"/>
      <c r="AU144" s="505"/>
      <c r="AV144" s="505"/>
      <c r="AW144" s="505"/>
      <c r="AX144" s="505"/>
      <c r="AY144" s="505"/>
      <c r="AZ144" s="505"/>
      <c r="BA144" s="505"/>
      <c r="BB144" s="505"/>
      <c r="BC144" s="505"/>
      <c r="BD144" s="505"/>
      <c r="BE144" s="505"/>
      <c r="BF144" s="505"/>
      <c r="BH144" s="505"/>
      <c r="BI144" s="505"/>
      <c r="BJ144" s="505"/>
      <c r="BL144" s="505"/>
      <c r="BM144" s="505"/>
    </row>
    <row r="145" spans="7:65">
      <c r="G145" s="505"/>
      <c r="H145" s="505"/>
      <c r="I145" s="505"/>
      <c r="J145" s="505"/>
      <c r="K145" s="509"/>
      <c r="L145" s="505"/>
      <c r="M145" s="505"/>
      <c r="N145" s="505"/>
      <c r="O145" s="505"/>
      <c r="P145" s="505"/>
      <c r="Q145" s="505"/>
      <c r="S145" s="505"/>
      <c r="T145" s="505"/>
      <c r="U145" s="505"/>
      <c r="V145" s="505"/>
      <c r="W145" s="505"/>
      <c r="X145" s="505"/>
      <c r="Y145" s="505"/>
      <c r="Z145" s="505"/>
      <c r="AA145" s="505"/>
      <c r="AB145" s="505"/>
      <c r="AC145" s="505"/>
      <c r="AD145" s="505"/>
      <c r="AE145" s="505"/>
      <c r="AF145" s="505"/>
      <c r="AG145" s="505"/>
      <c r="AH145" s="505"/>
      <c r="AI145" s="505"/>
      <c r="AJ145" s="505"/>
      <c r="AK145" s="505"/>
      <c r="AM145" s="505"/>
      <c r="AN145" s="505"/>
      <c r="AO145" s="505"/>
      <c r="AP145" s="505"/>
      <c r="AQ145" s="505"/>
      <c r="AR145" s="505"/>
      <c r="AS145" s="505"/>
      <c r="AT145" s="505"/>
      <c r="AU145" s="505"/>
      <c r="AV145" s="505"/>
      <c r="AW145" s="505"/>
      <c r="AX145" s="505"/>
      <c r="AY145" s="505"/>
      <c r="AZ145" s="505"/>
      <c r="BA145" s="505"/>
      <c r="BB145" s="505"/>
      <c r="BC145" s="505"/>
      <c r="BD145" s="505"/>
      <c r="BE145" s="505"/>
      <c r="BF145" s="505"/>
      <c r="BH145" s="505"/>
      <c r="BI145" s="505"/>
      <c r="BJ145" s="505"/>
      <c r="BL145" s="505"/>
      <c r="BM145" s="505"/>
    </row>
    <row r="146" spans="7:65">
      <c r="G146" s="505"/>
      <c r="H146" s="505"/>
      <c r="I146" s="505"/>
      <c r="J146" s="505"/>
      <c r="K146" s="509"/>
      <c r="L146" s="505"/>
      <c r="M146" s="505"/>
      <c r="N146" s="505"/>
      <c r="O146" s="505"/>
      <c r="P146" s="505"/>
      <c r="Q146" s="505"/>
      <c r="S146" s="505"/>
      <c r="T146" s="505"/>
      <c r="U146" s="505"/>
      <c r="V146" s="505"/>
      <c r="W146" s="505"/>
      <c r="X146" s="505"/>
      <c r="Y146" s="505"/>
      <c r="Z146" s="505"/>
      <c r="AA146" s="505"/>
      <c r="AB146" s="505"/>
      <c r="AC146" s="505"/>
      <c r="AD146" s="505"/>
      <c r="AE146" s="505"/>
      <c r="AF146" s="505"/>
      <c r="AG146" s="505"/>
      <c r="AH146" s="505"/>
      <c r="AI146" s="505"/>
      <c r="AJ146" s="505"/>
      <c r="AK146" s="505"/>
      <c r="AM146" s="505"/>
      <c r="AN146" s="505"/>
      <c r="AO146" s="505"/>
      <c r="AP146" s="505"/>
      <c r="AQ146" s="505"/>
      <c r="AR146" s="505"/>
      <c r="AS146" s="505"/>
      <c r="AT146" s="505"/>
      <c r="AU146" s="505"/>
      <c r="AV146" s="505"/>
      <c r="AW146" s="505"/>
      <c r="AX146" s="505"/>
      <c r="AY146" s="505"/>
      <c r="AZ146" s="505"/>
      <c r="BA146" s="505"/>
      <c r="BB146" s="505"/>
      <c r="BC146" s="505"/>
      <c r="BD146" s="505"/>
      <c r="BE146" s="505"/>
      <c r="BF146" s="505"/>
      <c r="BH146" s="505"/>
      <c r="BI146" s="505"/>
      <c r="BJ146" s="505"/>
      <c r="BL146" s="505"/>
      <c r="BM146" s="505"/>
    </row>
    <row r="147" spans="7:65">
      <c r="G147" s="505"/>
      <c r="H147" s="505"/>
      <c r="I147" s="505"/>
      <c r="J147" s="505"/>
      <c r="K147" s="509"/>
      <c r="L147" s="505"/>
      <c r="M147" s="505"/>
      <c r="N147" s="505"/>
      <c r="O147" s="505"/>
      <c r="P147" s="505"/>
      <c r="Q147" s="505"/>
      <c r="S147" s="505"/>
      <c r="T147" s="505"/>
      <c r="U147" s="505"/>
      <c r="V147" s="505"/>
      <c r="W147" s="505"/>
      <c r="X147" s="505"/>
      <c r="Y147" s="505"/>
      <c r="Z147" s="505"/>
      <c r="AA147" s="505"/>
      <c r="AB147" s="505"/>
      <c r="AC147" s="505"/>
      <c r="AD147" s="505"/>
      <c r="AE147" s="505"/>
      <c r="AF147" s="505"/>
      <c r="AG147" s="505"/>
      <c r="AH147" s="505"/>
      <c r="AI147" s="505"/>
      <c r="AJ147" s="505"/>
      <c r="AK147" s="505"/>
      <c r="AM147" s="505"/>
      <c r="AN147" s="505"/>
      <c r="AO147" s="505"/>
      <c r="AP147" s="505"/>
      <c r="AQ147" s="505"/>
      <c r="AR147" s="505"/>
      <c r="AS147" s="505"/>
      <c r="AT147" s="505"/>
      <c r="AU147" s="505"/>
      <c r="AV147" s="505"/>
      <c r="AW147" s="505"/>
      <c r="AX147" s="505"/>
      <c r="AY147" s="505"/>
      <c r="AZ147" s="505"/>
      <c r="BA147" s="505"/>
      <c r="BB147" s="505"/>
      <c r="BC147" s="505"/>
      <c r="BD147" s="505"/>
      <c r="BE147" s="505"/>
      <c r="BF147" s="505"/>
      <c r="BH147" s="505"/>
      <c r="BI147" s="505"/>
      <c r="BJ147" s="505"/>
      <c r="BL147" s="505"/>
      <c r="BM147" s="505"/>
    </row>
    <row r="148" spans="7:65">
      <c r="G148" s="505"/>
      <c r="H148" s="505"/>
      <c r="I148" s="505"/>
      <c r="J148" s="505"/>
      <c r="K148" s="509"/>
      <c r="L148" s="505"/>
      <c r="M148" s="505"/>
      <c r="N148" s="505"/>
      <c r="O148" s="505"/>
      <c r="P148" s="505"/>
      <c r="Q148" s="505"/>
      <c r="S148" s="505"/>
      <c r="T148" s="505"/>
      <c r="U148" s="505"/>
      <c r="V148" s="505"/>
      <c r="W148" s="505"/>
      <c r="X148" s="505"/>
      <c r="Y148" s="505"/>
      <c r="Z148" s="505"/>
      <c r="AA148" s="505"/>
      <c r="AB148" s="505"/>
      <c r="AC148" s="505"/>
      <c r="AD148" s="505"/>
      <c r="AE148" s="505"/>
      <c r="AF148" s="505"/>
      <c r="AG148" s="505"/>
      <c r="AH148" s="505"/>
      <c r="AI148" s="505"/>
      <c r="AJ148" s="505"/>
      <c r="AK148" s="505"/>
      <c r="AM148" s="505"/>
      <c r="AN148" s="505"/>
      <c r="AO148" s="505"/>
      <c r="AP148" s="505"/>
      <c r="AQ148" s="505"/>
      <c r="AR148" s="505"/>
      <c r="AS148" s="505"/>
      <c r="AT148" s="505"/>
      <c r="AU148" s="505"/>
      <c r="AV148" s="505"/>
      <c r="AW148" s="505"/>
      <c r="AX148" s="505"/>
      <c r="AY148" s="505"/>
      <c r="AZ148" s="505"/>
      <c r="BA148" s="505"/>
      <c r="BB148" s="505"/>
      <c r="BC148" s="505"/>
      <c r="BD148" s="505"/>
      <c r="BE148" s="505"/>
      <c r="BF148" s="505"/>
      <c r="BH148" s="505"/>
      <c r="BI148" s="505"/>
      <c r="BJ148" s="505"/>
      <c r="BL148" s="505"/>
      <c r="BM148" s="505"/>
    </row>
  </sheetData>
  <pageMargins left="0.25" right="0.25" top="0.75" bottom="0.75" header="0.3" footer="0.3"/>
  <headerFooter>
    <oddFooter>&amp;L&amp;"+,Regular"Pathways to 2050 -- Energy Flow Model&amp;R&amp;"+,Regular"&amp;F  |  This version printed &amp;D</oddFooter>
  </headerFooter>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5" enableFormatConditionsCalculation="0">
    <pageSetUpPr fitToPage="1"/>
  </sheetPr>
  <dimension ref="A1:AI109"/>
  <sheetViews>
    <sheetView workbookViewId="0"/>
  </sheetViews>
  <sheetFormatPr baseColWidth="10" defaultColWidth="8.83203125" defaultRowHeight="12" x14ac:dyDescent="0"/>
  <cols>
    <col min="1" max="1" width="19.1640625" style="52" customWidth="1"/>
    <col min="2" max="2" width="7" style="52" bestFit="1" customWidth="1"/>
    <col min="3" max="3" width="12.6640625" style="52" customWidth="1"/>
    <col min="4" max="4" width="8.33203125" style="52" customWidth="1"/>
    <col min="5" max="5" width="9" style="52" customWidth="1"/>
    <col min="6" max="6" width="6.83203125" style="52" customWidth="1"/>
    <col min="7" max="7" width="9.5" style="52" customWidth="1"/>
    <col min="8" max="9" width="8.5" style="52" customWidth="1"/>
    <col min="10" max="10" width="5.33203125" style="52" customWidth="1"/>
    <col min="11" max="11" width="7.5" style="52" customWidth="1"/>
    <col min="12" max="24" width="8.83203125" style="52"/>
    <col min="25" max="33" width="9.33203125" style="52" bestFit="1" customWidth="1"/>
    <col min="34" max="34" width="9.6640625" style="52" bestFit="1" customWidth="1"/>
    <col min="35" max="35" width="9.33203125" style="52" bestFit="1" customWidth="1"/>
    <col min="36" max="256" width="8.83203125" style="52"/>
    <col min="257" max="257" width="19.1640625" style="52" customWidth="1"/>
    <col min="258" max="258" width="7" style="52" bestFit="1" customWidth="1"/>
    <col min="259" max="259" width="12.6640625" style="52" customWidth="1"/>
    <col min="260" max="260" width="8.33203125" style="52" customWidth="1"/>
    <col min="261" max="261" width="9" style="52" customWidth="1"/>
    <col min="262" max="262" width="6.83203125" style="52" customWidth="1"/>
    <col min="263" max="263" width="9.5" style="52" customWidth="1"/>
    <col min="264" max="265" width="8.5" style="52" customWidth="1"/>
    <col min="266" max="266" width="5.33203125" style="52" customWidth="1"/>
    <col min="267" max="267" width="7.5" style="52" customWidth="1"/>
    <col min="268" max="280" width="8.83203125" style="52"/>
    <col min="281" max="289" width="9.33203125" style="52" bestFit="1" customWidth="1"/>
    <col min="290" max="290" width="9.6640625" style="52" bestFit="1" customWidth="1"/>
    <col min="291" max="291" width="9.33203125" style="52" bestFit="1" customWidth="1"/>
    <col min="292" max="512" width="8.83203125" style="52"/>
    <col min="513" max="513" width="19.1640625" style="52" customWidth="1"/>
    <col min="514" max="514" width="7" style="52" bestFit="1" customWidth="1"/>
    <col min="515" max="515" width="12.6640625" style="52" customWidth="1"/>
    <col min="516" max="516" width="8.33203125" style="52" customWidth="1"/>
    <col min="517" max="517" width="9" style="52" customWidth="1"/>
    <col min="518" max="518" width="6.83203125" style="52" customWidth="1"/>
    <col min="519" max="519" width="9.5" style="52" customWidth="1"/>
    <col min="520" max="521" width="8.5" style="52" customWidth="1"/>
    <col min="522" max="522" width="5.33203125" style="52" customWidth="1"/>
    <col min="523" max="523" width="7.5" style="52" customWidth="1"/>
    <col min="524" max="536" width="8.83203125" style="52"/>
    <col min="537" max="545" width="9.33203125" style="52" bestFit="1" customWidth="1"/>
    <col min="546" max="546" width="9.6640625" style="52" bestFit="1" customWidth="1"/>
    <col min="547" max="547" width="9.33203125" style="52" bestFit="1" customWidth="1"/>
    <col min="548" max="768" width="8.83203125" style="52"/>
    <col min="769" max="769" width="19.1640625" style="52" customWidth="1"/>
    <col min="770" max="770" width="7" style="52" bestFit="1" customWidth="1"/>
    <col min="771" max="771" width="12.6640625" style="52" customWidth="1"/>
    <col min="772" max="772" width="8.33203125" style="52" customWidth="1"/>
    <col min="773" max="773" width="9" style="52" customWidth="1"/>
    <col min="774" max="774" width="6.83203125" style="52" customWidth="1"/>
    <col min="775" max="775" width="9.5" style="52" customWidth="1"/>
    <col min="776" max="777" width="8.5" style="52" customWidth="1"/>
    <col min="778" max="778" width="5.33203125" style="52" customWidth="1"/>
    <col min="779" max="779" width="7.5" style="52" customWidth="1"/>
    <col min="780" max="792" width="8.83203125" style="52"/>
    <col min="793" max="801" width="9.33203125" style="52" bestFit="1" customWidth="1"/>
    <col min="802" max="802" width="9.6640625" style="52" bestFit="1" customWidth="1"/>
    <col min="803" max="803" width="9.33203125" style="52" bestFit="1" customWidth="1"/>
    <col min="804" max="1024" width="8.83203125" style="52"/>
    <col min="1025" max="1025" width="19.1640625" style="52" customWidth="1"/>
    <col min="1026" max="1026" width="7" style="52" bestFit="1" customWidth="1"/>
    <col min="1027" max="1027" width="12.6640625" style="52" customWidth="1"/>
    <col min="1028" max="1028" width="8.33203125" style="52" customWidth="1"/>
    <col min="1029" max="1029" width="9" style="52" customWidth="1"/>
    <col min="1030" max="1030" width="6.83203125" style="52" customWidth="1"/>
    <col min="1031" max="1031" width="9.5" style="52" customWidth="1"/>
    <col min="1032" max="1033" width="8.5" style="52" customWidth="1"/>
    <col min="1034" max="1034" width="5.33203125" style="52" customWidth="1"/>
    <col min="1035" max="1035" width="7.5" style="52" customWidth="1"/>
    <col min="1036" max="1048" width="8.83203125" style="52"/>
    <col min="1049" max="1057" width="9.33203125" style="52" bestFit="1" customWidth="1"/>
    <col min="1058" max="1058" width="9.6640625" style="52" bestFit="1" customWidth="1"/>
    <col min="1059" max="1059" width="9.33203125" style="52" bestFit="1" customWidth="1"/>
    <col min="1060" max="1280" width="8.83203125" style="52"/>
    <col min="1281" max="1281" width="19.1640625" style="52" customWidth="1"/>
    <col min="1282" max="1282" width="7" style="52" bestFit="1" customWidth="1"/>
    <col min="1283" max="1283" width="12.6640625" style="52" customWidth="1"/>
    <col min="1284" max="1284" width="8.33203125" style="52" customWidth="1"/>
    <col min="1285" max="1285" width="9" style="52" customWidth="1"/>
    <col min="1286" max="1286" width="6.83203125" style="52" customWidth="1"/>
    <col min="1287" max="1287" width="9.5" style="52" customWidth="1"/>
    <col min="1288" max="1289" width="8.5" style="52" customWidth="1"/>
    <col min="1290" max="1290" width="5.33203125" style="52" customWidth="1"/>
    <col min="1291" max="1291" width="7.5" style="52" customWidth="1"/>
    <col min="1292" max="1304" width="8.83203125" style="52"/>
    <col min="1305" max="1313" width="9.33203125" style="52" bestFit="1" customWidth="1"/>
    <col min="1314" max="1314" width="9.6640625" style="52" bestFit="1" customWidth="1"/>
    <col min="1315" max="1315" width="9.33203125" style="52" bestFit="1" customWidth="1"/>
    <col min="1316" max="1536" width="8.83203125" style="52"/>
    <col min="1537" max="1537" width="19.1640625" style="52" customWidth="1"/>
    <col min="1538" max="1538" width="7" style="52" bestFit="1" customWidth="1"/>
    <col min="1539" max="1539" width="12.6640625" style="52" customWidth="1"/>
    <col min="1540" max="1540" width="8.33203125" style="52" customWidth="1"/>
    <col min="1541" max="1541" width="9" style="52" customWidth="1"/>
    <col min="1542" max="1542" width="6.83203125" style="52" customWidth="1"/>
    <col min="1543" max="1543" width="9.5" style="52" customWidth="1"/>
    <col min="1544" max="1545" width="8.5" style="52" customWidth="1"/>
    <col min="1546" max="1546" width="5.33203125" style="52" customWidth="1"/>
    <col min="1547" max="1547" width="7.5" style="52" customWidth="1"/>
    <col min="1548" max="1560" width="8.83203125" style="52"/>
    <col min="1561" max="1569" width="9.33203125" style="52" bestFit="1" customWidth="1"/>
    <col min="1570" max="1570" width="9.6640625" style="52" bestFit="1" customWidth="1"/>
    <col min="1571" max="1571" width="9.33203125" style="52" bestFit="1" customWidth="1"/>
    <col min="1572" max="1792" width="8.83203125" style="52"/>
    <col min="1793" max="1793" width="19.1640625" style="52" customWidth="1"/>
    <col min="1794" max="1794" width="7" style="52" bestFit="1" customWidth="1"/>
    <col min="1795" max="1795" width="12.6640625" style="52" customWidth="1"/>
    <col min="1796" max="1796" width="8.33203125" style="52" customWidth="1"/>
    <col min="1797" max="1797" width="9" style="52" customWidth="1"/>
    <col min="1798" max="1798" width="6.83203125" style="52" customWidth="1"/>
    <col min="1799" max="1799" width="9.5" style="52" customWidth="1"/>
    <col min="1800" max="1801" width="8.5" style="52" customWidth="1"/>
    <col min="1802" max="1802" width="5.33203125" style="52" customWidth="1"/>
    <col min="1803" max="1803" width="7.5" style="52" customWidth="1"/>
    <col min="1804" max="1816" width="8.83203125" style="52"/>
    <col min="1817" max="1825" width="9.33203125" style="52" bestFit="1" customWidth="1"/>
    <col min="1826" max="1826" width="9.6640625" style="52" bestFit="1" customWidth="1"/>
    <col min="1827" max="1827" width="9.33203125" style="52" bestFit="1" customWidth="1"/>
    <col min="1828" max="2048" width="8.83203125" style="52"/>
    <col min="2049" max="2049" width="19.1640625" style="52" customWidth="1"/>
    <col min="2050" max="2050" width="7" style="52" bestFit="1" customWidth="1"/>
    <col min="2051" max="2051" width="12.6640625" style="52" customWidth="1"/>
    <col min="2052" max="2052" width="8.33203125" style="52" customWidth="1"/>
    <col min="2053" max="2053" width="9" style="52" customWidth="1"/>
    <col min="2054" max="2054" width="6.83203125" style="52" customWidth="1"/>
    <col min="2055" max="2055" width="9.5" style="52" customWidth="1"/>
    <col min="2056" max="2057" width="8.5" style="52" customWidth="1"/>
    <col min="2058" max="2058" width="5.33203125" style="52" customWidth="1"/>
    <col min="2059" max="2059" width="7.5" style="52" customWidth="1"/>
    <col min="2060" max="2072" width="8.83203125" style="52"/>
    <col min="2073" max="2081" width="9.33203125" style="52" bestFit="1" customWidth="1"/>
    <col min="2082" max="2082" width="9.6640625" style="52" bestFit="1" customWidth="1"/>
    <col min="2083" max="2083" width="9.33203125" style="52" bestFit="1" customWidth="1"/>
    <col min="2084" max="2304" width="8.83203125" style="52"/>
    <col min="2305" max="2305" width="19.1640625" style="52" customWidth="1"/>
    <col min="2306" max="2306" width="7" style="52" bestFit="1" customWidth="1"/>
    <col min="2307" max="2307" width="12.6640625" style="52" customWidth="1"/>
    <col min="2308" max="2308" width="8.33203125" style="52" customWidth="1"/>
    <col min="2309" max="2309" width="9" style="52" customWidth="1"/>
    <col min="2310" max="2310" width="6.83203125" style="52" customWidth="1"/>
    <col min="2311" max="2311" width="9.5" style="52" customWidth="1"/>
    <col min="2312" max="2313" width="8.5" style="52" customWidth="1"/>
    <col min="2314" max="2314" width="5.33203125" style="52" customWidth="1"/>
    <col min="2315" max="2315" width="7.5" style="52" customWidth="1"/>
    <col min="2316" max="2328" width="8.83203125" style="52"/>
    <col min="2329" max="2337" width="9.33203125" style="52" bestFit="1" customWidth="1"/>
    <col min="2338" max="2338" width="9.6640625" style="52" bestFit="1" customWidth="1"/>
    <col min="2339" max="2339" width="9.33203125" style="52" bestFit="1" customWidth="1"/>
    <col min="2340" max="2560" width="8.83203125" style="52"/>
    <col min="2561" max="2561" width="19.1640625" style="52" customWidth="1"/>
    <col min="2562" max="2562" width="7" style="52" bestFit="1" customWidth="1"/>
    <col min="2563" max="2563" width="12.6640625" style="52" customWidth="1"/>
    <col min="2564" max="2564" width="8.33203125" style="52" customWidth="1"/>
    <col min="2565" max="2565" width="9" style="52" customWidth="1"/>
    <col min="2566" max="2566" width="6.83203125" style="52" customWidth="1"/>
    <col min="2567" max="2567" width="9.5" style="52" customWidth="1"/>
    <col min="2568" max="2569" width="8.5" style="52" customWidth="1"/>
    <col min="2570" max="2570" width="5.33203125" style="52" customWidth="1"/>
    <col min="2571" max="2571" width="7.5" style="52" customWidth="1"/>
    <col min="2572" max="2584" width="8.83203125" style="52"/>
    <col min="2585" max="2593" width="9.33203125" style="52" bestFit="1" customWidth="1"/>
    <col min="2594" max="2594" width="9.6640625" style="52" bestFit="1" customWidth="1"/>
    <col min="2595" max="2595" width="9.33203125" style="52" bestFit="1" customWidth="1"/>
    <col min="2596" max="2816" width="8.83203125" style="52"/>
    <col min="2817" max="2817" width="19.1640625" style="52" customWidth="1"/>
    <col min="2818" max="2818" width="7" style="52" bestFit="1" customWidth="1"/>
    <col min="2819" max="2819" width="12.6640625" style="52" customWidth="1"/>
    <col min="2820" max="2820" width="8.33203125" style="52" customWidth="1"/>
    <col min="2821" max="2821" width="9" style="52" customWidth="1"/>
    <col min="2822" max="2822" width="6.83203125" style="52" customWidth="1"/>
    <col min="2823" max="2823" width="9.5" style="52" customWidth="1"/>
    <col min="2824" max="2825" width="8.5" style="52" customWidth="1"/>
    <col min="2826" max="2826" width="5.33203125" style="52" customWidth="1"/>
    <col min="2827" max="2827" width="7.5" style="52" customWidth="1"/>
    <col min="2828" max="2840" width="8.83203125" style="52"/>
    <col min="2841" max="2849" width="9.33203125" style="52" bestFit="1" customWidth="1"/>
    <col min="2850" max="2850" width="9.6640625" style="52" bestFit="1" customWidth="1"/>
    <col min="2851" max="2851" width="9.33203125" style="52" bestFit="1" customWidth="1"/>
    <col min="2852" max="3072" width="8.83203125" style="52"/>
    <col min="3073" max="3073" width="19.1640625" style="52" customWidth="1"/>
    <col min="3074" max="3074" width="7" style="52" bestFit="1" customWidth="1"/>
    <col min="3075" max="3075" width="12.6640625" style="52" customWidth="1"/>
    <col min="3076" max="3076" width="8.33203125" style="52" customWidth="1"/>
    <col min="3077" max="3077" width="9" style="52" customWidth="1"/>
    <col min="3078" max="3078" width="6.83203125" style="52" customWidth="1"/>
    <col min="3079" max="3079" width="9.5" style="52" customWidth="1"/>
    <col min="3080" max="3081" width="8.5" style="52" customWidth="1"/>
    <col min="3082" max="3082" width="5.33203125" style="52" customWidth="1"/>
    <col min="3083" max="3083" width="7.5" style="52" customWidth="1"/>
    <col min="3084" max="3096" width="8.83203125" style="52"/>
    <col min="3097" max="3105" width="9.33203125" style="52" bestFit="1" customWidth="1"/>
    <col min="3106" max="3106" width="9.6640625" style="52" bestFit="1" customWidth="1"/>
    <col min="3107" max="3107" width="9.33203125" style="52" bestFit="1" customWidth="1"/>
    <col min="3108" max="3328" width="8.83203125" style="52"/>
    <col min="3329" max="3329" width="19.1640625" style="52" customWidth="1"/>
    <col min="3330" max="3330" width="7" style="52" bestFit="1" customWidth="1"/>
    <col min="3331" max="3331" width="12.6640625" style="52" customWidth="1"/>
    <col min="3332" max="3332" width="8.33203125" style="52" customWidth="1"/>
    <col min="3333" max="3333" width="9" style="52" customWidth="1"/>
    <col min="3334" max="3334" width="6.83203125" style="52" customWidth="1"/>
    <col min="3335" max="3335" width="9.5" style="52" customWidth="1"/>
    <col min="3336" max="3337" width="8.5" style="52" customWidth="1"/>
    <col min="3338" max="3338" width="5.33203125" style="52" customWidth="1"/>
    <col min="3339" max="3339" width="7.5" style="52" customWidth="1"/>
    <col min="3340" max="3352" width="8.83203125" style="52"/>
    <col min="3353" max="3361" width="9.33203125" style="52" bestFit="1" customWidth="1"/>
    <col min="3362" max="3362" width="9.6640625" style="52" bestFit="1" customWidth="1"/>
    <col min="3363" max="3363" width="9.33203125" style="52" bestFit="1" customWidth="1"/>
    <col min="3364" max="3584" width="8.83203125" style="52"/>
    <col min="3585" max="3585" width="19.1640625" style="52" customWidth="1"/>
    <col min="3586" max="3586" width="7" style="52" bestFit="1" customWidth="1"/>
    <col min="3587" max="3587" width="12.6640625" style="52" customWidth="1"/>
    <col min="3588" max="3588" width="8.33203125" style="52" customWidth="1"/>
    <col min="3589" max="3589" width="9" style="52" customWidth="1"/>
    <col min="3590" max="3590" width="6.83203125" style="52" customWidth="1"/>
    <col min="3591" max="3591" width="9.5" style="52" customWidth="1"/>
    <col min="3592" max="3593" width="8.5" style="52" customWidth="1"/>
    <col min="3594" max="3594" width="5.33203125" style="52" customWidth="1"/>
    <col min="3595" max="3595" width="7.5" style="52" customWidth="1"/>
    <col min="3596" max="3608" width="8.83203125" style="52"/>
    <col min="3609" max="3617" width="9.33203125" style="52" bestFit="1" customWidth="1"/>
    <col min="3618" max="3618" width="9.6640625" style="52" bestFit="1" customWidth="1"/>
    <col min="3619" max="3619" width="9.33203125" style="52" bestFit="1" customWidth="1"/>
    <col min="3620" max="3840" width="8.83203125" style="52"/>
    <col min="3841" max="3841" width="19.1640625" style="52" customWidth="1"/>
    <col min="3842" max="3842" width="7" style="52" bestFit="1" customWidth="1"/>
    <col min="3843" max="3843" width="12.6640625" style="52" customWidth="1"/>
    <col min="3844" max="3844" width="8.33203125" style="52" customWidth="1"/>
    <col min="3845" max="3845" width="9" style="52" customWidth="1"/>
    <col min="3846" max="3846" width="6.83203125" style="52" customWidth="1"/>
    <col min="3847" max="3847" width="9.5" style="52" customWidth="1"/>
    <col min="3848" max="3849" width="8.5" style="52" customWidth="1"/>
    <col min="3850" max="3850" width="5.33203125" style="52" customWidth="1"/>
    <col min="3851" max="3851" width="7.5" style="52" customWidth="1"/>
    <col min="3852" max="3864" width="8.83203125" style="52"/>
    <col min="3865" max="3873" width="9.33203125" style="52" bestFit="1" customWidth="1"/>
    <col min="3874" max="3874" width="9.6640625" style="52" bestFit="1" customWidth="1"/>
    <col min="3875" max="3875" width="9.33203125" style="52" bestFit="1" customWidth="1"/>
    <col min="3876" max="4096" width="8.83203125" style="52"/>
    <col min="4097" max="4097" width="19.1640625" style="52" customWidth="1"/>
    <col min="4098" max="4098" width="7" style="52" bestFit="1" customWidth="1"/>
    <col min="4099" max="4099" width="12.6640625" style="52" customWidth="1"/>
    <col min="4100" max="4100" width="8.33203125" style="52" customWidth="1"/>
    <col min="4101" max="4101" width="9" style="52" customWidth="1"/>
    <col min="4102" max="4102" width="6.83203125" style="52" customWidth="1"/>
    <col min="4103" max="4103" width="9.5" style="52" customWidth="1"/>
    <col min="4104" max="4105" width="8.5" style="52" customWidth="1"/>
    <col min="4106" max="4106" width="5.33203125" style="52" customWidth="1"/>
    <col min="4107" max="4107" width="7.5" style="52" customWidth="1"/>
    <col min="4108" max="4120" width="8.83203125" style="52"/>
    <col min="4121" max="4129" width="9.33203125" style="52" bestFit="1" customWidth="1"/>
    <col min="4130" max="4130" width="9.6640625" style="52" bestFit="1" customWidth="1"/>
    <col min="4131" max="4131" width="9.33203125" style="52" bestFit="1" customWidth="1"/>
    <col min="4132" max="4352" width="8.83203125" style="52"/>
    <col min="4353" max="4353" width="19.1640625" style="52" customWidth="1"/>
    <col min="4354" max="4354" width="7" style="52" bestFit="1" customWidth="1"/>
    <col min="4355" max="4355" width="12.6640625" style="52" customWidth="1"/>
    <col min="4356" max="4356" width="8.33203125" style="52" customWidth="1"/>
    <col min="4357" max="4357" width="9" style="52" customWidth="1"/>
    <col min="4358" max="4358" width="6.83203125" style="52" customWidth="1"/>
    <col min="4359" max="4359" width="9.5" style="52" customWidth="1"/>
    <col min="4360" max="4361" width="8.5" style="52" customWidth="1"/>
    <col min="4362" max="4362" width="5.33203125" style="52" customWidth="1"/>
    <col min="4363" max="4363" width="7.5" style="52" customWidth="1"/>
    <col min="4364" max="4376" width="8.83203125" style="52"/>
    <col min="4377" max="4385" width="9.33203125" style="52" bestFit="1" customWidth="1"/>
    <col min="4386" max="4386" width="9.6640625" style="52" bestFit="1" customWidth="1"/>
    <col min="4387" max="4387" width="9.33203125" style="52" bestFit="1" customWidth="1"/>
    <col min="4388" max="4608" width="8.83203125" style="52"/>
    <col min="4609" max="4609" width="19.1640625" style="52" customWidth="1"/>
    <col min="4610" max="4610" width="7" style="52" bestFit="1" customWidth="1"/>
    <col min="4611" max="4611" width="12.6640625" style="52" customWidth="1"/>
    <col min="4612" max="4612" width="8.33203125" style="52" customWidth="1"/>
    <col min="4613" max="4613" width="9" style="52" customWidth="1"/>
    <col min="4614" max="4614" width="6.83203125" style="52" customWidth="1"/>
    <col min="4615" max="4615" width="9.5" style="52" customWidth="1"/>
    <col min="4616" max="4617" width="8.5" style="52" customWidth="1"/>
    <col min="4618" max="4618" width="5.33203125" style="52" customWidth="1"/>
    <col min="4619" max="4619" width="7.5" style="52" customWidth="1"/>
    <col min="4620" max="4632" width="8.83203125" style="52"/>
    <col min="4633" max="4641" width="9.33203125" style="52" bestFit="1" customWidth="1"/>
    <col min="4642" max="4642" width="9.6640625" style="52" bestFit="1" customWidth="1"/>
    <col min="4643" max="4643" width="9.33203125" style="52" bestFit="1" customWidth="1"/>
    <col min="4644" max="4864" width="8.83203125" style="52"/>
    <col min="4865" max="4865" width="19.1640625" style="52" customWidth="1"/>
    <col min="4866" max="4866" width="7" style="52" bestFit="1" customWidth="1"/>
    <col min="4867" max="4867" width="12.6640625" style="52" customWidth="1"/>
    <col min="4868" max="4868" width="8.33203125" style="52" customWidth="1"/>
    <col min="4869" max="4869" width="9" style="52" customWidth="1"/>
    <col min="4870" max="4870" width="6.83203125" style="52" customWidth="1"/>
    <col min="4871" max="4871" width="9.5" style="52" customWidth="1"/>
    <col min="4872" max="4873" width="8.5" style="52" customWidth="1"/>
    <col min="4874" max="4874" width="5.33203125" style="52" customWidth="1"/>
    <col min="4875" max="4875" width="7.5" style="52" customWidth="1"/>
    <col min="4876" max="4888" width="8.83203125" style="52"/>
    <col min="4889" max="4897" width="9.33203125" style="52" bestFit="1" customWidth="1"/>
    <col min="4898" max="4898" width="9.6640625" style="52" bestFit="1" customWidth="1"/>
    <col min="4899" max="4899" width="9.33203125" style="52" bestFit="1" customWidth="1"/>
    <col min="4900" max="5120" width="8.83203125" style="52"/>
    <col min="5121" max="5121" width="19.1640625" style="52" customWidth="1"/>
    <col min="5122" max="5122" width="7" style="52" bestFit="1" customWidth="1"/>
    <col min="5123" max="5123" width="12.6640625" style="52" customWidth="1"/>
    <col min="5124" max="5124" width="8.33203125" style="52" customWidth="1"/>
    <col min="5125" max="5125" width="9" style="52" customWidth="1"/>
    <col min="5126" max="5126" width="6.83203125" style="52" customWidth="1"/>
    <col min="5127" max="5127" width="9.5" style="52" customWidth="1"/>
    <col min="5128" max="5129" width="8.5" style="52" customWidth="1"/>
    <col min="5130" max="5130" width="5.33203125" style="52" customWidth="1"/>
    <col min="5131" max="5131" width="7.5" style="52" customWidth="1"/>
    <col min="5132" max="5144" width="8.83203125" style="52"/>
    <col min="5145" max="5153" width="9.33203125" style="52" bestFit="1" customWidth="1"/>
    <col min="5154" max="5154" width="9.6640625" style="52" bestFit="1" customWidth="1"/>
    <col min="5155" max="5155" width="9.33203125" style="52" bestFit="1" customWidth="1"/>
    <col min="5156" max="5376" width="8.83203125" style="52"/>
    <col min="5377" max="5377" width="19.1640625" style="52" customWidth="1"/>
    <col min="5378" max="5378" width="7" style="52" bestFit="1" customWidth="1"/>
    <col min="5379" max="5379" width="12.6640625" style="52" customWidth="1"/>
    <col min="5380" max="5380" width="8.33203125" style="52" customWidth="1"/>
    <col min="5381" max="5381" width="9" style="52" customWidth="1"/>
    <col min="5382" max="5382" width="6.83203125" style="52" customWidth="1"/>
    <col min="5383" max="5383" width="9.5" style="52" customWidth="1"/>
    <col min="5384" max="5385" width="8.5" style="52" customWidth="1"/>
    <col min="5386" max="5386" width="5.33203125" style="52" customWidth="1"/>
    <col min="5387" max="5387" width="7.5" style="52" customWidth="1"/>
    <col min="5388" max="5400" width="8.83203125" style="52"/>
    <col min="5401" max="5409" width="9.33203125" style="52" bestFit="1" customWidth="1"/>
    <col min="5410" max="5410" width="9.6640625" style="52" bestFit="1" customWidth="1"/>
    <col min="5411" max="5411" width="9.33203125" style="52" bestFit="1" customWidth="1"/>
    <col min="5412" max="5632" width="8.83203125" style="52"/>
    <col min="5633" max="5633" width="19.1640625" style="52" customWidth="1"/>
    <col min="5634" max="5634" width="7" style="52" bestFit="1" customWidth="1"/>
    <col min="5635" max="5635" width="12.6640625" style="52" customWidth="1"/>
    <col min="5636" max="5636" width="8.33203125" style="52" customWidth="1"/>
    <col min="5637" max="5637" width="9" style="52" customWidth="1"/>
    <col min="5638" max="5638" width="6.83203125" style="52" customWidth="1"/>
    <col min="5639" max="5639" width="9.5" style="52" customWidth="1"/>
    <col min="5640" max="5641" width="8.5" style="52" customWidth="1"/>
    <col min="5642" max="5642" width="5.33203125" style="52" customWidth="1"/>
    <col min="5643" max="5643" width="7.5" style="52" customWidth="1"/>
    <col min="5644" max="5656" width="8.83203125" style="52"/>
    <col min="5657" max="5665" width="9.33203125" style="52" bestFit="1" customWidth="1"/>
    <col min="5666" max="5666" width="9.6640625" style="52" bestFit="1" customWidth="1"/>
    <col min="5667" max="5667" width="9.33203125" style="52" bestFit="1" customWidth="1"/>
    <col min="5668" max="5888" width="8.83203125" style="52"/>
    <col min="5889" max="5889" width="19.1640625" style="52" customWidth="1"/>
    <col min="5890" max="5890" width="7" style="52" bestFit="1" customWidth="1"/>
    <col min="5891" max="5891" width="12.6640625" style="52" customWidth="1"/>
    <col min="5892" max="5892" width="8.33203125" style="52" customWidth="1"/>
    <col min="5893" max="5893" width="9" style="52" customWidth="1"/>
    <col min="5894" max="5894" width="6.83203125" style="52" customWidth="1"/>
    <col min="5895" max="5895" width="9.5" style="52" customWidth="1"/>
    <col min="5896" max="5897" width="8.5" style="52" customWidth="1"/>
    <col min="5898" max="5898" width="5.33203125" style="52" customWidth="1"/>
    <col min="5899" max="5899" width="7.5" style="52" customWidth="1"/>
    <col min="5900" max="5912" width="8.83203125" style="52"/>
    <col min="5913" max="5921" width="9.33203125" style="52" bestFit="1" customWidth="1"/>
    <col min="5922" max="5922" width="9.6640625" style="52" bestFit="1" customWidth="1"/>
    <col min="5923" max="5923" width="9.33203125" style="52" bestFit="1" customWidth="1"/>
    <col min="5924" max="6144" width="8.83203125" style="52"/>
    <col min="6145" max="6145" width="19.1640625" style="52" customWidth="1"/>
    <col min="6146" max="6146" width="7" style="52" bestFit="1" customWidth="1"/>
    <col min="6147" max="6147" width="12.6640625" style="52" customWidth="1"/>
    <col min="6148" max="6148" width="8.33203125" style="52" customWidth="1"/>
    <col min="6149" max="6149" width="9" style="52" customWidth="1"/>
    <col min="6150" max="6150" width="6.83203125" style="52" customWidth="1"/>
    <col min="6151" max="6151" width="9.5" style="52" customWidth="1"/>
    <col min="6152" max="6153" width="8.5" style="52" customWidth="1"/>
    <col min="6154" max="6154" width="5.33203125" style="52" customWidth="1"/>
    <col min="6155" max="6155" width="7.5" style="52" customWidth="1"/>
    <col min="6156" max="6168" width="8.83203125" style="52"/>
    <col min="6169" max="6177" width="9.33203125" style="52" bestFit="1" customWidth="1"/>
    <col min="6178" max="6178" width="9.6640625" style="52" bestFit="1" customWidth="1"/>
    <col min="6179" max="6179" width="9.33203125" style="52" bestFit="1" customWidth="1"/>
    <col min="6180" max="6400" width="8.83203125" style="52"/>
    <col min="6401" max="6401" width="19.1640625" style="52" customWidth="1"/>
    <col min="6402" max="6402" width="7" style="52" bestFit="1" customWidth="1"/>
    <col min="6403" max="6403" width="12.6640625" style="52" customWidth="1"/>
    <col min="6404" max="6404" width="8.33203125" style="52" customWidth="1"/>
    <col min="6405" max="6405" width="9" style="52" customWidth="1"/>
    <col min="6406" max="6406" width="6.83203125" style="52" customWidth="1"/>
    <col min="6407" max="6407" width="9.5" style="52" customWidth="1"/>
    <col min="6408" max="6409" width="8.5" style="52" customWidth="1"/>
    <col min="6410" max="6410" width="5.33203125" style="52" customWidth="1"/>
    <col min="6411" max="6411" width="7.5" style="52" customWidth="1"/>
    <col min="6412" max="6424" width="8.83203125" style="52"/>
    <col min="6425" max="6433" width="9.33203125" style="52" bestFit="1" customWidth="1"/>
    <col min="6434" max="6434" width="9.6640625" style="52" bestFit="1" customWidth="1"/>
    <col min="6435" max="6435" width="9.33203125" style="52" bestFit="1" customWidth="1"/>
    <col min="6436" max="6656" width="8.83203125" style="52"/>
    <col min="6657" max="6657" width="19.1640625" style="52" customWidth="1"/>
    <col min="6658" max="6658" width="7" style="52" bestFit="1" customWidth="1"/>
    <col min="6659" max="6659" width="12.6640625" style="52" customWidth="1"/>
    <col min="6660" max="6660" width="8.33203125" style="52" customWidth="1"/>
    <col min="6661" max="6661" width="9" style="52" customWidth="1"/>
    <col min="6662" max="6662" width="6.83203125" style="52" customWidth="1"/>
    <col min="6663" max="6663" width="9.5" style="52" customWidth="1"/>
    <col min="6664" max="6665" width="8.5" style="52" customWidth="1"/>
    <col min="6666" max="6666" width="5.33203125" style="52" customWidth="1"/>
    <col min="6667" max="6667" width="7.5" style="52" customWidth="1"/>
    <col min="6668" max="6680" width="8.83203125" style="52"/>
    <col min="6681" max="6689" width="9.33203125" style="52" bestFit="1" customWidth="1"/>
    <col min="6690" max="6690" width="9.6640625" style="52" bestFit="1" customWidth="1"/>
    <col min="6691" max="6691" width="9.33203125" style="52" bestFit="1" customWidth="1"/>
    <col min="6692" max="6912" width="8.83203125" style="52"/>
    <col min="6913" max="6913" width="19.1640625" style="52" customWidth="1"/>
    <col min="6914" max="6914" width="7" style="52" bestFit="1" customWidth="1"/>
    <col min="6915" max="6915" width="12.6640625" style="52" customWidth="1"/>
    <col min="6916" max="6916" width="8.33203125" style="52" customWidth="1"/>
    <col min="6917" max="6917" width="9" style="52" customWidth="1"/>
    <col min="6918" max="6918" width="6.83203125" style="52" customWidth="1"/>
    <col min="6919" max="6919" width="9.5" style="52" customWidth="1"/>
    <col min="6920" max="6921" width="8.5" style="52" customWidth="1"/>
    <col min="6922" max="6922" width="5.33203125" style="52" customWidth="1"/>
    <col min="6923" max="6923" width="7.5" style="52" customWidth="1"/>
    <col min="6924" max="6936" width="8.83203125" style="52"/>
    <col min="6937" max="6945" width="9.33203125" style="52" bestFit="1" customWidth="1"/>
    <col min="6946" max="6946" width="9.6640625" style="52" bestFit="1" customWidth="1"/>
    <col min="6947" max="6947" width="9.33203125" style="52" bestFit="1" customWidth="1"/>
    <col min="6948" max="7168" width="8.83203125" style="52"/>
    <col min="7169" max="7169" width="19.1640625" style="52" customWidth="1"/>
    <col min="7170" max="7170" width="7" style="52" bestFit="1" customWidth="1"/>
    <col min="7171" max="7171" width="12.6640625" style="52" customWidth="1"/>
    <col min="7172" max="7172" width="8.33203125" style="52" customWidth="1"/>
    <col min="7173" max="7173" width="9" style="52" customWidth="1"/>
    <col min="7174" max="7174" width="6.83203125" style="52" customWidth="1"/>
    <col min="7175" max="7175" width="9.5" style="52" customWidth="1"/>
    <col min="7176" max="7177" width="8.5" style="52" customWidth="1"/>
    <col min="7178" max="7178" width="5.33203125" style="52" customWidth="1"/>
    <col min="7179" max="7179" width="7.5" style="52" customWidth="1"/>
    <col min="7180" max="7192" width="8.83203125" style="52"/>
    <col min="7193" max="7201" width="9.33203125" style="52" bestFit="1" customWidth="1"/>
    <col min="7202" max="7202" width="9.6640625" style="52" bestFit="1" customWidth="1"/>
    <col min="7203" max="7203" width="9.33203125" style="52" bestFit="1" customWidth="1"/>
    <col min="7204" max="7424" width="8.83203125" style="52"/>
    <col min="7425" max="7425" width="19.1640625" style="52" customWidth="1"/>
    <col min="7426" max="7426" width="7" style="52" bestFit="1" customWidth="1"/>
    <col min="7427" max="7427" width="12.6640625" style="52" customWidth="1"/>
    <col min="7428" max="7428" width="8.33203125" style="52" customWidth="1"/>
    <col min="7429" max="7429" width="9" style="52" customWidth="1"/>
    <col min="7430" max="7430" width="6.83203125" style="52" customWidth="1"/>
    <col min="7431" max="7431" width="9.5" style="52" customWidth="1"/>
    <col min="7432" max="7433" width="8.5" style="52" customWidth="1"/>
    <col min="7434" max="7434" width="5.33203125" style="52" customWidth="1"/>
    <col min="7435" max="7435" width="7.5" style="52" customWidth="1"/>
    <col min="7436" max="7448" width="8.83203125" style="52"/>
    <col min="7449" max="7457" width="9.33203125" style="52" bestFit="1" customWidth="1"/>
    <col min="7458" max="7458" width="9.6640625" style="52" bestFit="1" customWidth="1"/>
    <col min="7459" max="7459" width="9.33203125" style="52" bestFit="1" customWidth="1"/>
    <col min="7460" max="7680" width="8.83203125" style="52"/>
    <col min="7681" max="7681" width="19.1640625" style="52" customWidth="1"/>
    <col min="7682" max="7682" width="7" style="52" bestFit="1" customWidth="1"/>
    <col min="7683" max="7683" width="12.6640625" style="52" customWidth="1"/>
    <col min="7684" max="7684" width="8.33203125" style="52" customWidth="1"/>
    <col min="7685" max="7685" width="9" style="52" customWidth="1"/>
    <col min="7686" max="7686" width="6.83203125" style="52" customWidth="1"/>
    <col min="7687" max="7687" width="9.5" style="52" customWidth="1"/>
    <col min="7688" max="7689" width="8.5" style="52" customWidth="1"/>
    <col min="7690" max="7690" width="5.33203125" style="52" customWidth="1"/>
    <col min="7691" max="7691" width="7.5" style="52" customWidth="1"/>
    <col min="7692" max="7704" width="8.83203125" style="52"/>
    <col min="7705" max="7713" width="9.33203125" style="52" bestFit="1" customWidth="1"/>
    <col min="7714" max="7714" width="9.6640625" style="52" bestFit="1" customWidth="1"/>
    <col min="7715" max="7715" width="9.33203125" style="52" bestFit="1" customWidth="1"/>
    <col min="7716" max="7936" width="8.83203125" style="52"/>
    <col min="7937" max="7937" width="19.1640625" style="52" customWidth="1"/>
    <col min="7938" max="7938" width="7" style="52" bestFit="1" customWidth="1"/>
    <col min="7939" max="7939" width="12.6640625" style="52" customWidth="1"/>
    <col min="7940" max="7940" width="8.33203125" style="52" customWidth="1"/>
    <col min="7941" max="7941" width="9" style="52" customWidth="1"/>
    <col min="7942" max="7942" width="6.83203125" style="52" customWidth="1"/>
    <col min="7943" max="7943" width="9.5" style="52" customWidth="1"/>
    <col min="7944" max="7945" width="8.5" style="52" customWidth="1"/>
    <col min="7946" max="7946" width="5.33203125" style="52" customWidth="1"/>
    <col min="7947" max="7947" width="7.5" style="52" customWidth="1"/>
    <col min="7948" max="7960" width="8.83203125" style="52"/>
    <col min="7961" max="7969" width="9.33203125" style="52" bestFit="1" customWidth="1"/>
    <col min="7970" max="7970" width="9.6640625" style="52" bestFit="1" customWidth="1"/>
    <col min="7971" max="7971" width="9.33203125" style="52" bestFit="1" customWidth="1"/>
    <col min="7972" max="8192" width="8.83203125" style="52"/>
    <col min="8193" max="8193" width="19.1640625" style="52" customWidth="1"/>
    <col min="8194" max="8194" width="7" style="52" bestFit="1" customWidth="1"/>
    <col min="8195" max="8195" width="12.6640625" style="52" customWidth="1"/>
    <col min="8196" max="8196" width="8.33203125" style="52" customWidth="1"/>
    <col min="8197" max="8197" width="9" style="52" customWidth="1"/>
    <col min="8198" max="8198" width="6.83203125" style="52" customWidth="1"/>
    <col min="8199" max="8199" width="9.5" style="52" customWidth="1"/>
    <col min="8200" max="8201" width="8.5" style="52" customWidth="1"/>
    <col min="8202" max="8202" width="5.33203125" style="52" customWidth="1"/>
    <col min="8203" max="8203" width="7.5" style="52" customWidth="1"/>
    <col min="8204" max="8216" width="8.83203125" style="52"/>
    <col min="8217" max="8225" width="9.33203125" style="52" bestFit="1" customWidth="1"/>
    <col min="8226" max="8226" width="9.6640625" style="52" bestFit="1" customWidth="1"/>
    <col min="8227" max="8227" width="9.33203125" style="52" bestFit="1" customWidth="1"/>
    <col min="8228" max="8448" width="8.83203125" style="52"/>
    <col min="8449" max="8449" width="19.1640625" style="52" customWidth="1"/>
    <col min="8450" max="8450" width="7" style="52" bestFit="1" customWidth="1"/>
    <col min="8451" max="8451" width="12.6640625" style="52" customWidth="1"/>
    <col min="8452" max="8452" width="8.33203125" style="52" customWidth="1"/>
    <col min="8453" max="8453" width="9" style="52" customWidth="1"/>
    <col min="8454" max="8454" width="6.83203125" style="52" customWidth="1"/>
    <col min="8455" max="8455" width="9.5" style="52" customWidth="1"/>
    <col min="8456" max="8457" width="8.5" style="52" customWidth="1"/>
    <col min="8458" max="8458" width="5.33203125" style="52" customWidth="1"/>
    <col min="8459" max="8459" width="7.5" style="52" customWidth="1"/>
    <col min="8460" max="8472" width="8.83203125" style="52"/>
    <col min="8473" max="8481" width="9.33203125" style="52" bestFit="1" customWidth="1"/>
    <col min="8482" max="8482" width="9.6640625" style="52" bestFit="1" customWidth="1"/>
    <col min="8483" max="8483" width="9.33203125" style="52" bestFit="1" customWidth="1"/>
    <col min="8484" max="8704" width="8.83203125" style="52"/>
    <col min="8705" max="8705" width="19.1640625" style="52" customWidth="1"/>
    <col min="8706" max="8706" width="7" style="52" bestFit="1" customWidth="1"/>
    <col min="8707" max="8707" width="12.6640625" style="52" customWidth="1"/>
    <col min="8708" max="8708" width="8.33203125" style="52" customWidth="1"/>
    <col min="8709" max="8709" width="9" style="52" customWidth="1"/>
    <col min="8710" max="8710" width="6.83203125" style="52" customWidth="1"/>
    <col min="8711" max="8711" width="9.5" style="52" customWidth="1"/>
    <col min="8712" max="8713" width="8.5" style="52" customWidth="1"/>
    <col min="8714" max="8714" width="5.33203125" style="52" customWidth="1"/>
    <col min="8715" max="8715" width="7.5" style="52" customWidth="1"/>
    <col min="8716" max="8728" width="8.83203125" style="52"/>
    <col min="8729" max="8737" width="9.33203125" style="52" bestFit="1" customWidth="1"/>
    <col min="8738" max="8738" width="9.6640625" style="52" bestFit="1" customWidth="1"/>
    <col min="8739" max="8739" width="9.33203125" style="52" bestFit="1" customWidth="1"/>
    <col min="8740" max="8960" width="8.83203125" style="52"/>
    <col min="8961" max="8961" width="19.1640625" style="52" customWidth="1"/>
    <col min="8962" max="8962" width="7" style="52" bestFit="1" customWidth="1"/>
    <col min="8963" max="8963" width="12.6640625" style="52" customWidth="1"/>
    <col min="8964" max="8964" width="8.33203125" style="52" customWidth="1"/>
    <col min="8965" max="8965" width="9" style="52" customWidth="1"/>
    <col min="8966" max="8966" width="6.83203125" style="52" customWidth="1"/>
    <col min="8967" max="8967" width="9.5" style="52" customWidth="1"/>
    <col min="8968" max="8969" width="8.5" style="52" customWidth="1"/>
    <col min="8970" max="8970" width="5.33203125" style="52" customWidth="1"/>
    <col min="8971" max="8971" width="7.5" style="52" customWidth="1"/>
    <col min="8972" max="8984" width="8.83203125" style="52"/>
    <col min="8985" max="8993" width="9.33203125" style="52" bestFit="1" customWidth="1"/>
    <col min="8994" max="8994" width="9.6640625" style="52" bestFit="1" customWidth="1"/>
    <col min="8995" max="8995" width="9.33203125" style="52" bestFit="1" customWidth="1"/>
    <col min="8996" max="9216" width="8.83203125" style="52"/>
    <col min="9217" max="9217" width="19.1640625" style="52" customWidth="1"/>
    <col min="9218" max="9218" width="7" style="52" bestFit="1" customWidth="1"/>
    <col min="9219" max="9219" width="12.6640625" style="52" customWidth="1"/>
    <col min="9220" max="9220" width="8.33203125" style="52" customWidth="1"/>
    <col min="9221" max="9221" width="9" style="52" customWidth="1"/>
    <col min="9222" max="9222" width="6.83203125" style="52" customWidth="1"/>
    <col min="9223" max="9223" width="9.5" style="52" customWidth="1"/>
    <col min="9224" max="9225" width="8.5" style="52" customWidth="1"/>
    <col min="9226" max="9226" width="5.33203125" style="52" customWidth="1"/>
    <col min="9227" max="9227" width="7.5" style="52" customWidth="1"/>
    <col min="9228" max="9240" width="8.83203125" style="52"/>
    <col min="9241" max="9249" width="9.33203125" style="52" bestFit="1" customWidth="1"/>
    <col min="9250" max="9250" width="9.6640625" style="52" bestFit="1" customWidth="1"/>
    <col min="9251" max="9251" width="9.33203125" style="52" bestFit="1" customWidth="1"/>
    <col min="9252" max="9472" width="8.83203125" style="52"/>
    <col min="9473" max="9473" width="19.1640625" style="52" customWidth="1"/>
    <col min="9474" max="9474" width="7" style="52" bestFit="1" customWidth="1"/>
    <col min="9475" max="9475" width="12.6640625" style="52" customWidth="1"/>
    <col min="9476" max="9476" width="8.33203125" style="52" customWidth="1"/>
    <col min="9477" max="9477" width="9" style="52" customWidth="1"/>
    <col min="9478" max="9478" width="6.83203125" style="52" customWidth="1"/>
    <col min="9479" max="9479" width="9.5" style="52" customWidth="1"/>
    <col min="9480" max="9481" width="8.5" style="52" customWidth="1"/>
    <col min="9482" max="9482" width="5.33203125" style="52" customWidth="1"/>
    <col min="9483" max="9483" width="7.5" style="52" customWidth="1"/>
    <col min="9484" max="9496" width="8.83203125" style="52"/>
    <col min="9497" max="9505" width="9.33203125" style="52" bestFit="1" customWidth="1"/>
    <col min="9506" max="9506" width="9.6640625" style="52" bestFit="1" customWidth="1"/>
    <col min="9507" max="9507" width="9.33203125" style="52" bestFit="1" customWidth="1"/>
    <col min="9508" max="9728" width="8.83203125" style="52"/>
    <col min="9729" max="9729" width="19.1640625" style="52" customWidth="1"/>
    <col min="9730" max="9730" width="7" style="52" bestFit="1" customWidth="1"/>
    <col min="9731" max="9731" width="12.6640625" style="52" customWidth="1"/>
    <col min="9732" max="9732" width="8.33203125" style="52" customWidth="1"/>
    <col min="9733" max="9733" width="9" style="52" customWidth="1"/>
    <col min="9734" max="9734" width="6.83203125" style="52" customWidth="1"/>
    <col min="9735" max="9735" width="9.5" style="52" customWidth="1"/>
    <col min="9736" max="9737" width="8.5" style="52" customWidth="1"/>
    <col min="9738" max="9738" width="5.33203125" style="52" customWidth="1"/>
    <col min="9739" max="9739" width="7.5" style="52" customWidth="1"/>
    <col min="9740" max="9752" width="8.83203125" style="52"/>
    <col min="9753" max="9761" width="9.33203125" style="52" bestFit="1" customWidth="1"/>
    <col min="9762" max="9762" width="9.6640625" style="52" bestFit="1" customWidth="1"/>
    <col min="9763" max="9763" width="9.33203125" style="52" bestFit="1" customWidth="1"/>
    <col min="9764" max="9984" width="8.83203125" style="52"/>
    <col min="9985" max="9985" width="19.1640625" style="52" customWidth="1"/>
    <col min="9986" max="9986" width="7" style="52" bestFit="1" customWidth="1"/>
    <col min="9987" max="9987" width="12.6640625" style="52" customWidth="1"/>
    <col min="9988" max="9988" width="8.33203125" style="52" customWidth="1"/>
    <col min="9989" max="9989" width="9" style="52" customWidth="1"/>
    <col min="9990" max="9990" width="6.83203125" style="52" customWidth="1"/>
    <col min="9991" max="9991" width="9.5" style="52" customWidth="1"/>
    <col min="9992" max="9993" width="8.5" style="52" customWidth="1"/>
    <col min="9994" max="9994" width="5.33203125" style="52" customWidth="1"/>
    <col min="9995" max="9995" width="7.5" style="52" customWidth="1"/>
    <col min="9996" max="10008" width="8.83203125" style="52"/>
    <col min="10009" max="10017" width="9.33203125" style="52" bestFit="1" customWidth="1"/>
    <col min="10018" max="10018" width="9.6640625" style="52" bestFit="1" customWidth="1"/>
    <col min="10019" max="10019" width="9.33203125" style="52" bestFit="1" customWidth="1"/>
    <col min="10020" max="10240" width="8.83203125" style="52"/>
    <col min="10241" max="10241" width="19.1640625" style="52" customWidth="1"/>
    <col min="10242" max="10242" width="7" style="52" bestFit="1" customWidth="1"/>
    <col min="10243" max="10243" width="12.6640625" style="52" customWidth="1"/>
    <col min="10244" max="10244" width="8.33203125" style="52" customWidth="1"/>
    <col min="10245" max="10245" width="9" style="52" customWidth="1"/>
    <col min="10246" max="10246" width="6.83203125" style="52" customWidth="1"/>
    <col min="10247" max="10247" width="9.5" style="52" customWidth="1"/>
    <col min="10248" max="10249" width="8.5" style="52" customWidth="1"/>
    <col min="10250" max="10250" width="5.33203125" style="52" customWidth="1"/>
    <col min="10251" max="10251" width="7.5" style="52" customWidth="1"/>
    <col min="10252" max="10264" width="8.83203125" style="52"/>
    <col min="10265" max="10273" width="9.33203125" style="52" bestFit="1" customWidth="1"/>
    <col min="10274" max="10274" width="9.6640625" style="52" bestFit="1" customWidth="1"/>
    <col min="10275" max="10275" width="9.33203125" style="52" bestFit="1" customWidth="1"/>
    <col min="10276" max="10496" width="8.83203125" style="52"/>
    <col min="10497" max="10497" width="19.1640625" style="52" customWidth="1"/>
    <col min="10498" max="10498" width="7" style="52" bestFit="1" customWidth="1"/>
    <col min="10499" max="10499" width="12.6640625" style="52" customWidth="1"/>
    <col min="10500" max="10500" width="8.33203125" style="52" customWidth="1"/>
    <col min="10501" max="10501" width="9" style="52" customWidth="1"/>
    <col min="10502" max="10502" width="6.83203125" style="52" customWidth="1"/>
    <col min="10503" max="10503" width="9.5" style="52" customWidth="1"/>
    <col min="10504" max="10505" width="8.5" style="52" customWidth="1"/>
    <col min="10506" max="10506" width="5.33203125" style="52" customWidth="1"/>
    <col min="10507" max="10507" width="7.5" style="52" customWidth="1"/>
    <col min="10508" max="10520" width="8.83203125" style="52"/>
    <col min="10521" max="10529" width="9.33203125" style="52" bestFit="1" customWidth="1"/>
    <col min="10530" max="10530" width="9.6640625" style="52" bestFit="1" customWidth="1"/>
    <col min="10531" max="10531" width="9.33203125" style="52" bestFit="1" customWidth="1"/>
    <col min="10532" max="10752" width="8.83203125" style="52"/>
    <col min="10753" max="10753" width="19.1640625" style="52" customWidth="1"/>
    <col min="10754" max="10754" width="7" style="52" bestFit="1" customWidth="1"/>
    <col min="10755" max="10755" width="12.6640625" style="52" customWidth="1"/>
    <col min="10756" max="10756" width="8.33203125" style="52" customWidth="1"/>
    <col min="10757" max="10757" width="9" style="52" customWidth="1"/>
    <col min="10758" max="10758" width="6.83203125" style="52" customWidth="1"/>
    <col min="10759" max="10759" width="9.5" style="52" customWidth="1"/>
    <col min="10760" max="10761" width="8.5" style="52" customWidth="1"/>
    <col min="10762" max="10762" width="5.33203125" style="52" customWidth="1"/>
    <col min="10763" max="10763" width="7.5" style="52" customWidth="1"/>
    <col min="10764" max="10776" width="8.83203125" style="52"/>
    <col min="10777" max="10785" width="9.33203125" style="52" bestFit="1" customWidth="1"/>
    <col min="10786" max="10786" width="9.6640625" style="52" bestFit="1" customWidth="1"/>
    <col min="10787" max="10787" width="9.33203125" style="52" bestFit="1" customWidth="1"/>
    <col min="10788" max="11008" width="8.83203125" style="52"/>
    <col min="11009" max="11009" width="19.1640625" style="52" customWidth="1"/>
    <col min="11010" max="11010" width="7" style="52" bestFit="1" customWidth="1"/>
    <col min="11011" max="11011" width="12.6640625" style="52" customWidth="1"/>
    <col min="11012" max="11012" width="8.33203125" style="52" customWidth="1"/>
    <col min="11013" max="11013" width="9" style="52" customWidth="1"/>
    <col min="11014" max="11014" width="6.83203125" style="52" customWidth="1"/>
    <col min="11015" max="11015" width="9.5" style="52" customWidth="1"/>
    <col min="11016" max="11017" width="8.5" style="52" customWidth="1"/>
    <col min="11018" max="11018" width="5.33203125" style="52" customWidth="1"/>
    <col min="11019" max="11019" width="7.5" style="52" customWidth="1"/>
    <col min="11020" max="11032" width="8.83203125" style="52"/>
    <col min="11033" max="11041" width="9.33203125" style="52" bestFit="1" customWidth="1"/>
    <col min="11042" max="11042" width="9.6640625" style="52" bestFit="1" customWidth="1"/>
    <col min="11043" max="11043" width="9.33203125" style="52" bestFit="1" customWidth="1"/>
    <col min="11044" max="11264" width="8.83203125" style="52"/>
    <col min="11265" max="11265" width="19.1640625" style="52" customWidth="1"/>
    <col min="11266" max="11266" width="7" style="52" bestFit="1" customWidth="1"/>
    <col min="11267" max="11267" width="12.6640625" style="52" customWidth="1"/>
    <col min="11268" max="11268" width="8.33203125" style="52" customWidth="1"/>
    <col min="11269" max="11269" width="9" style="52" customWidth="1"/>
    <col min="11270" max="11270" width="6.83203125" style="52" customWidth="1"/>
    <col min="11271" max="11271" width="9.5" style="52" customWidth="1"/>
    <col min="11272" max="11273" width="8.5" style="52" customWidth="1"/>
    <col min="11274" max="11274" width="5.33203125" style="52" customWidth="1"/>
    <col min="11275" max="11275" width="7.5" style="52" customWidth="1"/>
    <col min="11276" max="11288" width="8.83203125" style="52"/>
    <col min="11289" max="11297" width="9.33203125" style="52" bestFit="1" customWidth="1"/>
    <col min="11298" max="11298" width="9.6640625" style="52" bestFit="1" customWidth="1"/>
    <col min="11299" max="11299" width="9.33203125" style="52" bestFit="1" customWidth="1"/>
    <col min="11300" max="11520" width="8.83203125" style="52"/>
    <col min="11521" max="11521" width="19.1640625" style="52" customWidth="1"/>
    <col min="11522" max="11522" width="7" style="52" bestFit="1" customWidth="1"/>
    <col min="11523" max="11523" width="12.6640625" style="52" customWidth="1"/>
    <col min="11524" max="11524" width="8.33203125" style="52" customWidth="1"/>
    <col min="11525" max="11525" width="9" style="52" customWidth="1"/>
    <col min="11526" max="11526" width="6.83203125" style="52" customWidth="1"/>
    <col min="11527" max="11527" width="9.5" style="52" customWidth="1"/>
    <col min="11528" max="11529" width="8.5" style="52" customWidth="1"/>
    <col min="11530" max="11530" width="5.33203125" style="52" customWidth="1"/>
    <col min="11531" max="11531" width="7.5" style="52" customWidth="1"/>
    <col min="11532" max="11544" width="8.83203125" style="52"/>
    <col min="11545" max="11553" width="9.33203125" style="52" bestFit="1" customWidth="1"/>
    <col min="11554" max="11554" width="9.6640625" style="52" bestFit="1" customWidth="1"/>
    <col min="11555" max="11555" width="9.33203125" style="52" bestFit="1" customWidth="1"/>
    <col min="11556" max="11776" width="8.83203125" style="52"/>
    <col min="11777" max="11777" width="19.1640625" style="52" customWidth="1"/>
    <col min="11778" max="11778" width="7" style="52" bestFit="1" customWidth="1"/>
    <col min="11779" max="11779" width="12.6640625" style="52" customWidth="1"/>
    <col min="11780" max="11780" width="8.33203125" style="52" customWidth="1"/>
    <col min="11781" max="11781" width="9" style="52" customWidth="1"/>
    <col min="11782" max="11782" width="6.83203125" style="52" customWidth="1"/>
    <col min="11783" max="11783" width="9.5" style="52" customWidth="1"/>
    <col min="11784" max="11785" width="8.5" style="52" customWidth="1"/>
    <col min="11786" max="11786" width="5.33203125" style="52" customWidth="1"/>
    <col min="11787" max="11787" width="7.5" style="52" customWidth="1"/>
    <col min="11788" max="11800" width="8.83203125" style="52"/>
    <col min="11801" max="11809" width="9.33203125" style="52" bestFit="1" customWidth="1"/>
    <col min="11810" max="11810" width="9.6640625" style="52" bestFit="1" customWidth="1"/>
    <col min="11811" max="11811" width="9.33203125" style="52" bestFit="1" customWidth="1"/>
    <col min="11812" max="12032" width="8.83203125" style="52"/>
    <col min="12033" max="12033" width="19.1640625" style="52" customWidth="1"/>
    <col min="12034" max="12034" width="7" style="52" bestFit="1" customWidth="1"/>
    <col min="12035" max="12035" width="12.6640625" style="52" customWidth="1"/>
    <col min="12036" max="12036" width="8.33203125" style="52" customWidth="1"/>
    <col min="12037" max="12037" width="9" style="52" customWidth="1"/>
    <col min="12038" max="12038" width="6.83203125" style="52" customWidth="1"/>
    <col min="12039" max="12039" width="9.5" style="52" customWidth="1"/>
    <col min="12040" max="12041" width="8.5" style="52" customWidth="1"/>
    <col min="12042" max="12042" width="5.33203125" style="52" customWidth="1"/>
    <col min="12043" max="12043" width="7.5" style="52" customWidth="1"/>
    <col min="12044" max="12056" width="8.83203125" style="52"/>
    <col min="12057" max="12065" width="9.33203125" style="52" bestFit="1" customWidth="1"/>
    <col min="12066" max="12066" width="9.6640625" style="52" bestFit="1" customWidth="1"/>
    <col min="12067" max="12067" width="9.33203125" style="52" bestFit="1" customWidth="1"/>
    <col min="12068" max="12288" width="8.83203125" style="52"/>
    <col min="12289" max="12289" width="19.1640625" style="52" customWidth="1"/>
    <col min="12290" max="12290" width="7" style="52" bestFit="1" customWidth="1"/>
    <col min="12291" max="12291" width="12.6640625" style="52" customWidth="1"/>
    <col min="12292" max="12292" width="8.33203125" style="52" customWidth="1"/>
    <col min="12293" max="12293" width="9" style="52" customWidth="1"/>
    <col min="12294" max="12294" width="6.83203125" style="52" customWidth="1"/>
    <col min="12295" max="12295" width="9.5" style="52" customWidth="1"/>
    <col min="12296" max="12297" width="8.5" style="52" customWidth="1"/>
    <col min="12298" max="12298" width="5.33203125" style="52" customWidth="1"/>
    <col min="12299" max="12299" width="7.5" style="52" customWidth="1"/>
    <col min="12300" max="12312" width="8.83203125" style="52"/>
    <col min="12313" max="12321" width="9.33203125" style="52" bestFit="1" customWidth="1"/>
    <col min="12322" max="12322" width="9.6640625" style="52" bestFit="1" customWidth="1"/>
    <col min="12323" max="12323" width="9.33203125" style="52" bestFit="1" customWidth="1"/>
    <col min="12324" max="12544" width="8.83203125" style="52"/>
    <col min="12545" max="12545" width="19.1640625" style="52" customWidth="1"/>
    <col min="12546" max="12546" width="7" style="52" bestFit="1" customWidth="1"/>
    <col min="12547" max="12547" width="12.6640625" style="52" customWidth="1"/>
    <col min="12548" max="12548" width="8.33203125" style="52" customWidth="1"/>
    <col min="12549" max="12549" width="9" style="52" customWidth="1"/>
    <col min="12550" max="12550" width="6.83203125" style="52" customWidth="1"/>
    <col min="12551" max="12551" width="9.5" style="52" customWidth="1"/>
    <col min="12552" max="12553" width="8.5" style="52" customWidth="1"/>
    <col min="12554" max="12554" width="5.33203125" style="52" customWidth="1"/>
    <col min="12555" max="12555" width="7.5" style="52" customWidth="1"/>
    <col min="12556" max="12568" width="8.83203125" style="52"/>
    <col min="12569" max="12577" width="9.33203125" style="52" bestFit="1" customWidth="1"/>
    <col min="12578" max="12578" width="9.6640625" style="52" bestFit="1" customWidth="1"/>
    <col min="12579" max="12579" width="9.33203125" style="52" bestFit="1" customWidth="1"/>
    <col min="12580" max="12800" width="8.83203125" style="52"/>
    <col min="12801" max="12801" width="19.1640625" style="52" customWidth="1"/>
    <col min="12802" max="12802" width="7" style="52" bestFit="1" customWidth="1"/>
    <col min="12803" max="12803" width="12.6640625" style="52" customWidth="1"/>
    <col min="12804" max="12804" width="8.33203125" style="52" customWidth="1"/>
    <col min="12805" max="12805" width="9" style="52" customWidth="1"/>
    <col min="12806" max="12806" width="6.83203125" style="52" customWidth="1"/>
    <col min="12807" max="12807" width="9.5" style="52" customWidth="1"/>
    <col min="12808" max="12809" width="8.5" style="52" customWidth="1"/>
    <col min="12810" max="12810" width="5.33203125" style="52" customWidth="1"/>
    <col min="12811" max="12811" width="7.5" style="52" customWidth="1"/>
    <col min="12812" max="12824" width="8.83203125" style="52"/>
    <col min="12825" max="12833" width="9.33203125" style="52" bestFit="1" customWidth="1"/>
    <col min="12834" max="12834" width="9.6640625" style="52" bestFit="1" customWidth="1"/>
    <col min="12835" max="12835" width="9.33203125" style="52" bestFit="1" customWidth="1"/>
    <col min="12836" max="13056" width="8.83203125" style="52"/>
    <col min="13057" max="13057" width="19.1640625" style="52" customWidth="1"/>
    <col min="13058" max="13058" width="7" style="52" bestFit="1" customWidth="1"/>
    <col min="13059" max="13059" width="12.6640625" style="52" customWidth="1"/>
    <col min="13060" max="13060" width="8.33203125" style="52" customWidth="1"/>
    <col min="13061" max="13061" width="9" style="52" customWidth="1"/>
    <col min="13062" max="13062" width="6.83203125" style="52" customWidth="1"/>
    <col min="13063" max="13063" width="9.5" style="52" customWidth="1"/>
    <col min="13064" max="13065" width="8.5" style="52" customWidth="1"/>
    <col min="13066" max="13066" width="5.33203125" style="52" customWidth="1"/>
    <col min="13067" max="13067" width="7.5" style="52" customWidth="1"/>
    <col min="13068" max="13080" width="8.83203125" style="52"/>
    <col min="13081" max="13089" width="9.33203125" style="52" bestFit="1" customWidth="1"/>
    <col min="13090" max="13090" width="9.6640625" style="52" bestFit="1" customWidth="1"/>
    <col min="13091" max="13091" width="9.33203125" style="52" bestFit="1" customWidth="1"/>
    <col min="13092" max="13312" width="8.83203125" style="52"/>
    <col min="13313" max="13313" width="19.1640625" style="52" customWidth="1"/>
    <col min="13314" max="13314" width="7" style="52" bestFit="1" customWidth="1"/>
    <col min="13315" max="13315" width="12.6640625" style="52" customWidth="1"/>
    <col min="13316" max="13316" width="8.33203125" style="52" customWidth="1"/>
    <col min="13317" max="13317" width="9" style="52" customWidth="1"/>
    <col min="13318" max="13318" width="6.83203125" style="52" customWidth="1"/>
    <col min="13319" max="13319" width="9.5" style="52" customWidth="1"/>
    <col min="13320" max="13321" width="8.5" style="52" customWidth="1"/>
    <col min="13322" max="13322" width="5.33203125" style="52" customWidth="1"/>
    <col min="13323" max="13323" width="7.5" style="52" customWidth="1"/>
    <col min="13324" max="13336" width="8.83203125" style="52"/>
    <col min="13337" max="13345" width="9.33203125" style="52" bestFit="1" customWidth="1"/>
    <col min="13346" max="13346" width="9.6640625" style="52" bestFit="1" customWidth="1"/>
    <col min="13347" max="13347" width="9.33203125" style="52" bestFit="1" customWidth="1"/>
    <col min="13348" max="13568" width="8.83203125" style="52"/>
    <col min="13569" max="13569" width="19.1640625" style="52" customWidth="1"/>
    <col min="13570" max="13570" width="7" style="52" bestFit="1" customWidth="1"/>
    <col min="13571" max="13571" width="12.6640625" style="52" customWidth="1"/>
    <col min="13572" max="13572" width="8.33203125" style="52" customWidth="1"/>
    <col min="13573" max="13573" width="9" style="52" customWidth="1"/>
    <col min="13574" max="13574" width="6.83203125" style="52" customWidth="1"/>
    <col min="13575" max="13575" width="9.5" style="52" customWidth="1"/>
    <col min="13576" max="13577" width="8.5" style="52" customWidth="1"/>
    <col min="13578" max="13578" width="5.33203125" style="52" customWidth="1"/>
    <col min="13579" max="13579" width="7.5" style="52" customWidth="1"/>
    <col min="13580" max="13592" width="8.83203125" style="52"/>
    <col min="13593" max="13601" width="9.33203125" style="52" bestFit="1" customWidth="1"/>
    <col min="13602" max="13602" width="9.6640625" style="52" bestFit="1" customWidth="1"/>
    <col min="13603" max="13603" width="9.33203125" style="52" bestFit="1" customWidth="1"/>
    <col min="13604" max="13824" width="8.83203125" style="52"/>
    <col min="13825" max="13825" width="19.1640625" style="52" customWidth="1"/>
    <col min="13826" max="13826" width="7" style="52" bestFit="1" customWidth="1"/>
    <col min="13827" max="13827" width="12.6640625" style="52" customWidth="1"/>
    <col min="13828" max="13828" width="8.33203125" style="52" customWidth="1"/>
    <col min="13829" max="13829" width="9" style="52" customWidth="1"/>
    <col min="13830" max="13830" width="6.83203125" style="52" customWidth="1"/>
    <col min="13831" max="13831" width="9.5" style="52" customWidth="1"/>
    <col min="13832" max="13833" width="8.5" style="52" customWidth="1"/>
    <col min="13834" max="13834" width="5.33203125" style="52" customWidth="1"/>
    <col min="13835" max="13835" width="7.5" style="52" customWidth="1"/>
    <col min="13836" max="13848" width="8.83203125" style="52"/>
    <col min="13849" max="13857" width="9.33203125" style="52" bestFit="1" customWidth="1"/>
    <col min="13858" max="13858" width="9.6640625" style="52" bestFit="1" customWidth="1"/>
    <col min="13859" max="13859" width="9.33203125" style="52" bestFit="1" customWidth="1"/>
    <col min="13860" max="14080" width="8.83203125" style="52"/>
    <col min="14081" max="14081" width="19.1640625" style="52" customWidth="1"/>
    <col min="14082" max="14082" width="7" style="52" bestFit="1" customWidth="1"/>
    <col min="14083" max="14083" width="12.6640625" style="52" customWidth="1"/>
    <col min="14084" max="14084" width="8.33203125" style="52" customWidth="1"/>
    <col min="14085" max="14085" width="9" style="52" customWidth="1"/>
    <col min="14086" max="14086" width="6.83203125" style="52" customWidth="1"/>
    <col min="14087" max="14087" width="9.5" style="52" customWidth="1"/>
    <col min="14088" max="14089" width="8.5" style="52" customWidth="1"/>
    <col min="14090" max="14090" width="5.33203125" style="52" customWidth="1"/>
    <col min="14091" max="14091" width="7.5" style="52" customWidth="1"/>
    <col min="14092" max="14104" width="8.83203125" style="52"/>
    <col min="14105" max="14113" width="9.33203125" style="52" bestFit="1" customWidth="1"/>
    <col min="14114" max="14114" width="9.6640625" style="52" bestFit="1" customWidth="1"/>
    <col min="14115" max="14115" width="9.33203125" style="52" bestFit="1" customWidth="1"/>
    <col min="14116" max="14336" width="8.83203125" style="52"/>
    <col min="14337" max="14337" width="19.1640625" style="52" customWidth="1"/>
    <col min="14338" max="14338" width="7" style="52" bestFit="1" customWidth="1"/>
    <col min="14339" max="14339" width="12.6640625" style="52" customWidth="1"/>
    <col min="14340" max="14340" width="8.33203125" style="52" customWidth="1"/>
    <col min="14341" max="14341" width="9" style="52" customWidth="1"/>
    <col min="14342" max="14342" width="6.83203125" style="52" customWidth="1"/>
    <col min="14343" max="14343" width="9.5" style="52" customWidth="1"/>
    <col min="14344" max="14345" width="8.5" style="52" customWidth="1"/>
    <col min="14346" max="14346" width="5.33203125" style="52" customWidth="1"/>
    <col min="14347" max="14347" width="7.5" style="52" customWidth="1"/>
    <col min="14348" max="14360" width="8.83203125" style="52"/>
    <col min="14361" max="14369" width="9.33203125" style="52" bestFit="1" customWidth="1"/>
    <col min="14370" max="14370" width="9.6640625" style="52" bestFit="1" customWidth="1"/>
    <col min="14371" max="14371" width="9.33203125" style="52" bestFit="1" customWidth="1"/>
    <col min="14372" max="14592" width="8.83203125" style="52"/>
    <col min="14593" max="14593" width="19.1640625" style="52" customWidth="1"/>
    <col min="14594" max="14594" width="7" style="52" bestFit="1" customWidth="1"/>
    <col min="14595" max="14595" width="12.6640625" style="52" customWidth="1"/>
    <col min="14596" max="14596" width="8.33203125" style="52" customWidth="1"/>
    <col min="14597" max="14597" width="9" style="52" customWidth="1"/>
    <col min="14598" max="14598" width="6.83203125" style="52" customWidth="1"/>
    <col min="14599" max="14599" width="9.5" style="52" customWidth="1"/>
    <col min="14600" max="14601" width="8.5" style="52" customWidth="1"/>
    <col min="14602" max="14602" width="5.33203125" style="52" customWidth="1"/>
    <col min="14603" max="14603" width="7.5" style="52" customWidth="1"/>
    <col min="14604" max="14616" width="8.83203125" style="52"/>
    <col min="14617" max="14625" width="9.33203125" style="52" bestFit="1" customWidth="1"/>
    <col min="14626" max="14626" width="9.6640625" style="52" bestFit="1" customWidth="1"/>
    <col min="14627" max="14627" width="9.33203125" style="52" bestFit="1" customWidth="1"/>
    <col min="14628" max="14848" width="8.83203125" style="52"/>
    <col min="14849" max="14849" width="19.1640625" style="52" customWidth="1"/>
    <col min="14850" max="14850" width="7" style="52" bestFit="1" customWidth="1"/>
    <col min="14851" max="14851" width="12.6640625" style="52" customWidth="1"/>
    <col min="14852" max="14852" width="8.33203125" style="52" customWidth="1"/>
    <col min="14853" max="14853" width="9" style="52" customWidth="1"/>
    <col min="14854" max="14854" width="6.83203125" style="52" customWidth="1"/>
    <col min="14855" max="14855" width="9.5" style="52" customWidth="1"/>
    <col min="14856" max="14857" width="8.5" style="52" customWidth="1"/>
    <col min="14858" max="14858" width="5.33203125" style="52" customWidth="1"/>
    <col min="14859" max="14859" width="7.5" style="52" customWidth="1"/>
    <col min="14860" max="14872" width="8.83203125" style="52"/>
    <col min="14873" max="14881" width="9.33203125" style="52" bestFit="1" customWidth="1"/>
    <col min="14882" max="14882" width="9.6640625" style="52" bestFit="1" customWidth="1"/>
    <col min="14883" max="14883" width="9.33203125" style="52" bestFit="1" customWidth="1"/>
    <col min="14884" max="15104" width="8.83203125" style="52"/>
    <col min="15105" max="15105" width="19.1640625" style="52" customWidth="1"/>
    <col min="15106" max="15106" width="7" style="52" bestFit="1" customWidth="1"/>
    <col min="15107" max="15107" width="12.6640625" style="52" customWidth="1"/>
    <col min="15108" max="15108" width="8.33203125" style="52" customWidth="1"/>
    <col min="15109" max="15109" width="9" style="52" customWidth="1"/>
    <col min="15110" max="15110" width="6.83203125" style="52" customWidth="1"/>
    <col min="15111" max="15111" width="9.5" style="52" customWidth="1"/>
    <col min="15112" max="15113" width="8.5" style="52" customWidth="1"/>
    <col min="15114" max="15114" width="5.33203125" style="52" customWidth="1"/>
    <col min="15115" max="15115" width="7.5" style="52" customWidth="1"/>
    <col min="15116" max="15128" width="8.83203125" style="52"/>
    <col min="15129" max="15137" width="9.33203125" style="52" bestFit="1" customWidth="1"/>
    <col min="15138" max="15138" width="9.6640625" style="52" bestFit="1" customWidth="1"/>
    <col min="15139" max="15139" width="9.33203125" style="52" bestFit="1" customWidth="1"/>
    <col min="15140" max="15360" width="8.83203125" style="52"/>
    <col min="15361" max="15361" width="19.1640625" style="52" customWidth="1"/>
    <col min="15362" max="15362" width="7" style="52" bestFit="1" customWidth="1"/>
    <col min="15363" max="15363" width="12.6640625" style="52" customWidth="1"/>
    <col min="15364" max="15364" width="8.33203125" style="52" customWidth="1"/>
    <col min="15365" max="15365" width="9" style="52" customWidth="1"/>
    <col min="15366" max="15366" width="6.83203125" style="52" customWidth="1"/>
    <col min="15367" max="15367" width="9.5" style="52" customWidth="1"/>
    <col min="15368" max="15369" width="8.5" style="52" customWidth="1"/>
    <col min="15370" max="15370" width="5.33203125" style="52" customWidth="1"/>
    <col min="15371" max="15371" width="7.5" style="52" customWidth="1"/>
    <col min="15372" max="15384" width="8.83203125" style="52"/>
    <col min="15385" max="15393" width="9.33203125" style="52" bestFit="1" customWidth="1"/>
    <col min="15394" max="15394" width="9.6640625" style="52" bestFit="1" customWidth="1"/>
    <col min="15395" max="15395" width="9.33203125" style="52" bestFit="1" customWidth="1"/>
    <col min="15396" max="15616" width="8.83203125" style="52"/>
    <col min="15617" max="15617" width="19.1640625" style="52" customWidth="1"/>
    <col min="15618" max="15618" width="7" style="52" bestFit="1" customWidth="1"/>
    <col min="15619" max="15619" width="12.6640625" style="52" customWidth="1"/>
    <col min="15620" max="15620" width="8.33203125" style="52" customWidth="1"/>
    <col min="15621" max="15621" width="9" style="52" customWidth="1"/>
    <col min="15622" max="15622" width="6.83203125" style="52" customWidth="1"/>
    <col min="15623" max="15623" width="9.5" style="52" customWidth="1"/>
    <col min="15624" max="15625" width="8.5" style="52" customWidth="1"/>
    <col min="15626" max="15626" width="5.33203125" style="52" customWidth="1"/>
    <col min="15627" max="15627" width="7.5" style="52" customWidth="1"/>
    <col min="15628" max="15640" width="8.83203125" style="52"/>
    <col min="15641" max="15649" width="9.33203125" style="52" bestFit="1" customWidth="1"/>
    <col min="15650" max="15650" width="9.6640625" style="52" bestFit="1" customWidth="1"/>
    <col min="15651" max="15651" width="9.33203125" style="52" bestFit="1" customWidth="1"/>
    <col min="15652" max="15872" width="8.83203125" style="52"/>
    <col min="15873" max="15873" width="19.1640625" style="52" customWidth="1"/>
    <col min="15874" max="15874" width="7" style="52" bestFit="1" customWidth="1"/>
    <col min="15875" max="15875" width="12.6640625" style="52" customWidth="1"/>
    <col min="15876" max="15876" width="8.33203125" style="52" customWidth="1"/>
    <col min="15877" max="15877" width="9" style="52" customWidth="1"/>
    <col min="15878" max="15878" width="6.83203125" style="52" customWidth="1"/>
    <col min="15879" max="15879" width="9.5" style="52" customWidth="1"/>
    <col min="15880" max="15881" width="8.5" style="52" customWidth="1"/>
    <col min="15882" max="15882" width="5.33203125" style="52" customWidth="1"/>
    <col min="15883" max="15883" width="7.5" style="52" customWidth="1"/>
    <col min="15884" max="15896" width="8.83203125" style="52"/>
    <col min="15897" max="15905" width="9.33203125" style="52" bestFit="1" customWidth="1"/>
    <col min="15906" max="15906" width="9.6640625" style="52" bestFit="1" customWidth="1"/>
    <col min="15907" max="15907" width="9.33203125" style="52" bestFit="1" customWidth="1"/>
    <col min="15908" max="16128" width="8.83203125" style="52"/>
    <col min="16129" max="16129" width="19.1640625" style="52" customWidth="1"/>
    <col min="16130" max="16130" width="7" style="52" bestFit="1" customWidth="1"/>
    <col min="16131" max="16131" width="12.6640625" style="52" customWidth="1"/>
    <col min="16132" max="16132" width="8.33203125" style="52" customWidth="1"/>
    <col min="16133" max="16133" width="9" style="52" customWidth="1"/>
    <col min="16134" max="16134" width="6.83203125" style="52" customWidth="1"/>
    <col min="16135" max="16135" width="9.5" style="52" customWidth="1"/>
    <col min="16136" max="16137" width="8.5" style="52" customWidth="1"/>
    <col min="16138" max="16138" width="5.33203125" style="52" customWidth="1"/>
    <col min="16139" max="16139" width="7.5" style="52" customWidth="1"/>
    <col min="16140" max="16152" width="8.83203125" style="52"/>
    <col min="16153" max="16161" width="9.33203125" style="52" bestFit="1" customWidth="1"/>
    <col min="16162" max="16162" width="9.6640625" style="52" bestFit="1" customWidth="1"/>
    <col min="16163" max="16163" width="9.33203125" style="52" bestFit="1" customWidth="1"/>
    <col min="16164" max="16384" width="8.83203125" style="52"/>
  </cols>
  <sheetData>
    <row r="1" spans="1:35" s="45" customFormat="1" ht="21.75" customHeight="1">
      <c r="A1" s="42" t="s">
        <v>123</v>
      </c>
      <c r="B1" s="43"/>
      <c r="C1" s="43"/>
      <c r="D1" s="43"/>
      <c r="E1" s="43"/>
      <c r="F1" s="43"/>
      <c r="G1" s="43"/>
      <c r="H1" s="44"/>
      <c r="J1" s="46"/>
    </row>
    <row r="2" spans="1:35" ht="15.75" customHeight="1" thickBot="1">
      <c r="A2" s="47"/>
      <c r="B2" s="47"/>
      <c r="C2" s="47"/>
      <c r="D2" s="47"/>
      <c r="E2" s="47"/>
      <c r="F2" s="47"/>
      <c r="G2" s="48"/>
      <c r="H2" s="49"/>
      <c r="I2" s="50"/>
      <c r="J2" s="50"/>
      <c r="K2" s="51" t="s">
        <v>124</v>
      </c>
    </row>
    <row r="3" spans="1:35" s="56" customFormat="1" ht="33.75" customHeight="1" thickTop="1">
      <c r="A3" s="53"/>
      <c r="B3" s="54" t="s">
        <v>125</v>
      </c>
      <c r="C3" s="55" t="s">
        <v>126</v>
      </c>
      <c r="D3" s="54" t="s">
        <v>127</v>
      </c>
      <c r="E3" s="54" t="s">
        <v>128</v>
      </c>
      <c r="F3" s="55" t="s">
        <v>129</v>
      </c>
      <c r="G3" s="55" t="s">
        <v>130</v>
      </c>
      <c r="H3" s="54" t="s">
        <v>131</v>
      </c>
      <c r="I3" s="54" t="s">
        <v>5</v>
      </c>
      <c r="J3" s="54" t="s">
        <v>16</v>
      </c>
      <c r="K3" s="54" t="s">
        <v>132</v>
      </c>
    </row>
    <row r="4" spans="1:35" s="60" customFormat="1" ht="10.5" customHeight="1">
      <c r="A4" s="57" t="s">
        <v>133</v>
      </c>
      <c r="B4" s="58"/>
      <c r="C4" s="59"/>
      <c r="D4" s="59"/>
      <c r="E4" s="59"/>
      <c r="F4" s="59"/>
      <c r="G4" s="59"/>
      <c r="H4" s="59"/>
      <c r="I4" s="59"/>
      <c r="J4" s="59"/>
      <c r="K4" s="59"/>
      <c r="M4" s="59"/>
      <c r="N4" s="59"/>
      <c r="O4" s="59"/>
      <c r="P4" s="59"/>
      <c r="Q4" s="59"/>
      <c r="R4" s="59"/>
      <c r="S4" s="59"/>
      <c r="T4" s="59"/>
      <c r="U4" s="59"/>
      <c r="V4" s="59"/>
      <c r="W4" s="61"/>
      <c r="AB4" s="59"/>
      <c r="AC4" s="59"/>
      <c r="AD4" s="59"/>
      <c r="AE4" s="59"/>
      <c r="AF4" s="59"/>
      <c r="AG4" s="59"/>
      <c r="AH4" s="59"/>
      <c r="AI4" s="61"/>
    </row>
    <row r="5" spans="1:35" s="60" customFormat="1" ht="10.5" customHeight="1">
      <c r="A5" s="47" t="s">
        <v>134</v>
      </c>
      <c r="B5" s="62">
        <v>10696.083047160781</v>
      </c>
      <c r="C5" s="58">
        <v>0</v>
      </c>
      <c r="D5" s="62">
        <v>83911.539840911268</v>
      </c>
      <c r="E5" s="58">
        <v>0</v>
      </c>
      <c r="F5" s="58">
        <v>72124.616785399121</v>
      </c>
      <c r="G5" s="62">
        <v>4356.7008211972789</v>
      </c>
      <c r="H5" s="59">
        <v>14928.085856213287</v>
      </c>
      <c r="I5" s="58">
        <v>0</v>
      </c>
      <c r="J5" s="58">
        <v>0</v>
      </c>
      <c r="K5" s="62">
        <v>186017.02635088173</v>
      </c>
      <c r="L5" s="58"/>
      <c r="M5" s="59"/>
      <c r="N5" s="59"/>
      <c r="O5" s="59"/>
      <c r="P5" s="59"/>
      <c r="Q5" s="59"/>
      <c r="R5" s="59"/>
      <c r="S5" s="59"/>
      <c r="T5" s="59"/>
      <c r="U5" s="59"/>
      <c r="V5" s="59"/>
      <c r="W5" s="61"/>
      <c r="AB5" s="59"/>
      <c r="AC5" s="59"/>
      <c r="AD5" s="59"/>
      <c r="AE5" s="59"/>
      <c r="AF5" s="59"/>
      <c r="AG5" s="59"/>
      <c r="AH5" s="59"/>
      <c r="AI5" s="61"/>
    </row>
    <row r="6" spans="1:35" s="60" customFormat="1" ht="10.5" customHeight="1">
      <c r="A6" s="47" t="s">
        <v>4</v>
      </c>
      <c r="B6" s="62">
        <v>28197.303077449134</v>
      </c>
      <c r="C6" s="62">
        <v>732.70241770266057</v>
      </c>
      <c r="D6" s="62">
        <v>62610.668562862113</v>
      </c>
      <c r="E6" s="62">
        <v>27500.819475971544</v>
      </c>
      <c r="F6" s="58">
        <v>29065.04276575569</v>
      </c>
      <c r="G6" s="58">
        <v>378.1990757892263</v>
      </c>
      <c r="H6" s="58">
        <v>0</v>
      </c>
      <c r="I6" s="58">
        <v>740.57489251934669</v>
      </c>
      <c r="J6" s="58">
        <v>0</v>
      </c>
      <c r="K6" s="62">
        <v>149225.31026804971</v>
      </c>
      <c r="L6" s="58"/>
      <c r="M6" s="59"/>
      <c r="N6" s="59"/>
      <c r="O6" s="59"/>
      <c r="P6" s="59"/>
      <c r="Q6" s="59"/>
      <c r="R6" s="59"/>
      <c r="S6" s="59"/>
      <c r="T6" s="59"/>
      <c r="U6" s="59"/>
      <c r="V6" s="59"/>
      <c r="W6" s="61"/>
      <c r="AB6" s="59"/>
      <c r="AC6" s="59"/>
      <c r="AD6" s="59"/>
      <c r="AE6" s="59"/>
      <c r="AF6" s="59"/>
      <c r="AG6" s="59"/>
      <c r="AH6" s="59"/>
      <c r="AI6" s="61"/>
    </row>
    <row r="7" spans="1:35" s="60" customFormat="1" ht="10.5" customHeight="1">
      <c r="A7" s="47" t="s">
        <v>135</v>
      </c>
      <c r="B7" s="62">
        <v>-418.85810329210875</v>
      </c>
      <c r="C7" s="62">
        <v>-170.41374128212479</v>
      </c>
      <c r="D7" s="58">
        <v>-55753.92076361864</v>
      </c>
      <c r="E7" s="62">
        <v>-32709.85248511305</v>
      </c>
      <c r="F7" s="58">
        <v>-10589.664168786079</v>
      </c>
      <c r="G7" s="62">
        <v>-33.830762525597763</v>
      </c>
      <c r="H7" s="58">
        <v>0</v>
      </c>
      <c r="I7" s="58">
        <v>-292.20651332760116</v>
      </c>
      <c r="J7" s="58">
        <v>0</v>
      </c>
      <c r="K7" s="62">
        <v>-99968.746537945219</v>
      </c>
      <c r="L7" s="58"/>
      <c r="M7" s="59"/>
      <c r="N7" s="59"/>
      <c r="O7" s="59"/>
      <c r="P7" s="59"/>
      <c r="Q7" s="59"/>
      <c r="R7" s="59"/>
      <c r="S7" s="59"/>
      <c r="T7" s="59"/>
      <c r="U7" s="59"/>
      <c r="V7" s="59"/>
      <c r="W7" s="61"/>
      <c r="AB7" s="59"/>
      <c r="AC7" s="59"/>
      <c r="AD7" s="59"/>
      <c r="AE7" s="59"/>
      <c r="AF7" s="59"/>
      <c r="AG7" s="59"/>
      <c r="AH7" s="59"/>
      <c r="AI7" s="61"/>
    </row>
    <row r="8" spans="1:35" s="60" customFormat="1" ht="10.5" customHeight="1">
      <c r="A8" s="47" t="s">
        <v>136</v>
      </c>
      <c r="B8" s="58">
        <v>0</v>
      </c>
      <c r="C8" s="58">
        <v>0</v>
      </c>
      <c r="D8" s="58">
        <v>0</v>
      </c>
      <c r="E8" s="58">
        <v>-2512.6647831668879</v>
      </c>
      <c r="F8" s="58">
        <v>0</v>
      </c>
      <c r="G8" s="58">
        <v>0</v>
      </c>
      <c r="H8" s="58">
        <v>0</v>
      </c>
      <c r="I8" s="58">
        <v>0</v>
      </c>
      <c r="J8" s="58">
        <v>0</v>
      </c>
      <c r="K8" s="58">
        <v>-2512.6647831668879</v>
      </c>
      <c r="L8" s="58"/>
      <c r="M8" s="59"/>
      <c r="N8" s="59"/>
      <c r="O8" s="59"/>
      <c r="P8" s="59"/>
      <c r="Q8" s="59"/>
      <c r="R8" s="59"/>
      <c r="S8" s="59"/>
      <c r="T8" s="59"/>
      <c r="U8" s="59"/>
      <c r="V8" s="59"/>
      <c r="W8" s="61"/>
      <c r="AB8" s="59"/>
      <c r="AC8" s="59"/>
      <c r="AD8" s="59"/>
      <c r="AE8" s="59"/>
      <c r="AF8" s="59"/>
      <c r="AG8" s="59"/>
      <c r="AH8" s="59"/>
      <c r="AI8" s="61"/>
    </row>
    <row r="9" spans="1:35" s="60" customFormat="1" ht="10.5" customHeight="1">
      <c r="A9" s="63" t="s">
        <v>137</v>
      </c>
      <c r="B9" s="62">
        <v>1862.112589495056</v>
      </c>
      <c r="C9" s="58">
        <v>-21.699939703353486</v>
      </c>
      <c r="D9" s="58">
        <v>856.21824163238955</v>
      </c>
      <c r="E9" s="62">
        <v>1090.1022239432027</v>
      </c>
      <c r="F9" s="58">
        <v>471.19518486672553</v>
      </c>
      <c r="G9" s="58">
        <v>0</v>
      </c>
      <c r="H9" s="58">
        <v>0</v>
      </c>
      <c r="I9" s="58">
        <v>0</v>
      </c>
      <c r="J9" s="58">
        <v>0</v>
      </c>
      <c r="K9" s="62">
        <v>4257.9283002340208</v>
      </c>
      <c r="L9" s="58"/>
      <c r="M9" s="59"/>
      <c r="N9" s="59"/>
      <c r="O9" s="59"/>
      <c r="P9" s="59"/>
      <c r="Q9" s="59"/>
      <c r="R9" s="59"/>
      <c r="S9" s="59"/>
      <c r="T9" s="59"/>
      <c r="U9" s="59"/>
      <c r="V9" s="59"/>
      <c r="W9" s="61"/>
      <c r="AB9" s="59"/>
      <c r="AC9" s="59"/>
      <c r="AD9" s="59"/>
      <c r="AE9" s="59"/>
      <c r="AF9" s="59"/>
      <c r="AG9" s="59"/>
      <c r="AH9" s="59"/>
      <c r="AI9" s="61"/>
    </row>
    <row r="10" spans="1:35" s="67" customFormat="1" ht="10.5" customHeight="1">
      <c r="A10" s="64" t="s">
        <v>138</v>
      </c>
      <c r="B10" s="65">
        <v>40336.640610812858</v>
      </c>
      <c r="C10" s="65">
        <v>540.58873671718231</v>
      </c>
      <c r="D10" s="66">
        <v>91624.505881787132</v>
      </c>
      <c r="E10" s="65">
        <v>-6631.59556836519</v>
      </c>
      <c r="F10" s="66">
        <v>91071.190567235448</v>
      </c>
      <c r="G10" s="65">
        <v>4701.0691344609077</v>
      </c>
      <c r="H10" s="66">
        <v>14928.085856213287</v>
      </c>
      <c r="I10" s="66">
        <v>448.36837919174553</v>
      </c>
      <c r="J10" s="66">
        <v>0</v>
      </c>
      <c r="K10" s="65">
        <v>237018.85359805339</v>
      </c>
      <c r="L10" s="58"/>
      <c r="M10" s="59"/>
      <c r="N10" s="59"/>
      <c r="O10" s="59"/>
      <c r="P10" s="59"/>
      <c r="Q10" s="59"/>
      <c r="R10" s="59"/>
      <c r="S10" s="59"/>
      <c r="T10" s="59"/>
      <c r="U10" s="59"/>
      <c r="V10" s="59"/>
      <c r="W10" s="61"/>
      <c r="AB10" s="59"/>
      <c r="AC10" s="59"/>
      <c r="AD10" s="59"/>
      <c r="AE10" s="59"/>
      <c r="AF10" s="59"/>
      <c r="AG10" s="59"/>
      <c r="AH10" s="59"/>
      <c r="AI10" s="61"/>
    </row>
    <row r="11" spans="1:35" s="67" customFormat="1" ht="11.25" customHeight="1">
      <c r="A11" s="64" t="s">
        <v>139</v>
      </c>
      <c r="B11" s="68">
        <v>36.847441528429044</v>
      </c>
      <c r="C11" s="68">
        <v>-13.404097824114501</v>
      </c>
      <c r="D11" s="69">
        <v>-116.55915158498101</v>
      </c>
      <c r="E11" s="68">
        <v>-79.177700019243275</v>
      </c>
      <c r="F11" s="68">
        <v>81.233600401916192</v>
      </c>
      <c r="G11" s="69">
        <v>0</v>
      </c>
      <c r="H11" s="69">
        <v>0</v>
      </c>
      <c r="I11" s="68">
        <v>84.598169826650462</v>
      </c>
      <c r="J11" s="69">
        <v>0</v>
      </c>
      <c r="K11" s="68">
        <v>-6.7460036423353245</v>
      </c>
      <c r="L11" s="58"/>
      <c r="M11" s="59"/>
      <c r="N11" s="59"/>
      <c r="O11" s="59"/>
      <c r="P11" s="59"/>
      <c r="Q11" s="59"/>
      <c r="R11" s="59"/>
      <c r="S11" s="59"/>
      <c r="T11" s="59"/>
      <c r="U11" s="59"/>
      <c r="V11" s="59"/>
      <c r="W11" s="61"/>
      <c r="AB11" s="59"/>
      <c r="AC11" s="59"/>
      <c r="AD11" s="59"/>
      <c r="AE11" s="59"/>
      <c r="AF11" s="59"/>
      <c r="AG11" s="59"/>
      <c r="AH11" s="59"/>
      <c r="AI11" s="61"/>
    </row>
    <row r="12" spans="1:35" s="67" customFormat="1" ht="10.5" customHeight="1">
      <c r="A12" s="64" t="s">
        <v>140</v>
      </c>
      <c r="B12" s="65">
        <v>40299.793169284429</v>
      </c>
      <c r="C12" s="65">
        <v>553.99283454129682</v>
      </c>
      <c r="D12" s="66">
        <v>91741.065033372113</v>
      </c>
      <c r="E12" s="65">
        <v>-6552.4178683459468</v>
      </c>
      <c r="F12" s="65">
        <v>90989.956966833532</v>
      </c>
      <c r="G12" s="65">
        <v>4701.0725849609071</v>
      </c>
      <c r="H12" s="66">
        <v>14928.085856213287</v>
      </c>
      <c r="I12" s="65">
        <v>363.77020936509507</v>
      </c>
      <c r="J12" s="66">
        <v>0</v>
      </c>
      <c r="K12" s="65">
        <v>237025.59960169569</v>
      </c>
      <c r="L12" s="58"/>
      <c r="M12" s="59"/>
      <c r="N12" s="59"/>
      <c r="O12" s="59"/>
      <c r="P12" s="59"/>
      <c r="Q12" s="59"/>
      <c r="R12" s="59"/>
      <c r="S12" s="59"/>
      <c r="T12" s="59"/>
      <c r="U12" s="59"/>
      <c r="V12" s="59"/>
      <c r="W12" s="61"/>
      <c r="AB12" s="59"/>
      <c r="AC12" s="59"/>
      <c r="AD12" s="59"/>
      <c r="AE12" s="59"/>
      <c r="AF12" s="59"/>
      <c r="AG12" s="59"/>
      <c r="AH12" s="59"/>
      <c r="AI12" s="61"/>
    </row>
    <row r="13" spans="1:35" s="60" customFormat="1" ht="4.5" customHeight="1">
      <c r="A13" s="47"/>
      <c r="B13" s="58"/>
      <c r="C13" s="58"/>
      <c r="D13" s="58"/>
      <c r="E13" s="58"/>
      <c r="F13" s="58"/>
      <c r="G13" s="58"/>
      <c r="H13" s="58"/>
      <c r="I13" s="58"/>
      <c r="J13" s="58"/>
      <c r="K13" s="70"/>
      <c r="L13" s="58"/>
      <c r="M13" s="59"/>
      <c r="N13" s="59"/>
      <c r="O13" s="59"/>
      <c r="P13" s="59"/>
      <c r="Q13" s="59"/>
      <c r="R13" s="59"/>
      <c r="S13" s="59"/>
      <c r="T13" s="59"/>
      <c r="U13" s="59"/>
      <c r="V13" s="59"/>
      <c r="W13" s="61"/>
      <c r="AB13" s="59"/>
      <c r="AC13" s="59"/>
      <c r="AD13" s="59"/>
      <c r="AE13" s="59"/>
      <c r="AF13" s="59"/>
      <c r="AG13" s="59"/>
      <c r="AH13" s="59"/>
      <c r="AI13" s="61"/>
    </row>
    <row r="14" spans="1:35" s="60" customFormat="1" ht="10.5" customHeight="1">
      <c r="A14" s="47" t="s">
        <v>141</v>
      </c>
      <c r="B14" s="69">
        <v>0</v>
      </c>
      <c r="C14" s="69">
        <v>-126.41460315085507</v>
      </c>
      <c r="D14" s="69">
        <v>-3211.4964193979745</v>
      </c>
      <c r="E14" s="68">
        <v>3234.5246809327177</v>
      </c>
      <c r="F14" s="69">
        <v>-6.6868108168529661</v>
      </c>
      <c r="G14" s="69">
        <v>0</v>
      </c>
      <c r="H14" s="69">
        <v>-892.19826526225268</v>
      </c>
      <c r="I14" s="69">
        <v>892.19826526225268</v>
      </c>
      <c r="J14" s="69">
        <v>0</v>
      </c>
      <c r="K14" s="69">
        <v>-110.07315243296455</v>
      </c>
      <c r="L14" s="58"/>
      <c r="M14" s="59"/>
      <c r="N14" s="59"/>
      <c r="O14" s="59"/>
      <c r="P14" s="59"/>
      <c r="Q14" s="59"/>
      <c r="R14" s="59"/>
      <c r="S14" s="59"/>
      <c r="T14" s="59"/>
      <c r="U14" s="59"/>
      <c r="V14" s="59"/>
      <c r="W14" s="61"/>
      <c r="AB14" s="59"/>
      <c r="AC14" s="59"/>
      <c r="AD14" s="59"/>
      <c r="AE14" s="59"/>
      <c r="AF14" s="59"/>
      <c r="AG14" s="59"/>
      <c r="AH14" s="59"/>
      <c r="AI14" s="61"/>
    </row>
    <row r="15" spans="1:35" s="60" customFormat="1" ht="10.5" customHeight="1">
      <c r="A15" s="57" t="s">
        <v>142</v>
      </c>
      <c r="B15" s="71">
        <v>-38554.557209522733</v>
      </c>
      <c r="C15" s="72">
        <v>1724.6129556237615</v>
      </c>
      <c r="D15" s="72">
        <v>-88529.568613974145</v>
      </c>
      <c r="E15" s="71">
        <v>87861.506742448197</v>
      </c>
      <c r="F15" s="71">
        <v>-32213.749562274745</v>
      </c>
      <c r="G15" s="71">
        <v>-3480.7278322865568</v>
      </c>
      <c r="H15" s="72">
        <v>-14035.887590951035</v>
      </c>
      <c r="I15" s="71">
        <v>32915.569469839887</v>
      </c>
      <c r="J15" s="71">
        <v>1195.5378034599423</v>
      </c>
      <c r="K15" s="71">
        <v>-53117.544653108438</v>
      </c>
      <c r="L15" s="58"/>
      <c r="M15" s="59"/>
      <c r="N15" s="59"/>
      <c r="O15" s="59"/>
      <c r="P15" s="59"/>
      <c r="Q15" s="59"/>
      <c r="R15" s="59"/>
      <c r="S15" s="59"/>
      <c r="T15" s="59"/>
      <c r="U15" s="59"/>
      <c r="V15" s="59"/>
      <c r="W15" s="61"/>
      <c r="AB15" s="59"/>
      <c r="AC15" s="59"/>
      <c r="AD15" s="59"/>
      <c r="AE15" s="59"/>
      <c r="AF15" s="59"/>
      <c r="AG15" s="59"/>
      <c r="AH15" s="59"/>
      <c r="AI15" s="61"/>
    </row>
    <row r="16" spans="1:35" s="60" customFormat="1" ht="10.5" customHeight="1">
      <c r="A16" s="47" t="s">
        <v>143</v>
      </c>
      <c r="B16" s="62">
        <v>-32873.331920050019</v>
      </c>
      <c r="C16" s="58">
        <v>-937.09389509888206</v>
      </c>
      <c r="D16" s="58">
        <v>0</v>
      </c>
      <c r="E16" s="58">
        <v>-677.15088152328644</v>
      </c>
      <c r="F16" s="62">
        <v>-30329.943797488933</v>
      </c>
      <c r="G16" s="62">
        <v>-3480.7278322865568</v>
      </c>
      <c r="H16" s="58">
        <v>-14035.887590951035</v>
      </c>
      <c r="I16" s="62">
        <v>32915.569469839887</v>
      </c>
      <c r="J16" s="58">
        <v>0</v>
      </c>
      <c r="K16" s="62">
        <v>-49418.566447558842</v>
      </c>
      <c r="L16" s="58"/>
      <c r="M16" s="59"/>
      <c r="N16" s="59"/>
      <c r="O16" s="59"/>
      <c r="P16" s="59"/>
      <c r="Q16" s="59"/>
      <c r="R16" s="59"/>
      <c r="S16" s="59"/>
      <c r="T16" s="59"/>
      <c r="U16" s="59"/>
      <c r="V16" s="59"/>
      <c r="W16" s="61"/>
      <c r="AB16" s="59"/>
      <c r="AC16" s="59"/>
      <c r="AD16" s="59"/>
      <c r="AE16" s="59"/>
      <c r="AF16" s="59"/>
      <c r="AG16" s="59"/>
      <c r="AH16" s="59"/>
      <c r="AI16" s="61"/>
    </row>
    <row r="17" spans="1:35" s="60" customFormat="1" ht="10.5" customHeight="1">
      <c r="A17" s="47" t="s">
        <v>144</v>
      </c>
      <c r="B17" s="62">
        <v>-31974.974477193351</v>
      </c>
      <c r="C17" s="58">
        <v>0</v>
      </c>
      <c r="D17" s="58">
        <v>0</v>
      </c>
      <c r="E17" s="58">
        <v>-210.99978836147974</v>
      </c>
      <c r="F17" s="62">
        <v>-27501.979051143277</v>
      </c>
      <c r="G17" s="62">
        <v>-625.21439095550647</v>
      </c>
      <c r="H17" s="58">
        <v>-14035.887590951035</v>
      </c>
      <c r="I17" s="62">
        <v>30080.684253072908</v>
      </c>
      <c r="J17" s="58">
        <v>0</v>
      </c>
      <c r="K17" s="62">
        <v>-44268.371045531749</v>
      </c>
      <c r="L17" s="58"/>
      <c r="M17" s="59"/>
      <c r="N17" s="59"/>
      <c r="O17" s="59"/>
      <c r="P17" s="59"/>
      <c r="Q17" s="59"/>
      <c r="R17" s="59"/>
      <c r="S17" s="59"/>
      <c r="T17" s="59"/>
      <c r="U17" s="59"/>
      <c r="V17" s="59"/>
      <c r="W17" s="61"/>
      <c r="AB17" s="59"/>
      <c r="AC17" s="59"/>
      <c r="AD17" s="59"/>
      <c r="AE17" s="59"/>
      <c r="AF17" s="59"/>
      <c r="AG17" s="59"/>
      <c r="AH17" s="59"/>
      <c r="AI17" s="61"/>
    </row>
    <row r="18" spans="1:35" s="60" customFormat="1" ht="10.5" customHeight="1">
      <c r="A18" s="47" t="s">
        <v>114</v>
      </c>
      <c r="B18" s="62">
        <v>-898.35744285666703</v>
      </c>
      <c r="C18" s="58">
        <v>-937.09389509888206</v>
      </c>
      <c r="D18" s="58">
        <v>0</v>
      </c>
      <c r="E18" s="58">
        <v>-466.15109316180667</v>
      </c>
      <c r="F18" s="62">
        <v>-2827.9647463456577</v>
      </c>
      <c r="G18" s="62">
        <v>-2855.5134413310502</v>
      </c>
      <c r="H18" s="58">
        <v>0</v>
      </c>
      <c r="I18" s="62">
        <v>2834.8852167669825</v>
      </c>
      <c r="J18" s="58">
        <v>0</v>
      </c>
      <c r="K18" s="62">
        <v>-5150.1954020270805</v>
      </c>
      <c r="L18" s="58"/>
      <c r="M18" s="59"/>
      <c r="N18" s="59"/>
      <c r="O18" s="59"/>
      <c r="P18" s="59"/>
      <c r="Q18" s="59"/>
      <c r="R18" s="59"/>
      <c r="S18" s="59"/>
      <c r="T18" s="59"/>
      <c r="U18" s="59"/>
      <c r="V18" s="59"/>
      <c r="W18" s="61"/>
      <c r="AB18" s="59"/>
      <c r="AC18" s="59"/>
      <c r="AD18" s="59"/>
      <c r="AE18" s="59"/>
      <c r="AF18" s="59"/>
      <c r="AG18" s="59"/>
      <c r="AH18" s="59"/>
      <c r="AI18" s="61"/>
    </row>
    <row r="19" spans="1:35" s="73" customFormat="1" ht="10.5" customHeight="1">
      <c r="A19" s="47" t="s">
        <v>145</v>
      </c>
      <c r="B19" s="58">
        <v>-286.07079043843385</v>
      </c>
      <c r="C19" s="58">
        <v>-51.380051590713663</v>
      </c>
      <c r="D19" s="58">
        <v>0</v>
      </c>
      <c r="E19" s="58">
        <v>-59.952651222606548</v>
      </c>
      <c r="F19" s="62">
        <v>-1883.8057647858118</v>
      </c>
      <c r="G19" s="58">
        <v>0</v>
      </c>
      <c r="H19" s="58">
        <v>0</v>
      </c>
      <c r="I19" s="58"/>
      <c r="J19" s="62">
        <v>1195.5378034599423</v>
      </c>
      <c r="K19" s="62">
        <v>-1085.9522700486116</v>
      </c>
      <c r="L19" s="58"/>
      <c r="M19" s="59"/>
      <c r="N19" s="59"/>
      <c r="O19" s="59"/>
      <c r="P19" s="59"/>
      <c r="Q19" s="59"/>
      <c r="R19" s="59"/>
      <c r="S19" s="59"/>
      <c r="T19" s="59"/>
      <c r="U19" s="59"/>
      <c r="V19" s="59"/>
      <c r="W19" s="61"/>
      <c r="AB19" s="59"/>
      <c r="AC19" s="59"/>
      <c r="AD19" s="59"/>
      <c r="AE19" s="59"/>
      <c r="AF19" s="59"/>
      <c r="AG19" s="59"/>
      <c r="AH19" s="59"/>
      <c r="AI19" s="61"/>
    </row>
    <row r="20" spans="1:35" s="60" customFormat="1" ht="10.5" customHeight="1">
      <c r="A20" s="47" t="s">
        <v>146</v>
      </c>
      <c r="B20" s="69">
        <v>0</v>
      </c>
      <c r="C20" s="69">
        <v>0</v>
      </c>
      <c r="D20" s="58">
        <v>-88529.568613974145</v>
      </c>
      <c r="E20" s="62">
        <v>88808.264036450899</v>
      </c>
      <c r="F20" s="58">
        <v>0</v>
      </c>
      <c r="G20" s="58">
        <v>0</v>
      </c>
      <c r="H20" s="58">
        <v>0</v>
      </c>
      <c r="I20" s="58">
        <v>0</v>
      </c>
      <c r="J20" s="58">
        <v>0</v>
      </c>
      <c r="K20" s="62">
        <v>278.69542247675417</v>
      </c>
      <c r="L20" s="58"/>
      <c r="M20" s="59"/>
      <c r="N20" s="59"/>
      <c r="O20" s="59"/>
      <c r="P20" s="59"/>
      <c r="Q20" s="59"/>
      <c r="R20" s="59"/>
      <c r="S20" s="59"/>
      <c r="T20" s="59"/>
      <c r="U20" s="59"/>
      <c r="V20" s="59"/>
      <c r="W20" s="61"/>
      <c r="AB20" s="59"/>
      <c r="AC20" s="59"/>
      <c r="AD20" s="59"/>
      <c r="AE20" s="59"/>
      <c r="AF20" s="59"/>
      <c r="AG20" s="59"/>
      <c r="AH20" s="59"/>
      <c r="AI20" s="61"/>
    </row>
    <row r="21" spans="1:35" s="60" customFormat="1" ht="10.5" customHeight="1">
      <c r="A21" s="47" t="s">
        <v>147</v>
      </c>
      <c r="B21" s="58">
        <v>-4319.0008832812655</v>
      </c>
      <c r="C21" s="62">
        <v>4169.4215397819735</v>
      </c>
      <c r="D21" s="58">
        <v>0</v>
      </c>
      <c r="E21" s="58">
        <v>0</v>
      </c>
      <c r="F21" s="58">
        <v>0</v>
      </c>
      <c r="G21" s="58">
        <v>0</v>
      </c>
      <c r="H21" s="58">
        <v>0</v>
      </c>
      <c r="I21" s="58">
        <v>0</v>
      </c>
      <c r="J21" s="58">
        <v>0</v>
      </c>
      <c r="K21" s="62">
        <v>-149.57934349929201</v>
      </c>
      <c r="L21" s="58"/>
      <c r="M21" s="59"/>
      <c r="N21" s="59"/>
      <c r="O21" s="59"/>
      <c r="P21" s="59"/>
      <c r="Q21" s="59"/>
      <c r="R21" s="59"/>
      <c r="S21" s="59"/>
      <c r="T21" s="59"/>
      <c r="U21" s="59"/>
      <c r="V21" s="59"/>
      <c r="W21" s="61"/>
      <c r="AB21" s="59"/>
      <c r="AC21" s="59"/>
      <c r="AD21" s="59"/>
      <c r="AE21" s="59"/>
      <c r="AF21" s="59"/>
      <c r="AG21" s="59"/>
      <c r="AH21" s="59"/>
      <c r="AI21" s="61"/>
    </row>
    <row r="22" spans="1:35" s="60" customFormat="1" ht="10.5" customHeight="1">
      <c r="A22" s="47" t="s">
        <v>115</v>
      </c>
      <c r="B22" s="58">
        <v>-904.44038775362071</v>
      </c>
      <c r="C22" s="58">
        <v>-1632.6849250390758</v>
      </c>
      <c r="D22" s="58">
        <v>0</v>
      </c>
      <c r="E22" s="58">
        <v>-209.65376125681584</v>
      </c>
      <c r="F22" s="58">
        <v>0</v>
      </c>
      <c r="G22" s="58">
        <v>0</v>
      </c>
      <c r="H22" s="58">
        <v>0</v>
      </c>
      <c r="I22" s="58">
        <v>0</v>
      </c>
      <c r="J22" s="58">
        <v>0</v>
      </c>
      <c r="K22" s="58">
        <v>-2746.7790740495125</v>
      </c>
      <c r="L22" s="58"/>
      <c r="M22" s="59"/>
      <c r="N22" s="59"/>
      <c r="O22" s="59"/>
      <c r="P22" s="59"/>
      <c r="Q22" s="59"/>
      <c r="R22" s="59"/>
      <c r="S22" s="59"/>
      <c r="T22" s="59"/>
      <c r="U22" s="59"/>
      <c r="V22" s="59"/>
      <c r="W22" s="61"/>
      <c r="AB22" s="59"/>
      <c r="AC22" s="59"/>
      <c r="AD22" s="59"/>
      <c r="AE22" s="59"/>
      <c r="AF22" s="59"/>
      <c r="AG22" s="59"/>
      <c r="AH22" s="59"/>
      <c r="AI22" s="61"/>
    </row>
    <row r="23" spans="1:35" s="60" customFormat="1" ht="10.5" customHeight="1">
      <c r="A23" s="47" t="s">
        <v>148</v>
      </c>
      <c r="B23" s="58">
        <v>-171.71322799939193</v>
      </c>
      <c r="C23" s="58">
        <v>176.35028757045953</v>
      </c>
      <c r="D23" s="58">
        <v>0</v>
      </c>
      <c r="E23" s="58">
        <v>0</v>
      </c>
      <c r="F23" s="58">
        <v>0</v>
      </c>
      <c r="G23" s="58">
        <v>0</v>
      </c>
      <c r="H23" s="58">
        <v>0</v>
      </c>
      <c r="I23" s="58">
        <v>0</v>
      </c>
      <c r="J23" s="58">
        <v>0</v>
      </c>
      <c r="K23" s="58">
        <v>4.6370595710675957</v>
      </c>
      <c r="L23" s="58"/>
      <c r="M23" s="59"/>
      <c r="N23" s="59"/>
      <c r="O23" s="59"/>
      <c r="P23" s="59"/>
      <c r="Q23" s="59"/>
      <c r="R23" s="59"/>
      <c r="S23" s="59"/>
      <c r="T23" s="59"/>
      <c r="U23" s="59"/>
      <c r="V23" s="59"/>
      <c r="W23" s="61"/>
      <c r="AB23" s="59"/>
      <c r="AC23" s="59"/>
      <c r="AD23" s="59"/>
      <c r="AE23" s="59"/>
      <c r="AF23" s="59"/>
      <c r="AG23" s="59"/>
      <c r="AH23" s="59"/>
      <c r="AI23" s="61"/>
    </row>
    <row r="24" spans="1:35" s="60" customFormat="1" ht="10.5" customHeight="1">
      <c r="A24" s="74" t="s">
        <v>113</v>
      </c>
      <c r="B24" s="75">
        <v>0</v>
      </c>
      <c r="C24" s="75">
        <v>0</v>
      </c>
      <c r="D24" s="75">
        <v>0</v>
      </c>
      <c r="E24" s="75">
        <v>0</v>
      </c>
      <c r="F24" s="75">
        <v>0</v>
      </c>
      <c r="G24" s="75">
        <v>0</v>
      </c>
      <c r="H24" s="75">
        <v>0</v>
      </c>
      <c r="I24" s="75">
        <v>0</v>
      </c>
      <c r="J24" s="75">
        <v>0</v>
      </c>
      <c r="K24" s="75">
        <v>0</v>
      </c>
      <c r="L24" s="58"/>
      <c r="M24" s="59"/>
      <c r="N24" s="59"/>
      <c r="O24" s="59"/>
      <c r="P24" s="59"/>
      <c r="Q24" s="59"/>
      <c r="R24" s="59"/>
      <c r="S24" s="59"/>
      <c r="T24" s="59"/>
      <c r="U24" s="59"/>
      <c r="V24" s="59"/>
      <c r="W24" s="61"/>
      <c r="AB24" s="59"/>
      <c r="AC24" s="59"/>
      <c r="AD24" s="59"/>
      <c r="AE24" s="59"/>
      <c r="AF24" s="59"/>
      <c r="AG24" s="59"/>
      <c r="AH24" s="59"/>
      <c r="AI24" s="61"/>
    </row>
    <row r="25" spans="1:35" s="60" customFormat="1" ht="10.5" customHeight="1">
      <c r="A25" s="76" t="s">
        <v>149</v>
      </c>
      <c r="B25" s="72">
        <v>3.8428609674794316</v>
      </c>
      <c r="C25" s="71">
        <v>881.47682251004414</v>
      </c>
      <c r="D25" s="72">
        <v>0</v>
      </c>
      <c r="E25" s="71">
        <v>4718.7701610732329</v>
      </c>
      <c r="F25" s="71">
        <v>6299.2256223459626</v>
      </c>
      <c r="G25" s="72">
        <v>0</v>
      </c>
      <c r="H25" s="72">
        <v>0</v>
      </c>
      <c r="I25" s="71">
        <v>2543.5577240986504</v>
      </c>
      <c r="J25" s="71">
        <v>67.606119023141133</v>
      </c>
      <c r="K25" s="71">
        <v>14514.479310018509</v>
      </c>
      <c r="L25" s="58"/>
      <c r="M25" s="59"/>
      <c r="N25" s="59"/>
      <c r="O25" s="59"/>
      <c r="P25" s="59"/>
      <c r="Q25" s="59"/>
      <c r="R25" s="59"/>
      <c r="S25" s="59"/>
      <c r="T25" s="59"/>
      <c r="U25" s="59"/>
      <c r="V25" s="59"/>
      <c r="W25" s="61"/>
      <c r="AB25" s="59"/>
      <c r="AC25" s="59"/>
      <c r="AD25" s="59"/>
      <c r="AE25" s="59"/>
      <c r="AF25" s="59"/>
      <c r="AG25" s="59"/>
      <c r="AH25" s="59"/>
      <c r="AI25" s="61"/>
    </row>
    <row r="26" spans="1:35" s="60" customFormat="1" ht="10.5" customHeight="1">
      <c r="A26" s="47" t="s">
        <v>143</v>
      </c>
      <c r="B26" s="69">
        <v>0</v>
      </c>
      <c r="C26" s="69">
        <v>0</v>
      </c>
      <c r="D26" s="72">
        <v>0</v>
      </c>
      <c r="E26" s="72">
        <v>0</v>
      </c>
      <c r="F26" s="72">
        <v>0</v>
      </c>
      <c r="G26" s="72">
        <v>0</v>
      </c>
      <c r="H26" s="72">
        <v>0</v>
      </c>
      <c r="I26" s="62">
        <v>1521.8145950184091</v>
      </c>
      <c r="J26" s="58">
        <v>0</v>
      </c>
      <c r="K26" s="62">
        <v>1521.8145950184091</v>
      </c>
      <c r="L26" s="58"/>
      <c r="M26" s="59"/>
      <c r="N26" s="59"/>
      <c r="O26" s="59"/>
      <c r="P26" s="59"/>
      <c r="Q26" s="59"/>
      <c r="R26" s="59"/>
      <c r="S26" s="59"/>
      <c r="T26" s="59"/>
      <c r="U26" s="59"/>
      <c r="V26" s="59"/>
      <c r="W26" s="61"/>
      <c r="AB26" s="59"/>
      <c r="AC26" s="59"/>
      <c r="AD26" s="59"/>
      <c r="AE26" s="59"/>
      <c r="AF26" s="59"/>
      <c r="AG26" s="59"/>
      <c r="AH26" s="59"/>
      <c r="AI26" s="61"/>
    </row>
    <row r="27" spans="1:35" s="60" customFormat="1" ht="10.5" customHeight="1">
      <c r="A27" s="47" t="s">
        <v>150</v>
      </c>
      <c r="B27" s="69">
        <v>0</v>
      </c>
      <c r="C27" s="69">
        <v>0</v>
      </c>
      <c r="D27" s="72">
        <v>0</v>
      </c>
      <c r="E27" s="72">
        <v>0</v>
      </c>
      <c r="F27" s="58">
        <v>5522.7680375910086</v>
      </c>
      <c r="G27" s="72">
        <v>0</v>
      </c>
      <c r="H27" s="72">
        <v>0</v>
      </c>
      <c r="I27" s="58">
        <v>48.18436493896882</v>
      </c>
      <c r="J27" s="58">
        <v>0</v>
      </c>
      <c r="K27" s="58">
        <v>5570.952402529977</v>
      </c>
      <c r="L27" s="58"/>
      <c r="M27" s="59"/>
      <c r="N27" s="59"/>
      <c r="O27" s="59"/>
      <c r="P27" s="59"/>
      <c r="Q27" s="59"/>
      <c r="R27" s="59"/>
      <c r="S27" s="59"/>
      <c r="T27" s="59"/>
      <c r="U27" s="59"/>
      <c r="V27" s="59"/>
      <c r="W27" s="61"/>
      <c r="AB27" s="59"/>
      <c r="AC27" s="59"/>
      <c r="AD27" s="59"/>
      <c r="AE27" s="59"/>
      <c r="AF27" s="59"/>
      <c r="AG27" s="59"/>
      <c r="AH27" s="59"/>
      <c r="AI27" s="61"/>
    </row>
    <row r="28" spans="1:35" s="60" customFormat="1" ht="10.5" customHeight="1">
      <c r="A28" s="47" t="s">
        <v>146</v>
      </c>
      <c r="B28" s="69">
        <v>0</v>
      </c>
      <c r="C28" s="69">
        <v>0</v>
      </c>
      <c r="D28" s="72">
        <v>0</v>
      </c>
      <c r="E28" s="58">
        <v>4718.7375265188602</v>
      </c>
      <c r="F28" s="62">
        <v>209.92072940392129</v>
      </c>
      <c r="G28" s="72">
        <v>0</v>
      </c>
      <c r="H28" s="72">
        <v>0</v>
      </c>
      <c r="I28" s="62">
        <v>575.709506035652</v>
      </c>
      <c r="J28" s="62">
        <v>67.606119023141133</v>
      </c>
      <c r="K28" s="62">
        <v>5571.9738809815753</v>
      </c>
      <c r="L28" s="58"/>
      <c r="M28" s="59"/>
      <c r="N28" s="59"/>
      <c r="O28" s="59"/>
      <c r="P28" s="59"/>
      <c r="Q28" s="59"/>
      <c r="R28" s="59"/>
      <c r="S28" s="59"/>
      <c r="T28" s="59"/>
      <c r="U28" s="59"/>
      <c r="V28" s="59"/>
      <c r="W28" s="61"/>
      <c r="AB28" s="59"/>
      <c r="AC28" s="59"/>
      <c r="AD28" s="59"/>
      <c r="AE28" s="59"/>
      <c r="AF28" s="59"/>
      <c r="AG28" s="59"/>
      <c r="AH28" s="59"/>
      <c r="AI28" s="61"/>
    </row>
    <row r="29" spans="1:35" s="60" customFormat="1" ht="10.5" customHeight="1">
      <c r="A29" s="47" t="s">
        <v>151</v>
      </c>
      <c r="B29" s="58">
        <v>3.8428609674794316</v>
      </c>
      <c r="C29" s="69">
        <v>0</v>
      </c>
      <c r="D29" s="72">
        <v>0</v>
      </c>
      <c r="E29" s="72">
        <v>0</v>
      </c>
      <c r="F29" s="58">
        <v>7.8245915735167664</v>
      </c>
      <c r="G29" s="72">
        <v>0</v>
      </c>
      <c r="H29" s="72">
        <v>0</v>
      </c>
      <c r="I29" s="58">
        <v>84.52519815677114</v>
      </c>
      <c r="J29" s="72">
        <v>0</v>
      </c>
      <c r="K29" s="58">
        <v>96.192650697767334</v>
      </c>
      <c r="L29" s="58"/>
      <c r="M29" s="59"/>
      <c r="N29" s="59"/>
      <c r="O29" s="59"/>
      <c r="P29" s="59"/>
      <c r="Q29" s="59"/>
      <c r="R29" s="59"/>
      <c r="S29" s="59"/>
      <c r="T29" s="59"/>
      <c r="U29" s="59"/>
      <c r="V29" s="59"/>
      <c r="W29" s="61"/>
      <c r="AB29" s="59"/>
      <c r="AC29" s="59"/>
      <c r="AD29" s="59"/>
      <c r="AE29" s="59"/>
      <c r="AF29" s="59"/>
      <c r="AG29" s="59"/>
      <c r="AH29" s="59"/>
      <c r="AI29" s="61"/>
    </row>
    <row r="30" spans="1:35" s="60" customFormat="1" ht="11.25" customHeight="1">
      <c r="A30" s="47" t="s">
        <v>147</v>
      </c>
      <c r="B30" s="69">
        <v>0</v>
      </c>
      <c r="C30" s="58">
        <v>423.9398886304225</v>
      </c>
      <c r="D30" s="72">
        <v>0</v>
      </c>
      <c r="E30" s="72">
        <v>0</v>
      </c>
      <c r="F30" s="72">
        <v>0</v>
      </c>
      <c r="G30" s="72">
        <v>0</v>
      </c>
      <c r="H30" s="72">
        <v>0</v>
      </c>
      <c r="I30" s="58">
        <v>7.7140557991952763</v>
      </c>
      <c r="J30" s="72">
        <v>0</v>
      </c>
      <c r="K30" s="62">
        <v>431.91851614586881</v>
      </c>
      <c r="L30" s="58"/>
      <c r="M30" s="59"/>
      <c r="N30" s="59"/>
      <c r="O30" s="59"/>
      <c r="P30" s="59"/>
      <c r="Q30" s="59"/>
      <c r="R30" s="59"/>
      <c r="S30" s="59"/>
      <c r="T30" s="59"/>
      <c r="U30" s="59"/>
      <c r="V30" s="59"/>
      <c r="W30" s="61"/>
      <c r="AB30" s="59"/>
      <c r="AC30" s="59"/>
      <c r="AD30" s="59"/>
      <c r="AE30" s="59"/>
      <c r="AF30" s="59"/>
      <c r="AG30" s="59"/>
      <c r="AH30" s="59"/>
      <c r="AI30" s="61"/>
    </row>
    <row r="31" spans="1:35" s="60" customFormat="1" ht="10.5" customHeight="1">
      <c r="A31" s="47" t="s">
        <v>115</v>
      </c>
      <c r="B31" s="69">
        <v>0</v>
      </c>
      <c r="C31" s="58">
        <v>457.53693387962164</v>
      </c>
      <c r="D31" s="72">
        <v>0</v>
      </c>
      <c r="E31" s="72">
        <v>0</v>
      </c>
      <c r="F31" s="58">
        <v>61.82336646603612</v>
      </c>
      <c r="G31" s="72">
        <v>0</v>
      </c>
      <c r="H31" s="72">
        <v>0</v>
      </c>
      <c r="I31" s="58">
        <v>41.168132812308137</v>
      </c>
      <c r="J31" s="72">
        <v>0</v>
      </c>
      <c r="K31" s="58">
        <v>560.56106771233885</v>
      </c>
      <c r="L31" s="58"/>
      <c r="M31" s="59"/>
      <c r="N31" s="59"/>
      <c r="O31" s="59"/>
      <c r="P31" s="59"/>
      <c r="Q31" s="59"/>
      <c r="R31" s="59"/>
      <c r="S31" s="59"/>
      <c r="T31" s="59"/>
      <c r="U31" s="59"/>
      <c r="V31" s="59"/>
      <c r="W31" s="61"/>
      <c r="AB31" s="59"/>
      <c r="AC31" s="59"/>
      <c r="AD31" s="59"/>
      <c r="AE31" s="59"/>
      <c r="AF31" s="59"/>
      <c r="AG31" s="59"/>
      <c r="AH31" s="59"/>
      <c r="AI31" s="61"/>
    </row>
    <row r="32" spans="1:35" s="60" customFormat="1" ht="11.25" customHeight="1">
      <c r="A32" s="47" t="s">
        <v>148</v>
      </c>
      <c r="B32" s="69">
        <v>0</v>
      </c>
      <c r="C32" s="58">
        <v>0</v>
      </c>
      <c r="D32" s="72">
        <v>0</v>
      </c>
      <c r="E32" s="72">
        <v>0</v>
      </c>
      <c r="F32" s="72">
        <v>0</v>
      </c>
      <c r="G32" s="72">
        <v>0</v>
      </c>
      <c r="H32" s="72">
        <v>0</v>
      </c>
      <c r="I32" s="72">
        <v>0</v>
      </c>
      <c r="J32" s="72">
        <v>0</v>
      </c>
      <c r="K32" s="58">
        <v>0</v>
      </c>
      <c r="L32" s="58"/>
      <c r="M32" s="59"/>
      <c r="N32" s="59"/>
      <c r="O32" s="59"/>
      <c r="P32" s="59"/>
      <c r="Q32" s="59"/>
      <c r="R32" s="59"/>
      <c r="S32" s="59"/>
      <c r="T32" s="59"/>
      <c r="U32" s="59"/>
      <c r="V32" s="59"/>
      <c r="W32" s="61"/>
      <c r="AB32" s="59"/>
      <c r="AC32" s="59"/>
      <c r="AD32" s="59"/>
      <c r="AE32" s="59"/>
      <c r="AF32" s="59"/>
      <c r="AG32" s="59"/>
      <c r="AH32" s="59"/>
      <c r="AI32" s="61"/>
    </row>
    <row r="33" spans="1:35" s="60" customFormat="1" ht="10.5" customHeight="1">
      <c r="A33" s="47" t="s">
        <v>152</v>
      </c>
      <c r="B33" s="69">
        <v>0</v>
      </c>
      <c r="C33" s="58">
        <v>0</v>
      </c>
      <c r="D33" s="72">
        <v>0</v>
      </c>
      <c r="E33" s="72">
        <v>0</v>
      </c>
      <c r="F33" s="72">
        <v>0</v>
      </c>
      <c r="G33" s="72">
        <v>0</v>
      </c>
      <c r="H33" s="72">
        <v>0</v>
      </c>
      <c r="I33" s="58">
        <v>104.2166654342218</v>
      </c>
      <c r="J33" s="72">
        <v>0</v>
      </c>
      <c r="K33" s="58">
        <v>104.2166654342218</v>
      </c>
      <c r="L33" s="58"/>
      <c r="M33" s="59"/>
      <c r="N33" s="59"/>
      <c r="O33" s="59"/>
      <c r="P33" s="59"/>
      <c r="Q33" s="59"/>
      <c r="R33" s="59"/>
      <c r="S33" s="59"/>
      <c r="T33" s="59"/>
      <c r="U33" s="59"/>
      <c r="V33" s="59"/>
      <c r="W33" s="61"/>
      <c r="AB33" s="59"/>
      <c r="AC33" s="59"/>
      <c r="AD33" s="59"/>
      <c r="AE33" s="59"/>
      <c r="AF33" s="59"/>
      <c r="AG33" s="59"/>
      <c r="AH33" s="59"/>
      <c r="AI33" s="61"/>
    </row>
    <row r="34" spans="1:35" s="60" customFormat="1" ht="10.5" customHeight="1">
      <c r="A34" s="47" t="s">
        <v>113</v>
      </c>
      <c r="B34" s="69">
        <v>0</v>
      </c>
      <c r="C34" s="58">
        <v>0</v>
      </c>
      <c r="D34" s="72">
        <v>0</v>
      </c>
      <c r="E34" s="72">
        <v>0</v>
      </c>
      <c r="F34" s="58">
        <v>496.62432559522813</v>
      </c>
      <c r="G34" s="72">
        <v>0</v>
      </c>
      <c r="H34" s="72">
        <v>0</v>
      </c>
      <c r="I34" s="62">
        <v>160.22520590312376</v>
      </c>
      <c r="J34" s="72">
        <v>0</v>
      </c>
      <c r="K34" s="62">
        <v>656.84953149835189</v>
      </c>
      <c r="L34" s="58"/>
      <c r="M34" s="59"/>
      <c r="N34" s="59"/>
      <c r="O34" s="59"/>
      <c r="P34" s="59"/>
      <c r="Q34" s="59"/>
      <c r="R34" s="59"/>
      <c r="S34" s="59"/>
      <c r="T34" s="59"/>
      <c r="U34" s="59"/>
      <c r="V34" s="59"/>
      <c r="W34" s="61"/>
      <c r="AB34" s="59"/>
      <c r="AC34" s="59"/>
      <c r="AD34" s="59"/>
      <c r="AE34" s="59"/>
      <c r="AF34" s="59"/>
      <c r="AG34" s="59"/>
      <c r="AH34" s="59"/>
      <c r="AI34" s="61"/>
    </row>
    <row r="35" spans="1:35" s="60" customFormat="1" ht="10.5" customHeight="1">
      <c r="A35" s="77" t="s">
        <v>52</v>
      </c>
      <c r="B35" s="72">
        <v>0</v>
      </c>
      <c r="C35" s="72">
        <v>216.34202534995705</v>
      </c>
      <c r="D35" s="72">
        <v>0</v>
      </c>
      <c r="E35" s="72">
        <v>0</v>
      </c>
      <c r="F35" s="72">
        <v>1037.6687767050994</v>
      </c>
      <c r="G35" s="72">
        <v>0</v>
      </c>
      <c r="H35" s="72">
        <v>0</v>
      </c>
      <c r="I35" s="71">
        <v>2275.9493123434181</v>
      </c>
      <c r="J35" s="72">
        <v>0</v>
      </c>
      <c r="K35" s="71">
        <v>3529.9601143984746</v>
      </c>
      <c r="L35" s="58"/>
      <c r="M35" s="59"/>
      <c r="N35" s="59"/>
      <c r="O35" s="59"/>
      <c r="P35" s="59"/>
      <c r="Q35" s="59"/>
      <c r="R35" s="59"/>
      <c r="S35" s="59"/>
      <c r="T35" s="59"/>
      <c r="U35" s="59"/>
      <c r="V35" s="59"/>
      <c r="W35" s="61"/>
      <c r="AB35" s="59"/>
      <c r="AC35" s="59"/>
      <c r="AD35" s="59"/>
      <c r="AE35" s="59"/>
      <c r="AF35" s="59"/>
      <c r="AG35" s="59"/>
      <c r="AH35" s="59"/>
      <c r="AI35" s="61"/>
    </row>
    <row r="36" spans="1:35" s="60" customFormat="1" ht="10.5" customHeight="1">
      <c r="A36" s="78" t="s">
        <v>153</v>
      </c>
      <c r="B36" s="79">
        <v>1741.393098794214</v>
      </c>
      <c r="C36" s="79">
        <v>1054.3723391542021</v>
      </c>
      <c r="D36" s="80">
        <v>0</v>
      </c>
      <c r="E36" s="79">
        <v>79824.843393961739</v>
      </c>
      <c r="F36" s="79">
        <v>51432.626194690871</v>
      </c>
      <c r="G36" s="79">
        <v>1220.3447526743503</v>
      </c>
      <c r="H36" s="80">
        <v>0</v>
      </c>
      <c r="I36" s="79">
        <v>29352.030908025168</v>
      </c>
      <c r="J36" s="79">
        <v>1127.9316844368013</v>
      </c>
      <c r="K36" s="79">
        <v>165753.54237173733</v>
      </c>
      <c r="L36" s="58"/>
      <c r="M36" s="59"/>
      <c r="N36" s="59"/>
      <c r="O36" s="59"/>
      <c r="P36" s="59"/>
      <c r="Q36" s="61"/>
      <c r="R36" s="59"/>
      <c r="V36" s="59"/>
      <c r="W36" s="59"/>
      <c r="AB36" s="59"/>
      <c r="AC36" s="59"/>
      <c r="AD36" s="59"/>
      <c r="AE36" s="59"/>
      <c r="AF36" s="59"/>
      <c r="AG36" s="59"/>
      <c r="AH36" s="59"/>
      <c r="AI36" s="61"/>
    </row>
    <row r="37" spans="1:35" s="60" customFormat="1" ht="10.5" customHeight="1">
      <c r="A37" s="57" t="s">
        <v>39</v>
      </c>
      <c r="B37" s="71">
        <v>1240.4875496309458</v>
      </c>
      <c r="C37" s="72">
        <v>861.34517357351172</v>
      </c>
      <c r="D37" s="72">
        <v>0</v>
      </c>
      <c r="E37" s="72">
        <v>6826.8147628055231</v>
      </c>
      <c r="F37" s="71">
        <v>11630.301010071018</v>
      </c>
      <c r="G37" s="71">
        <v>276.33064723402265</v>
      </c>
      <c r="H37" s="72">
        <v>0</v>
      </c>
      <c r="I37" s="71">
        <v>10060.801902903399</v>
      </c>
      <c r="J37" s="71">
        <v>690.26303439380911</v>
      </c>
      <c r="K37" s="71">
        <v>31586.344080612234</v>
      </c>
      <c r="L37" s="58"/>
      <c r="M37" s="59"/>
      <c r="N37" s="59"/>
      <c r="O37" s="59"/>
      <c r="P37" s="59"/>
      <c r="Q37" s="61"/>
      <c r="R37" s="59"/>
      <c r="V37" s="59"/>
      <c r="W37" s="59"/>
      <c r="AB37" s="59"/>
      <c r="AC37" s="59"/>
      <c r="AD37" s="59"/>
      <c r="AE37" s="59"/>
      <c r="AF37" s="59"/>
      <c r="AG37" s="59"/>
      <c r="AH37" s="59"/>
      <c r="AI37" s="61"/>
    </row>
    <row r="38" spans="1:35" s="60" customFormat="1" ht="10.5" customHeight="1">
      <c r="A38" s="47" t="s">
        <v>154</v>
      </c>
      <c r="B38" s="58">
        <v>0</v>
      </c>
      <c r="C38" s="58">
        <v>237.32264460895635</v>
      </c>
      <c r="D38" s="72">
        <v>0</v>
      </c>
      <c r="E38" s="58">
        <v>2640.2587526636494</v>
      </c>
      <c r="F38" s="58">
        <v>3.4393809114359413</v>
      </c>
      <c r="G38" s="62">
        <v>276.33064723402265</v>
      </c>
      <c r="H38" s="58">
        <v>0</v>
      </c>
      <c r="I38" s="58">
        <v>0</v>
      </c>
      <c r="J38" s="58">
        <v>0</v>
      </c>
      <c r="K38" s="62">
        <v>3157.3514254180641</v>
      </c>
      <c r="L38" s="58"/>
      <c r="M38" s="59"/>
      <c r="N38" s="59"/>
      <c r="O38" s="59"/>
      <c r="P38" s="59"/>
      <c r="Q38" s="61"/>
      <c r="R38" s="59"/>
      <c r="V38" s="59"/>
      <c r="W38" s="59"/>
      <c r="AB38" s="59"/>
      <c r="AC38" s="59"/>
      <c r="AD38" s="59"/>
      <c r="AE38" s="59"/>
      <c r="AF38" s="59"/>
      <c r="AG38" s="59"/>
      <c r="AH38" s="59"/>
      <c r="AI38" s="61"/>
    </row>
    <row r="39" spans="1:35" s="60" customFormat="1" ht="11.25" customHeight="1">
      <c r="A39" s="47" t="s">
        <v>155</v>
      </c>
      <c r="B39" s="58">
        <v>0.72609152574758762</v>
      </c>
      <c r="C39" s="58">
        <v>624.02252896455536</v>
      </c>
      <c r="D39" s="72">
        <v>0</v>
      </c>
      <c r="E39" s="58">
        <v>19.900492553787309</v>
      </c>
      <c r="F39" s="62">
        <v>628.62156585540276</v>
      </c>
      <c r="G39" s="58">
        <v>0</v>
      </c>
      <c r="H39" s="58">
        <v>0</v>
      </c>
      <c r="I39" s="58">
        <v>423.35971716674726</v>
      </c>
      <c r="J39" s="58">
        <v>0</v>
      </c>
      <c r="K39" s="62">
        <v>1696.6303960662403</v>
      </c>
      <c r="L39" s="58"/>
      <c r="M39" s="59"/>
      <c r="N39" s="59"/>
      <c r="O39" s="59"/>
      <c r="P39" s="59"/>
      <c r="Q39" s="61"/>
      <c r="R39" s="59"/>
      <c r="V39" s="59"/>
      <c r="W39" s="59"/>
      <c r="AB39" s="59"/>
      <c r="AC39" s="59"/>
      <c r="AD39" s="59"/>
      <c r="AE39" s="59"/>
      <c r="AF39" s="59"/>
      <c r="AG39" s="59"/>
      <c r="AH39" s="59"/>
      <c r="AI39" s="61"/>
    </row>
    <row r="40" spans="1:35" s="60" customFormat="1" ht="11.25" customHeight="1">
      <c r="A40" s="47" t="s">
        <v>156</v>
      </c>
      <c r="B40" s="58">
        <v>21.884482632167458</v>
      </c>
      <c r="C40" s="58">
        <v>0</v>
      </c>
      <c r="D40" s="72">
        <v>0</v>
      </c>
      <c r="E40" s="58">
        <v>48.364440689883232</v>
      </c>
      <c r="F40" s="58">
        <v>291.62889836699475</v>
      </c>
      <c r="G40" s="58">
        <v>0</v>
      </c>
      <c r="H40" s="58">
        <v>0</v>
      </c>
      <c r="I40" s="62">
        <v>630.31673484735825</v>
      </c>
      <c r="J40" s="58">
        <v>0</v>
      </c>
      <c r="K40" s="62">
        <v>992.19455653640375</v>
      </c>
      <c r="L40" s="58"/>
      <c r="M40" s="59"/>
      <c r="N40" s="59"/>
      <c r="O40" s="59"/>
      <c r="P40" s="59"/>
      <c r="Q40" s="61"/>
      <c r="R40" s="59"/>
      <c r="V40" s="59"/>
      <c r="W40" s="59"/>
      <c r="AB40" s="59"/>
      <c r="AC40" s="59"/>
      <c r="AD40" s="59"/>
      <c r="AE40" s="59"/>
      <c r="AF40" s="59"/>
      <c r="AG40" s="59"/>
      <c r="AH40" s="59"/>
      <c r="AI40" s="61"/>
    </row>
    <row r="41" spans="1:35" s="60" customFormat="1" ht="10.5" customHeight="1">
      <c r="A41" s="47" t="s">
        <v>157</v>
      </c>
      <c r="B41" s="62">
        <v>759.22852775389333</v>
      </c>
      <c r="C41" s="58">
        <v>0</v>
      </c>
      <c r="D41" s="72">
        <v>0</v>
      </c>
      <c r="E41" s="58">
        <v>197.08748361030496</v>
      </c>
      <c r="F41" s="58">
        <v>964.40095726298898</v>
      </c>
      <c r="G41" s="58">
        <v>0</v>
      </c>
      <c r="H41" s="58">
        <v>0</v>
      </c>
      <c r="I41" s="62">
        <v>675.78834137154035</v>
      </c>
      <c r="J41" s="58">
        <v>0</v>
      </c>
      <c r="K41" s="62">
        <v>2596.5053099987276</v>
      </c>
      <c r="L41" s="58"/>
      <c r="M41" s="59"/>
      <c r="N41" s="59"/>
      <c r="O41" s="59"/>
      <c r="P41" s="59"/>
      <c r="Q41" s="61"/>
      <c r="R41" s="59"/>
      <c r="V41" s="59"/>
      <c r="W41" s="59"/>
      <c r="AB41" s="59"/>
      <c r="AC41" s="59"/>
      <c r="AD41" s="59"/>
      <c r="AE41" s="59"/>
      <c r="AF41" s="59"/>
      <c r="AG41" s="59"/>
      <c r="AH41" s="59"/>
      <c r="AI41" s="61"/>
    </row>
    <row r="42" spans="1:35" s="60" customFormat="1" ht="10.5" customHeight="1">
      <c r="A42" s="47" t="s">
        <v>158</v>
      </c>
      <c r="B42" s="58">
        <v>91.415627854253842</v>
      </c>
      <c r="C42" s="58">
        <v>0</v>
      </c>
      <c r="D42" s="72">
        <v>0</v>
      </c>
      <c r="E42" s="58">
        <v>192.48558232174452</v>
      </c>
      <c r="F42" s="62">
        <v>3161.4027801091688</v>
      </c>
      <c r="G42" s="58">
        <v>0</v>
      </c>
      <c r="H42" s="58">
        <v>0</v>
      </c>
      <c r="I42" s="62">
        <v>1908.8138953501298</v>
      </c>
      <c r="J42" s="62">
        <v>276.5900318142734</v>
      </c>
      <c r="K42" s="62">
        <v>5630.7079174495693</v>
      </c>
      <c r="L42" s="58"/>
      <c r="M42" s="59"/>
      <c r="N42" s="59"/>
      <c r="O42" s="59"/>
      <c r="P42" s="59"/>
      <c r="Q42" s="61"/>
      <c r="R42" s="59"/>
      <c r="V42" s="59"/>
      <c r="W42" s="59"/>
      <c r="AB42" s="59"/>
      <c r="AC42" s="59"/>
      <c r="AD42" s="59"/>
      <c r="AE42" s="59"/>
      <c r="AF42" s="59"/>
      <c r="AG42" s="59"/>
      <c r="AH42" s="59"/>
      <c r="AI42" s="61"/>
    </row>
    <row r="43" spans="1:35" s="60" customFormat="1" ht="10.5" customHeight="1">
      <c r="A43" s="47" t="s">
        <v>159</v>
      </c>
      <c r="B43" s="58">
        <v>6.8576236036661511</v>
      </c>
      <c r="C43" s="58">
        <v>0</v>
      </c>
      <c r="D43" s="72">
        <v>0</v>
      </c>
      <c r="E43" s="58">
        <v>107.40562780627575</v>
      </c>
      <c r="F43" s="62">
        <v>672.11810362537369</v>
      </c>
      <c r="G43" s="58">
        <v>0</v>
      </c>
      <c r="H43" s="58">
        <v>0</v>
      </c>
      <c r="I43" s="62">
        <v>732.42177145015921</v>
      </c>
      <c r="J43" s="62">
        <v>0</v>
      </c>
      <c r="K43" s="62">
        <v>1518.8031264854749</v>
      </c>
      <c r="L43" s="58"/>
      <c r="M43" s="59"/>
      <c r="N43" s="59"/>
      <c r="O43" s="59"/>
      <c r="P43" s="59"/>
      <c r="Q43" s="61"/>
      <c r="R43" s="59"/>
      <c r="V43" s="59"/>
      <c r="W43" s="59"/>
      <c r="AB43" s="59"/>
      <c r="AC43" s="59"/>
      <c r="AD43" s="59"/>
      <c r="AE43" s="59"/>
      <c r="AF43" s="59"/>
      <c r="AG43" s="59"/>
      <c r="AH43" s="59"/>
      <c r="AI43" s="61"/>
    </row>
    <row r="44" spans="1:35" s="60" customFormat="1" ht="10.5" customHeight="1">
      <c r="A44" s="47" t="s">
        <v>160</v>
      </c>
      <c r="B44" s="58">
        <v>3.9284638587304435</v>
      </c>
      <c r="C44" s="58">
        <v>0</v>
      </c>
      <c r="D44" s="72">
        <v>0</v>
      </c>
      <c r="E44" s="58">
        <v>35.550087867351941</v>
      </c>
      <c r="F44" s="62">
        <v>338.7842483754726</v>
      </c>
      <c r="G44" s="58">
        <v>0</v>
      </c>
      <c r="H44" s="58">
        <v>0</v>
      </c>
      <c r="I44" s="62">
        <v>626.77839440929563</v>
      </c>
      <c r="J44" s="58">
        <v>0</v>
      </c>
      <c r="K44" s="62">
        <v>1005.0411945108506</v>
      </c>
      <c r="L44" s="58"/>
      <c r="M44" s="59"/>
      <c r="N44" s="59"/>
      <c r="O44" s="59"/>
      <c r="P44" s="59"/>
      <c r="Q44" s="61"/>
      <c r="R44" s="59"/>
      <c r="V44" s="59"/>
      <c r="W44" s="59"/>
      <c r="AB44" s="59"/>
      <c r="AC44" s="59"/>
      <c r="AD44" s="59"/>
      <c r="AE44" s="59"/>
      <c r="AF44" s="59"/>
      <c r="AG44" s="59"/>
      <c r="AH44" s="59"/>
      <c r="AI44" s="61"/>
    </row>
    <row r="45" spans="1:35" s="60" customFormat="1" ht="10.5" customHeight="1">
      <c r="A45" s="47" t="s">
        <v>161</v>
      </c>
      <c r="B45" s="58">
        <v>34.696747610971791</v>
      </c>
      <c r="C45" s="58">
        <v>0</v>
      </c>
      <c r="D45" s="72">
        <v>0</v>
      </c>
      <c r="E45" s="58">
        <v>122.79265925065245</v>
      </c>
      <c r="F45" s="62">
        <v>760.16149156706035</v>
      </c>
      <c r="G45" s="58">
        <v>0</v>
      </c>
      <c r="H45" s="58">
        <v>0</v>
      </c>
      <c r="I45" s="62">
        <v>492.77976343551956</v>
      </c>
      <c r="J45" s="58">
        <v>0</v>
      </c>
      <c r="K45" s="62">
        <v>1410.4306618642042</v>
      </c>
      <c r="L45" s="58"/>
      <c r="M45" s="59"/>
      <c r="N45" s="59"/>
      <c r="O45" s="59"/>
      <c r="P45" s="59"/>
      <c r="Q45" s="61"/>
      <c r="R45" s="59"/>
      <c r="V45" s="59"/>
      <c r="W45" s="59"/>
      <c r="AB45" s="59"/>
      <c r="AC45" s="59"/>
      <c r="AD45" s="59"/>
      <c r="AE45" s="59"/>
      <c r="AF45" s="59"/>
      <c r="AG45" s="59"/>
      <c r="AH45" s="59"/>
      <c r="AI45" s="61"/>
    </row>
    <row r="46" spans="1:35" s="60" customFormat="1" ht="10.5" customHeight="1">
      <c r="A46" s="47" t="s">
        <v>162</v>
      </c>
      <c r="B46" s="62">
        <v>29.449642318359071</v>
      </c>
      <c r="C46" s="58">
        <v>0</v>
      </c>
      <c r="D46" s="72">
        <v>0</v>
      </c>
      <c r="E46" s="58">
        <v>267.62756105858762</v>
      </c>
      <c r="F46" s="62">
        <v>2250.3734032613634</v>
      </c>
      <c r="G46" s="58">
        <v>0</v>
      </c>
      <c r="H46" s="58">
        <v>0</v>
      </c>
      <c r="I46" s="62">
        <v>1056.1831551668772</v>
      </c>
      <c r="J46" s="62">
        <v>1.8537420464316423</v>
      </c>
      <c r="K46" s="62">
        <v>3605.4875038516193</v>
      </c>
      <c r="L46" s="58"/>
      <c r="M46" s="59"/>
      <c r="N46" s="59"/>
      <c r="O46" s="59"/>
      <c r="P46" s="59"/>
      <c r="Q46" s="61"/>
      <c r="R46" s="59"/>
      <c r="V46" s="59"/>
      <c r="W46" s="59"/>
      <c r="AB46" s="59"/>
      <c r="AC46" s="59"/>
      <c r="AD46" s="59"/>
      <c r="AE46" s="59"/>
      <c r="AF46" s="59"/>
      <c r="AG46" s="59"/>
      <c r="AH46" s="59"/>
      <c r="AI46" s="61"/>
    </row>
    <row r="47" spans="1:35" s="60" customFormat="1" ht="10.5" customHeight="1">
      <c r="A47" s="47" t="s">
        <v>163</v>
      </c>
      <c r="B47" s="58">
        <v>52.394962261044078</v>
      </c>
      <c r="C47" s="58">
        <v>0</v>
      </c>
      <c r="D47" s="72">
        <v>0</v>
      </c>
      <c r="E47" s="58">
        <v>119.08852815103786</v>
      </c>
      <c r="F47" s="58">
        <v>548.54967223060169</v>
      </c>
      <c r="G47" s="58">
        <v>0</v>
      </c>
      <c r="H47" s="58">
        <v>0</v>
      </c>
      <c r="I47" s="58">
        <v>287.99730125593561</v>
      </c>
      <c r="J47" s="58">
        <v>0</v>
      </c>
      <c r="K47" s="58">
        <v>1008.0304638986192</v>
      </c>
      <c r="L47" s="58"/>
      <c r="M47" s="59"/>
      <c r="N47" s="59"/>
      <c r="O47" s="59"/>
      <c r="P47" s="59"/>
      <c r="Q47" s="61"/>
      <c r="R47" s="59"/>
      <c r="V47" s="59"/>
      <c r="W47" s="59"/>
      <c r="AB47" s="59"/>
      <c r="AC47" s="59"/>
      <c r="AD47" s="59"/>
      <c r="AE47" s="59"/>
      <c r="AF47" s="59"/>
      <c r="AG47" s="59"/>
      <c r="AH47" s="59"/>
      <c r="AI47" s="61"/>
    </row>
    <row r="48" spans="1:35" s="60" customFormat="1" ht="10.5" customHeight="1">
      <c r="A48" s="47" t="s">
        <v>164</v>
      </c>
      <c r="B48" s="58">
        <v>101.07267246935464</v>
      </c>
      <c r="C48" s="58">
        <v>0</v>
      </c>
      <c r="D48" s="72">
        <v>0</v>
      </c>
      <c r="E48" s="58">
        <v>64.793519163184271</v>
      </c>
      <c r="F48" s="62">
        <v>930.49100984541735</v>
      </c>
      <c r="G48" s="58">
        <v>0</v>
      </c>
      <c r="H48" s="58">
        <v>0</v>
      </c>
      <c r="I48" s="62">
        <v>1148.4158702814241</v>
      </c>
      <c r="J48" s="58">
        <v>1.2411865864144453</v>
      </c>
      <c r="K48" s="62">
        <v>2246.014258345795</v>
      </c>
      <c r="L48" s="58"/>
      <c r="M48" s="59"/>
      <c r="N48" s="59"/>
      <c r="O48" s="59"/>
      <c r="P48" s="59"/>
      <c r="Q48" s="61"/>
      <c r="R48" s="59"/>
      <c r="V48" s="59"/>
      <c r="W48" s="59"/>
      <c r="AB48" s="59"/>
      <c r="AC48" s="59"/>
      <c r="AD48" s="59"/>
      <c r="AE48" s="59"/>
      <c r="AF48" s="59"/>
      <c r="AG48" s="59"/>
      <c r="AH48" s="59"/>
      <c r="AI48" s="61"/>
    </row>
    <row r="49" spans="1:35" s="60" customFormat="1" ht="11.25" customHeight="1">
      <c r="A49" s="47" t="s">
        <v>165</v>
      </c>
      <c r="B49" s="62">
        <v>138.83270774275735</v>
      </c>
      <c r="C49" s="58">
        <v>0</v>
      </c>
      <c r="D49" s="72">
        <v>0</v>
      </c>
      <c r="E49" s="58">
        <v>2842.5744712221363</v>
      </c>
      <c r="F49" s="62">
        <v>849.59817536314358</v>
      </c>
      <c r="G49" s="58">
        <v>0</v>
      </c>
      <c r="H49" s="58">
        <v>0</v>
      </c>
      <c r="I49" s="62">
        <v>1940.4999441703956</v>
      </c>
      <c r="J49" s="58">
        <v>410.57807394668959</v>
      </c>
      <c r="K49" s="62">
        <v>6182.0833724451231</v>
      </c>
      <c r="L49" s="58"/>
      <c r="M49" s="59"/>
      <c r="N49" s="59"/>
      <c r="O49" s="59"/>
      <c r="P49" s="59"/>
      <c r="Q49" s="61"/>
      <c r="R49" s="59"/>
      <c r="V49" s="59"/>
      <c r="W49" s="59"/>
      <c r="AB49" s="59"/>
      <c r="AC49" s="59"/>
      <c r="AD49" s="59"/>
      <c r="AE49" s="59"/>
      <c r="AF49" s="59"/>
      <c r="AG49" s="59"/>
      <c r="AH49" s="59"/>
      <c r="AI49" s="61"/>
    </row>
    <row r="50" spans="1:35" s="60" customFormat="1" ht="11.25" customHeight="1">
      <c r="A50" s="47" t="s">
        <v>166</v>
      </c>
      <c r="B50" s="58">
        <v>0</v>
      </c>
      <c r="C50" s="58">
        <v>0</v>
      </c>
      <c r="D50" s="72">
        <v>0</v>
      </c>
      <c r="E50" s="58">
        <v>168.88555644692795</v>
      </c>
      <c r="F50" s="58">
        <v>230.73132329659407</v>
      </c>
      <c r="G50" s="58">
        <v>0</v>
      </c>
      <c r="H50" s="58">
        <v>0</v>
      </c>
      <c r="I50" s="58">
        <v>137.44701399801724</v>
      </c>
      <c r="J50" s="72">
        <v>0</v>
      </c>
      <c r="K50" s="58">
        <v>537.06389374153923</v>
      </c>
      <c r="L50" s="58"/>
      <c r="M50" s="59"/>
      <c r="N50" s="59"/>
      <c r="O50" s="59"/>
      <c r="P50" s="59"/>
      <c r="Q50" s="61"/>
      <c r="R50" s="59"/>
      <c r="V50" s="59"/>
      <c r="W50" s="59"/>
      <c r="AB50" s="59"/>
      <c r="AC50" s="59"/>
      <c r="AD50" s="59"/>
      <c r="AE50" s="59"/>
      <c r="AF50" s="59"/>
      <c r="AG50" s="59"/>
      <c r="AH50" s="59"/>
      <c r="AI50" s="61"/>
    </row>
    <row r="51" spans="1:35" s="60" customFormat="1" ht="10.5" customHeight="1">
      <c r="A51" s="57" t="s">
        <v>167</v>
      </c>
      <c r="B51" s="72">
        <v>0</v>
      </c>
      <c r="C51" s="72">
        <v>0</v>
      </c>
      <c r="D51" s="72">
        <v>0</v>
      </c>
      <c r="E51" s="71">
        <v>59070.638824150628</v>
      </c>
      <c r="F51" s="72">
        <v>0</v>
      </c>
      <c r="G51" s="71">
        <v>361.69050647440218</v>
      </c>
      <c r="H51" s="72">
        <v>0</v>
      </c>
      <c r="I51" s="71">
        <v>696.49866033915998</v>
      </c>
      <c r="J51" s="72">
        <v>0</v>
      </c>
      <c r="K51" s="71">
        <v>60128.827990964193</v>
      </c>
      <c r="L51" s="58"/>
      <c r="M51" s="59"/>
      <c r="N51" s="59"/>
      <c r="O51" s="59"/>
      <c r="P51" s="59"/>
      <c r="Q51" s="61"/>
      <c r="R51" s="59"/>
      <c r="V51" s="59"/>
      <c r="W51" s="59"/>
      <c r="AB51" s="59"/>
      <c r="AC51" s="59"/>
      <c r="AD51" s="59"/>
      <c r="AE51" s="59"/>
      <c r="AF51" s="59"/>
      <c r="AG51" s="59"/>
      <c r="AH51" s="59"/>
      <c r="AI51" s="61"/>
    </row>
    <row r="52" spans="1:35" s="60" customFormat="1" ht="10.5" customHeight="1">
      <c r="A52" s="47" t="s">
        <v>168</v>
      </c>
      <c r="B52" s="72">
        <v>0</v>
      </c>
      <c r="C52" s="72">
        <v>0</v>
      </c>
      <c r="D52" s="72">
        <v>0</v>
      </c>
      <c r="E52" s="62">
        <v>13905.964685498053</v>
      </c>
      <c r="F52" s="72">
        <v>0</v>
      </c>
      <c r="G52" s="72">
        <v>0</v>
      </c>
      <c r="H52" s="72">
        <v>0</v>
      </c>
      <c r="I52" s="72">
        <v>0</v>
      </c>
      <c r="J52" s="72">
        <v>0</v>
      </c>
      <c r="K52" s="62">
        <v>13905.964685498053</v>
      </c>
      <c r="L52" s="58"/>
      <c r="M52" s="59"/>
      <c r="N52" s="59"/>
      <c r="O52" s="59"/>
      <c r="P52" s="59"/>
      <c r="Q52" s="61"/>
      <c r="R52" s="59"/>
      <c r="V52" s="59"/>
      <c r="W52" s="59"/>
      <c r="AB52" s="59"/>
      <c r="AC52" s="59"/>
      <c r="AD52" s="59"/>
      <c r="AE52" s="59"/>
      <c r="AF52" s="59"/>
      <c r="AG52" s="59"/>
      <c r="AH52" s="59"/>
      <c r="AI52" s="61"/>
    </row>
    <row r="53" spans="1:35" s="60" customFormat="1" ht="10.5" customHeight="1">
      <c r="A53" s="47" t="s">
        <v>24</v>
      </c>
      <c r="B53" s="72">
        <v>0</v>
      </c>
      <c r="C53" s="72">
        <v>0</v>
      </c>
      <c r="D53" s="72">
        <v>0</v>
      </c>
      <c r="E53" s="58">
        <v>700.49172370520387</v>
      </c>
      <c r="F53" s="72">
        <v>0</v>
      </c>
      <c r="G53" s="72">
        <v>0</v>
      </c>
      <c r="H53" s="72">
        <v>0</v>
      </c>
      <c r="I53" s="62">
        <v>696.49866033915998</v>
      </c>
      <c r="J53" s="72">
        <v>0</v>
      </c>
      <c r="K53" s="62">
        <v>1396.990384044364</v>
      </c>
      <c r="L53" s="58"/>
      <c r="M53" s="59"/>
      <c r="N53" s="59"/>
      <c r="O53" s="59"/>
      <c r="P53" s="59"/>
      <c r="Q53" s="61"/>
      <c r="R53" s="59"/>
      <c r="V53" s="59"/>
      <c r="W53" s="59"/>
      <c r="AB53" s="59"/>
      <c r="AC53" s="59"/>
      <c r="AD53" s="59"/>
      <c r="AE53" s="59"/>
      <c r="AF53" s="59"/>
      <c r="AG53" s="59"/>
      <c r="AH53" s="59"/>
      <c r="AI53" s="61"/>
    </row>
    <row r="54" spans="1:35" s="60" customFormat="1" ht="10.5" customHeight="1">
      <c r="A54" s="47" t="s">
        <v>23</v>
      </c>
      <c r="B54" s="72">
        <v>0</v>
      </c>
      <c r="C54" s="72">
        <v>0</v>
      </c>
      <c r="D54" s="72">
        <v>0</v>
      </c>
      <c r="E54" s="62">
        <v>42846.007659541894</v>
      </c>
      <c r="F54" s="72">
        <v>0</v>
      </c>
      <c r="G54" s="62">
        <v>361.69050647440218</v>
      </c>
      <c r="H54" s="72">
        <v>0</v>
      </c>
      <c r="I54" s="72">
        <v>0</v>
      </c>
      <c r="J54" s="72">
        <v>0</v>
      </c>
      <c r="K54" s="62">
        <v>43207.698166016293</v>
      </c>
      <c r="L54" s="58"/>
      <c r="M54" s="59"/>
      <c r="N54" s="59"/>
      <c r="O54" s="59"/>
      <c r="P54" s="59"/>
      <c r="Q54" s="61"/>
      <c r="R54" s="59"/>
      <c r="V54" s="59"/>
      <c r="W54" s="59"/>
      <c r="AB54" s="59"/>
      <c r="AC54" s="59"/>
      <c r="AD54" s="59"/>
      <c r="AE54" s="59"/>
      <c r="AF54" s="59"/>
      <c r="AG54" s="59"/>
      <c r="AH54" s="59"/>
      <c r="AI54" s="61"/>
    </row>
    <row r="55" spans="1:35" s="60" customFormat="1" ht="10.5" customHeight="1">
      <c r="A55" s="47" t="s">
        <v>169</v>
      </c>
      <c r="B55" s="72">
        <v>0</v>
      </c>
      <c r="C55" s="72">
        <v>0</v>
      </c>
      <c r="D55" s="72">
        <v>0</v>
      </c>
      <c r="E55" s="58">
        <v>1618.174755405485</v>
      </c>
      <c r="F55" s="72">
        <v>0</v>
      </c>
      <c r="G55" s="72">
        <v>0</v>
      </c>
      <c r="H55" s="72">
        <v>0</v>
      </c>
      <c r="I55" s="72">
        <v>0</v>
      </c>
      <c r="J55" s="72">
        <v>0</v>
      </c>
      <c r="K55" s="58">
        <v>1618.174755405485</v>
      </c>
      <c r="L55" s="58"/>
      <c r="M55" s="59"/>
      <c r="N55" s="59"/>
      <c r="O55" s="59"/>
      <c r="P55" s="59"/>
      <c r="Q55" s="61"/>
      <c r="R55" s="59"/>
      <c r="V55" s="59"/>
      <c r="W55" s="59"/>
      <c r="AB55" s="59"/>
      <c r="AC55" s="59"/>
      <c r="AD55" s="59"/>
      <c r="AE55" s="59"/>
      <c r="AF55" s="59"/>
      <c r="AG55" s="59"/>
      <c r="AH55" s="59"/>
      <c r="AI55" s="61"/>
    </row>
    <row r="56" spans="1:35" s="60" customFormat="1" ht="10.5" customHeight="1">
      <c r="A56" s="47" t="s">
        <v>170</v>
      </c>
      <c r="B56" s="72">
        <v>0</v>
      </c>
      <c r="C56" s="72">
        <v>0</v>
      </c>
      <c r="D56" s="72">
        <v>0</v>
      </c>
      <c r="E56" s="58">
        <v>0</v>
      </c>
      <c r="F56" s="72">
        <v>0</v>
      </c>
      <c r="G56" s="72">
        <v>0</v>
      </c>
      <c r="H56" s="72">
        <v>0</v>
      </c>
      <c r="I56" s="72">
        <v>0</v>
      </c>
      <c r="J56" s="72">
        <v>0</v>
      </c>
      <c r="K56" s="58">
        <v>0</v>
      </c>
      <c r="L56" s="58"/>
      <c r="M56" s="59"/>
      <c r="N56" s="59"/>
      <c r="O56" s="59"/>
      <c r="P56" s="59"/>
      <c r="Q56" s="61"/>
      <c r="R56" s="59"/>
      <c r="V56" s="59"/>
      <c r="W56" s="59"/>
      <c r="AB56" s="59"/>
      <c r="AC56" s="59"/>
      <c r="AD56" s="59"/>
      <c r="AE56" s="59"/>
      <c r="AF56" s="59"/>
      <c r="AG56" s="59"/>
      <c r="AH56" s="59"/>
      <c r="AI56" s="61"/>
    </row>
    <row r="57" spans="1:35" s="60" customFormat="1" ht="10.5" customHeight="1">
      <c r="A57" s="57" t="s">
        <v>113</v>
      </c>
      <c r="B57" s="72">
        <v>500.90554916326829</v>
      </c>
      <c r="C57" s="71">
        <v>193.02716558069034</v>
      </c>
      <c r="D57" s="72">
        <v>0</v>
      </c>
      <c r="E57" s="72">
        <v>4377.360603702904</v>
      </c>
      <c r="F57" s="71">
        <v>38922.863189778924</v>
      </c>
      <c r="G57" s="71">
        <v>582.3235989659255</v>
      </c>
      <c r="H57" s="72">
        <v>0</v>
      </c>
      <c r="I57" s="71">
        <v>18594.730344782609</v>
      </c>
      <c r="J57" s="71">
        <v>437.66865004299228</v>
      </c>
      <c r="K57" s="71">
        <v>63608.624445095564</v>
      </c>
      <c r="L57" s="58"/>
      <c r="M57" s="59"/>
      <c r="N57" s="59"/>
      <c r="O57" s="59"/>
      <c r="P57" s="59"/>
      <c r="Q57" s="61"/>
      <c r="R57" s="59"/>
      <c r="V57" s="59"/>
      <c r="W57" s="59"/>
      <c r="AB57" s="59"/>
      <c r="AC57" s="59"/>
      <c r="AD57" s="59"/>
      <c r="AE57" s="59"/>
      <c r="AF57" s="59"/>
      <c r="AG57" s="59"/>
      <c r="AH57" s="59"/>
      <c r="AI57" s="61"/>
    </row>
    <row r="58" spans="1:35" s="60" customFormat="1" ht="10.5" customHeight="1">
      <c r="A58" s="47" t="s">
        <v>38</v>
      </c>
      <c r="B58" s="58">
        <v>486.96862452451853</v>
      </c>
      <c r="C58" s="62">
        <v>193.02716558069034</v>
      </c>
      <c r="D58" s="72">
        <v>0</v>
      </c>
      <c r="E58" s="58">
        <v>2876.5544716071427</v>
      </c>
      <c r="F58" s="62">
        <v>30347.596000306152</v>
      </c>
      <c r="G58" s="62">
        <v>399.72912132656188</v>
      </c>
      <c r="H58" s="72">
        <v>0</v>
      </c>
      <c r="I58" s="58">
        <v>9892.5696315601908</v>
      </c>
      <c r="J58" s="58">
        <v>51.934651762682712</v>
      </c>
      <c r="K58" s="62">
        <v>44248.379666667941</v>
      </c>
      <c r="L58" s="58"/>
      <c r="M58" s="59"/>
      <c r="N58" s="59"/>
      <c r="O58" s="59"/>
      <c r="P58" s="59"/>
      <c r="Q58" s="61"/>
      <c r="R58" s="59"/>
      <c r="V58" s="59"/>
      <c r="W58" s="59"/>
      <c r="AB58" s="59"/>
      <c r="AC58" s="59"/>
      <c r="AD58" s="59"/>
      <c r="AE58" s="59"/>
      <c r="AF58" s="59"/>
      <c r="AG58" s="59"/>
      <c r="AH58" s="59"/>
      <c r="AI58" s="61"/>
    </row>
    <row r="59" spans="1:35" s="60" customFormat="1" ht="10.5" customHeight="1">
      <c r="A59" s="47" t="s">
        <v>171</v>
      </c>
      <c r="B59" s="62">
        <v>5.5990507192131513</v>
      </c>
      <c r="C59" s="58">
        <v>0</v>
      </c>
      <c r="D59" s="72">
        <v>0</v>
      </c>
      <c r="E59" s="58">
        <v>487.49356628005404</v>
      </c>
      <c r="F59" s="62">
        <v>3825.0752565601806</v>
      </c>
      <c r="G59" s="62">
        <v>89.031229430691653</v>
      </c>
      <c r="H59" s="72">
        <v>0</v>
      </c>
      <c r="I59" s="62">
        <v>1921.4708964229239</v>
      </c>
      <c r="J59" s="58">
        <v>376.22828976784172</v>
      </c>
      <c r="K59" s="62">
        <v>6704.8982891809046</v>
      </c>
      <c r="L59" s="58"/>
      <c r="M59" s="59"/>
      <c r="N59" s="59"/>
      <c r="O59" s="59"/>
      <c r="P59" s="59"/>
      <c r="Q59" s="61"/>
      <c r="R59" s="59"/>
      <c r="V59" s="59"/>
      <c r="W59" s="59"/>
      <c r="AB59" s="59"/>
      <c r="AC59" s="59"/>
      <c r="AD59" s="59"/>
      <c r="AE59" s="59"/>
      <c r="AF59" s="59"/>
      <c r="AG59" s="59"/>
      <c r="AH59" s="59"/>
      <c r="AI59" s="61"/>
    </row>
    <row r="60" spans="1:35" s="60" customFormat="1" ht="10.5" customHeight="1">
      <c r="A60" s="47" t="s">
        <v>47</v>
      </c>
      <c r="B60" s="58">
        <v>4.1936311113122446</v>
      </c>
      <c r="C60" s="58">
        <v>0</v>
      </c>
      <c r="D60" s="72">
        <v>0</v>
      </c>
      <c r="E60" s="58">
        <v>408.57956181445161</v>
      </c>
      <c r="F60" s="58">
        <v>3090.5764029765669</v>
      </c>
      <c r="G60" s="62">
        <v>19.277650340423136</v>
      </c>
      <c r="H60" s="72">
        <v>0</v>
      </c>
      <c r="I60" s="62">
        <v>6426.0158214275434</v>
      </c>
      <c r="J60" s="58">
        <v>9.2510515907136721</v>
      </c>
      <c r="K60" s="62">
        <v>9957.8941192610109</v>
      </c>
      <c r="L60" s="58"/>
      <c r="M60" s="59"/>
      <c r="N60" s="59"/>
      <c r="O60" s="59"/>
      <c r="P60" s="59"/>
      <c r="Q60" s="61"/>
      <c r="R60" s="59"/>
      <c r="V60" s="59"/>
      <c r="W60" s="59"/>
      <c r="AB60" s="59"/>
      <c r="AC60" s="59"/>
      <c r="AD60" s="59"/>
      <c r="AE60" s="59"/>
      <c r="AF60" s="59"/>
      <c r="AG60" s="59"/>
      <c r="AH60" s="59"/>
      <c r="AI60" s="61"/>
    </row>
    <row r="61" spans="1:35" s="60" customFormat="1" ht="11.25" customHeight="1">
      <c r="A61" s="47" t="s">
        <v>172</v>
      </c>
      <c r="B61" s="58">
        <v>2.6750740422279544</v>
      </c>
      <c r="C61" s="58">
        <v>0</v>
      </c>
      <c r="D61" s="72">
        <v>0</v>
      </c>
      <c r="E61" s="58">
        <v>294.37351313668415</v>
      </c>
      <c r="F61" s="58">
        <v>171.87620514677769</v>
      </c>
      <c r="G61" s="58">
        <v>73.871322138248786</v>
      </c>
      <c r="H61" s="72">
        <v>0</v>
      </c>
      <c r="I61" s="62">
        <v>354.67399537195223</v>
      </c>
      <c r="J61" s="58">
        <v>0</v>
      </c>
      <c r="K61" s="62">
        <v>897.47010983589075</v>
      </c>
      <c r="L61" s="58"/>
      <c r="M61" s="59"/>
      <c r="N61" s="59"/>
      <c r="O61" s="59"/>
      <c r="P61" s="59"/>
      <c r="Q61" s="59"/>
      <c r="R61" s="59"/>
      <c r="S61" s="59"/>
      <c r="T61" s="59"/>
      <c r="U61" s="59"/>
      <c r="V61" s="59"/>
      <c r="W61" s="61"/>
      <c r="AB61" s="59"/>
      <c r="AC61" s="59"/>
      <c r="AD61" s="59"/>
      <c r="AE61" s="59"/>
      <c r="AF61" s="59"/>
      <c r="AG61" s="59"/>
      <c r="AH61" s="59"/>
      <c r="AI61" s="61"/>
    </row>
    <row r="62" spans="1:35" s="60" customFormat="1" ht="10.5" customHeight="1">
      <c r="A62" s="74" t="s">
        <v>173</v>
      </c>
      <c r="B62" s="75">
        <v>1.4691687659963895</v>
      </c>
      <c r="C62" s="58">
        <v>0</v>
      </c>
      <c r="D62" s="58">
        <v>0</v>
      </c>
      <c r="E62" s="58">
        <v>310.35949086457185</v>
      </c>
      <c r="F62" s="62">
        <v>1487.7393247892408</v>
      </c>
      <c r="G62" s="62">
        <v>0</v>
      </c>
      <c r="H62" s="58">
        <v>0</v>
      </c>
      <c r="I62" s="58">
        <v>0</v>
      </c>
      <c r="J62" s="58">
        <v>0</v>
      </c>
      <c r="K62" s="62">
        <v>1799.982260149809</v>
      </c>
      <c r="L62" s="58"/>
      <c r="M62" s="59"/>
      <c r="N62" s="59"/>
      <c r="O62" s="59"/>
      <c r="P62" s="59"/>
      <c r="Q62" s="59"/>
      <c r="R62" s="59"/>
      <c r="S62" s="59"/>
      <c r="T62" s="59"/>
      <c r="U62" s="59"/>
      <c r="V62" s="59"/>
      <c r="W62" s="61"/>
      <c r="AB62" s="59"/>
      <c r="AC62" s="59"/>
      <c r="AD62" s="59"/>
      <c r="AE62" s="59"/>
      <c r="AF62" s="59"/>
      <c r="AG62" s="59"/>
      <c r="AH62" s="59"/>
      <c r="AI62" s="61"/>
    </row>
    <row r="63" spans="1:35" s="67" customFormat="1" ht="10.5" customHeight="1" thickBot="1">
      <c r="A63" s="81" t="s">
        <v>174</v>
      </c>
      <c r="B63" s="82">
        <v>0</v>
      </c>
      <c r="C63" s="82">
        <v>0</v>
      </c>
      <c r="D63" s="82">
        <v>0</v>
      </c>
      <c r="E63" s="83">
        <v>9550.0292033026835</v>
      </c>
      <c r="F63" s="83">
        <v>879.46199484092858</v>
      </c>
      <c r="G63" s="82">
        <v>0</v>
      </c>
      <c r="H63" s="82">
        <v>0</v>
      </c>
      <c r="I63" s="82">
        <v>0</v>
      </c>
      <c r="J63" s="82">
        <v>0</v>
      </c>
      <c r="K63" s="83">
        <v>10429.491198143613</v>
      </c>
      <c r="L63" s="58"/>
      <c r="M63" s="59"/>
      <c r="N63" s="59"/>
      <c r="O63" s="59"/>
      <c r="P63" s="59"/>
      <c r="Q63" s="59"/>
      <c r="R63" s="59"/>
      <c r="S63" s="59"/>
      <c r="T63" s="59"/>
      <c r="U63" s="59"/>
      <c r="V63" s="59"/>
      <c r="W63" s="61"/>
      <c r="AB63" s="59"/>
      <c r="AC63" s="59"/>
      <c r="AD63" s="59"/>
      <c r="AE63" s="59"/>
      <c r="AF63" s="59"/>
      <c r="AG63" s="59"/>
      <c r="AH63" s="59"/>
      <c r="AI63" s="61"/>
    </row>
    <row r="64" spans="1:35" ht="12" customHeight="1" thickTop="1">
      <c r="A64" s="84" t="s">
        <v>175</v>
      </c>
      <c r="B64" s="84"/>
      <c r="C64" s="84"/>
      <c r="D64" s="84"/>
      <c r="E64" s="84"/>
      <c r="F64" s="84"/>
      <c r="G64" s="84"/>
      <c r="H64" s="47"/>
      <c r="I64" s="47"/>
      <c r="J64" s="47"/>
      <c r="K64" s="47"/>
      <c r="P64" s="59"/>
      <c r="R64" s="59"/>
    </row>
    <row r="65" spans="1:18" ht="10" customHeight="1">
      <c r="A65" s="84" t="s">
        <v>176</v>
      </c>
      <c r="B65" s="84"/>
      <c r="C65" s="84"/>
      <c r="D65" s="84"/>
      <c r="E65" s="84"/>
      <c r="F65" s="84"/>
      <c r="G65" s="84"/>
      <c r="H65" s="47"/>
      <c r="I65" s="47"/>
      <c r="J65" s="47"/>
      <c r="K65" s="47"/>
      <c r="P65" s="59"/>
      <c r="R65" s="59"/>
    </row>
    <row r="66" spans="1:18" ht="10" customHeight="1">
      <c r="A66" s="84" t="s">
        <v>177</v>
      </c>
      <c r="B66" s="84"/>
      <c r="C66" s="84"/>
      <c r="D66" s="84"/>
      <c r="E66" s="84"/>
      <c r="F66" s="84"/>
      <c r="G66" s="84"/>
      <c r="H66" s="47"/>
      <c r="I66" s="47"/>
      <c r="J66" s="47"/>
      <c r="K66" s="47"/>
      <c r="P66" s="59"/>
      <c r="R66" s="59"/>
    </row>
    <row r="67" spans="1:18" ht="10" customHeight="1">
      <c r="A67" s="84" t="s">
        <v>178</v>
      </c>
      <c r="B67" s="84"/>
      <c r="C67" s="84"/>
      <c r="D67" s="84"/>
      <c r="E67" s="84"/>
      <c r="F67" s="84"/>
      <c r="G67" s="84"/>
      <c r="H67" s="47"/>
      <c r="I67" s="47"/>
      <c r="J67" s="47"/>
      <c r="K67" s="47"/>
      <c r="P67" s="59"/>
      <c r="R67" s="59"/>
    </row>
    <row r="68" spans="1:18" ht="10" customHeight="1">
      <c r="A68" s="84" t="s">
        <v>179</v>
      </c>
      <c r="B68" s="84"/>
      <c r="C68" s="84"/>
      <c r="D68" s="84"/>
      <c r="E68" s="84"/>
      <c r="F68" s="84"/>
      <c r="G68" s="84"/>
      <c r="H68" s="47"/>
      <c r="I68" s="47"/>
      <c r="J68" s="47"/>
      <c r="K68" s="47"/>
      <c r="P68" s="59"/>
      <c r="R68" s="59"/>
    </row>
    <row r="69" spans="1:18" ht="9.75" customHeight="1">
      <c r="A69" s="84" t="s">
        <v>180</v>
      </c>
      <c r="B69" s="85"/>
      <c r="C69" s="85"/>
      <c r="D69" s="85"/>
      <c r="E69" s="85"/>
      <c r="F69" s="85"/>
      <c r="G69" s="85"/>
      <c r="H69" s="85"/>
      <c r="I69" s="85"/>
      <c r="J69" s="85"/>
      <c r="K69" s="85"/>
      <c r="P69" s="59"/>
      <c r="R69" s="59"/>
    </row>
    <row r="70" spans="1:18">
      <c r="P70" s="59"/>
      <c r="R70" s="59"/>
    </row>
    <row r="71" spans="1:18">
      <c r="P71" s="59"/>
      <c r="R71" s="59"/>
    </row>
    <row r="72" spans="1:18">
      <c r="B72" s="86"/>
      <c r="C72" s="86"/>
      <c r="D72" s="86"/>
      <c r="E72" s="86"/>
      <c r="F72" s="86"/>
      <c r="G72" s="86"/>
      <c r="H72" s="86"/>
      <c r="I72" s="86"/>
      <c r="J72" s="86"/>
      <c r="K72" s="86"/>
      <c r="P72" s="59"/>
      <c r="R72" s="59"/>
    </row>
    <row r="73" spans="1:18">
      <c r="P73" s="59"/>
      <c r="R73" s="59"/>
    </row>
    <row r="74" spans="1:18">
      <c r="P74" s="59"/>
      <c r="R74" s="59"/>
    </row>
    <row r="75" spans="1:18">
      <c r="P75" s="59"/>
      <c r="R75" s="59"/>
    </row>
    <row r="76" spans="1:18">
      <c r="P76" s="59"/>
      <c r="R76" s="59"/>
    </row>
    <row r="77" spans="1:18">
      <c r="P77" s="59"/>
      <c r="R77" s="59"/>
    </row>
    <row r="78" spans="1:18">
      <c r="P78" s="59"/>
      <c r="R78" s="59"/>
    </row>
    <row r="79" spans="1:18">
      <c r="P79" s="59"/>
      <c r="R79" s="59"/>
    </row>
    <row r="80" spans="1:18">
      <c r="P80" s="59"/>
      <c r="R80" s="59"/>
    </row>
    <row r="81" spans="16:18">
      <c r="P81" s="59"/>
      <c r="R81" s="59"/>
    </row>
    <row r="82" spans="16:18">
      <c r="P82" s="59"/>
      <c r="R82" s="59"/>
    </row>
    <row r="83" spans="16:18">
      <c r="R83" s="59"/>
    </row>
    <row r="84" spans="16:18">
      <c r="R84" s="59"/>
    </row>
    <row r="85" spans="16:18">
      <c r="R85" s="59"/>
    </row>
    <row r="86" spans="16:18">
      <c r="R86" s="59"/>
    </row>
    <row r="87" spans="16:18">
      <c r="R87" s="59"/>
    </row>
    <row r="88" spans="16:18">
      <c r="R88" s="59"/>
    </row>
    <row r="89" spans="16:18">
      <c r="R89" s="59"/>
    </row>
    <row r="90" spans="16:18">
      <c r="R90" s="59"/>
    </row>
    <row r="91" spans="16:18">
      <c r="R91" s="59"/>
    </row>
    <row r="92" spans="16:18">
      <c r="R92" s="59"/>
    </row>
    <row r="93" spans="16:18">
      <c r="R93" s="59"/>
    </row>
    <row r="94" spans="16:18">
      <c r="R94" s="59"/>
    </row>
    <row r="95" spans="16:18">
      <c r="R95" s="59"/>
    </row>
    <row r="96" spans="16:18">
      <c r="R96" s="59"/>
    </row>
    <row r="97" spans="18:18">
      <c r="R97" s="59"/>
    </row>
    <row r="98" spans="18:18">
      <c r="R98" s="59"/>
    </row>
    <row r="99" spans="18:18">
      <c r="R99" s="59"/>
    </row>
    <row r="100" spans="18:18">
      <c r="R100" s="59"/>
    </row>
    <row r="101" spans="18:18">
      <c r="R101" s="59"/>
    </row>
    <row r="102" spans="18:18">
      <c r="R102" s="59"/>
    </row>
    <row r="103" spans="18:18">
      <c r="R103" s="59"/>
    </row>
    <row r="104" spans="18:18">
      <c r="R104" s="59"/>
    </row>
    <row r="105" spans="18:18">
      <c r="R105" s="59"/>
    </row>
    <row r="106" spans="18:18">
      <c r="R106" s="59"/>
    </row>
    <row r="107" spans="18:18">
      <c r="R107" s="59"/>
    </row>
    <row r="108" spans="18:18">
      <c r="R108" s="59"/>
    </row>
    <row r="109" spans="18:18">
      <c r="R109" s="59"/>
    </row>
  </sheetData>
  <pageMargins left="0.51181102362204722" right="0.51181102362204722" top="0.51181102362204722" bottom="0.51181102362204722" header="0.27559055118110237" footer="0.27559055118110237"/>
  <pageSetup paperSize="9" scale="29" orientation="portrait"/>
  <headerFooter alignWithMargins="0">
    <oddFooter>&amp;C28</oddFooter>
  </headerFooter>
  <legacyDrawing r:id="rId1"/>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enableFormatConditionsCalculation="0"/>
  <dimension ref="A1:IV129"/>
  <sheetViews>
    <sheetView workbookViewId="0"/>
  </sheetViews>
  <sheetFormatPr baseColWidth="10" defaultColWidth="8.83203125" defaultRowHeight="12" x14ac:dyDescent="0"/>
  <cols>
    <col min="1" max="1" width="44.5" style="948" customWidth="1"/>
    <col min="2" max="2" width="8.5" style="948" hidden="1" customWidth="1"/>
    <col min="3" max="3" width="10.6640625" style="948" hidden="1" customWidth="1"/>
    <col min="4" max="6" width="9.83203125" style="948" hidden="1" customWidth="1"/>
    <col min="7" max="9" width="9.83203125" style="1024" hidden="1" customWidth="1"/>
    <col min="10" max="10" width="9.83203125" style="1024" customWidth="1"/>
    <col min="11" max="12" width="9.83203125" style="948" customWidth="1"/>
    <col min="13" max="256" width="8.83203125" style="948"/>
    <col min="257" max="257" width="44.5" style="948" customWidth="1"/>
    <col min="258" max="265" width="0" style="948" hidden="1" customWidth="1"/>
    <col min="266" max="268" width="9.83203125" style="948" customWidth="1"/>
    <col min="269" max="512" width="8.83203125" style="948"/>
    <col min="513" max="513" width="44.5" style="948" customWidth="1"/>
    <col min="514" max="521" width="0" style="948" hidden="1" customWidth="1"/>
    <col min="522" max="524" width="9.83203125" style="948" customWidth="1"/>
    <col min="525" max="768" width="8.83203125" style="948"/>
    <col min="769" max="769" width="44.5" style="948" customWidth="1"/>
    <col min="770" max="777" width="0" style="948" hidden="1" customWidth="1"/>
    <col min="778" max="780" width="9.83203125" style="948" customWidth="1"/>
    <col min="781" max="1024" width="8.83203125" style="948"/>
    <col min="1025" max="1025" width="44.5" style="948" customWidth="1"/>
    <col min="1026" max="1033" width="0" style="948" hidden="1" customWidth="1"/>
    <col min="1034" max="1036" width="9.83203125" style="948" customWidth="1"/>
    <col min="1037" max="1280" width="8.83203125" style="948"/>
    <col min="1281" max="1281" width="44.5" style="948" customWidth="1"/>
    <col min="1282" max="1289" width="0" style="948" hidden="1" customWidth="1"/>
    <col min="1290" max="1292" width="9.83203125" style="948" customWidth="1"/>
    <col min="1293" max="1536" width="8.83203125" style="948"/>
    <col min="1537" max="1537" width="44.5" style="948" customWidth="1"/>
    <col min="1538" max="1545" width="0" style="948" hidden="1" customWidth="1"/>
    <col min="1546" max="1548" width="9.83203125" style="948" customWidth="1"/>
    <col min="1549" max="1792" width="8.83203125" style="948"/>
    <col min="1793" max="1793" width="44.5" style="948" customWidth="1"/>
    <col min="1794" max="1801" width="0" style="948" hidden="1" customWidth="1"/>
    <col min="1802" max="1804" width="9.83203125" style="948" customWidth="1"/>
    <col min="1805" max="2048" width="8.83203125" style="948"/>
    <col min="2049" max="2049" width="44.5" style="948" customWidth="1"/>
    <col min="2050" max="2057" width="0" style="948" hidden="1" customWidth="1"/>
    <col min="2058" max="2060" width="9.83203125" style="948" customWidth="1"/>
    <col min="2061" max="2304" width="8.83203125" style="948"/>
    <col min="2305" max="2305" width="44.5" style="948" customWidth="1"/>
    <col min="2306" max="2313" width="0" style="948" hidden="1" customWidth="1"/>
    <col min="2314" max="2316" width="9.83203125" style="948" customWidth="1"/>
    <col min="2317" max="2560" width="8.83203125" style="948"/>
    <col min="2561" max="2561" width="44.5" style="948" customWidth="1"/>
    <col min="2562" max="2569" width="0" style="948" hidden="1" customWidth="1"/>
    <col min="2570" max="2572" width="9.83203125" style="948" customWidth="1"/>
    <col min="2573" max="2816" width="8.83203125" style="948"/>
    <col min="2817" max="2817" width="44.5" style="948" customWidth="1"/>
    <col min="2818" max="2825" width="0" style="948" hidden="1" customWidth="1"/>
    <col min="2826" max="2828" width="9.83203125" style="948" customWidth="1"/>
    <col min="2829" max="3072" width="8.83203125" style="948"/>
    <col min="3073" max="3073" width="44.5" style="948" customWidth="1"/>
    <col min="3074" max="3081" width="0" style="948" hidden="1" customWidth="1"/>
    <col min="3082" max="3084" width="9.83203125" style="948" customWidth="1"/>
    <col min="3085" max="3328" width="8.83203125" style="948"/>
    <col min="3329" max="3329" width="44.5" style="948" customWidth="1"/>
    <col min="3330" max="3337" width="0" style="948" hidden="1" customWidth="1"/>
    <col min="3338" max="3340" width="9.83203125" style="948" customWidth="1"/>
    <col min="3341" max="3584" width="8.83203125" style="948"/>
    <col min="3585" max="3585" width="44.5" style="948" customWidth="1"/>
    <col min="3586" max="3593" width="0" style="948" hidden="1" customWidth="1"/>
    <col min="3594" max="3596" width="9.83203125" style="948" customWidth="1"/>
    <col min="3597" max="3840" width="8.83203125" style="948"/>
    <col min="3841" max="3841" width="44.5" style="948" customWidth="1"/>
    <col min="3842" max="3849" width="0" style="948" hidden="1" customWidth="1"/>
    <col min="3850" max="3852" width="9.83203125" style="948" customWidth="1"/>
    <col min="3853" max="4096" width="8.83203125" style="948"/>
    <col min="4097" max="4097" width="44.5" style="948" customWidth="1"/>
    <col min="4098" max="4105" width="0" style="948" hidden="1" customWidth="1"/>
    <col min="4106" max="4108" width="9.83203125" style="948" customWidth="1"/>
    <col min="4109" max="4352" width="8.83203125" style="948"/>
    <col min="4353" max="4353" width="44.5" style="948" customWidth="1"/>
    <col min="4354" max="4361" width="0" style="948" hidden="1" customWidth="1"/>
    <col min="4362" max="4364" width="9.83203125" style="948" customWidth="1"/>
    <col min="4365" max="4608" width="8.83203125" style="948"/>
    <col min="4609" max="4609" width="44.5" style="948" customWidth="1"/>
    <col min="4610" max="4617" width="0" style="948" hidden="1" customWidth="1"/>
    <col min="4618" max="4620" width="9.83203125" style="948" customWidth="1"/>
    <col min="4621" max="4864" width="8.83203125" style="948"/>
    <col min="4865" max="4865" width="44.5" style="948" customWidth="1"/>
    <col min="4866" max="4873" width="0" style="948" hidden="1" customWidth="1"/>
    <col min="4874" max="4876" width="9.83203125" style="948" customWidth="1"/>
    <col min="4877" max="5120" width="8.83203125" style="948"/>
    <col min="5121" max="5121" width="44.5" style="948" customWidth="1"/>
    <col min="5122" max="5129" width="0" style="948" hidden="1" customWidth="1"/>
    <col min="5130" max="5132" width="9.83203125" style="948" customWidth="1"/>
    <col min="5133" max="5376" width="8.83203125" style="948"/>
    <col min="5377" max="5377" width="44.5" style="948" customWidth="1"/>
    <col min="5378" max="5385" width="0" style="948" hidden="1" customWidth="1"/>
    <col min="5386" max="5388" width="9.83203125" style="948" customWidth="1"/>
    <col min="5389" max="5632" width="8.83203125" style="948"/>
    <col min="5633" max="5633" width="44.5" style="948" customWidth="1"/>
    <col min="5634" max="5641" width="0" style="948" hidden="1" customWidth="1"/>
    <col min="5642" max="5644" width="9.83203125" style="948" customWidth="1"/>
    <col min="5645" max="5888" width="8.83203125" style="948"/>
    <col min="5889" max="5889" width="44.5" style="948" customWidth="1"/>
    <col min="5890" max="5897" width="0" style="948" hidden="1" customWidth="1"/>
    <col min="5898" max="5900" width="9.83203125" style="948" customWidth="1"/>
    <col min="5901" max="6144" width="8.83203125" style="948"/>
    <col min="6145" max="6145" width="44.5" style="948" customWidth="1"/>
    <col min="6146" max="6153" width="0" style="948" hidden="1" customWidth="1"/>
    <col min="6154" max="6156" width="9.83203125" style="948" customWidth="1"/>
    <col min="6157" max="6400" width="8.83203125" style="948"/>
    <col min="6401" max="6401" width="44.5" style="948" customWidth="1"/>
    <col min="6402" max="6409" width="0" style="948" hidden="1" customWidth="1"/>
    <col min="6410" max="6412" width="9.83203125" style="948" customWidth="1"/>
    <col min="6413" max="6656" width="8.83203125" style="948"/>
    <col min="6657" max="6657" width="44.5" style="948" customWidth="1"/>
    <col min="6658" max="6665" width="0" style="948" hidden="1" customWidth="1"/>
    <col min="6666" max="6668" width="9.83203125" style="948" customWidth="1"/>
    <col min="6669" max="6912" width="8.83203125" style="948"/>
    <col min="6913" max="6913" width="44.5" style="948" customWidth="1"/>
    <col min="6914" max="6921" width="0" style="948" hidden="1" customWidth="1"/>
    <col min="6922" max="6924" width="9.83203125" style="948" customWidth="1"/>
    <col min="6925" max="7168" width="8.83203125" style="948"/>
    <col min="7169" max="7169" width="44.5" style="948" customWidth="1"/>
    <col min="7170" max="7177" width="0" style="948" hidden="1" customWidth="1"/>
    <col min="7178" max="7180" width="9.83203125" style="948" customWidth="1"/>
    <col min="7181" max="7424" width="8.83203125" style="948"/>
    <col min="7425" max="7425" width="44.5" style="948" customWidth="1"/>
    <col min="7426" max="7433" width="0" style="948" hidden="1" customWidth="1"/>
    <col min="7434" max="7436" width="9.83203125" style="948" customWidth="1"/>
    <col min="7437" max="7680" width="8.83203125" style="948"/>
    <col min="7681" max="7681" width="44.5" style="948" customWidth="1"/>
    <col min="7682" max="7689" width="0" style="948" hidden="1" customWidth="1"/>
    <col min="7690" max="7692" width="9.83203125" style="948" customWidth="1"/>
    <col min="7693" max="7936" width="8.83203125" style="948"/>
    <col min="7937" max="7937" width="44.5" style="948" customWidth="1"/>
    <col min="7938" max="7945" width="0" style="948" hidden="1" customWidth="1"/>
    <col min="7946" max="7948" width="9.83203125" style="948" customWidth="1"/>
    <col min="7949" max="8192" width="8.83203125" style="948"/>
    <col min="8193" max="8193" width="44.5" style="948" customWidth="1"/>
    <col min="8194" max="8201" width="0" style="948" hidden="1" customWidth="1"/>
    <col min="8202" max="8204" width="9.83203125" style="948" customWidth="1"/>
    <col min="8205" max="8448" width="8.83203125" style="948"/>
    <col min="8449" max="8449" width="44.5" style="948" customWidth="1"/>
    <col min="8450" max="8457" width="0" style="948" hidden="1" customWidth="1"/>
    <col min="8458" max="8460" width="9.83203125" style="948" customWidth="1"/>
    <col min="8461" max="8704" width="8.83203125" style="948"/>
    <col min="8705" max="8705" width="44.5" style="948" customWidth="1"/>
    <col min="8706" max="8713" width="0" style="948" hidden="1" customWidth="1"/>
    <col min="8714" max="8716" width="9.83203125" style="948" customWidth="1"/>
    <col min="8717" max="8960" width="8.83203125" style="948"/>
    <col min="8961" max="8961" width="44.5" style="948" customWidth="1"/>
    <col min="8962" max="8969" width="0" style="948" hidden="1" customWidth="1"/>
    <col min="8970" max="8972" width="9.83203125" style="948" customWidth="1"/>
    <col min="8973" max="9216" width="8.83203125" style="948"/>
    <col min="9217" max="9217" width="44.5" style="948" customWidth="1"/>
    <col min="9218" max="9225" width="0" style="948" hidden="1" customWidth="1"/>
    <col min="9226" max="9228" width="9.83203125" style="948" customWidth="1"/>
    <col min="9229" max="9472" width="8.83203125" style="948"/>
    <col min="9473" max="9473" width="44.5" style="948" customWidth="1"/>
    <col min="9474" max="9481" width="0" style="948" hidden="1" customWidth="1"/>
    <col min="9482" max="9484" width="9.83203125" style="948" customWidth="1"/>
    <col min="9485" max="9728" width="8.83203125" style="948"/>
    <col min="9729" max="9729" width="44.5" style="948" customWidth="1"/>
    <col min="9730" max="9737" width="0" style="948" hidden="1" customWidth="1"/>
    <col min="9738" max="9740" width="9.83203125" style="948" customWidth="1"/>
    <col min="9741" max="9984" width="8.83203125" style="948"/>
    <col min="9985" max="9985" width="44.5" style="948" customWidth="1"/>
    <col min="9986" max="9993" width="0" style="948" hidden="1" customWidth="1"/>
    <col min="9994" max="9996" width="9.83203125" style="948" customWidth="1"/>
    <col min="9997" max="10240" width="8.83203125" style="948"/>
    <col min="10241" max="10241" width="44.5" style="948" customWidth="1"/>
    <col min="10242" max="10249" width="0" style="948" hidden="1" customWidth="1"/>
    <col min="10250" max="10252" width="9.83203125" style="948" customWidth="1"/>
    <col min="10253" max="10496" width="8.83203125" style="948"/>
    <col min="10497" max="10497" width="44.5" style="948" customWidth="1"/>
    <col min="10498" max="10505" width="0" style="948" hidden="1" customWidth="1"/>
    <col min="10506" max="10508" width="9.83203125" style="948" customWidth="1"/>
    <col min="10509" max="10752" width="8.83203125" style="948"/>
    <col min="10753" max="10753" width="44.5" style="948" customWidth="1"/>
    <col min="10754" max="10761" width="0" style="948" hidden="1" customWidth="1"/>
    <col min="10762" max="10764" width="9.83203125" style="948" customWidth="1"/>
    <col min="10765" max="11008" width="8.83203125" style="948"/>
    <col min="11009" max="11009" width="44.5" style="948" customWidth="1"/>
    <col min="11010" max="11017" width="0" style="948" hidden="1" customWidth="1"/>
    <col min="11018" max="11020" width="9.83203125" style="948" customWidth="1"/>
    <col min="11021" max="11264" width="8.83203125" style="948"/>
    <col min="11265" max="11265" width="44.5" style="948" customWidth="1"/>
    <col min="11266" max="11273" width="0" style="948" hidden="1" customWidth="1"/>
    <col min="11274" max="11276" width="9.83203125" style="948" customWidth="1"/>
    <col min="11277" max="11520" width="8.83203125" style="948"/>
    <col min="11521" max="11521" width="44.5" style="948" customWidth="1"/>
    <col min="11522" max="11529" width="0" style="948" hidden="1" customWidth="1"/>
    <col min="11530" max="11532" width="9.83203125" style="948" customWidth="1"/>
    <col min="11533" max="11776" width="8.83203125" style="948"/>
    <col min="11777" max="11777" width="44.5" style="948" customWidth="1"/>
    <col min="11778" max="11785" width="0" style="948" hidden="1" customWidth="1"/>
    <col min="11786" max="11788" width="9.83203125" style="948" customWidth="1"/>
    <col min="11789" max="12032" width="8.83203125" style="948"/>
    <col min="12033" max="12033" width="44.5" style="948" customWidth="1"/>
    <col min="12034" max="12041" width="0" style="948" hidden="1" customWidth="1"/>
    <col min="12042" max="12044" width="9.83203125" style="948" customWidth="1"/>
    <col min="12045" max="12288" width="8.83203125" style="948"/>
    <col min="12289" max="12289" width="44.5" style="948" customWidth="1"/>
    <col min="12290" max="12297" width="0" style="948" hidden="1" customWidth="1"/>
    <col min="12298" max="12300" width="9.83203125" style="948" customWidth="1"/>
    <col min="12301" max="12544" width="8.83203125" style="948"/>
    <col min="12545" max="12545" width="44.5" style="948" customWidth="1"/>
    <col min="12546" max="12553" width="0" style="948" hidden="1" customWidth="1"/>
    <col min="12554" max="12556" width="9.83203125" style="948" customWidth="1"/>
    <col min="12557" max="12800" width="8.83203125" style="948"/>
    <col min="12801" max="12801" width="44.5" style="948" customWidth="1"/>
    <col min="12802" max="12809" width="0" style="948" hidden="1" customWidth="1"/>
    <col min="12810" max="12812" width="9.83203125" style="948" customWidth="1"/>
    <col min="12813" max="13056" width="8.83203125" style="948"/>
    <col min="13057" max="13057" width="44.5" style="948" customWidth="1"/>
    <col min="13058" max="13065" width="0" style="948" hidden="1" customWidth="1"/>
    <col min="13066" max="13068" width="9.83203125" style="948" customWidth="1"/>
    <col min="13069" max="13312" width="8.83203125" style="948"/>
    <col min="13313" max="13313" width="44.5" style="948" customWidth="1"/>
    <col min="13314" max="13321" width="0" style="948" hidden="1" customWidth="1"/>
    <col min="13322" max="13324" width="9.83203125" style="948" customWidth="1"/>
    <col min="13325" max="13568" width="8.83203125" style="948"/>
    <col min="13569" max="13569" width="44.5" style="948" customWidth="1"/>
    <col min="13570" max="13577" width="0" style="948" hidden="1" customWidth="1"/>
    <col min="13578" max="13580" width="9.83203125" style="948" customWidth="1"/>
    <col min="13581" max="13824" width="8.83203125" style="948"/>
    <col min="13825" max="13825" width="44.5" style="948" customWidth="1"/>
    <col min="13826" max="13833" width="0" style="948" hidden="1" customWidth="1"/>
    <col min="13834" max="13836" width="9.83203125" style="948" customWidth="1"/>
    <col min="13837" max="14080" width="8.83203125" style="948"/>
    <col min="14081" max="14081" width="44.5" style="948" customWidth="1"/>
    <col min="14082" max="14089" width="0" style="948" hidden="1" customWidth="1"/>
    <col min="14090" max="14092" width="9.83203125" style="948" customWidth="1"/>
    <col min="14093" max="14336" width="8.83203125" style="948"/>
    <col min="14337" max="14337" width="44.5" style="948" customWidth="1"/>
    <col min="14338" max="14345" width="0" style="948" hidden="1" customWidth="1"/>
    <col min="14346" max="14348" width="9.83203125" style="948" customWidth="1"/>
    <col min="14349" max="14592" width="8.83203125" style="948"/>
    <col min="14593" max="14593" width="44.5" style="948" customWidth="1"/>
    <col min="14594" max="14601" width="0" style="948" hidden="1" customWidth="1"/>
    <col min="14602" max="14604" width="9.83203125" style="948" customWidth="1"/>
    <col min="14605" max="14848" width="8.83203125" style="948"/>
    <col min="14849" max="14849" width="44.5" style="948" customWidth="1"/>
    <col min="14850" max="14857" width="0" style="948" hidden="1" customWidth="1"/>
    <col min="14858" max="14860" width="9.83203125" style="948" customWidth="1"/>
    <col min="14861" max="15104" width="8.83203125" style="948"/>
    <col min="15105" max="15105" width="44.5" style="948" customWidth="1"/>
    <col min="15106" max="15113" width="0" style="948" hidden="1" customWidth="1"/>
    <col min="15114" max="15116" width="9.83203125" style="948" customWidth="1"/>
    <col min="15117" max="15360" width="8.83203125" style="948"/>
    <col min="15361" max="15361" width="44.5" style="948" customWidth="1"/>
    <col min="15362" max="15369" width="0" style="948" hidden="1" customWidth="1"/>
    <col min="15370" max="15372" width="9.83203125" style="948" customWidth="1"/>
    <col min="15373" max="15616" width="8.83203125" style="948"/>
    <col min="15617" max="15617" width="44.5" style="948" customWidth="1"/>
    <col min="15618" max="15625" width="0" style="948" hidden="1" customWidth="1"/>
    <col min="15626" max="15628" width="9.83203125" style="948" customWidth="1"/>
    <col min="15629" max="15872" width="8.83203125" style="948"/>
    <col min="15873" max="15873" width="44.5" style="948" customWidth="1"/>
    <col min="15874" max="15881" width="0" style="948" hidden="1" customWidth="1"/>
    <col min="15882" max="15884" width="9.83203125" style="948" customWidth="1"/>
    <col min="15885" max="16128" width="8.83203125" style="948"/>
    <col min="16129" max="16129" width="44.5" style="948" customWidth="1"/>
    <col min="16130" max="16137" width="0" style="948" hidden="1" customWidth="1"/>
    <col min="16138" max="16140" width="9.83203125" style="948" customWidth="1"/>
    <col min="16141" max="16384" width="8.83203125" style="948"/>
  </cols>
  <sheetData>
    <row r="1" spans="1:256" s="935" customFormat="1" ht="26">
      <c r="A1" s="934" t="s">
        <v>834</v>
      </c>
      <c r="G1" s="936"/>
      <c r="H1" s="936"/>
      <c r="I1" s="937"/>
      <c r="J1" s="938"/>
      <c r="K1" s="939"/>
      <c r="L1" s="939"/>
      <c r="M1" s="939"/>
      <c r="N1" s="939"/>
      <c r="O1" s="940"/>
      <c r="P1" s="940"/>
      <c r="Q1" s="940"/>
      <c r="R1" s="940"/>
      <c r="S1" s="940"/>
      <c r="T1" s="940"/>
      <c r="U1" s="940"/>
      <c r="V1" s="940"/>
      <c r="W1" s="940"/>
      <c r="X1" s="940"/>
      <c r="Y1" s="940"/>
      <c r="Z1" s="940"/>
      <c r="AA1" s="940"/>
      <c r="AB1" s="940"/>
      <c r="AC1" s="940"/>
      <c r="AD1" s="940"/>
      <c r="AE1" s="940"/>
      <c r="AF1" s="940"/>
      <c r="AG1" s="940"/>
      <c r="AH1" s="940"/>
      <c r="AI1" s="940"/>
      <c r="AJ1" s="940"/>
      <c r="AK1" s="940"/>
      <c r="AL1" s="940"/>
      <c r="AM1" s="940"/>
      <c r="AN1" s="940"/>
      <c r="AO1" s="940"/>
      <c r="AP1" s="940"/>
      <c r="AQ1" s="940"/>
      <c r="AR1" s="940"/>
      <c r="AS1" s="940"/>
      <c r="AT1" s="940"/>
      <c r="AU1" s="940"/>
      <c r="AV1" s="940"/>
      <c r="AW1" s="940"/>
      <c r="AX1" s="940"/>
      <c r="AY1" s="940"/>
      <c r="AZ1" s="940"/>
      <c r="BA1" s="940"/>
      <c r="BB1" s="940"/>
      <c r="BC1" s="940"/>
      <c r="BD1" s="940"/>
      <c r="BE1" s="940"/>
      <c r="BF1" s="940"/>
      <c r="BG1" s="940"/>
      <c r="BH1" s="940"/>
      <c r="BI1" s="940"/>
      <c r="BJ1" s="940"/>
      <c r="BK1" s="940"/>
      <c r="BL1" s="940"/>
      <c r="BM1" s="940"/>
      <c r="BN1" s="940"/>
      <c r="BO1" s="940"/>
      <c r="BP1" s="940"/>
      <c r="BQ1" s="940"/>
      <c r="BR1" s="940"/>
      <c r="BS1" s="940"/>
      <c r="BT1" s="940"/>
      <c r="BU1" s="940"/>
      <c r="BV1" s="940"/>
      <c r="BW1" s="940"/>
      <c r="BX1" s="940"/>
      <c r="BY1" s="940"/>
      <c r="BZ1" s="940"/>
      <c r="CA1" s="940"/>
      <c r="CB1" s="940"/>
      <c r="CC1" s="940"/>
      <c r="CD1" s="940"/>
      <c r="CE1" s="940"/>
      <c r="CF1" s="940"/>
      <c r="CG1" s="940"/>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c r="EC1" s="940"/>
      <c r="ED1" s="940"/>
      <c r="EE1" s="940"/>
      <c r="EF1" s="940"/>
      <c r="EG1" s="940"/>
      <c r="EH1" s="940"/>
      <c r="EI1" s="940"/>
      <c r="EJ1" s="940"/>
      <c r="EK1" s="940"/>
      <c r="EL1" s="940"/>
      <c r="EM1" s="940"/>
      <c r="EN1" s="940"/>
      <c r="EO1" s="940"/>
      <c r="EP1" s="940"/>
      <c r="EQ1" s="940"/>
      <c r="ER1" s="940"/>
      <c r="ES1" s="940"/>
      <c r="ET1" s="940"/>
      <c r="EU1" s="940"/>
      <c r="EV1" s="940"/>
      <c r="EW1" s="940"/>
      <c r="EX1" s="940"/>
      <c r="EY1" s="940"/>
      <c r="EZ1" s="940"/>
      <c r="FA1" s="940"/>
      <c r="FB1" s="940"/>
      <c r="FC1" s="940"/>
      <c r="FD1" s="940"/>
      <c r="FE1" s="940"/>
      <c r="FF1" s="940"/>
      <c r="FG1" s="940"/>
      <c r="FH1" s="940"/>
      <c r="FI1" s="940"/>
      <c r="FJ1" s="940"/>
      <c r="FK1" s="940"/>
      <c r="FL1" s="940"/>
      <c r="FM1" s="940"/>
      <c r="FN1" s="940"/>
      <c r="FO1" s="940"/>
      <c r="FP1" s="940"/>
      <c r="FQ1" s="940"/>
      <c r="FR1" s="940"/>
      <c r="FS1" s="940"/>
      <c r="FT1" s="940"/>
      <c r="FU1" s="940"/>
      <c r="FV1" s="940"/>
      <c r="FW1" s="940"/>
      <c r="FX1" s="940"/>
      <c r="FY1" s="940"/>
      <c r="FZ1" s="940"/>
      <c r="GA1" s="940"/>
      <c r="GB1" s="940"/>
      <c r="GC1" s="940"/>
      <c r="GD1" s="940"/>
      <c r="GE1" s="940"/>
      <c r="GF1" s="940"/>
      <c r="GG1" s="940"/>
      <c r="GH1" s="940"/>
      <c r="GI1" s="940"/>
      <c r="GJ1" s="940"/>
      <c r="GK1" s="940"/>
      <c r="GL1" s="940"/>
      <c r="GM1" s="940"/>
      <c r="GN1" s="940"/>
      <c r="GO1" s="940"/>
      <c r="GP1" s="940"/>
      <c r="GQ1" s="940"/>
      <c r="GR1" s="940"/>
      <c r="GS1" s="940"/>
      <c r="GT1" s="940"/>
      <c r="GU1" s="940"/>
      <c r="GV1" s="940"/>
      <c r="GW1" s="940"/>
      <c r="GX1" s="940"/>
      <c r="GY1" s="940"/>
      <c r="GZ1" s="940"/>
      <c r="HA1" s="940"/>
      <c r="HB1" s="940"/>
      <c r="HC1" s="940"/>
      <c r="HD1" s="940"/>
      <c r="HE1" s="940"/>
      <c r="HF1" s="940"/>
      <c r="HG1" s="940"/>
      <c r="HH1" s="940"/>
      <c r="HI1" s="940"/>
      <c r="HJ1" s="940"/>
      <c r="HK1" s="940"/>
      <c r="HL1" s="940"/>
      <c r="HM1" s="940"/>
      <c r="HN1" s="940"/>
      <c r="HO1" s="940"/>
      <c r="HP1" s="940"/>
      <c r="HQ1" s="940"/>
      <c r="HR1" s="940"/>
      <c r="HS1" s="940"/>
      <c r="HT1" s="940"/>
      <c r="HU1" s="940"/>
      <c r="HV1" s="940"/>
      <c r="HW1" s="940"/>
      <c r="HX1" s="940"/>
      <c r="HY1" s="940"/>
      <c r="HZ1" s="940"/>
      <c r="IA1" s="940"/>
      <c r="IB1" s="940"/>
      <c r="IC1" s="940"/>
      <c r="ID1" s="940"/>
      <c r="IE1" s="940"/>
      <c r="IF1" s="940"/>
      <c r="IG1" s="940"/>
      <c r="IH1" s="940"/>
      <c r="II1" s="940"/>
      <c r="IJ1" s="940"/>
      <c r="IK1" s="940"/>
      <c r="IL1" s="940"/>
      <c r="IM1" s="940"/>
      <c r="IN1" s="940"/>
      <c r="IO1" s="940"/>
      <c r="IP1" s="940"/>
      <c r="IQ1" s="940"/>
      <c r="IR1" s="940"/>
      <c r="IS1" s="940"/>
      <c r="IT1" s="940"/>
      <c r="IU1" s="940"/>
      <c r="IV1" s="940"/>
    </row>
    <row r="2" spans="1:256" s="941" customFormat="1" ht="26">
      <c r="A2" s="934" t="s">
        <v>835</v>
      </c>
      <c r="G2" s="942"/>
      <c r="H2" s="942"/>
      <c r="I2" s="942"/>
      <c r="J2" s="942"/>
      <c r="K2" s="939"/>
      <c r="L2" s="939"/>
      <c r="M2" s="939"/>
      <c r="N2" s="939"/>
      <c r="O2" s="943"/>
      <c r="P2" s="943"/>
      <c r="Q2" s="943"/>
      <c r="R2" s="943"/>
      <c r="S2" s="943"/>
      <c r="T2" s="943"/>
      <c r="U2" s="943"/>
      <c r="V2" s="943"/>
      <c r="W2" s="943"/>
      <c r="X2" s="943"/>
      <c r="Y2" s="943"/>
      <c r="Z2" s="943"/>
      <c r="AA2" s="943"/>
      <c r="AB2" s="943"/>
      <c r="AC2" s="943"/>
      <c r="AD2" s="943"/>
      <c r="AE2" s="943"/>
      <c r="AF2" s="943"/>
      <c r="AG2" s="943"/>
      <c r="AH2" s="943"/>
      <c r="AI2" s="943"/>
      <c r="AJ2" s="943"/>
      <c r="AK2" s="943"/>
      <c r="AL2" s="943"/>
      <c r="AM2" s="943"/>
      <c r="AN2" s="943"/>
      <c r="AO2" s="943"/>
      <c r="AP2" s="943"/>
      <c r="AQ2" s="943"/>
      <c r="AR2" s="943"/>
      <c r="AS2" s="943"/>
      <c r="AT2" s="943"/>
      <c r="AU2" s="943"/>
      <c r="AV2" s="943"/>
      <c r="AW2" s="943"/>
      <c r="AX2" s="943"/>
      <c r="AY2" s="943"/>
      <c r="AZ2" s="943"/>
      <c r="BA2" s="943"/>
      <c r="BB2" s="943"/>
      <c r="BC2" s="943"/>
      <c r="BD2" s="943"/>
      <c r="BE2" s="943"/>
      <c r="BF2" s="943"/>
      <c r="BG2" s="943"/>
      <c r="BH2" s="943"/>
      <c r="BI2" s="943"/>
      <c r="BJ2" s="943"/>
      <c r="BK2" s="943"/>
      <c r="BL2" s="943"/>
      <c r="BM2" s="943"/>
      <c r="BN2" s="943"/>
      <c r="BO2" s="943"/>
      <c r="BP2" s="943"/>
      <c r="BQ2" s="943"/>
      <c r="BR2" s="943"/>
      <c r="BS2" s="943"/>
      <c r="BT2" s="943"/>
      <c r="BU2" s="943"/>
      <c r="BV2" s="943"/>
      <c r="BW2" s="943"/>
      <c r="BX2" s="943"/>
      <c r="BY2" s="943"/>
      <c r="BZ2" s="943"/>
      <c r="CA2" s="943"/>
      <c r="CB2" s="943"/>
      <c r="CC2" s="943"/>
      <c r="CD2" s="943"/>
      <c r="CE2" s="943"/>
      <c r="CF2" s="943"/>
      <c r="CG2" s="943"/>
      <c r="CH2" s="943"/>
      <c r="CI2" s="943"/>
      <c r="CJ2" s="943"/>
      <c r="CK2" s="943"/>
      <c r="CL2" s="943"/>
      <c r="CM2" s="943"/>
      <c r="CN2" s="943"/>
      <c r="CO2" s="943"/>
      <c r="CP2" s="943"/>
      <c r="CQ2" s="943"/>
      <c r="CR2" s="943"/>
      <c r="CS2" s="943"/>
      <c r="CT2" s="943"/>
      <c r="CU2" s="943"/>
      <c r="CV2" s="943"/>
      <c r="CW2" s="943"/>
      <c r="CX2" s="943"/>
      <c r="CY2" s="943"/>
      <c r="CZ2" s="943"/>
      <c r="DA2" s="943"/>
      <c r="DB2" s="943"/>
      <c r="DC2" s="943"/>
      <c r="DD2" s="943"/>
      <c r="DE2" s="943"/>
      <c r="DF2" s="943"/>
      <c r="DG2" s="943"/>
      <c r="DH2" s="943"/>
      <c r="DI2" s="943"/>
      <c r="DJ2" s="943"/>
      <c r="DK2" s="943"/>
      <c r="DL2" s="943"/>
      <c r="DM2" s="943"/>
      <c r="DN2" s="943"/>
      <c r="DO2" s="943"/>
      <c r="DP2" s="943"/>
      <c r="DQ2" s="943"/>
      <c r="DR2" s="943"/>
      <c r="DS2" s="943"/>
      <c r="DT2" s="943"/>
      <c r="DU2" s="943"/>
      <c r="DV2" s="943"/>
      <c r="DW2" s="943"/>
      <c r="DX2" s="943"/>
      <c r="DY2" s="943"/>
      <c r="DZ2" s="943"/>
      <c r="EA2" s="943"/>
      <c r="EB2" s="943"/>
      <c r="EC2" s="943"/>
      <c r="ED2" s="943"/>
      <c r="EE2" s="943"/>
      <c r="EF2" s="943"/>
      <c r="EG2" s="943"/>
      <c r="EH2" s="943"/>
      <c r="EI2" s="943"/>
      <c r="EJ2" s="943"/>
      <c r="EK2" s="943"/>
      <c r="EL2" s="943"/>
      <c r="EM2" s="943"/>
      <c r="EN2" s="943"/>
      <c r="EO2" s="943"/>
      <c r="EP2" s="943"/>
      <c r="EQ2" s="943"/>
      <c r="ER2" s="943"/>
      <c r="ES2" s="943"/>
      <c r="ET2" s="943"/>
      <c r="EU2" s="943"/>
      <c r="EV2" s="943"/>
      <c r="EW2" s="943"/>
      <c r="EX2" s="943"/>
      <c r="EY2" s="943"/>
      <c r="EZ2" s="943"/>
      <c r="FA2" s="943"/>
      <c r="FB2" s="943"/>
      <c r="FC2" s="943"/>
      <c r="FD2" s="943"/>
      <c r="FE2" s="943"/>
      <c r="FF2" s="943"/>
      <c r="FG2" s="943"/>
      <c r="FH2" s="943"/>
      <c r="FI2" s="943"/>
      <c r="FJ2" s="943"/>
      <c r="FK2" s="943"/>
      <c r="FL2" s="943"/>
      <c r="FM2" s="943"/>
      <c r="FN2" s="943"/>
      <c r="FO2" s="943"/>
      <c r="FP2" s="943"/>
      <c r="FQ2" s="943"/>
      <c r="FR2" s="943"/>
      <c r="FS2" s="943"/>
      <c r="FT2" s="943"/>
      <c r="FU2" s="943"/>
      <c r="FV2" s="943"/>
      <c r="FW2" s="943"/>
      <c r="FX2" s="943"/>
      <c r="FY2" s="943"/>
      <c r="FZ2" s="943"/>
      <c r="GA2" s="943"/>
      <c r="GB2" s="943"/>
      <c r="GC2" s="943"/>
      <c r="GD2" s="943"/>
      <c r="GE2" s="943"/>
      <c r="GF2" s="943"/>
      <c r="GG2" s="943"/>
      <c r="GH2" s="943"/>
      <c r="GI2" s="943"/>
      <c r="GJ2" s="943"/>
      <c r="GK2" s="943"/>
      <c r="GL2" s="943"/>
      <c r="GM2" s="943"/>
      <c r="GN2" s="943"/>
      <c r="GO2" s="943"/>
      <c r="GP2" s="943"/>
      <c r="GQ2" s="943"/>
      <c r="GR2" s="943"/>
      <c r="GS2" s="943"/>
      <c r="GT2" s="943"/>
      <c r="GU2" s="943"/>
      <c r="GV2" s="943"/>
      <c r="GW2" s="943"/>
      <c r="GX2" s="943"/>
      <c r="GY2" s="943"/>
      <c r="GZ2" s="943"/>
      <c r="HA2" s="943"/>
      <c r="HB2" s="943"/>
      <c r="HC2" s="943"/>
      <c r="HD2" s="943"/>
      <c r="HE2" s="943"/>
      <c r="HF2" s="943"/>
      <c r="HG2" s="943"/>
      <c r="HH2" s="943"/>
      <c r="HI2" s="943"/>
      <c r="HJ2" s="943"/>
      <c r="HK2" s="943"/>
      <c r="HL2" s="943"/>
      <c r="HM2" s="943"/>
      <c r="HN2" s="943"/>
      <c r="HO2" s="943"/>
      <c r="HP2" s="943"/>
      <c r="HQ2" s="943"/>
      <c r="HR2" s="943"/>
      <c r="HS2" s="943"/>
      <c r="HT2" s="943"/>
      <c r="HU2" s="943"/>
      <c r="HV2" s="943"/>
      <c r="HW2" s="943"/>
      <c r="HX2" s="943"/>
      <c r="HY2" s="943"/>
      <c r="HZ2" s="943"/>
      <c r="IA2" s="943"/>
      <c r="IB2" s="943"/>
      <c r="IC2" s="943"/>
      <c r="ID2" s="943"/>
      <c r="IE2" s="943"/>
      <c r="IF2" s="943"/>
      <c r="IG2" s="943"/>
      <c r="IH2" s="943"/>
      <c r="II2" s="943"/>
      <c r="IJ2" s="943"/>
      <c r="IK2" s="943"/>
      <c r="IL2" s="943"/>
      <c r="IM2" s="943"/>
      <c r="IN2" s="943"/>
      <c r="IO2" s="943"/>
      <c r="IP2" s="943"/>
      <c r="IQ2" s="943"/>
      <c r="IR2" s="943"/>
      <c r="IS2" s="943"/>
      <c r="IT2" s="943"/>
      <c r="IU2" s="943"/>
      <c r="IV2" s="943"/>
    </row>
    <row r="3" spans="1:256" s="944" customFormat="1">
      <c r="D3" s="945"/>
      <c r="E3" s="946"/>
      <c r="F3" s="947"/>
      <c r="G3" s="948"/>
      <c r="H3" s="949"/>
      <c r="I3" s="949"/>
      <c r="K3" s="949"/>
      <c r="M3" s="949"/>
      <c r="N3" s="949" t="s">
        <v>836</v>
      </c>
      <c r="O3" s="950"/>
      <c r="P3" s="950"/>
      <c r="Q3" s="950"/>
      <c r="R3" s="950"/>
      <c r="S3" s="950"/>
      <c r="T3" s="950"/>
      <c r="U3" s="950"/>
      <c r="V3" s="950"/>
      <c r="W3" s="950"/>
      <c r="X3" s="950"/>
      <c r="Y3" s="950"/>
      <c r="Z3" s="950"/>
      <c r="AA3" s="950"/>
      <c r="AB3" s="950"/>
      <c r="AC3" s="950"/>
      <c r="AD3" s="950"/>
      <c r="AE3" s="950"/>
      <c r="AF3" s="950"/>
      <c r="AG3" s="950"/>
      <c r="AH3" s="950"/>
      <c r="AI3" s="950"/>
      <c r="AJ3" s="950"/>
      <c r="AK3" s="950"/>
      <c r="AL3" s="950"/>
      <c r="AM3" s="950"/>
      <c r="AN3" s="950"/>
      <c r="AO3" s="950"/>
      <c r="AP3" s="950"/>
      <c r="AQ3" s="950"/>
      <c r="AR3" s="950"/>
      <c r="AS3" s="950"/>
      <c r="AT3" s="950"/>
      <c r="AU3" s="950"/>
      <c r="AV3" s="950"/>
      <c r="AW3" s="950"/>
      <c r="AX3" s="950"/>
      <c r="AY3" s="950"/>
      <c r="AZ3" s="950"/>
      <c r="BA3" s="950"/>
      <c r="BB3" s="950"/>
      <c r="BC3" s="950"/>
      <c r="BD3" s="950"/>
      <c r="BE3" s="950"/>
      <c r="BF3" s="950"/>
      <c r="BG3" s="950"/>
      <c r="BH3" s="950"/>
      <c r="BI3" s="950"/>
      <c r="BJ3" s="950"/>
      <c r="BK3" s="950"/>
      <c r="BL3" s="950"/>
      <c r="BM3" s="950"/>
      <c r="BN3" s="950"/>
      <c r="BO3" s="950"/>
      <c r="BP3" s="950"/>
      <c r="BQ3" s="950"/>
      <c r="BR3" s="950"/>
      <c r="BS3" s="950"/>
      <c r="BT3" s="950"/>
      <c r="BU3" s="950"/>
      <c r="BV3" s="950"/>
      <c r="BW3" s="950"/>
      <c r="BX3" s="950"/>
      <c r="BY3" s="950"/>
      <c r="BZ3" s="950"/>
      <c r="CA3" s="950"/>
      <c r="CB3" s="950"/>
      <c r="CC3" s="950"/>
      <c r="CD3" s="950"/>
      <c r="CE3" s="950"/>
      <c r="CF3" s="950"/>
      <c r="CG3" s="950"/>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c r="EC3" s="950"/>
      <c r="ED3" s="950"/>
      <c r="EE3" s="950"/>
      <c r="EF3" s="950"/>
      <c r="EG3" s="950"/>
      <c r="EH3" s="950"/>
      <c r="EI3" s="950"/>
      <c r="EJ3" s="950"/>
      <c r="EK3" s="950"/>
      <c r="EL3" s="950"/>
      <c r="EM3" s="950"/>
      <c r="EN3" s="950"/>
      <c r="EO3" s="950"/>
      <c r="EP3" s="950"/>
      <c r="EQ3" s="950"/>
      <c r="ER3" s="950"/>
      <c r="ES3" s="950"/>
      <c r="ET3" s="950"/>
      <c r="EU3" s="950"/>
      <c r="EV3" s="950"/>
      <c r="EW3" s="950"/>
      <c r="EX3" s="950"/>
      <c r="EY3" s="950"/>
      <c r="EZ3" s="950"/>
      <c r="FA3" s="950"/>
      <c r="FB3" s="950"/>
      <c r="FC3" s="950"/>
      <c r="FD3" s="950"/>
      <c r="FE3" s="950"/>
      <c r="FF3" s="950"/>
      <c r="FG3" s="950"/>
      <c r="FH3" s="950"/>
      <c r="FI3" s="950"/>
      <c r="FJ3" s="950"/>
      <c r="FK3" s="950"/>
      <c r="FL3" s="950"/>
      <c r="FM3" s="950"/>
      <c r="FN3" s="950"/>
      <c r="FO3" s="950"/>
      <c r="FP3" s="950"/>
      <c r="FQ3" s="950"/>
      <c r="FR3" s="950"/>
      <c r="FS3" s="950"/>
      <c r="FT3" s="950"/>
      <c r="FU3" s="950"/>
      <c r="FV3" s="950"/>
      <c r="FW3" s="950"/>
      <c r="FX3" s="950"/>
      <c r="FY3" s="950"/>
      <c r="FZ3" s="950"/>
      <c r="GA3" s="950"/>
      <c r="GB3" s="950"/>
      <c r="GC3" s="950"/>
      <c r="GD3" s="950"/>
      <c r="GE3" s="950"/>
      <c r="GF3" s="950"/>
      <c r="GG3" s="950"/>
      <c r="GH3" s="950"/>
      <c r="GI3" s="950"/>
      <c r="GJ3" s="950"/>
      <c r="GK3" s="950"/>
      <c r="GL3" s="950"/>
      <c r="GM3" s="950"/>
      <c r="GN3" s="950"/>
      <c r="GO3" s="950"/>
      <c r="GP3" s="950"/>
      <c r="GQ3" s="950"/>
      <c r="GR3" s="950"/>
      <c r="GS3" s="950"/>
      <c r="GT3" s="950"/>
      <c r="GU3" s="950"/>
      <c r="GV3" s="950"/>
      <c r="GW3" s="950"/>
      <c r="GX3" s="950"/>
      <c r="GY3" s="950"/>
      <c r="GZ3" s="950"/>
      <c r="HA3" s="950"/>
      <c r="HB3" s="950"/>
      <c r="HC3" s="950"/>
      <c r="HD3" s="950"/>
      <c r="HE3" s="950"/>
      <c r="HF3" s="950"/>
      <c r="HG3" s="950"/>
      <c r="HH3" s="950"/>
      <c r="HI3" s="950"/>
      <c r="HJ3" s="950"/>
      <c r="HK3" s="950"/>
      <c r="HL3" s="950"/>
      <c r="HM3" s="950"/>
      <c r="HN3" s="950"/>
      <c r="HO3" s="950"/>
      <c r="HP3" s="950"/>
      <c r="HQ3" s="950"/>
      <c r="HR3" s="950"/>
      <c r="HS3" s="950"/>
      <c r="HT3" s="950"/>
      <c r="HU3" s="950"/>
      <c r="HV3" s="950"/>
      <c r="HW3" s="950"/>
      <c r="HX3" s="950"/>
      <c r="HY3" s="950"/>
      <c r="HZ3" s="950"/>
      <c r="IA3" s="950"/>
      <c r="IB3" s="950"/>
      <c r="IC3" s="950"/>
      <c r="ID3" s="950"/>
      <c r="IE3" s="950"/>
      <c r="IF3" s="950"/>
      <c r="IG3" s="950"/>
      <c r="IH3" s="950"/>
      <c r="II3" s="950"/>
      <c r="IJ3" s="950"/>
      <c r="IK3" s="950"/>
      <c r="IL3" s="950"/>
      <c r="IM3" s="950"/>
      <c r="IN3" s="950"/>
      <c r="IO3" s="950"/>
      <c r="IP3" s="950"/>
      <c r="IQ3" s="950"/>
      <c r="IR3" s="950"/>
      <c r="IS3" s="950"/>
      <c r="IT3" s="950"/>
      <c r="IU3" s="950"/>
      <c r="IV3" s="950"/>
    </row>
    <row r="4" spans="1:256" s="944" customFormat="1" ht="13" thickBot="1">
      <c r="D4" s="951"/>
      <c r="E4" s="946"/>
      <c r="F4" s="947"/>
      <c r="G4" s="952"/>
      <c r="H4" s="953"/>
      <c r="I4" s="953"/>
      <c r="K4" s="953"/>
      <c r="M4" s="954"/>
      <c r="N4" s="954" t="s">
        <v>837</v>
      </c>
      <c r="O4" s="950"/>
      <c r="P4" s="950"/>
      <c r="Q4" s="950"/>
      <c r="R4" s="950"/>
      <c r="S4" s="950"/>
      <c r="T4" s="950"/>
      <c r="U4" s="950"/>
      <c r="V4" s="950"/>
      <c r="W4" s="950"/>
      <c r="X4" s="950"/>
      <c r="Y4" s="950"/>
      <c r="Z4" s="950"/>
      <c r="AA4" s="950"/>
      <c r="AB4" s="950"/>
      <c r="AC4" s="950"/>
      <c r="AD4" s="950"/>
      <c r="AE4" s="950"/>
      <c r="AF4" s="950"/>
      <c r="AG4" s="950"/>
      <c r="AH4" s="950"/>
      <c r="AI4" s="950"/>
      <c r="AJ4" s="950"/>
      <c r="AK4" s="950"/>
      <c r="AL4" s="950"/>
      <c r="AM4" s="950"/>
      <c r="AN4" s="950"/>
      <c r="AO4" s="950"/>
      <c r="AP4" s="950"/>
      <c r="AQ4" s="950"/>
      <c r="AR4" s="950"/>
      <c r="AS4" s="950"/>
      <c r="AT4" s="950"/>
      <c r="AU4" s="950"/>
      <c r="AV4" s="950"/>
      <c r="AW4" s="950"/>
      <c r="AX4" s="950"/>
      <c r="AY4" s="950"/>
      <c r="AZ4" s="950"/>
      <c r="BA4" s="950"/>
      <c r="BB4" s="950"/>
      <c r="BC4" s="950"/>
      <c r="BD4" s="950"/>
      <c r="BE4" s="950"/>
      <c r="BF4" s="950"/>
      <c r="BG4" s="950"/>
      <c r="BH4" s="950"/>
      <c r="BI4" s="950"/>
      <c r="BJ4" s="950"/>
      <c r="BK4" s="950"/>
      <c r="BL4" s="950"/>
      <c r="BM4" s="950"/>
      <c r="BN4" s="950"/>
      <c r="BO4" s="950"/>
      <c r="BP4" s="950"/>
      <c r="BQ4" s="950"/>
      <c r="BR4" s="950"/>
      <c r="BS4" s="950"/>
      <c r="BT4" s="950"/>
      <c r="BU4" s="950"/>
      <c r="BV4" s="950"/>
      <c r="BW4" s="950"/>
      <c r="BX4" s="950"/>
      <c r="BY4" s="950"/>
      <c r="BZ4" s="950"/>
      <c r="CA4" s="950"/>
      <c r="CB4" s="950"/>
      <c r="CC4" s="950"/>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c r="EC4" s="950"/>
      <c r="ED4" s="950"/>
      <c r="EE4" s="950"/>
      <c r="EF4" s="950"/>
      <c r="EG4" s="950"/>
      <c r="EH4" s="950"/>
      <c r="EI4" s="950"/>
      <c r="EJ4" s="950"/>
      <c r="EK4" s="950"/>
      <c r="EL4" s="950"/>
      <c r="EM4" s="950"/>
      <c r="EN4" s="950"/>
      <c r="EO4" s="950"/>
      <c r="EP4" s="950"/>
      <c r="EQ4" s="950"/>
      <c r="ER4" s="950"/>
      <c r="ES4" s="950"/>
      <c r="ET4" s="950"/>
      <c r="EU4" s="950"/>
      <c r="EV4" s="950"/>
      <c r="EW4" s="950"/>
      <c r="EX4" s="950"/>
      <c r="EY4" s="950"/>
      <c r="EZ4" s="950"/>
      <c r="FA4" s="950"/>
      <c r="FB4" s="950"/>
      <c r="FC4" s="950"/>
      <c r="FD4" s="950"/>
      <c r="FE4" s="950"/>
      <c r="FF4" s="950"/>
      <c r="FG4" s="950"/>
      <c r="FH4" s="950"/>
      <c r="FI4" s="950"/>
      <c r="FJ4" s="950"/>
      <c r="FK4" s="950"/>
      <c r="FL4" s="950"/>
      <c r="FM4" s="950"/>
      <c r="FN4" s="950"/>
      <c r="FO4" s="950"/>
      <c r="FP4" s="950"/>
      <c r="FQ4" s="950"/>
      <c r="FR4" s="950"/>
      <c r="FS4" s="950"/>
      <c r="FT4" s="950"/>
      <c r="FU4" s="950"/>
      <c r="FV4" s="950"/>
      <c r="FW4" s="950"/>
      <c r="FX4" s="950"/>
      <c r="FY4" s="950"/>
      <c r="FZ4" s="950"/>
      <c r="GA4" s="950"/>
      <c r="GB4" s="950"/>
      <c r="GC4" s="950"/>
      <c r="GD4" s="950"/>
      <c r="GE4" s="950"/>
      <c r="GF4" s="950"/>
      <c r="GG4" s="950"/>
      <c r="GH4" s="950"/>
      <c r="GI4" s="950"/>
      <c r="GJ4" s="950"/>
      <c r="GK4" s="950"/>
      <c r="GL4" s="950"/>
      <c r="GM4" s="950"/>
      <c r="GN4" s="950"/>
      <c r="GO4" s="950"/>
      <c r="GP4" s="950"/>
      <c r="GQ4" s="950"/>
      <c r="GR4" s="950"/>
      <c r="GS4" s="950"/>
      <c r="GT4" s="950"/>
      <c r="GU4" s="950"/>
      <c r="GV4" s="950"/>
      <c r="GW4" s="950"/>
      <c r="GX4" s="950"/>
      <c r="GY4" s="950"/>
      <c r="GZ4" s="950"/>
      <c r="HA4" s="950"/>
      <c r="HB4" s="950"/>
      <c r="HC4" s="950"/>
      <c r="HD4" s="950"/>
      <c r="HE4" s="950"/>
      <c r="HF4" s="950"/>
      <c r="HG4" s="950"/>
      <c r="HH4" s="950"/>
      <c r="HI4" s="950"/>
      <c r="HJ4" s="950"/>
      <c r="HK4" s="950"/>
      <c r="HL4" s="950"/>
      <c r="HM4" s="950"/>
      <c r="HN4" s="950"/>
      <c r="HO4" s="950"/>
      <c r="HP4" s="950"/>
      <c r="HQ4" s="950"/>
      <c r="HR4" s="950"/>
      <c r="HS4" s="950"/>
      <c r="HT4" s="950"/>
      <c r="HU4" s="950"/>
      <c r="HV4" s="950"/>
      <c r="HW4" s="950"/>
      <c r="HX4" s="950"/>
      <c r="HY4" s="950"/>
      <c r="HZ4" s="950"/>
      <c r="IA4" s="950"/>
      <c r="IB4" s="950"/>
      <c r="IC4" s="950"/>
      <c r="ID4" s="950"/>
      <c r="IE4" s="950"/>
      <c r="IF4" s="950"/>
      <c r="IG4" s="950"/>
      <c r="IH4" s="950"/>
      <c r="II4" s="950"/>
      <c r="IJ4" s="950"/>
      <c r="IK4" s="950"/>
      <c r="IL4" s="950"/>
      <c r="IM4" s="950"/>
      <c r="IN4" s="950"/>
      <c r="IO4" s="950"/>
      <c r="IP4" s="950"/>
      <c r="IQ4" s="950"/>
      <c r="IR4" s="950"/>
      <c r="IS4" s="950"/>
      <c r="IT4" s="950"/>
      <c r="IU4" s="950"/>
      <c r="IV4" s="950"/>
    </row>
    <row r="5" spans="1:256" ht="13.5" customHeight="1" thickTop="1">
      <c r="A5" s="955"/>
      <c r="B5" s="956">
        <v>1996</v>
      </c>
      <c r="C5" s="956">
        <v>1997</v>
      </c>
      <c r="D5" s="956">
        <v>1998</v>
      </c>
      <c r="E5" s="956">
        <v>1999</v>
      </c>
      <c r="F5" s="956">
        <v>2000</v>
      </c>
      <c r="G5" s="956">
        <v>2001</v>
      </c>
      <c r="H5" s="956">
        <v>2002</v>
      </c>
      <c r="I5" s="956">
        <v>2003</v>
      </c>
      <c r="J5" s="956">
        <v>2004</v>
      </c>
      <c r="K5" s="956">
        <v>2005</v>
      </c>
      <c r="L5" s="956">
        <v>2006</v>
      </c>
      <c r="M5" s="957">
        <v>2007</v>
      </c>
      <c r="N5" s="957">
        <v>2008</v>
      </c>
      <c r="O5" s="958"/>
      <c r="P5" s="958"/>
      <c r="Q5" s="958"/>
      <c r="R5" s="958"/>
      <c r="S5" s="958"/>
      <c r="T5" s="958"/>
      <c r="U5" s="958"/>
      <c r="V5" s="958"/>
      <c r="W5" s="958"/>
      <c r="X5" s="958"/>
      <c r="Y5" s="958"/>
      <c r="Z5" s="958"/>
      <c r="AA5" s="958"/>
      <c r="AB5" s="958"/>
      <c r="AC5" s="958"/>
      <c r="AD5" s="958"/>
      <c r="AE5" s="958"/>
      <c r="AF5" s="958"/>
      <c r="AG5" s="958"/>
      <c r="AH5" s="958"/>
      <c r="AI5" s="958"/>
      <c r="AJ5" s="958"/>
      <c r="AK5" s="958"/>
      <c r="AL5" s="958"/>
      <c r="AM5" s="958"/>
      <c r="AN5" s="958"/>
      <c r="AO5" s="958"/>
      <c r="AP5" s="958"/>
      <c r="AQ5" s="958"/>
      <c r="AR5" s="958"/>
      <c r="AS5" s="958"/>
      <c r="AT5" s="958"/>
      <c r="AU5" s="958"/>
      <c r="AV5" s="958"/>
      <c r="AW5" s="958"/>
      <c r="AX5" s="958"/>
      <c r="AY5" s="958"/>
      <c r="AZ5" s="958"/>
      <c r="BA5" s="958"/>
      <c r="BB5" s="958"/>
      <c r="BC5" s="958"/>
      <c r="BD5" s="958"/>
      <c r="BE5" s="958"/>
      <c r="BF5" s="958"/>
      <c r="BG5" s="958"/>
      <c r="BH5" s="958"/>
      <c r="BI5" s="958"/>
      <c r="BJ5" s="958"/>
      <c r="BK5" s="958"/>
      <c r="BL5" s="958"/>
      <c r="BM5" s="958"/>
      <c r="BN5" s="958"/>
      <c r="BO5" s="958"/>
      <c r="BP5" s="958"/>
      <c r="BQ5" s="958"/>
      <c r="BR5" s="958"/>
      <c r="BS5" s="958"/>
      <c r="BT5" s="958"/>
      <c r="BU5" s="958"/>
      <c r="BV5" s="958"/>
      <c r="BW5" s="958"/>
      <c r="BX5" s="958"/>
      <c r="BY5" s="958"/>
      <c r="BZ5" s="958"/>
      <c r="CA5" s="958"/>
      <c r="CB5" s="958"/>
      <c r="CC5" s="958"/>
      <c r="CD5" s="958"/>
      <c r="CE5" s="958"/>
      <c r="CF5" s="958"/>
      <c r="CG5" s="958"/>
      <c r="CH5" s="958"/>
      <c r="CI5" s="958"/>
      <c r="CJ5" s="958"/>
      <c r="CK5" s="958"/>
      <c r="CL5" s="958"/>
      <c r="CM5" s="958"/>
      <c r="CN5" s="958"/>
      <c r="CO5" s="958"/>
      <c r="CP5" s="958"/>
      <c r="CQ5" s="958"/>
      <c r="CR5" s="958"/>
      <c r="CS5" s="958"/>
      <c r="CT5" s="958"/>
      <c r="CU5" s="958"/>
      <c r="CV5" s="958"/>
      <c r="CW5" s="958"/>
      <c r="CX5" s="958"/>
      <c r="CY5" s="958"/>
      <c r="CZ5" s="958"/>
      <c r="DA5" s="958"/>
      <c r="DB5" s="958"/>
      <c r="DC5" s="958"/>
      <c r="DD5" s="958"/>
      <c r="DE5" s="958"/>
      <c r="DF5" s="958"/>
      <c r="DG5" s="958"/>
      <c r="DH5" s="958"/>
      <c r="DI5" s="958"/>
      <c r="DJ5" s="958"/>
      <c r="DK5" s="958"/>
      <c r="DL5" s="958"/>
      <c r="DM5" s="958"/>
      <c r="DN5" s="958"/>
      <c r="DO5" s="958"/>
      <c r="DP5" s="958"/>
      <c r="DQ5" s="958"/>
      <c r="DR5" s="958"/>
      <c r="DS5" s="958"/>
      <c r="DT5" s="958"/>
      <c r="DU5" s="958"/>
      <c r="DV5" s="958"/>
      <c r="DW5" s="958"/>
      <c r="DX5" s="958"/>
      <c r="DY5" s="958"/>
      <c r="DZ5" s="958"/>
      <c r="EA5" s="958"/>
      <c r="EB5" s="958"/>
      <c r="EC5" s="958"/>
      <c r="ED5" s="958"/>
      <c r="EE5" s="958"/>
      <c r="EF5" s="958"/>
      <c r="EG5" s="958"/>
      <c r="EH5" s="958"/>
      <c r="EI5" s="958"/>
      <c r="EJ5" s="958"/>
      <c r="EK5" s="958"/>
      <c r="EL5" s="958"/>
      <c r="EM5" s="958"/>
      <c r="EN5" s="958"/>
      <c r="EO5" s="958"/>
      <c r="EP5" s="958"/>
      <c r="EQ5" s="958"/>
      <c r="ER5" s="958"/>
      <c r="ES5" s="958"/>
      <c r="ET5" s="958"/>
      <c r="EU5" s="958"/>
      <c r="EV5" s="958"/>
      <c r="EW5" s="958"/>
      <c r="EX5" s="958"/>
      <c r="EY5" s="958"/>
      <c r="EZ5" s="958"/>
      <c r="FA5" s="958"/>
      <c r="FB5" s="958"/>
      <c r="FC5" s="958"/>
      <c r="FD5" s="958"/>
      <c r="FE5" s="958"/>
      <c r="FF5" s="958"/>
      <c r="FG5" s="958"/>
      <c r="FH5" s="958"/>
      <c r="FI5" s="958"/>
      <c r="FJ5" s="958"/>
      <c r="FK5" s="958"/>
      <c r="FL5" s="958"/>
      <c r="FM5" s="958"/>
      <c r="FN5" s="958"/>
      <c r="FO5" s="958"/>
      <c r="FP5" s="958"/>
      <c r="FQ5" s="958"/>
      <c r="FR5" s="958"/>
      <c r="FS5" s="958"/>
      <c r="FT5" s="958"/>
      <c r="FU5" s="958"/>
      <c r="FV5" s="958"/>
      <c r="FW5" s="958"/>
      <c r="FX5" s="958"/>
      <c r="FY5" s="958"/>
      <c r="FZ5" s="958"/>
      <c r="GA5" s="958"/>
      <c r="GB5" s="958"/>
      <c r="GC5" s="958"/>
      <c r="GD5" s="958"/>
      <c r="GE5" s="958"/>
      <c r="GF5" s="958"/>
      <c r="GG5" s="958"/>
      <c r="GH5" s="958"/>
      <c r="GI5" s="958"/>
      <c r="GJ5" s="958"/>
      <c r="GK5" s="958"/>
      <c r="GL5" s="958"/>
      <c r="GM5" s="958"/>
      <c r="GN5" s="958"/>
      <c r="GO5" s="958"/>
      <c r="GP5" s="958"/>
      <c r="GQ5" s="958"/>
      <c r="GR5" s="958"/>
      <c r="GS5" s="958"/>
      <c r="GT5" s="958"/>
      <c r="GU5" s="958"/>
      <c r="GV5" s="958"/>
      <c r="GW5" s="958"/>
      <c r="GX5" s="958"/>
      <c r="GY5" s="958"/>
      <c r="GZ5" s="958"/>
      <c r="HA5" s="958"/>
      <c r="HB5" s="958"/>
      <c r="HC5" s="958"/>
      <c r="HD5" s="958"/>
      <c r="HE5" s="958"/>
      <c r="HF5" s="958"/>
      <c r="HG5" s="958"/>
      <c r="HH5" s="958"/>
      <c r="HI5" s="958"/>
      <c r="HJ5" s="958"/>
      <c r="HK5" s="958"/>
      <c r="HL5" s="958"/>
      <c r="HM5" s="958"/>
      <c r="HN5" s="958"/>
      <c r="HO5" s="958"/>
      <c r="HP5" s="958"/>
      <c r="HQ5" s="958"/>
      <c r="HR5" s="958"/>
      <c r="HS5" s="958"/>
      <c r="HT5" s="958"/>
      <c r="HU5" s="958"/>
      <c r="HV5" s="958"/>
      <c r="HW5" s="958"/>
      <c r="HX5" s="958"/>
      <c r="HY5" s="958"/>
      <c r="HZ5" s="958"/>
      <c r="IA5" s="958"/>
      <c r="IB5" s="958"/>
      <c r="IC5" s="958"/>
      <c r="ID5" s="958"/>
      <c r="IE5" s="958"/>
      <c r="IF5" s="958"/>
      <c r="IG5" s="958"/>
      <c r="IH5" s="958"/>
      <c r="II5" s="958"/>
      <c r="IJ5" s="958"/>
      <c r="IK5" s="958"/>
      <c r="IL5" s="958"/>
      <c r="IM5" s="958"/>
      <c r="IN5" s="958"/>
      <c r="IO5" s="958"/>
      <c r="IP5" s="958"/>
      <c r="IQ5" s="958"/>
      <c r="IR5" s="958"/>
      <c r="IS5" s="958"/>
      <c r="IT5" s="958"/>
      <c r="IU5" s="958"/>
      <c r="IV5" s="958"/>
    </row>
    <row r="6" spans="1:256" s="966" customFormat="1" ht="12" customHeight="1">
      <c r="A6" s="959" t="s">
        <v>838</v>
      </c>
      <c r="B6" s="944"/>
      <c r="C6" s="944"/>
      <c r="D6" s="944"/>
      <c r="E6" s="944"/>
      <c r="F6" s="960"/>
      <c r="G6" s="961"/>
      <c r="H6" s="962"/>
      <c r="I6" s="963"/>
      <c r="J6" s="963"/>
      <c r="K6" s="963"/>
      <c r="L6" s="963"/>
      <c r="M6" s="964"/>
      <c r="N6" s="964"/>
      <c r="O6" s="965"/>
      <c r="P6" s="965"/>
      <c r="Q6" s="965"/>
      <c r="R6" s="965"/>
      <c r="S6" s="965"/>
      <c r="T6" s="965"/>
      <c r="U6" s="965"/>
      <c r="V6" s="965"/>
      <c r="W6" s="965"/>
      <c r="X6" s="965"/>
      <c r="Y6" s="965"/>
      <c r="Z6" s="965"/>
      <c r="AA6" s="965"/>
      <c r="AB6" s="965"/>
      <c r="AC6" s="965"/>
      <c r="AD6" s="965"/>
      <c r="AE6" s="965"/>
      <c r="AF6" s="965"/>
      <c r="AG6" s="965"/>
      <c r="AH6" s="965"/>
      <c r="AI6" s="965"/>
      <c r="AJ6" s="965"/>
      <c r="AK6" s="965"/>
      <c r="AL6" s="965"/>
      <c r="AM6" s="965"/>
      <c r="AN6" s="965"/>
      <c r="AO6" s="965"/>
      <c r="AP6" s="965"/>
      <c r="AQ6" s="965"/>
      <c r="AR6" s="965"/>
      <c r="AS6" s="965"/>
      <c r="AT6" s="965"/>
      <c r="AU6" s="965"/>
      <c r="AV6" s="965"/>
      <c r="AW6" s="965"/>
      <c r="AX6" s="965"/>
      <c r="AY6" s="965"/>
      <c r="AZ6" s="965"/>
      <c r="BA6" s="965"/>
      <c r="BB6" s="965"/>
      <c r="BC6" s="965"/>
      <c r="BD6" s="965"/>
      <c r="BE6" s="965"/>
      <c r="BF6" s="965"/>
      <c r="BG6" s="965"/>
      <c r="BH6" s="965"/>
      <c r="BI6" s="965"/>
      <c r="BJ6" s="965"/>
      <c r="BK6" s="965"/>
      <c r="BL6" s="965"/>
      <c r="BM6" s="965"/>
      <c r="BN6" s="965"/>
      <c r="BO6" s="965"/>
      <c r="BP6" s="965"/>
      <c r="BQ6" s="965"/>
      <c r="BR6" s="965"/>
      <c r="BS6" s="965"/>
      <c r="BT6" s="965"/>
      <c r="BU6" s="965"/>
      <c r="BV6" s="965"/>
      <c r="BW6" s="965"/>
      <c r="BX6" s="965"/>
      <c r="BY6" s="965"/>
      <c r="BZ6" s="965"/>
      <c r="CA6" s="965"/>
      <c r="CB6" s="965"/>
      <c r="CC6" s="965"/>
      <c r="CD6" s="965"/>
      <c r="CE6" s="965"/>
      <c r="CF6" s="965"/>
      <c r="CG6" s="965"/>
      <c r="CH6" s="965"/>
      <c r="CI6" s="965"/>
      <c r="CJ6" s="965"/>
      <c r="CK6" s="965"/>
      <c r="CL6" s="965"/>
      <c r="CM6" s="965"/>
      <c r="CN6" s="965"/>
      <c r="CO6" s="965"/>
      <c r="CP6" s="965"/>
      <c r="CQ6" s="965"/>
      <c r="CR6" s="965"/>
      <c r="CS6" s="965"/>
      <c r="CT6" s="965"/>
      <c r="CU6" s="965"/>
      <c r="CV6" s="965"/>
      <c r="CW6" s="965"/>
      <c r="CX6" s="965"/>
      <c r="CY6" s="965"/>
      <c r="CZ6" s="965"/>
      <c r="DA6" s="965"/>
      <c r="DB6" s="965"/>
      <c r="DC6" s="965"/>
      <c r="DD6" s="965"/>
      <c r="DE6" s="965"/>
      <c r="DF6" s="965"/>
      <c r="DG6" s="965"/>
      <c r="DH6" s="965"/>
      <c r="DI6" s="965"/>
      <c r="DJ6" s="965"/>
      <c r="DK6" s="965"/>
      <c r="DL6" s="965"/>
      <c r="DM6" s="965"/>
      <c r="DN6" s="965"/>
      <c r="DO6" s="965"/>
      <c r="DP6" s="965"/>
      <c r="DQ6" s="965"/>
      <c r="DR6" s="965"/>
      <c r="DS6" s="965"/>
      <c r="DT6" s="965"/>
      <c r="DU6" s="965"/>
      <c r="DV6" s="965"/>
      <c r="DW6" s="965"/>
      <c r="DX6" s="965"/>
      <c r="DY6" s="965"/>
      <c r="DZ6" s="965"/>
      <c r="EA6" s="965"/>
      <c r="EB6" s="965"/>
      <c r="EC6" s="965"/>
      <c r="ED6" s="965"/>
      <c r="EE6" s="965"/>
      <c r="EF6" s="965"/>
      <c r="EG6" s="965"/>
      <c r="EH6" s="965"/>
      <c r="EI6" s="965"/>
      <c r="EJ6" s="965"/>
      <c r="EK6" s="965"/>
      <c r="EL6" s="965"/>
      <c r="EM6" s="965"/>
      <c r="EN6" s="965"/>
      <c r="EO6" s="965"/>
      <c r="EP6" s="965"/>
      <c r="EQ6" s="965"/>
      <c r="ER6" s="965"/>
      <c r="ES6" s="965"/>
      <c r="ET6" s="965"/>
      <c r="EU6" s="965"/>
      <c r="EV6" s="965"/>
      <c r="EW6" s="965"/>
      <c r="EX6" s="965"/>
      <c r="EY6" s="965"/>
      <c r="EZ6" s="965"/>
      <c r="FA6" s="965"/>
      <c r="FB6" s="965"/>
      <c r="FC6" s="965"/>
      <c r="FD6" s="965"/>
      <c r="FE6" s="965"/>
      <c r="FF6" s="965"/>
      <c r="FG6" s="965"/>
      <c r="FH6" s="965"/>
      <c r="FI6" s="965"/>
      <c r="FJ6" s="965"/>
      <c r="FK6" s="965"/>
      <c r="FL6" s="965"/>
      <c r="FM6" s="965"/>
      <c r="FN6" s="965"/>
      <c r="FO6" s="965"/>
      <c r="FP6" s="965"/>
      <c r="FQ6" s="965"/>
      <c r="FR6" s="965"/>
      <c r="FS6" s="965"/>
      <c r="FT6" s="965"/>
      <c r="FU6" s="965"/>
      <c r="FV6" s="965"/>
      <c r="FW6" s="965"/>
      <c r="FX6" s="965"/>
      <c r="FY6" s="965"/>
      <c r="FZ6" s="965"/>
      <c r="GA6" s="965"/>
      <c r="GB6" s="965"/>
      <c r="GC6" s="965"/>
      <c r="GD6" s="965"/>
      <c r="GE6" s="965"/>
      <c r="GF6" s="965"/>
      <c r="GG6" s="965"/>
      <c r="GH6" s="965"/>
      <c r="GI6" s="965"/>
      <c r="GJ6" s="965"/>
      <c r="GK6" s="965"/>
      <c r="GL6" s="965"/>
      <c r="GM6" s="965"/>
      <c r="GN6" s="965"/>
      <c r="GO6" s="965"/>
      <c r="GP6" s="965"/>
      <c r="GQ6" s="965"/>
      <c r="GR6" s="965"/>
      <c r="GS6" s="965"/>
      <c r="GT6" s="965"/>
      <c r="GU6" s="965"/>
      <c r="GV6" s="965"/>
      <c r="GW6" s="965"/>
      <c r="GX6" s="965"/>
      <c r="GY6" s="965"/>
      <c r="GZ6" s="965"/>
      <c r="HA6" s="965"/>
      <c r="HB6" s="965"/>
      <c r="HC6" s="965"/>
      <c r="HD6" s="965"/>
      <c r="HE6" s="965"/>
      <c r="HF6" s="965"/>
      <c r="HG6" s="965"/>
      <c r="HH6" s="965"/>
      <c r="HI6" s="965"/>
      <c r="HJ6" s="965"/>
      <c r="HK6" s="965"/>
      <c r="HL6" s="965"/>
      <c r="HM6" s="965"/>
      <c r="HN6" s="965"/>
      <c r="HO6" s="965"/>
      <c r="HP6" s="965"/>
      <c r="HQ6" s="965"/>
      <c r="HR6" s="965"/>
      <c r="HS6" s="965"/>
      <c r="HT6" s="965"/>
      <c r="HU6" s="965"/>
      <c r="HV6" s="965"/>
      <c r="HW6" s="965"/>
      <c r="HX6" s="965"/>
      <c r="HY6" s="965"/>
      <c r="HZ6" s="965"/>
      <c r="IA6" s="965"/>
      <c r="IB6" s="965"/>
      <c r="IC6" s="965"/>
      <c r="ID6" s="965"/>
      <c r="IE6" s="965"/>
      <c r="IF6" s="965"/>
      <c r="IG6" s="965"/>
      <c r="IH6" s="965"/>
      <c r="II6" s="965"/>
      <c r="IJ6" s="965"/>
      <c r="IK6" s="965"/>
      <c r="IL6" s="965"/>
      <c r="IM6" s="965"/>
      <c r="IN6" s="965"/>
      <c r="IO6" s="965"/>
      <c r="IP6" s="965"/>
      <c r="IQ6" s="965"/>
      <c r="IR6" s="965"/>
      <c r="IS6" s="965"/>
      <c r="IT6" s="965"/>
      <c r="IU6" s="965"/>
      <c r="IV6" s="965"/>
    </row>
    <row r="7" spans="1:256" ht="10.5" customHeight="1">
      <c r="A7" s="944" t="s">
        <v>452</v>
      </c>
      <c r="B7" s="967">
        <v>788.3</v>
      </c>
      <c r="C7" s="967">
        <v>795.9</v>
      </c>
      <c r="D7" s="968">
        <v>852.1</v>
      </c>
      <c r="E7" s="968">
        <v>726.2</v>
      </c>
      <c r="F7" s="968">
        <v>703.2</v>
      </c>
      <c r="G7" s="969">
        <v>768.8</v>
      </c>
      <c r="H7" s="969">
        <v>749.8</v>
      </c>
      <c r="I7" s="969">
        <v>766.3</v>
      </c>
      <c r="J7" s="969">
        <v>763.7</v>
      </c>
      <c r="K7" s="969">
        <v>766.9</v>
      </c>
      <c r="L7" s="970">
        <v>768.4</v>
      </c>
      <c r="M7" s="970">
        <v>765.8</v>
      </c>
      <c r="N7" s="969">
        <v>800.7</v>
      </c>
      <c r="O7" s="958"/>
      <c r="P7" s="958"/>
      <c r="Q7" s="958"/>
      <c r="R7" s="958"/>
      <c r="S7" s="958"/>
      <c r="T7" s="958"/>
      <c r="U7" s="958"/>
      <c r="V7" s="958"/>
      <c r="W7" s="958"/>
      <c r="X7" s="958"/>
      <c r="Y7" s="958"/>
      <c r="Z7" s="958"/>
      <c r="AA7" s="958"/>
      <c r="AB7" s="958"/>
      <c r="AC7" s="958"/>
      <c r="AD7" s="958"/>
      <c r="AE7" s="958"/>
      <c r="AF7" s="958"/>
      <c r="AG7" s="958"/>
      <c r="AH7" s="958"/>
      <c r="AI7" s="958"/>
      <c r="AJ7" s="958"/>
      <c r="AK7" s="958"/>
      <c r="AL7" s="958"/>
      <c r="AM7" s="958"/>
      <c r="AN7" s="958"/>
      <c r="AO7" s="958"/>
      <c r="AP7" s="958"/>
      <c r="AQ7" s="958"/>
      <c r="AR7" s="958"/>
      <c r="AS7" s="958"/>
      <c r="AT7" s="958"/>
      <c r="AU7" s="958"/>
      <c r="AV7" s="958"/>
      <c r="AW7" s="958"/>
      <c r="AX7" s="958"/>
      <c r="AY7" s="958"/>
      <c r="AZ7" s="958"/>
      <c r="BA7" s="958"/>
      <c r="BB7" s="958"/>
      <c r="BC7" s="958"/>
      <c r="BD7" s="958"/>
      <c r="BE7" s="958"/>
      <c r="BF7" s="958"/>
      <c r="BG7" s="958"/>
      <c r="BH7" s="958"/>
      <c r="BI7" s="958"/>
      <c r="BJ7" s="958"/>
      <c r="BK7" s="958"/>
      <c r="BL7" s="958"/>
      <c r="BM7" s="958"/>
      <c r="BN7" s="958"/>
      <c r="BO7" s="958"/>
      <c r="BP7" s="958"/>
      <c r="BQ7" s="958"/>
      <c r="BR7" s="958"/>
      <c r="BS7" s="958"/>
      <c r="BT7" s="958"/>
      <c r="BU7" s="958"/>
      <c r="BV7" s="958"/>
      <c r="BW7" s="958"/>
      <c r="BX7" s="958"/>
      <c r="BY7" s="958"/>
      <c r="BZ7" s="958"/>
      <c r="CA7" s="958"/>
      <c r="CB7" s="958"/>
      <c r="CC7" s="958"/>
      <c r="CD7" s="958"/>
      <c r="CE7" s="958"/>
      <c r="CF7" s="958"/>
      <c r="CG7" s="958"/>
      <c r="CH7" s="958"/>
      <c r="CI7" s="958"/>
      <c r="CJ7" s="958"/>
      <c r="CK7" s="958"/>
      <c r="CL7" s="958"/>
      <c r="CM7" s="958"/>
      <c r="CN7" s="958"/>
      <c r="CO7" s="958"/>
      <c r="CP7" s="958"/>
      <c r="CQ7" s="958"/>
      <c r="CR7" s="958"/>
      <c r="CS7" s="958"/>
      <c r="CT7" s="958"/>
      <c r="CU7" s="958"/>
      <c r="CV7" s="958"/>
      <c r="CW7" s="958"/>
      <c r="CX7" s="958"/>
      <c r="CY7" s="958"/>
      <c r="CZ7" s="958"/>
      <c r="DA7" s="958"/>
      <c r="DB7" s="958"/>
      <c r="DC7" s="958"/>
      <c r="DD7" s="958"/>
      <c r="DE7" s="958"/>
      <c r="DF7" s="958"/>
      <c r="DG7" s="958"/>
      <c r="DH7" s="958"/>
      <c r="DI7" s="958"/>
      <c r="DJ7" s="958"/>
      <c r="DK7" s="958"/>
      <c r="DL7" s="958"/>
      <c r="DM7" s="958"/>
      <c r="DN7" s="958"/>
      <c r="DO7" s="958"/>
      <c r="DP7" s="958"/>
      <c r="DQ7" s="958"/>
      <c r="DR7" s="958"/>
      <c r="DS7" s="958"/>
      <c r="DT7" s="958"/>
      <c r="DU7" s="958"/>
      <c r="DV7" s="958"/>
      <c r="DW7" s="958"/>
      <c r="DX7" s="958"/>
      <c r="DY7" s="958"/>
      <c r="DZ7" s="958"/>
      <c r="EA7" s="958"/>
      <c r="EB7" s="958"/>
      <c r="EC7" s="958"/>
      <c r="ED7" s="958"/>
      <c r="EE7" s="958"/>
      <c r="EF7" s="958"/>
      <c r="EG7" s="958"/>
      <c r="EH7" s="958"/>
      <c r="EI7" s="958"/>
      <c r="EJ7" s="958"/>
      <c r="EK7" s="958"/>
      <c r="EL7" s="958"/>
      <c r="EM7" s="958"/>
      <c r="EN7" s="958"/>
      <c r="EO7" s="958"/>
      <c r="EP7" s="958"/>
      <c r="EQ7" s="958"/>
      <c r="ER7" s="958"/>
      <c r="ES7" s="958"/>
      <c r="ET7" s="958"/>
      <c r="EU7" s="958"/>
      <c r="EV7" s="958"/>
      <c r="EW7" s="958"/>
      <c r="EX7" s="958"/>
      <c r="EY7" s="958"/>
      <c r="EZ7" s="958"/>
      <c r="FA7" s="958"/>
      <c r="FB7" s="958"/>
      <c r="FC7" s="958"/>
      <c r="FD7" s="958"/>
      <c r="FE7" s="958"/>
      <c r="FF7" s="958"/>
      <c r="FG7" s="958"/>
      <c r="FH7" s="958"/>
      <c r="FI7" s="958"/>
      <c r="FJ7" s="958"/>
      <c r="FK7" s="958"/>
      <c r="FL7" s="958"/>
      <c r="FM7" s="958"/>
      <c r="FN7" s="958"/>
      <c r="FO7" s="958"/>
      <c r="FP7" s="958"/>
      <c r="FQ7" s="958"/>
      <c r="FR7" s="958"/>
      <c r="FS7" s="958"/>
      <c r="FT7" s="958"/>
      <c r="FU7" s="958"/>
      <c r="FV7" s="958"/>
      <c r="FW7" s="958"/>
      <c r="FX7" s="958"/>
      <c r="FY7" s="958"/>
      <c r="FZ7" s="958"/>
      <c r="GA7" s="958"/>
      <c r="GB7" s="958"/>
      <c r="GC7" s="958"/>
      <c r="GD7" s="958"/>
      <c r="GE7" s="958"/>
      <c r="GF7" s="958"/>
      <c r="GG7" s="958"/>
      <c r="GH7" s="958"/>
      <c r="GI7" s="958"/>
      <c r="GJ7" s="958"/>
      <c r="GK7" s="958"/>
      <c r="GL7" s="958"/>
      <c r="GM7" s="958"/>
      <c r="GN7" s="958"/>
      <c r="GO7" s="958"/>
      <c r="GP7" s="958"/>
      <c r="GQ7" s="958"/>
      <c r="GR7" s="958"/>
      <c r="GS7" s="958"/>
      <c r="GT7" s="958"/>
      <c r="GU7" s="958"/>
      <c r="GV7" s="958"/>
      <c r="GW7" s="958"/>
      <c r="GX7" s="958"/>
      <c r="GY7" s="958"/>
      <c r="GZ7" s="958"/>
      <c r="HA7" s="958"/>
      <c r="HB7" s="958"/>
      <c r="HC7" s="958"/>
      <c r="HD7" s="958"/>
      <c r="HE7" s="958"/>
      <c r="HF7" s="958"/>
      <c r="HG7" s="958"/>
      <c r="HH7" s="958"/>
      <c r="HI7" s="958"/>
      <c r="HJ7" s="958"/>
      <c r="HK7" s="958"/>
      <c r="HL7" s="958"/>
      <c r="HM7" s="958"/>
      <c r="HN7" s="958"/>
      <c r="HO7" s="958"/>
      <c r="HP7" s="958"/>
      <c r="HQ7" s="958"/>
      <c r="HR7" s="958"/>
      <c r="HS7" s="958"/>
      <c r="HT7" s="958"/>
      <c r="HU7" s="958"/>
      <c r="HV7" s="958"/>
      <c r="HW7" s="958"/>
      <c r="HX7" s="958"/>
      <c r="HY7" s="958"/>
      <c r="HZ7" s="958"/>
      <c r="IA7" s="958"/>
      <c r="IB7" s="958"/>
      <c r="IC7" s="958"/>
      <c r="ID7" s="958"/>
      <c r="IE7" s="958"/>
      <c r="IF7" s="958"/>
      <c r="IG7" s="958"/>
      <c r="IH7" s="958"/>
      <c r="II7" s="958"/>
      <c r="IJ7" s="958"/>
      <c r="IK7" s="958"/>
      <c r="IL7" s="958"/>
      <c r="IM7" s="958"/>
      <c r="IN7" s="958"/>
      <c r="IO7" s="958"/>
      <c r="IP7" s="958"/>
      <c r="IQ7" s="958"/>
      <c r="IR7" s="958"/>
      <c r="IS7" s="958"/>
      <c r="IT7" s="958"/>
      <c r="IU7" s="958"/>
      <c r="IV7" s="958"/>
    </row>
    <row r="8" spans="1:256" ht="10.5" customHeight="1">
      <c r="A8" s="944" t="s">
        <v>839</v>
      </c>
      <c r="B8" s="967">
        <v>731.9</v>
      </c>
      <c r="C8" s="967">
        <v>731.9</v>
      </c>
      <c r="D8" s="968">
        <v>731.9</v>
      </c>
      <c r="E8" s="968">
        <v>728.7</v>
      </c>
      <c r="F8" s="968">
        <v>728.2</v>
      </c>
      <c r="G8" s="969">
        <v>481</v>
      </c>
      <c r="H8" s="969">
        <v>466.2</v>
      </c>
      <c r="I8" s="969">
        <v>774.1</v>
      </c>
      <c r="J8" s="969">
        <v>790.3</v>
      </c>
      <c r="K8" s="969">
        <v>800.6</v>
      </c>
      <c r="L8" s="970">
        <v>779.9</v>
      </c>
      <c r="M8" s="971">
        <v>767.2</v>
      </c>
      <c r="N8" s="969">
        <v>663.9</v>
      </c>
      <c r="O8" s="958"/>
      <c r="P8" s="958"/>
      <c r="Q8" s="958"/>
      <c r="R8" s="958"/>
      <c r="S8" s="958"/>
      <c r="T8" s="958"/>
      <c r="U8" s="958"/>
      <c r="V8" s="958"/>
      <c r="W8" s="958"/>
      <c r="X8" s="958"/>
      <c r="Y8" s="958"/>
      <c r="Z8" s="958"/>
      <c r="AA8" s="958"/>
      <c r="AB8" s="958"/>
      <c r="AC8" s="958"/>
      <c r="AD8" s="958"/>
      <c r="AE8" s="958"/>
      <c r="AF8" s="958"/>
      <c r="AG8" s="958"/>
      <c r="AH8" s="958"/>
      <c r="AI8" s="958"/>
      <c r="AJ8" s="958"/>
      <c r="AK8" s="958"/>
      <c r="AL8" s="958"/>
      <c r="AM8" s="958"/>
      <c r="AN8" s="958"/>
      <c r="AO8" s="958"/>
      <c r="AP8" s="958"/>
      <c r="AQ8" s="958"/>
      <c r="AR8" s="958"/>
      <c r="AS8" s="958"/>
      <c r="AT8" s="958"/>
      <c r="AU8" s="958"/>
      <c r="AV8" s="958"/>
      <c r="AW8" s="958"/>
      <c r="AX8" s="958"/>
      <c r="AY8" s="958"/>
      <c r="AZ8" s="958"/>
      <c r="BA8" s="958"/>
      <c r="BB8" s="958"/>
      <c r="BC8" s="958"/>
      <c r="BD8" s="958"/>
      <c r="BE8" s="958"/>
      <c r="BF8" s="958"/>
      <c r="BG8" s="958"/>
      <c r="BH8" s="958"/>
      <c r="BI8" s="958"/>
      <c r="BJ8" s="958"/>
      <c r="BK8" s="958"/>
      <c r="BL8" s="958"/>
      <c r="BM8" s="958"/>
      <c r="BN8" s="958"/>
      <c r="BO8" s="958"/>
      <c r="BP8" s="958"/>
      <c r="BQ8" s="958"/>
      <c r="BR8" s="958"/>
      <c r="BS8" s="958"/>
      <c r="BT8" s="958"/>
      <c r="BU8" s="958"/>
      <c r="BV8" s="958"/>
      <c r="BW8" s="958"/>
      <c r="BX8" s="958"/>
      <c r="BY8" s="958"/>
      <c r="BZ8" s="958"/>
      <c r="CA8" s="958"/>
      <c r="CB8" s="958"/>
      <c r="CC8" s="958"/>
      <c r="CD8" s="958"/>
      <c r="CE8" s="958"/>
      <c r="CF8" s="958"/>
      <c r="CG8" s="958"/>
      <c r="CH8" s="958"/>
      <c r="CI8" s="958"/>
      <c r="CJ8" s="958"/>
      <c r="CK8" s="958"/>
      <c r="CL8" s="958"/>
      <c r="CM8" s="958"/>
      <c r="CN8" s="958"/>
      <c r="CO8" s="958"/>
      <c r="CP8" s="958"/>
      <c r="CQ8" s="958"/>
      <c r="CR8" s="958"/>
      <c r="CS8" s="958"/>
      <c r="CT8" s="958"/>
      <c r="CU8" s="958"/>
      <c r="CV8" s="958"/>
      <c r="CW8" s="958"/>
      <c r="CX8" s="958"/>
      <c r="CY8" s="958"/>
      <c r="CZ8" s="958"/>
      <c r="DA8" s="958"/>
      <c r="DB8" s="958"/>
      <c r="DC8" s="958"/>
      <c r="DD8" s="958"/>
      <c r="DE8" s="958"/>
      <c r="DF8" s="958"/>
      <c r="DG8" s="958"/>
      <c r="DH8" s="958"/>
      <c r="DI8" s="958"/>
      <c r="DJ8" s="958"/>
      <c r="DK8" s="958"/>
      <c r="DL8" s="958"/>
      <c r="DM8" s="958"/>
      <c r="DN8" s="958"/>
      <c r="DO8" s="958"/>
      <c r="DP8" s="958"/>
      <c r="DQ8" s="958"/>
      <c r="DR8" s="958"/>
      <c r="DS8" s="958"/>
      <c r="DT8" s="958"/>
      <c r="DU8" s="958"/>
      <c r="DV8" s="958"/>
      <c r="DW8" s="958"/>
      <c r="DX8" s="958"/>
      <c r="DY8" s="958"/>
      <c r="DZ8" s="958"/>
      <c r="EA8" s="958"/>
      <c r="EB8" s="958"/>
      <c r="EC8" s="958"/>
      <c r="ED8" s="958"/>
      <c r="EE8" s="958"/>
      <c r="EF8" s="958"/>
      <c r="EG8" s="958"/>
      <c r="EH8" s="958"/>
      <c r="EI8" s="958"/>
      <c r="EJ8" s="958"/>
      <c r="EK8" s="958"/>
      <c r="EL8" s="958"/>
      <c r="EM8" s="958"/>
      <c r="EN8" s="958"/>
      <c r="EO8" s="958"/>
      <c r="EP8" s="958"/>
      <c r="EQ8" s="958"/>
      <c r="ER8" s="958"/>
      <c r="ES8" s="958"/>
      <c r="ET8" s="958"/>
      <c r="EU8" s="958"/>
      <c r="EV8" s="958"/>
      <c r="EW8" s="958"/>
      <c r="EX8" s="958"/>
      <c r="EY8" s="958"/>
      <c r="EZ8" s="958"/>
      <c r="FA8" s="958"/>
      <c r="FB8" s="958"/>
      <c r="FC8" s="958"/>
      <c r="FD8" s="958"/>
      <c r="FE8" s="958"/>
      <c r="FF8" s="958"/>
      <c r="FG8" s="958"/>
      <c r="FH8" s="958"/>
      <c r="FI8" s="958"/>
      <c r="FJ8" s="958"/>
      <c r="FK8" s="958"/>
      <c r="FL8" s="958"/>
      <c r="FM8" s="958"/>
      <c r="FN8" s="958"/>
      <c r="FO8" s="958"/>
      <c r="FP8" s="958"/>
      <c r="FQ8" s="958"/>
      <c r="FR8" s="958"/>
      <c r="FS8" s="958"/>
      <c r="FT8" s="958"/>
      <c r="FU8" s="958"/>
      <c r="FV8" s="958"/>
      <c r="FW8" s="958"/>
      <c r="FX8" s="958"/>
      <c r="FY8" s="958"/>
      <c r="FZ8" s="958"/>
      <c r="GA8" s="958"/>
      <c r="GB8" s="958"/>
      <c r="GC8" s="958"/>
      <c r="GD8" s="958"/>
      <c r="GE8" s="958"/>
      <c r="GF8" s="958"/>
      <c r="GG8" s="958"/>
      <c r="GH8" s="958"/>
      <c r="GI8" s="958"/>
      <c r="GJ8" s="958"/>
      <c r="GK8" s="958"/>
      <c r="GL8" s="958"/>
      <c r="GM8" s="958"/>
      <c r="GN8" s="958"/>
      <c r="GO8" s="958"/>
      <c r="GP8" s="958"/>
      <c r="GQ8" s="958"/>
      <c r="GR8" s="958"/>
      <c r="GS8" s="958"/>
      <c r="GT8" s="958"/>
      <c r="GU8" s="958"/>
      <c r="GV8" s="958"/>
      <c r="GW8" s="958"/>
      <c r="GX8" s="958"/>
      <c r="GY8" s="958"/>
      <c r="GZ8" s="958"/>
      <c r="HA8" s="958"/>
      <c r="HB8" s="958"/>
      <c r="HC8" s="958"/>
      <c r="HD8" s="958"/>
      <c r="HE8" s="958"/>
      <c r="HF8" s="958"/>
      <c r="HG8" s="958"/>
      <c r="HH8" s="958"/>
      <c r="HI8" s="958"/>
      <c r="HJ8" s="958"/>
      <c r="HK8" s="958"/>
      <c r="HL8" s="958"/>
      <c r="HM8" s="958"/>
      <c r="HN8" s="958"/>
      <c r="HO8" s="958"/>
      <c r="HP8" s="958"/>
      <c r="HQ8" s="958"/>
      <c r="HR8" s="958"/>
      <c r="HS8" s="958"/>
      <c r="HT8" s="958"/>
      <c r="HU8" s="958"/>
      <c r="HV8" s="958"/>
      <c r="HW8" s="958"/>
      <c r="HX8" s="958"/>
      <c r="HY8" s="958"/>
      <c r="HZ8" s="958"/>
      <c r="IA8" s="958"/>
      <c r="IB8" s="958"/>
      <c r="IC8" s="958"/>
      <c r="ID8" s="958"/>
      <c r="IE8" s="958"/>
      <c r="IF8" s="958"/>
      <c r="IG8" s="958"/>
      <c r="IH8" s="958"/>
      <c r="II8" s="958"/>
      <c r="IJ8" s="958"/>
      <c r="IK8" s="958"/>
      <c r="IL8" s="958"/>
      <c r="IM8" s="958"/>
      <c r="IN8" s="958"/>
      <c r="IO8" s="958"/>
      <c r="IP8" s="958"/>
      <c r="IQ8" s="958"/>
      <c r="IR8" s="958"/>
      <c r="IS8" s="958"/>
      <c r="IT8" s="958"/>
      <c r="IU8" s="958"/>
      <c r="IV8" s="958"/>
    </row>
    <row r="9" spans="1:256" ht="10.5" customHeight="1">
      <c r="A9" s="944" t="s">
        <v>840</v>
      </c>
      <c r="B9" s="967">
        <v>161.80000000000001</v>
      </c>
      <c r="C9" s="967">
        <v>161.80000000000001</v>
      </c>
      <c r="D9" s="968">
        <v>161.80000000000001</v>
      </c>
      <c r="E9" s="968">
        <v>164.9</v>
      </c>
      <c r="F9" s="968">
        <v>165.6</v>
      </c>
      <c r="G9" s="969">
        <v>124.3</v>
      </c>
      <c r="H9" s="969">
        <v>122.6</v>
      </c>
      <c r="I9" s="969">
        <v>135.69999999999999</v>
      </c>
      <c r="J9" s="969">
        <v>107.1</v>
      </c>
      <c r="K9" s="969">
        <v>161.69999999999999</v>
      </c>
      <c r="L9" s="970">
        <v>161.19999999999999</v>
      </c>
      <c r="M9" s="971">
        <v>169.3</v>
      </c>
      <c r="N9" s="969">
        <v>168.4</v>
      </c>
      <c r="O9" s="958"/>
      <c r="P9" s="958"/>
      <c r="Q9" s="958"/>
      <c r="R9" s="958"/>
      <c r="S9" s="958"/>
      <c r="T9" s="958"/>
      <c r="U9" s="958"/>
      <c r="V9" s="958"/>
      <c r="W9" s="958"/>
      <c r="X9" s="958"/>
      <c r="Y9" s="958"/>
      <c r="Z9" s="958"/>
      <c r="AA9" s="958"/>
      <c r="AB9" s="958"/>
      <c r="AC9" s="958"/>
      <c r="AD9" s="958"/>
      <c r="AE9" s="958"/>
      <c r="AF9" s="958"/>
      <c r="AG9" s="958"/>
      <c r="AH9" s="958"/>
      <c r="AI9" s="958"/>
      <c r="AJ9" s="958"/>
      <c r="AK9" s="958"/>
      <c r="AL9" s="958"/>
      <c r="AM9" s="958"/>
      <c r="AN9" s="958"/>
      <c r="AO9" s="958"/>
      <c r="AP9" s="958"/>
      <c r="AQ9" s="958"/>
      <c r="AR9" s="958"/>
      <c r="AS9" s="958"/>
      <c r="AT9" s="958"/>
      <c r="AU9" s="958"/>
      <c r="AV9" s="958"/>
      <c r="AW9" s="958"/>
      <c r="AX9" s="958"/>
      <c r="AY9" s="958"/>
      <c r="AZ9" s="958"/>
      <c r="BA9" s="958"/>
      <c r="BB9" s="958"/>
      <c r="BC9" s="958"/>
      <c r="BD9" s="958"/>
      <c r="BE9" s="958"/>
      <c r="BF9" s="958"/>
      <c r="BG9" s="958"/>
      <c r="BH9" s="958"/>
      <c r="BI9" s="958"/>
      <c r="BJ9" s="958"/>
      <c r="BK9" s="958"/>
      <c r="BL9" s="958"/>
      <c r="BM9" s="958"/>
      <c r="BN9" s="958"/>
      <c r="BO9" s="958"/>
      <c r="BP9" s="958"/>
      <c r="BQ9" s="958"/>
      <c r="BR9" s="958"/>
      <c r="BS9" s="958"/>
      <c r="BT9" s="958"/>
      <c r="BU9" s="958"/>
      <c r="BV9" s="958"/>
      <c r="BW9" s="958"/>
      <c r="BX9" s="958"/>
      <c r="BY9" s="958"/>
      <c r="BZ9" s="958"/>
      <c r="CA9" s="958"/>
      <c r="CB9" s="958"/>
      <c r="CC9" s="958"/>
      <c r="CD9" s="958"/>
      <c r="CE9" s="958"/>
      <c r="CF9" s="958"/>
      <c r="CG9" s="958"/>
      <c r="CH9" s="958"/>
      <c r="CI9" s="958"/>
      <c r="CJ9" s="958"/>
      <c r="CK9" s="958"/>
      <c r="CL9" s="958"/>
      <c r="CM9" s="958"/>
      <c r="CN9" s="958"/>
      <c r="CO9" s="958"/>
      <c r="CP9" s="958"/>
      <c r="CQ9" s="958"/>
      <c r="CR9" s="958"/>
      <c r="CS9" s="958"/>
      <c r="CT9" s="958"/>
      <c r="CU9" s="958"/>
      <c r="CV9" s="958"/>
      <c r="CW9" s="958"/>
      <c r="CX9" s="958"/>
      <c r="CY9" s="958"/>
      <c r="CZ9" s="958"/>
      <c r="DA9" s="958"/>
      <c r="DB9" s="958"/>
      <c r="DC9" s="958"/>
      <c r="DD9" s="958"/>
      <c r="DE9" s="958"/>
      <c r="DF9" s="958"/>
      <c r="DG9" s="958"/>
      <c r="DH9" s="958"/>
      <c r="DI9" s="958"/>
      <c r="DJ9" s="958"/>
      <c r="DK9" s="958"/>
      <c r="DL9" s="958"/>
      <c r="DM9" s="958"/>
      <c r="DN9" s="958"/>
      <c r="DO9" s="958"/>
      <c r="DP9" s="958"/>
      <c r="DQ9" s="958"/>
      <c r="DR9" s="958"/>
      <c r="DS9" s="958"/>
      <c r="DT9" s="958"/>
      <c r="DU9" s="958"/>
      <c r="DV9" s="958"/>
      <c r="DW9" s="958"/>
      <c r="DX9" s="958"/>
      <c r="DY9" s="958"/>
      <c r="DZ9" s="958"/>
      <c r="EA9" s="958"/>
      <c r="EB9" s="958"/>
      <c r="EC9" s="958"/>
      <c r="ED9" s="958"/>
      <c r="EE9" s="958"/>
      <c r="EF9" s="958"/>
      <c r="EG9" s="958"/>
      <c r="EH9" s="958"/>
      <c r="EI9" s="958"/>
      <c r="EJ9" s="958"/>
      <c r="EK9" s="958"/>
      <c r="EL9" s="958"/>
      <c r="EM9" s="958"/>
      <c r="EN9" s="958"/>
      <c r="EO9" s="958"/>
      <c r="EP9" s="958"/>
      <c r="EQ9" s="958"/>
      <c r="ER9" s="958"/>
      <c r="ES9" s="958"/>
      <c r="ET9" s="958"/>
      <c r="EU9" s="958"/>
      <c r="EV9" s="958"/>
      <c r="EW9" s="958"/>
      <c r="EX9" s="958"/>
      <c r="EY9" s="958"/>
      <c r="EZ9" s="958"/>
      <c r="FA9" s="958"/>
      <c r="FB9" s="958"/>
      <c r="FC9" s="958"/>
      <c r="FD9" s="958"/>
      <c r="FE9" s="958"/>
      <c r="FF9" s="958"/>
      <c r="FG9" s="958"/>
      <c r="FH9" s="958"/>
      <c r="FI9" s="958"/>
      <c r="FJ9" s="958"/>
      <c r="FK9" s="958"/>
      <c r="FL9" s="958"/>
      <c r="FM9" s="958"/>
      <c r="FN9" s="958"/>
      <c r="FO9" s="958"/>
      <c r="FP9" s="958"/>
      <c r="FQ9" s="958"/>
      <c r="FR9" s="958"/>
      <c r="FS9" s="958"/>
      <c r="FT9" s="958"/>
      <c r="FU9" s="958"/>
      <c r="FV9" s="958"/>
      <c r="FW9" s="958"/>
      <c r="FX9" s="958"/>
      <c r="FY9" s="958"/>
      <c r="FZ9" s="958"/>
      <c r="GA9" s="958"/>
      <c r="GB9" s="958"/>
      <c r="GC9" s="958"/>
      <c r="GD9" s="958"/>
      <c r="GE9" s="958"/>
      <c r="GF9" s="958"/>
      <c r="GG9" s="958"/>
      <c r="GH9" s="958"/>
      <c r="GI9" s="958"/>
      <c r="GJ9" s="958"/>
      <c r="GK9" s="958"/>
      <c r="GL9" s="958"/>
      <c r="GM9" s="958"/>
      <c r="GN9" s="958"/>
      <c r="GO9" s="958"/>
      <c r="GP9" s="958"/>
      <c r="GQ9" s="958"/>
      <c r="GR9" s="958"/>
      <c r="GS9" s="958"/>
      <c r="GT9" s="958"/>
      <c r="GU9" s="958"/>
      <c r="GV9" s="958"/>
      <c r="GW9" s="958"/>
      <c r="GX9" s="958"/>
      <c r="GY9" s="958"/>
      <c r="GZ9" s="958"/>
      <c r="HA9" s="958"/>
      <c r="HB9" s="958"/>
      <c r="HC9" s="958"/>
      <c r="HD9" s="958"/>
      <c r="HE9" s="958"/>
      <c r="HF9" s="958"/>
      <c r="HG9" s="958"/>
      <c r="HH9" s="958"/>
      <c r="HI9" s="958"/>
      <c r="HJ9" s="958"/>
      <c r="HK9" s="958"/>
      <c r="HL9" s="958"/>
      <c r="HM9" s="958"/>
      <c r="HN9" s="958"/>
      <c r="HO9" s="958"/>
      <c r="HP9" s="958"/>
      <c r="HQ9" s="958"/>
      <c r="HR9" s="958"/>
      <c r="HS9" s="958"/>
      <c r="HT9" s="958"/>
      <c r="HU9" s="958"/>
      <c r="HV9" s="958"/>
      <c r="HW9" s="958"/>
      <c r="HX9" s="958"/>
      <c r="HY9" s="958"/>
      <c r="HZ9" s="958"/>
      <c r="IA9" s="958"/>
      <c r="IB9" s="958"/>
      <c r="IC9" s="958"/>
      <c r="ID9" s="958"/>
      <c r="IE9" s="958"/>
      <c r="IF9" s="958"/>
      <c r="IG9" s="958"/>
      <c r="IH9" s="958"/>
      <c r="II9" s="958"/>
      <c r="IJ9" s="958"/>
      <c r="IK9" s="958"/>
      <c r="IL9" s="958"/>
      <c r="IM9" s="958"/>
      <c r="IN9" s="958"/>
      <c r="IO9" s="958"/>
      <c r="IP9" s="958"/>
      <c r="IQ9" s="958"/>
      <c r="IR9" s="958"/>
      <c r="IS9" s="958"/>
      <c r="IT9" s="958"/>
      <c r="IU9" s="958"/>
      <c r="IV9" s="958"/>
    </row>
    <row r="10" spans="1:256" ht="10.5" customHeight="1">
      <c r="A10" s="944" t="s">
        <v>841</v>
      </c>
      <c r="B10" s="967">
        <v>49.9</v>
      </c>
      <c r="C10" s="967">
        <v>51.9</v>
      </c>
      <c r="D10" s="968">
        <v>52.1</v>
      </c>
      <c r="E10" s="968">
        <v>52.6</v>
      </c>
      <c r="F10" s="968">
        <v>74.7</v>
      </c>
      <c r="G10" s="969">
        <v>63</v>
      </c>
      <c r="H10" s="969">
        <v>57.7</v>
      </c>
      <c r="I10" s="969">
        <v>57.4</v>
      </c>
      <c r="J10" s="969">
        <v>60.8</v>
      </c>
      <c r="K10" s="969">
        <v>44.3</v>
      </c>
      <c r="L10" s="970">
        <v>39.299999999999997</v>
      </c>
      <c r="M10" s="971">
        <v>36.9</v>
      </c>
      <c r="N10" s="969">
        <v>57.9</v>
      </c>
      <c r="O10" s="958"/>
      <c r="P10" s="958"/>
      <c r="Q10" s="958"/>
      <c r="R10" s="958"/>
      <c r="S10" s="958"/>
      <c r="T10" s="958"/>
      <c r="U10" s="958"/>
      <c r="V10" s="958"/>
      <c r="W10" s="958"/>
      <c r="X10" s="958"/>
      <c r="Y10" s="958"/>
      <c r="Z10" s="958"/>
      <c r="AA10" s="958"/>
      <c r="AB10" s="958"/>
      <c r="AC10" s="958"/>
      <c r="AD10" s="958"/>
      <c r="AE10" s="958"/>
      <c r="AF10" s="958"/>
      <c r="AG10" s="958"/>
      <c r="AH10" s="958"/>
      <c r="AI10" s="958"/>
      <c r="AJ10" s="958"/>
      <c r="AK10" s="958"/>
      <c r="AL10" s="958"/>
      <c r="AM10" s="958"/>
      <c r="AN10" s="958"/>
      <c r="AO10" s="958"/>
      <c r="AP10" s="958"/>
      <c r="AQ10" s="958"/>
      <c r="AR10" s="958"/>
      <c r="AS10" s="958"/>
      <c r="AT10" s="958"/>
      <c r="AU10" s="958"/>
      <c r="AV10" s="958"/>
      <c r="AW10" s="958"/>
      <c r="AX10" s="958"/>
      <c r="AY10" s="958"/>
      <c r="AZ10" s="958"/>
      <c r="BA10" s="958"/>
      <c r="BB10" s="958"/>
      <c r="BC10" s="958"/>
      <c r="BD10" s="958"/>
      <c r="BE10" s="958"/>
      <c r="BF10" s="958"/>
      <c r="BG10" s="958"/>
      <c r="BH10" s="958"/>
      <c r="BI10" s="958"/>
      <c r="BJ10" s="958"/>
      <c r="BK10" s="958"/>
      <c r="BL10" s="958"/>
      <c r="BM10" s="958"/>
      <c r="BN10" s="958"/>
      <c r="BO10" s="958"/>
      <c r="BP10" s="958"/>
      <c r="BQ10" s="958"/>
      <c r="BR10" s="958"/>
      <c r="BS10" s="958"/>
      <c r="BT10" s="958"/>
      <c r="BU10" s="958"/>
      <c r="BV10" s="958"/>
      <c r="BW10" s="958"/>
      <c r="BX10" s="958"/>
      <c r="BY10" s="958"/>
      <c r="BZ10" s="958"/>
      <c r="CA10" s="958"/>
      <c r="CB10" s="958"/>
      <c r="CC10" s="958"/>
      <c r="CD10" s="958"/>
      <c r="CE10" s="958"/>
      <c r="CF10" s="958"/>
      <c r="CG10" s="958"/>
      <c r="CH10" s="958"/>
      <c r="CI10" s="958"/>
      <c r="CJ10" s="958"/>
      <c r="CK10" s="958"/>
      <c r="CL10" s="958"/>
      <c r="CM10" s="958"/>
      <c r="CN10" s="958"/>
      <c r="CO10" s="958"/>
      <c r="CP10" s="958"/>
      <c r="CQ10" s="958"/>
      <c r="CR10" s="958"/>
      <c r="CS10" s="958"/>
      <c r="CT10" s="958"/>
      <c r="CU10" s="958"/>
      <c r="CV10" s="958"/>
      <c r="CW10" s="958"/>
      <c r="CX10" s="958"/>
      <c r="CY10" s="958"/>
      <c r="CZ10" s="958"/>
      <c r="DA10" s="958"/>
      <c r="DB10" s="958"/>
      <c r="DC10" s="958"/>
      <c r="DD10" s="958"/>
      <c r="DE10" s="958"/>
      <c r="DF10" s="958"/>
      <c r="DG10" s="958"/>
      <c r="DH10" s="958"/>
      <c r="DI10" s="958"/>
      <c r="DJ10" s="958"/>
      <c r="DK10" s="958"/>
      <c r="DL10" s="958"/>
      <c r="DM10" s="958"/>
      <c r="DN10" s="958"/>
      <c r="DO10" s="958"/>
      <c r="DP10" s="958"/>
      <c r="DQ10" s="958"/>
      <c r="DR10" s="958"/>
      <c r="DS10" s="958"/>
      <c r="DT10" s="958"/>
      <c r="DU10" s="958"/>
      <c r="DV10" s="958"/>
      <c r="DW10" s="958"/>
      <c r="DX10" s="958"/>
      <c r="DY10" s="958"/>
      <c r="DZ10" s="958"/>
      <c r="EA10" s="958"/>
      <c r="EB10" s="958"/>
      <c r="EC10" s="958"/>
      <c r="ED10" s="958"/>
      <c r="EE10" s="958"/>
      <c r="EF10" s="958"/>
      <c r="EG10" s="958"/>
      <c r="EH10" s="958"/>
      <c r="EI10" s="958"/>
      <c r="EJ10" s="958"/>
      <c r="EK10" s="958"/>
      <c r="EL10" s="958"/>
      <c r="EM10" s="958"/>
      <c r="EN10" s="958"/>
      <c r="EO10" s="958"/>
      <c r="EP10" s="958"/>
      <c r="EQ10" s="958"/>
      <c r="ER10" s="958"/>
      <c r="ES10" s="958"/>
      <c r="ET10" s="958"/>
      <c r="EU10" s="958"/>
      <c r="EV10" s="958"/>
      <c r="EW10" s="958"/>
      <c r="EX10" s="958"/>
      <c r="EY10" s="958"/>
      <c r="EZ10" s="958"/>
      <c r="FA10" s="958"/>
      <c r="FB10" s="958"/>
      <c r="FC10" s="958"/>
      <c r="FD10" s="958"/>
      <c r="FE10" s="958"/>
      <c r="FF10" s="958"/>
      <c r="FG10" s="958"/>
      <c r="FH10" s="958"/>
      <c r="FI10" s="958"/>
      <c r="FJ10" s="958"/>
      <c r="FK10" s="958"/>
      <c r="FL10" s="958"/>
      <c r="FM10" s="958"/>
      <c r="FN10" s="958"/>
      <c r="FO10" s="958"/>
      <c r="FP10" s="958"/>
      <c r="FQ10" s="958"/>
      <c r="FR10" s="958"/>
      <c r="FS10" s="958"/>
      <c r="FT10" s="958"/>
      <c r="FU10" s="958"/>
      <c r="FV10" s="958"/>
      <c r="FW10" s="958"/>
      <c r="FX10" s="958"/>
      <c r="FY10" s="958"/>
      <c r="FZ10" s="958"/>
      <c r="GA10" s="958"/>
      <c r="GB10" s="958"/>
      <c r="GC10" s="958"/>
      <c r="GD10" s="958"/>
      <c r="GE10" s="958"/>
      <c r="GF10" s="958"/>
      <c r="GG10" s="958"/>
      <c r="GH10" s="958"/>
      <c r="GI10" s="958"/>
      <c r="GJ10" s="958"/>
      <c r="GK10" s="958"/>
      <c r="GL10" s="958"/>
      <c r="GM10" s="958"/>
      <c r="GN10" s="958"/>
      <c r="GO10" s="958"/>
      <c r="GP10" s="958"/>
      <c r="GQ10" s="958"/>
      <c r="GR10" s="958"/>
      <c r="GS10" s="958"/>
      <c r="GT10" s="958"/>
      <c r="GU10" s="958"/>
      <c r="GV10" s="958"/>
      <c r="GW10" s="958"/>
      <c r="GX10" s="958"/>
      <c r="GY10" s="958"/>
      <c r="GZ10" s="958"/>
      <c r="HA10" s="958"/>
      <c r="HB10" s="958"/>
      <c r="HC10" s="958"/>
      <c r="HD10" s="958"/>
      <c r="HE10" s="958"/>
      <c r="HF10" s="958"/>
      <c r="HG10" s="958"/>
      <c r="HH10" s="958"/>
      <c r="HI10" s="958"/>
      <c r="HJ10" s="958"/>
      <c r="HK10" s="958"/>
      <c r="HL10" s="958"/>
      <c r="HM10" s="958"/>
      <c r="HN10" s="958"/>
      <c r="HO10" s="958"/>
      <c r="HP10" s="958"/>
      <c r="HQ10" s="958"/>
      <c r="HR10" s="958"/>
      <c r="HS10" s="958"/>
      <c r="HT10" s="958"/>
      <c r="HU10" s="958"/>
      <c r="HV10" s="958"/>
      <c r="HW10" s="958"/>
      <c r="HX10" s="958"/>
      <c r="HY10" s="958"/>
      <c r="HZ10" s="958"/>
      <c r="IA10" s="958"/>
      <c r="IB10" s="958"/>
      <c r="IC10" s="958"/>
      <c r="ID10" s="958"/>
      <c r="IE10" s="958"/>
      <c r="IF10" s="958"/>
      <c r="IG10" s="958"/>
      <c r="IH10" s="958"/>
      <c r="II10" s="958"/>
      <c r="IJ10" s="958"/>
      <c r="IK10" s="958"/>
      <c r="IL10" s="958"/>
      <c r="IM10" s="958"/>
      <c r="IN10" s="958"/>
      <c r="IO10" s="958"/>
      <c r="IP10" s="958"/>
      <c r="IQ10" s="958"/>
      <c r="IR10" s="958"/>
      <c r="IS10" s="958"/>
      <c r="IT10" s="958"/>
      <c r="IU10" s="958"/>
      <c r="IV10" s="958"/>
    </row>
    <row r="11" spans="1:256" ht="10.5" customHeight="1">
      <c r="A11" s="944" t="s">
        <v>842</v>
      </c>
      <c r="B11" s="967">
        <v>58.7</v>
      </c>
      <c r="C11" s="967">
        <v>57</v>
      </c>
      <c r="D11" s="968">
        <v>56.9</v>
      </c>
      <c r="E11" s="968">
        <v>56.6</v>
      </c>
      <c r="F11" s="968">
        <v>34.1</v>
      </c>
      <c r="G11" s="969">
        <v>19.7</v>
      </c>
      <c r="H11" s="969">
        <v>18.100000000000001</v>
      </c>
      <c r="I11" s="969">
        <v>14.4</v>
      </c>
      <c r="J11" s="969">
        <v>31.5</v>
      </c>
      <c r="K11" s="969">
        <v>18.7</v>
      </c>
      <c r="L11" s="970">
        <v>19.600000000000001</v>
      </c>
      <c r="M11" s="971">
        <v>28.2</v>
      </c>
      <c r="N11" s="969">
        <v>44.3</v>
      </c>
      <c r="O11" s="958"/>
      <c r="P11" s="958"/>
      <c r="Q11" s="958"/>
      <c r="R11" s="958"/>
      <c r="S11" s="958"/>
      <c r="T11" s="958"/>
      <c r="U11" s="958"/>
      <c r="V11" s="958"/>
      <c r="W11" s="958"/>
      <c r="X11" s="958"/>
      <c r="Y11" s="958"/>
      <c r="Z11" s="958"/>
      <c r="AA11" s="958"/>
      <c r="AB11" s="958"/>
      <c r="AC11" s="958"/>
      <c r="AD11" s="958"/>
      <c r="AE11" s="958"/>
      <c r="AF11" s="958"/>
      <c r="AG11" s="958"/>
      <c r="AH11" s="958"/>
      <c r="AI11" s="958"/>
      <c r="AJ11" s="958"/>
      <c r="AK11" s="958"/>
      <c r="AL11" s="958"/>
      <c r="AM11" s="958"/>
      <c r="AN11" s="958"/>
      <c r="AO11" s="958"/>
      <c r="AP11" s="958"/>
      <c r="AQ11" s="958"/>
      <c r="AR11" s="958"/>
      <c r="AS11" s="958"/>
      <c r="AT11" s="958"/>
      <c r="AU11" s="958"/>
      <c r="AV11" s="958"/>
      <c r="AW11" s="958"/>
      <c r="AX11" s="958"/>
      <c r="AY11" s="958"/>
      <c r="AZ11" s="958"/>
      <c r="BA11" s="958"/>
      <c r="BB11" s="958"/>
      <c r="BC11" s="958"/>
      <c r="BD11" s="958"/>
      <c r="BE11" s="958"/>
      <c r="BF11" s="958"/>
      <c r="BG11" s="958"/>
      <c r="BH11" s="958"/>
      <c r="BI11" s="958"/>
      <c r="BJ11" s="958"/>
      <c r="BK11" s="958"/>
      <c r="BL11" s="958"/>
      <c r="BM11" s="958"/>
      <c r="BN11" s="958"/>
      <c r="BO11" s="958"/>
      <c r="BP11" s="958"/>
      <c r="BQ11" s="958"/>
      <c r="BR11" s="958"/>
      <c r="BS11" s="958"/>
      <c r="BT11" s="958"/>
      <c r="BU11" s="958"/>
      <c r="BV11" s="958"/>
      <c r="BW11" s="958"/>
      <c r="BX11" s="958"/>
      <c r="BY11" s="958"/>
      <c r="BZ11" s="958"/>
      <c r="CA11" s="958"/>
      <c r="CB11" s="958"/>
      <c r="CC11" s="958"/>
      <c r="CD11" s="958"/>
      <c r="CE11" s="958"/>
      <c r="CF11" s="958"/>
      <c r="CG11" s="958"/>
      <c r="CH11" s="958"/>
      <c r="CI11" s="958"/>
      <c r="CJ11" s="958"/>
      <c r="CK11" s="958"/>
      <c r="CL11" s="958"/>
      <c r="CM11" s="958"/>
      <c r="CN11" s="958"/>
      <c r="CO11" s="958"/>
      <c r="CP11" s="958"/>
      <c r="CQ11" s="958"/>
      <c r="CR11" s="958"/>
      <c r="CS11" s="958"/>
      <c r="CT11" s="958"/>
      <c r="CU11" s="958"/>
      <c r="CV11" s="958"/>
      <c r="CW11" s="958"/>
      <c r="CX11" s="958"/>
      <c r="CY11" s="958"/>
      <c r="CZ11" s="958"/>
      <c r="DA11" s="958"/>
      <c r="DB11" s="958"/>
      <c r="DC11" s="958"/>
      <c r="DD11" s="958"/>
      <c r="DE11" s="958"/>
      <c r="DF11" s="958"/>
      <c r="DG11" s="958"/>
      <c r="DH11" s="958"/>
      <c r="DI11" s="958"/>
      <c r="DJ11" s="958"/>
      <c r="DK11" s="958"/>
      <c r="DL11" s="958"/>
      <c r="DM11" s="958"/>
      <c r="DN11" s="958"/>
      <c r="DO11" s="958"/>
      <c r="DP11" s="958"/>
      <c r="DQ11" s="958"/>
      <c r="DR11" s="958"/>
      <c r="DS11" s="958"/>
      <c r="DT11" s="958"/>
      <c r="DU11" s="958"/>
      <c r="DV11" s="958"/>
      <c r="DW11" s="958"/>
      <c r="DX11" s="958"/>
      <c r="DY11" s="958"/>
      <c r="DZ11" s="958"/>
      <c r="EA11" s="958"/>
      <c r="EB11" s="958"/>
      <c r="EC11" s="958"/>
      <c r="ED11" s="958"/>
      <c r="EE11" s="958"/>
      <c r="EF11" s="958"/>
      <c r="EG11" s="958"/>
      <c r="EH11" s="958"/>
      <c r="EI11" s="958"/>
      <c r="EJ11" s="958"/>
      <c r="EK11" s="958"/>
      <c r="EL11" s="958"/>
      <c r="EM11" s="958"/>
      <c r="EN11" s="958"/>
      <c r="EO11" s="958"/>
      <c r="EP11" s="958"/>
      <c r="EQ11" s="958"/>
      <c r="ER11" s="958"/>
      <c r="ES11" s="958"/>
      <c r="ET11" s="958"/>
      <c r="EU11" s="958"/>
      <c r="EV11" s="958"/>
      <c r="EW11" s="958"/>
      <c r="EX11" s="958"/>
      <c r="EY11" s="958"/>
      <c r="EZ11" s="958"/>
      <c r="FA11" s="958"/>
      <c r="FB11" s="958"/>
      <c r="FC11" s="958"/>
      <c r="FD11" s="958"/>
      <c r="FE11" s="958"/>
      <c r="FF11" s="958"/>
      <c r="FG11" s="958"/>
      <c r="FH11" s="958"/>
      <c r="FI11" s="958"/>
      <c r="FJ11" s="958"/>
      <c r="FK11" s="958"/>
      <c r="FL11" s="958"/>
      <c r="FM11" s="958"/>
      <c r="FN11" s="958"/>
      <c r="FO11" s="958"/>
      <c r="FP11" s="958"/>
      <c r="FQ11" s="958"/>
      <c r="FR11" s="958"/>
      <c r="FS11" s="958"/>
      <c r="FT11" s="958"/>
      <c r="FU11" s="958"/>
      <c r="FV11" s="958"/>
      <c r="FW11" s="958"/>
      <c r="FX11" s="958"/>
      <c r="FY11" s="958"/>
      <c r="FZ11" s="958"/>
      <c r="GA11" s="958"/>
      <c r="GB11" s="958"/>
      <c r="GC11" s="958"/>
      <c r="GD11" s="958"/>
      <c r="GE11" s="958"/>
      <c r="GF11" s="958"/>
      <c r="GG11" s="958"/>
      <c r="GH11" s="958"/>
      <c r="GI11" s="958"/>
      <c r="GJ11" s="958"/>
      <c r="GK11" s="958"/>
      <c r="GL11" s="958"/>
      <c r="GM11" s="958"/>
      <c r="GN11" s="958"/>
      <c r="GO11" s="958"/>
      <c r="GP11" s="958"/>
      <c r="GQ11" s="958"/>
      <c r="GR11" s="958"/>
      <c r="GS11" s="958"/>
      <c r="GT11" s="958"/>
      <c r="GU11" s="958"/>
      <c r="GV11" s="958"/>
      <c r="GW11" s="958"/>
      <c r="GX11" s="958"/>
      <c r="GY11" s="958"/>
      <c r="GZ11" s="958"/>
      <c r="HA11" s="958"/>
      <c r="HB11" s="958"/>
      <c r="HC11" s="958"/>
      <c r="HD11" s="958"/>
      <c r="HE11" s="958"/>
      <c r="HF11" s="958"/>
      <c r="HG11" s="958"/>
      <c r="HH11" s="958"/>
      <c r="HI11" s="958"/>
      <c r="HJ11" s="958"/>
      <c r="HK11" s="958"/>
      <c r="HL11" s="958"/>
      <c r="HM11" s="958"/>
      <c r="HN11" s="958"/>
      <c r="HO11" s="958"/>
      <c r="HP11" s="958"/>
      <c r="HQ11" s="958"/>
      <c r="HR11" s="958"/>
      <c r="HS11" s="958"/>
      <c r="HT11" s="958"/>
      <c r="HU11" s="958"/>
      <c r="HV11" s="958"/>
      <c r="HW11" s="958"/>
      <c r="HX11" s="958"/>
      <c r="HY11" s="958"/>
      <c r="HZ11" s="958"/>
      <c r="IA11" s="958"/>
      <c r="IB11" s="958"/>
      <c r="IC11" s="958"/>
      <c r="ID11" s="958"/>
      <c r="IE11" s="958"/>
      <c r="IF11" s="958"/>
      <c r="IG11" s="958"/>
      <c r="IH11" s="958"/>
      <c r="II11" s="958"/>
      <c r="IJ11" s="958"/>
      <c r="IK11" s="958"/>
      <c r="IL11" s="958"/>
      <c r="IM11" s="958"/>
      <c r="IN11" s="958"/>
      <c r="IO11" s="958"/>
      <c r="IP11" s="958"/>
      <c r="IQ11" s="958"/>
      <c r="IR11" s="958"/>
      <c r="IS11" s="958"/>
      <c r="IT11" s="958"/>
      <c r="IU11" s="958"/>
      <c r="IV11" s="958"/>
    </row>
    <row r="12" spans="1:256" ht="10.5" customHeight="1">
      <c r="A12" s="944" t="s">
        <v>843</v>
      </c>
      <c r="B12" s="967">
        <v>63.2</v>
      </c>
      <c r="C12" s="967">
        <v>83.2</v>
      </c>
      <c r="D12" s="968">
        <v>88.2</v>
      </c>
      <c r="E12" s="968">
        <v>72.2</v>
      </c>
      <c r="F12" s="968">
        <v>58.2</v>
      </c>
      <c r="G12" s="969">
        <v>55.1</v>
      </c>
      <c r="H12" s="969">
        <v>56.5</v>
      </c>
      <c r="I12" s="969">
        <v>46.9</v>
      </c>
      <c r="J12" s="969">
        <v>63.6</v>
      </c>
      <c r="K12" s="972">
        <v>70.400000000000006</v>
      </c>
      <c r="L12" s="970">
        <v>54.5</v>
      </c>
      <c r="M12" s="970">
        <v>55.7</v>
      </c>
      <c r="N12" s="969">
        <v>54.1</v>
      </c>
      <c r="O12" s="958"/>
      <c r="P12" s="958"/>
      <c r="Q12" s="958"/>
      <c r="R12" s="958"/>
      <c r="S12" s="958"/>
      <c r="T12" s="958"/>
      <c r="U12" s="958"/>
      <c r="V12" s="958"/>
      <c r="W12" s="958"/>
      <c r="X12" s="958"/>
      <c r="Y12" s="958"/>
      <c r="Z12" s="958"/>
      <c r="AA12" s="958"/>
      <c r="AB12" s="958"/>
      <c r="AC12" s="958"/>
      <c r="AD12" s="958"/>
      <c r="AE12" s="958"/>
      <c r="AF12" s="958"/>
      <c r="AG12" s="958"/>
      <c r="AH12" s="958"/>
      <c r="AI12" s="958"/>
      <c r="AJ12" s="958"/>
      <c r="AK12" s="958"/>
      <c r="AL12" s="958"/>
      <c r="AM12" s="958"/>
      <c r="AN12" s="958"/>
      <c r="AO12" s="958"/>
      <c r="AP12" s="958"/>
      <c r="AQ12" s="958"/>
      <c r="AR12" s="958"/>
      <c r="AS12" s="958"/>
      <c r="AT12" s="958"/>
      <c r="AU12" s="958"/>
      <c r="AV12" s="958"/>
      <c r="AW12" s="958"/>
      <c r="AX12" s="958"/>
      <c r="AY12" s="958"/>
      <c r="AZ12" s="958"/>
      <c r="BA12" s="958"/>
      <c r="BB12" s="958"/>
      <c r="BC12" s="958"/>
      <c r="BD12" s="958"/>
      <c r="BE12" s="958"/>
      <c r="BF12" s="958"/>
      <c r="BG12" s="958"/>
      <c r="BH12" s="958"/>
      <c r="BI12" s="958"/>
      <c r="BJ12" s="958"/>
      <c r="BK12" s="958"/>
      <c r="BL12" s="958"/>
      <c r="BM12" s="958"/>
      <c r="BN12" s="958"/>
      <c r="BO12" s="958"/>
      <c r="BP12" s="958"/>
      <c r="BQ12" s="958"/>
      <c r="BR12" s="958"/>
      <c r="BS12" s="958"/>
      <c r="BT12" s="958"/>
      <c r="BU12" s="958"/>
      <c r="BV12" s="958"/>
      <c r="BW12" s="958"/>
      <c r="BX12" s="958"/>
      <c r="BY12" s="958"/>
      <c r="BZ12" s="958"/>
      <c r="CA12" s="958"/>
      <c r="CB12" s="958"/>
      <c r="CC12" s="958"/>
      <c r="CD12" s="958"/>
      <c r="CE12" s="958"/>
      <c r="CF12" s="958"/>
      <c r="CG12" s="958"/>
      <c r="CH12" s="958"/>
      <c r="CI12" s="958"/>
      <c r="CJ12" s="958"/>
      <c r="CK12" s="958"/>
      <c r="CL12" s="958"/>
      <c r="CM12" s="958"/>
      <c r="CN12" s="958"/>
      <c r="CO12" s="958"/>
      <c r="CP12" s="958"/>
      <c r="CQ12" s="958"/>
      <c r="CR12" s="958"/>
      <c r="CS12" s="958"/>
      <c r="CT12" s="958"/>
      <c r="CU12" s="958"/>
      <c r="CV12" s="958"/>
      <c r="CW12" s="958"/>
      <c r="CX12" s="958"/>
      <c r="CY12" s="958"/>
      <c r="CZ12" s="958"/>
      <c r="DA12" s="958"/>
      <c r="DB12" s="958"/>
      <c r="DC12" s="958"/>
      <c r="DD12" s="958"/>
      <c r="DE12" s="958"/>
      <c r="DF12" s="958"/>
      <c r="DG12" s="958"/>
      <c r="DH12" s="958"/>
      <c r="DI12" s="958"/>
      <c r="DJ12" s="958"/>
      <c r="DK12" s="958"/>
      <c r="DL12" s="958"/>
      <c r="DM12" s="958"/>
      <c r="DN12" s="958"/>
      <c r="DO12" s="958"/>
      <c r="DP12" s="958"/>
      <c r="DQ12" s="958"/>
      <c r="DR12" s="958"/>
      <c r="DS12" s="958"/>
      <c r="DT12" s="958"/>
      <c r="DU12" s="958"/>
      <c r="DV12" s="958"/>
      <c r="DW12" s="958"/>
      <c r="DX12" s="958"/>
      <c r="DY12" s="958"/>
      <c r="DZ12" s="958"/>
      <c r="EA12" s="958"/>
      <c r="EB12" s="958"/>
      <c r="EC12" s="958"/>
      <c r="ED12" s="958"/>
      <c r="EE12" s="958"/>
      <c r="EF12" s="958"/>
      <c r="EG12" s="958"/>
      <c r="EH12" s="958"/>
      <c r="EI12" s="958"/>
      <c r="EJ12" s="958"/>
      <c r="EK12" s="958"/>
      <c r="EL12" s="958"/>
      <c r="EM12" s="958"/>
      <c r="EN12" s="958"/>
      <c r="EO12" s="958"/>
      <c r="EP12" s="958"/>
      <c r="EQ12" s="958"/>
      <c r="ER12" s="958"/>
      <c r="ES12" s="958"/>
      <c r="ET12" s="958"/>
      <c r="EU12" s="958"/>
      <c r="EV12" s="958"/>
      <c r="EW12" s="958"/>
      <c r="EX12" s="958"/>
      <c r="EY12" s="958"/>
      <c r="EZ12" s="958"/>
      <c r="FA12" s="958"/>
      <c r="FB12" s="958"/>
      <c r="FC12" s="958"/>
      <c r="FD12" s="958"/>
      <c r="FE12" s="958"/>
      <c r="FF12" s="958"/>
      <c r="FG12" s="958"/>
      <c r="FH12" s="958"/>
      <c r="FI12" s="958"/>
      <c r="FJ12" s="958"/>
      <c r="FK12" s="958"/>
      <c r="FL12" s="958"/>
      <c r="FM12" s="958"/>
      <c r="FN12" s="958"/>
      <c r="FO12" s="958"/>
      <c r="FP12" s="958"/>
      <c r="FQ12" s="958"/>
      <c r="FR12" s="958"/>
      <c r="FS12" s="958"/>
      <c r="FT12" s="958"/>
      <c r="FU12" s="958"/>
      <c r="FV12" s="958"/>
      <c r="FW12" s="958"/>
      <c r="FX12" s="958"/>
      <c r="FY12" s="958"/>
      <c r="FZ12" s="958"/>
      <c r="GA12" s="958"/>
      <c r="GB12" s="958"/>
      <c r="GC12" s="958"/>
      <c r="GD12" s="958"/>
      <c r="GE12" s="958"/>
      <c r="GF12" s="958"/>
      <c r="GG12" s="958"/>
      <c r="GH12" s="958"/>
      <c r="GI12" s="958"/>
      <c r="GJ12" s="958"/>
      <c r="GK12" s="958"/>
      <c r="GL12" s="958"/>
      <c r="GM12" s="958"/>
      <c r="GN12" s="958"/>
      <c r="GO12" s="958"/>
      <c r="GP12" s="958"/>
      <c r="GQ12" s="958"/>
      <c r="GR12" s="958"/>
      <c r="GS12" s="958"/>
      <c r="GT12" s="958"/>
      <c r="GU12" s="958"/>
      <c r="GV12" s="958"/>
      <c r="GW12" s="958"/>
      <c r="GX12" s="958"/>
      <c r="GY12" s="958"/>
      <c r="GZ12" s="958"/>
      <c r="HA12" s="958"/>
      <c r="HB12" s="958"/>
      <c r="HC12" s="958"/>
      <c r="HD12" s="958"/>
      <c r="HE12" s="958"/>
      <c r="HF12" s="958"/>
      <c r="HG12" s="958"/>
      <c r="HH12" s="958"/>
      <c r="HI12" s="958"/>
      <c r="HJ12" s="958"/>
      <c r="HK12" s="958"/>
      <c r="HL12" s="958"/>
      <c r="HM12" s="958"/>
      <c r="HN12" s="958"/>
      <c r="HO12" s="958"/>
      <c r="HP12" s="958"/>
      <c r="HQ12" s="958"/>
      <c r="HR12" s="958"/>
      <c r="HS12" s="958"/>
      <c r="HT12" s="958"/>
      <c r="HU12" s="958"/>
      <c r="HV12" s="958"/>
      <c r="HW12" s="958"/>
      <c r="HX12" s="958"/>
      <c r="HY12" s="958"/>
      <c r="HZ12" s="958"/>
      <c r="IA12" s="958"/>
      <c r="IB12" s="958"/>
      <c r="IC12" s="958"/>
      <c r="ID12" s="958"/>
      <c r="IE12" s="958"/>
      <c r="IF12" s="958"/>
      <c r="IG12" s="958"/>
      <c r="IH12" s="958"/>
      <c r="II12" s="958"/>
      <c r="IJ12" s="958"/>
      <c r="IK12" s="958"/>
      <c r="IL12" s="958"/>
      <c r="IM12" s="958"/>
      <c r="IN12" s="958"/>
      <c r="IO12" s="958"/>
      <c r="IP12" s="958"/>
      <c r="IQ12" s="958"/>
      <c r="IR12" s="958"/>
      <c r="IS12" s="958"/>
      <c r="IT12" s="958"/>
      <c r="IU12" s="958"/>
      <c r="IV12" s="958"/>
    </row>
    <row r="13" spans="1:256" ht="12.75" customHeight="1" thickBot="1">
      <c r="A13" s="973" t="s">
        <v>844</v>
      </c>
      <c r="B13" s="974">
        <v>1853.7</v>
      </c>
      <c r="C13" s="974">
        <v>1881.7</v>
      </c>
      <c r="D13" s="975">
        <v>1943</v>
      </c>
      <c r="E13" s="975">
        <v>1801.2</v>
      </c>
      <c r="F13" s="975">
        <v>1764</v>
      </c>
      <c r="G13" s="975">
        <v>1511.9</v>
      </c>
      <c r="H13" s="975">
        <v>1471</v>
      </c>
      <c r="I13" s="975">
        <v>1794.7</v>
      </c>
      <c r="J13" s="975">
        <v>1817</v>
      </c>
      <c r="K13" s="975">
        <v>1862.6</v>
      </c>
      <c r="L13" s="976">
        <v>1822.9</v>
      </c>
      <c r="M13" s="977">
        <v>1823.1</v>
      </c>
      <c r="N13" s="975">
        <v>1789.2</v>
      </c>
      <c r="O13" s="958"/>
      <c r="P13" s="958"/>
      <c r="Q13" s="958"/>
      <c r="R13" s="958"/>
      <c r="S13" s="958"/>
      <c r="T13" s="958"/>
      <c r="U13" s="958"/>
      <c r="V13" s="958"/>
      <c r="W13" s="958"/>
      <c r="X13" s="958"/>
      <c r="Y13" s="958"/>
      <c r="Z13" s="958"/>
      <c r="AA13" s="958"/>
      <c r="AB13" s="958"/>
      <c r="AC13" s="958"/>
      <c r="AD13" s="958"/>
      <c r="AE13" s="958"/>
      <c r="AF13" s="958"/>
      <c r="AG13" s="958"/>
      <c r="AH13" s="958"/>
      <c r="AI13" s="958"/>
      <c r="AJ13" s="958"/>
      <c r="AK13" s="958"/>
      <c r="AL13" s="958"/>
      <c r="AM13" s="958"/>
      <c r="AN13" s="958"/>
      <c r="AO13" s="958"/>
      <c r="AP13" s="958"/>
      <c r="AQ13" s="958"/>
      <c r="AR13" s="958"/>
      <c r="AS13" s="958"/>
      <c r="AT13" s="958"/>
      <c r="AU13" s="958"/>
      <c r="AV13" s="958"/>
      <c r="AW13" s="958"/>
      <c r="AX13" s="958"/>
      <c r="AY13" s="958"/>
      <c r="AZ13" s="958"/>
      <c r="BA13" s="958"/>
      <c r="BB13" s="958"/>
      <c r="BC13" s="958"/>
      <c r="BD13" s="958"/>
      <c r="BE13" s="958"/>
      <c r="BF13" s="958"/>
      <c r="BG13" s="958"/>
      <c r="BH13" s="958"/>
      <c r="BI13" s="958"/>
      <c r="BJ13" s="958"/>
      <c r="BK13" s="958"/>
      <c r="BL13" s="958"/>
      <c r="BM13" s="958"/>
      <c r="BN13" s="958"/>
      <c r="BO13" s="958"/>
      <c r="BP13" s="958"/>
      <c r="BQ13" s="958"/>
      <c r="BR13" s="958"/>
      <c r="BS13" s="958"/>
      <c r="BT13" s="958"/>
      <c r="BU13" s="958"/>
      <c r="BV13" s="958"/>
      <c r="BW13" s="958"/>
      <c r="BX13" s="958"/>
      <c r="BY13" s="958"/>
      <c r="BZ13" s="958"/>
      <c r="CA13" s="958"/>
      <c r="CB13" s="958"/>
      <c r="CC13" s="958"/>
      <c r="CD13" s="958"/>
      <c r="CE13" s="958"/>
      <c r="CF13" s="958"/>
      <c r="CG13" s="958"/>
      <c r="CH13" s="958"/>
      <c r="CI13" s="958"/>
      <c r="CJ13" s="958"/>
      <c r="CK13" s="958"/>
      <c r="CL13" s="958"/>
      <c r="CM13" s="958"/>
      <c r="CN13" s="958"/>
      <c r="CO13" s="958"/>
      <c r="CP13" s="958"/>
      <c r="CQ13" s="958"/>
      <c r="CR13" s="958"/>
      <c r="CS13" s="958"/>
      <c r="CT13" s="958"/>
      <c r="CU13" s="958"/>
      <c r="CV13" s="958"/>
      <c r="CW13" s="958"/>
      <c r="CX13" s="958"/>
      <c r="CY13" s="958"/>
      <c r="CZ13" s="958"/>
      <c r="DA13" s="958"/>
      <c r="DB13" s="958"/>
      <c r="DC13" s="958"/>
      <c r="DD13" s="958"/>
      <c r="DE13" s="958"/>
      <c r="DF13" s="958"/>
      <c r="DG13" s="958"/>
      <c r="DH13" s="958"/>
      <c r="DI13" s="958"/>
      <c r="DJ13" s="958"/>
      <c r="DK13" s="958"/>
      <c r="DL13" s="958"/>
      <c r="DM13" s="958"/>
      <c r="DN13" s="958"/>
      <c r="DO13" s="958"/>
      <c r="DP13" s="958"/>
      <c r="DQ13" s="958"/>
      <c r="DR13" s="958"/>
      <c r="DS13" s="958"/>
      <c r="DT13" s="958"/>
      <c r="DU13" s="958"/>
      <c r="DV13" s="958"/>
      <c r="DW13" s="958"/>
      <c r="DX13" s="958"/>
      <c r="DY13" s="958"/>
      <c r="DZ13" s="958"/>
      <c r="EA13" s="958"/>
      <c r="EB13" s="958"/>
      <c r="EC13" s="958"/>
      <c r="ED13" s="958"/>
      <c r="EE13" s="958"/>
      <c r="EF13" s="958"/>
      <c r="EG13" s="958"/>
      <c r="EH13" s="958"/>
      <c r="EI13" s="958"/>
      <c r="EJ13" s="958"/>
      <c r="EK13" s="958"/>
      <c r="EL13" s="958"/>
      <c r="EM13" s="958"/>
      <c r="EN13" s="958"/>
      <c r="EO13" s="958"/>
      <c r="EP13" s="958"/>
      <c r="EQ13" s="958"/>
      <c r="ER13" s="958"/>
      <c r="ES13" s="958"/>
      <c r="ET13" s="958"/>
      <c r="EU13" s="958"/>
      <c r="EV13" s="958"/>
      <c r="EW13" s="958"/>
      <c r="EX13" s="958"/>
      <c r="EY13" s="958"/>
      <c r="EZ13" s="958"/>
      <c r="FA13" s="958"/>
      <c r="FB13" s="958"/>
      <c r="FC13" s="958"/>
      <c r="FD13" s="958"/>
      <c r="FE13" s="958"/>
      <c r="FF13" s="958"/>
      <c r="FG13" s="958"/>
      <c r="FH13" s="958"/>
      <c r="FI13" s="958"/>
      <c r="FJ13" s="958"/>
      <c r="FK13" s="958"/>
      <c r="FL13" s="958"/>
      <c r="FM13" s="958"/>
      <c r="FN13" s="958"/>
      <c r="FO13" s="958"/>
      <c r="FP13" s="958"/>
      <c r="FQ13" s="958"/>
      <c r="FR13" s="958"/>
      <c r="FS13" s="958"/>
      <c r="FT13" s="958"/>
      <c r="FU13" s="958"/>
      <c r="FV13" s="958"/>
      <c r="FW13" s="958"/>
      <c r="FX13" s="958"/>
      <c r="FY13" s="958"/>
      <c r="FZ13" s="958"/>
      <c r="GA13" s="958"/>
      <c r="GB13" s="958"/>
      <c r="GC13" s="958"/>
      <c r="GD13" s="958"/>
      <c r="GE13" s="958"/>
      <c r="GF13" s="958"/>
      <c r="GG13" s="958"/>
      <c r="GH13" s="958"/>
      <c r="GI13" s="958"/>
      <c r="GJ13" s="958"/>
      <c r="GK13" s="958"/>
      <c r="GL13" s="958"/>
      <c r="GM13" s="958"/>
      <c r="GN13" s="958"/>
      <c r="GO13" s="958"/>
      <c r="GP13" s="958"/>
      <c r="GQ13" s="958"/>
      <c r="GR13" s="958"/>
      <c r="GS13" s="958"/>
      <c r="GT13" s="958"/>
      <c r="GU13" s="958"/>
      <c r="GV13" s="958"/>
      <c r="GW13" s="958"/>
      <c r="GX13" s="958"/>
      <c r="GY13" s="958"/>
      <c r="GZ13" s="958"/>
      <c r="HA13" s="958"/>
      <c r="HB13" s="958"/>
      <c r="HC13" s="958"/>
      <c r="HD13" s="958"/>
      <c r="HE13" s="958"/>
      <c r="HF13" s="958"/>
      <c r="HG13" s="958"/>
      <c r="HH13" s="958"/>
      <c r="HI13" s="958"/>
      <c r="HJ13" s="958"/>
      <c r="HK13" s="958"/>
      <c r="HL13" s="958"/>
      <c r="HM13" s="958"/>
      <c r="HN13" s="958"/>
      <c r="HO13" s="958"/>
      <c r="HP13" s="958"/>
      <c r="HQ13" s="958"/>
      <c r="HR13" s="958"/>
      <c r="HS13" s="958"/>
      <c r="HT13" s="958"/>
      <c r="HU13" s="958"/>
      <c r="HV13" s="958"/>
      <c r="HW13" s="958"/>
      <c r="HX13" s="958"/>
      <c r="HY13" s="958"/>
      <c r="HZ13" s="958"/>
      <c r="IA13" s="958"/>
      <c r="IB13" s="958"/>
      <c r="IC13" s="958"/>
      <c r="ID13" s="958"/>
      <c r="IE13" s="958"/>
      <c r="IF13" s="958"/>
      <c r="IG13" s="958"/>
      <c r="IH13" s="958"/>
      <c r="II13" s="958"/>
      <c r="IJ13" s="958"/>
      <c r="IK13" s="958"/>
      <c r="IL13" s="958"/>
      <c r="IM13" s="958"/>
      <c r="IN13" s="958"/>
      <c r="IO13" s="958"/>
      <c r="IP13" s="958"/>
      <c r="IQ13" s="958"/>
      <c r="IR13" s="958"/>
      <c r="IS13" s="958"/>
      <c r="IT13" s="958"/>
      <c r="IU13" s="958"/>
      <c r="IV13" s="958"/>
    </row>
    <row r="14" spans="1:256" ht="12" customHeight="1" thickTop="1">
      <c r="A14" s="959" t="s">
        <v>845</v>
      </c>
      <c r="B14" s="978">
        <v>524.79999999999995</v>
      </c>
      <c r="C14" s="978">
        <v>541.70000000000005</v>
      </c>
      <c r="D14" s="979">
        <v>535.79999999999995</v>
      </c>
      <c r="E14" s="979">
        <v>544.9</v>
      </c>
      <c r="F14" s="979">
        <v>459</v>
      </c>
      <c r="G14" s="979">
        <v>504.1</v>
      </c>
      <c r="H14" s="979">
        <v>401.5</v>
      </c>
      <c r="I14" s="979">
        <v>473.9</v>
      </c>
      <c r="J14" s="979">
        <v>480.8</v>
      </c>
      <c r="K14" s="979">
        <v>487.6</v>
      </c>
      <c r="L14" s="980">
        <v>480.8</v>
      </c>
      <c r="M14" s="980">
        <v>475.2</v>
      </c>
      <c r="N14" s="979">
        <v>484</v>
      </c>
      <c r="O14" s="958"/>
      <c r="P14" s="958"/>
      <c r="Q14" s="958"/>
      <c r="R14" s="958"/>
      <c r="S14" s="958"/>
      <c r="T14" s="958"/>
      <c r="U14" s="958"/>
      <c r="V14" s="958"/>
      <c r="W14" s="958"/>
      <c r="X14" s="958"/>
      <c r="Y14" s="958"/>
      <c r="Z14" s="958"/>
      <c r="AA14" s="958"/>
      <c r="AB14" s="958"/>
      <c r="AC14" s="958"/>
      <c r="AD14" s="958"/>
      <c r="AE14" s="958"/>
      <c r="AF14" s="958"/>
      <c r="AG14" s="958"/>
      <c r="AH14" s="958"/>
      <c r="AI14" s="958"/>
      <c r="AJ14" s="958"/>
      <c r="AK14" s="958"/>
      <c r="AL14" s="958"/>
      <c r="AM14" s="958"/>
      <c r="AN14" s="958"/>
      <c r="AO14" s="958"/>
      <c r="AP14" s="958"/>
      <c r="AQ14" s="958"/>
      <c r="AR14" s="958"/>
      <c r="AS14" s="958"/>
      <c r="AT14" s="958"/>
      <c r="AU14" s="958"/>
      <c r="AV14" s="958"/>
      <c r="AW14" s="958"/>
      <c r="AX14" s="958"/>
      <c r="AY14" s="958"/>
      <c r="AZ14" s="958"/>
      <c r="BA14" s="958"/>
      <c r="BB14" s="958"/>
      <c r="BC14" s="958"/>
      <c r="BD14" s="958"/>
      <c r="BE14" s="958"/>
      <c r="BF14" s="958"/>
      <c r="BG14" s="958"/>
      <c r="BH14" s="958"/>
      <c r="BI14" s="958"/>
      <c r="BJ14" s="958"/>
      <c r="BK14" s="958"/>
      <c r="BL14" s="958"/>
      <c r="BM14" s="958"/>
      <c r="BN14" s="958"/>
      <c r="BO14" s="958"/>
      <c r="BP14" s="958"/>
      <c r="BQ14" s="958"/>
      <c r="BR14" s="958"/>
      <c r="BS14" s="958"/>
      <c r="BT14" s="958"/>
      <c r="BU14" s="958"/>
      <c r="BV14" s="958"/>
      <c r="BW14" s="958"/>
      <c r="BX14" s="958"/>
      <c r="BY14" s="958"/>
      <c r="BZ14" s="958"/>
      <c r="CA14" s="958"/>
      <c r="CB14" s="958"/>
      <c r="CC14" s="958"/>
      <c r="CD14" s="958"/>
      <c r="CE14" s="958"/>
      <c r="CF14" s="958"/>
      <c r="CG14" s="958"/>
      <c r="CH14" s="958"/>
      <c r="CI14" s="958"/>
      <c r="CJ14" s="958"/>
      <c r="CK14" s="958"/>
      <c r="CL14" s="958"/>
      <c r="CM14" s="958"/>
      <c r="CN14" s="958"/>
      <c r="CO14" s="958"/>
      <c r="CP14" s="958"/>
      <c r="CQ14" s="958"/>
      <c r="CR14" s="958"/>
      <c r="CS14" s="958"/>
      <c r="CT14" s="958"/>
      <c r="CU14" s="958"/>
      <c r="CV14" s="958"/>
      <c r="CW14" s="958"/>
      <c r="CX14" s="958"/>
      <c r="CY14" s="958"/>
      <c r="CZ14" s="958"/>
      <c r="DA14" s="958"/>
      <c r="DB14" s="958"/>
      <c r="DC14" s="958"/>
      <c r="DD14" s="958"/>
      <c r="DE14" s="958"/>
      <c r="DF14" s="958"/>
      <c r="DG14" s="958"/>
      <c r="DH14" s="958"/>
      <c r="DI14" s="958"/>
      <c r="DJ14" s="958"/>
      <c r="DK14" s="958"/>
      <c r="DL14" s="958"/>
      <c r="DM14" s="958"/>
      <c r="DN14" s="958"/>
      <c r="DO14" s="958"/>
      <c r="DP14" s="958"/>
      <c r="DQ14" s="958"/>
      <c r="DR14" s="958"/>
      <c r="DS14" s="958"/>
      <c r="DT14" s="958"/>
      <c r="DU14" s="958"/>
      <c r="DV14" s="958"/>
      <c r="DW14" s="958"/>
      <c r="DX14" s="958"/>
      <c r="DY14" s="958"/>
      <c r="DZ14" s="958"/>
      <c r="EA14" s="958"/>
      <c r="EB14" s="958"/>
      <c r="EC14" s="958"/>
      <c r="ED14" s="958"/>
      <c r="EE14" s="958"/>
      <c r="EF14" s="958"/>
      <c r="EG14" s="958"/>
      <c r="EH14" s="958"/>
      <c r="EI14" s="958"/>
      <c r="EJ14" s="958"/>
      <c r="EK14" s="958"/>
      <c r="EL14" s="958"/>
      <c r="EM14" s="958"/>
      <c r="EN14" s="958"/>
      <c r="EO14" s="958"/>
      <c r="EP14" s="958"/>
      <c r="EQ14" s="958"/>
      <c r="ER14" s="958"/>
      <c r="ES14" s="958"/>
      <c r="ET14" s="958"/>
      <c r="EU14" s="958"/>
      <c r="EV14" s="958"/>
      <c r="EW14" s="958"/>
      <c r="EX14" s="958"/>
      <c r="EY14" s="958"/>
      <c r="EZ14" s="958"/>
      <c r="FA14" s="958"/>
      <c r="FB14" s="958"/>
      <c r="FC14" s="958"/>
      <c r="FD14" s="958"/>
      <c r="FE14" s="958"/>
      <c r="FF14" s="958"/>
      <c r="FG14" s="958"/>
      <c r="FH14" s="958"/>
      <c r="FI14" s="958"/>
      <c r="FJ14" s="958"/>
      <c r="FK14" s="958"/>
      <c r="FL14" s="958"/>
      <c r="FM14" s="958"/>
      <c r="FN14" s="958"/>
      <c r="FO14" s="958"/>
      <c r="FP14" s="958"/>
      <c r="FQ14" s="958"/>
      <c r="FR14" s="958"/>
      <c r="FS14" s="958"/>
      <c r="FT14" s="958"/>
      <c r="FU14" s="958"/>
      <c r="FV14" s="958"/>
      <c r="FW14" s="958"/>
      <c r="FX14" s="958"/>
      <c r="FY14" s="958"/>
      <c r="FZ14" s="958"/>
      <c r="GA14" s="958"/>
      <c r="GB14" s="958"/>
      <c r="GC14" s="958"/>
      <c r="GD14" s="958"/>
      <c r="GE14" s="958"/>
      <c r="GF14" s="958"/>
      <c r="GG14" s="958"/>
      <c r="GH14" s="958"/>
      <c r="GI14" s="958"/>
      <c r="GJ14" s="958"/>
      <c r="GK14" s="958"/>
      <c r="GL14" s="958"/>
      <c r="GM14" s="958"/>
      <c r="GN14" s="958"/>
      <c r="GO14" s="958"/>
      <c r="GP14" s="958"/>
      <c r="GQ14" s="958"/>
      <c r="GR14" s="958"/>
      <c r="GS14" s="958"/>
      <c r="GT14" s="958"/>
      <c r="GU14" s="958"/>
      <c r="GV14" s="958"/>
      <c r="GW14" s="958"/>
      <c r="GX14" s="958"/>
      <c r="GY14" s="958"/>
      <c r="GZ14" s="958"/>
      <c r="HA14" s="958"/>
      <c r="HB14" s="958"/>
      <c r="HC14" s="958"/>
      <c r="HD14" s="958"/>
      <c r="HE14" s="958"/>
      <c r="HF14" s="958"/>
      <c r="HG14" s="958"/>
      <c r="HH14" s="958"/>
      <c r="HI14" s="958"/>
      <c r="HJ14" s="958"/>
      <c r="HK14" s="958"/>
      <c r="HL14" s="958"/>
      <c r="HM14" s="958"/>
      <c r="HN14" s="958"/>
      <c r="HO14" s="958"/>
      <c r="HP14" s="958"/>
      <c r="HQ14" s="958"/>
      <c r="HR14" s="958"/>
      <c r="HS14" s="958"/>
      <c r="HT14" s="958"/>
      <c r="HU14" s="958"/>
      <c r="HV14" s="958"/>
      <c r="HW14" s="958"/>
      <c r="HX14" s="958"/>
      <c r="HY14" s="958"/>
      <c r="HZ14" s="958"/>
      <c r="IA14" s="958"/>
      <c r="IB14" s="958"/>
      <c r="IC14" s="958"/>
      <c r="ID14" s="958"/>
      <c r="IE14" s="958"/>
      <c r="IF14" s="958"/>
      <c r="IG14" s="958"/>
      <c r="IH14" s="958"/>
      <c r="II14" s="958"/>
      <c r="IJ14" s="958"/>
      <c r="IK14" s="958"/>
      <c r="IL14" s="958"/>
      <c r="IM14" s="958"/>
      <c r="IN14" s="958"/>
      <c r="IO14" s="958"/>
      <c r="IP14" s="958"/>
      <c r="IQ14" s="958"/>
      <c r="IR14" s="958"/>
      <c r="IS14" s="958"/>
      <c r="IT14" s="958"/>
      <c r="IU14" s="958"/>
      <c r="IV14" s="958"/>
    </row>
    <row r="15" spans="1:256" ht="12.75" customHeight="1">
      <c r="A15" s="981" t="s">
        <v>846</v>
      </c>
      <c r="B15" s="982">
        <v>6104</v>
      </c>
      <c r="C15" s="982">
        <v>6300</v>
      </c>
      <c r="D15" s="983">
        <v>6231</v>
      </c>
      <c r="E15" s="983">
        <v>6338</v>
      </c>
      <c r="F15" s="983">
        <v>5338</v>
      </c>
      <c r="G15" s="983">
        <v>5863</v>
      </c>
      <c r="H15" s="983">
        <v>4669.3</v>
      </c>
      <c r="I15" s="983">
        <v>5511.2</v>
      </c>
      <c r="J15" s="983">
        <v>5591.5</v>
      </c>
      <c r="K15" s="983">
        <v>5670.4</v>
      </c>
      <c r="L15" s="984">
        <v>5592.2</v>
      </c>
      <c r="M15" s="984">
        <v>5527</v>
      </c>
      <c r="N15" s="983">
        <v>5628.8</v>
      </c>
      <c r="O15" s="958"/>
      <c r="P15" s="958"/>
      <c r="Q15" s="958"/>
      <c r="R15" s="958"/>
      <c r="S15" s="958"/>
      <c r="T15" s="958"/>
      <c r="U15" s="958"/>
      <c r="V15" s="958"/>
      <c r="W15" s="958"/>
      <c r="X15" s="958"/>
      <c r="Y15" s="958"/>
      <c r="Z15" s="958"/>
      <c r="AA15" s="958"/>
      <c r="AB15" s="958"/>
      <c r="AC15" s="958"/>
      <c r="AD15" s="958"/>
      <c r="AE15" s="958"/>
      <c r="AF15" s="958"/>
      <c r="AG15" s="958"/>
      <c r="AH15" s="958"/>
      <c r="AI15" s="958"/>
      <c r="AJ15" s="958"/>
      <c r="AK15" s="958"/>
      <c r="AL15" s="958"/>
      <c r="AM15" s="958"/>
      <c r="AN15" s="958"/>
      <c r="AO15" s="958"/>
      <c r="AP15" s="958"/>
      <c r="AQ15" s="958"/>
      <c r="AR15" s="958"/>
      <c r="AS15" s="958"/>
      <c r="AT15" s="958"/>
      <c r="AU15" s="958"/>
      <c r="AV15" s="958"/>
      <c r="AW15" s="958"/>
      <c r="AX15" s="958"/>
      <c r="AY15" s="958"/>
      <c r="AZ15" s="958"/>
      <c r="BA15" s="958"/>
      <c r="BB15" s="958"/>
      <c r="BC15" s="958"/>
      <c r="BD15" s="958"/>
      <c r="BE15" s="958"/>
      <c r="BF15" s="958"/>
      <c r="BG15" s="958"/>
      <c r="BH15" s="958"/>
      <c r="BI15" s="958"/>
      <c r="BJ15" s="958"/>
      <c r="BK15" s="958"/>
      <c r="BL15" s="958"/>
      <c r="BM15" s="958"/>
      <c r="BN15" s="958"/>
      <c r="BO15" s="958"/>
      <c r="BP15" s="958"/>
      <c r="BQ15" s="958"/>
      <c r="BR15" s="958"/>
      <c r="BS15" s="958"/>
      <c r="BT15" s="958"/>
      <c r="BU15" s="958"/>
      <c r="BV15" s="958"/>
      <c r="BW15" s="958"/>
      <c r="BX15" s="958"/>
      <c r="BY15" s="958"/>
      <c r="BZ15" s="958"/>
      <c r="CA15" s="958"/>
      <c r="CB15" s="958"/>
      <c r="CC15" s="958"/>
      <c r="CD15" s="958"/>
      <c r="CE15" s="958"/>
      <c r="CF15" s="958"/>
      <c r="CG15" s="958"/>
      <c r="CH15" s="958"/>
      <c r="CI15" s="958"/>
      <c r="CJ15" s="958"/>
      <c r="CK15" s="958"/>
      <c r="CL15" s="958"/>
      <c r="CM15" s="958"/>
      <c r="CN15" s="958"/>
      <c r="CO15" s="958"/>
      <c r="CP15" s="958"/>
      <c r="CQ15" s="958"/>
      <c r="CR15" s="958"/>
      <c r="CS15" s="958"/>
      <c r="CT15" s="958"/>
      <c r="CU15" s="958"/>
      <c r="CV15" s="958"/>
      <c r="CW15" s="958"/>
      <c r="CX15" s="958"/>
      <c r="CY15" s="958"/>
      <c r="CZ15" s="958"/>
      <c r="DA15" s="958"/>
      <c r="DB15" s="958"/>
      <c r="DC15" s="958"/>
      <c r="DD15" s="958"/>
      <c r="DE15" s="958"/>
      <c r="DF15" s="958"/>
      <c r="DG15" s="958"/>
      <c r="DH15" s="958"/>
      <c r="DI15" s="958"/>
      <c r="DJ15" s="958"/>
      <c r="DK15" s="958"/>
      <c r="DL15" s="958"/>
      <c r="DM15" s="958"/>
      <c r="DN15" s="958"/>
      <c r="DO15" s="958"/>
      <c r="DP15" s="958"/>
      <c r="DQ15" s="958"/>
      <c r="DR15" s="958"/>
      <c r="DS15" s="958"/>
      <c r="DT15" s="958"/>
      <c r="DU15" s="958"/>
      <c r="DV15" s="958"/>
      <c r="DW15" s="958"/>
      <c r="DX15" s="958"/>
      <c r="DY15" s="958"/>
      <c r="DZ15" s="958"/>
      <c r="EA15" s="958"/>
      <c r="EB15" s="958"/>
      <c r="EC15" s="958"/>
      <c r="ED15" s="958"/>
      <c r="EE15" s="958"/>
      <c r="EF15" s="958"/>
      <c r="EG15" s="958"/>
      <c r="EH15" s="958"/>
      <c r="EI15" s="958"/>
      <c r="EJ15" s="958"/>
      <c r="EK15" s="958"/>
      <c r="EL15" s="958"/>
      <c r="EM15" s="958"/>
      <c r="EN15" s="958"/>
      <c r="EO15" s="958"/>
      <c r="EP15" s="958"/>
      <c r="EQ15" s="958"/>
      <c r="ER15" s="958"/>
      <c r="ES15" s="958"/>
      <c r="ET15" s="958"/>
      <c r="EU15" s="958"/>
      <c r="EV15" s="958"/>
      <c r="EW15" s="958"/>
      <c r="EX15" s="958"/>
      <c r="EY15" s="958"/>
      <c r="EZ15" s="958"/>
      <c r="FA15" s="958"/>
      <c r="FB15" s="958"/>
      <c r="FC15" s="958"/>
      <c r="FD15" s="958"/>
      <c r="FE15" s="958"/>
      <c r="FF15" s="958"/>
      <c r="FG15" s="958"/>
      <c r="FH15" s="958"/>
      <c r="FI15" s="958"/>
      <c r="FJ15" s="958"/>
      <c r="FK15" s="958"/>
      <c r="FL15" s="958"/>
      <c r="FM15" s="958"/>
      <c r="FN15" s="958"/>
      <c r="FO15" s="958"/>
      <c r="FP15" s="958"/>
      <c r="FQ15" s="958"/>
      <c r="FR15" s="958"/>
      <c r="FS15" s="958"/>
      <c r="FT15" s="958"/>
      <c r="FU15" s="958"/>
      <c r="FV15" s="958"/>
      <c r="FW15" s="958"/>
      <c r="FX15" s="958"/>
      <c r="FY15" s="958"/>
      <c r="FZ15" s="958"/>
      <c r="GA15" s="958"/>
      <c r="GB15" s="958"/>
      <c r="GC15" s="958"/>
      <c r="GD15" s="958"/>
      <c r="GE15" s="958"/>
      <c r="GF15" s="958"/>
      <c r="GG15" s="958"/>
      <c r="GH15" s="958"/>
      <c r="GI15" s="958"/>
      <c r="GJ15" s="958"/>
      <c r="GK15" s="958"/>
      <c r="GL15" s="958"/>
      <c r="GM15" s="958"/>
      <c r="GN15" s="958"/>
      <c r="GO15" s="958"/>
      <c r="GP15" s="958"/>
      <c r="GQ15" s="958"/>
      <c r="GR15" s="958"/>
      <c r="GS15" s="958"/>
      <c r="GT15" s="958"/>
      <c r="GU15" s="958"/>
      <c r="GV15" s="958"/>
      <c r="GW15" s="958"/>
      <c r="GX15" s="958"/>
      <c r="GY15" s="958"/>
      <c r="GZ15" s="958"/>
      <c r="HA15" s="958"/>
      <c r="HB15" s="958"/>
      <c r="HC15" s="958"/>
      <c r="HD15" s="958"/>
      <c r="HE15" s="958"/>
      <c r="HF15" s="958"/>
      <c r="HG15" s="958"/>
      <c r="HH15" s="958"/>
      <c r="HI15" s="958"/>
      <c r="HJ15" s="958"/>
      <c r="HK15" s="958"/>
      <c r="HL15" s="958"/>
      <c r="HM15" s="958"/>
      <c r="HN15" s="958"/>
      <c r="HO15" s="958"/>
      <c r="HP15" s="958"/>
      <c r="HQ15" s="958"/>
      <c r="HR15" s="958"/>
      <c r="HS15" s="958"/>
      <c r="HT15" s="958"/>
      <c r="HU15" s="958"/>
      <c r="HV15" s="958"/>
      <c r="HW15" s="958"/>
      <c r="HX15" s="958"/>
      <c r="HY15" s="958"/>
      <c r="HZ15" s="958"/>
      <c r="IA15" s="958"/>
      <c r="IB15" s="958"/>
      <c r="IC15" s="958"/>
      <c r="ID15" s="958"/>
      <c r="IE15" s="958"/>
      <c r="IF15" s="958"/>
      <c r="IG15" s="958"/>
      <c r="IH15" s="958"/>
      <c r="II15" s="958"/>
      <c r="IJ15" s="958"/>
      <c r="IK15" s="958"/>
      <c r="IL15" s="958"/>
      <c r="IM15" s="958"/>
      <c r="IN15" s="958"/>
      <c r="IO15" s="958"/>
      <c r="IP15" s="958"/>
      <c r="IQ15" s="958"/>
      <c r="IR15" s="958"/>
      <c r="IS15" s="958"/>
      <c r="IT15" s="958"/>
      <c r="IU15" s="958"/>
      <c r="IV15" s="958"/>
    </row>
    <row r="16" spans="1:256" ht="12" customHeight="1">
      <c r="A16" s="959" t="s">
        <v>847</v>
      </c>
      <c r="B16" s="978">
        <v>359.3</v>
      </c>
      <c r="C16" s="978">
        <v>371.8</v>
      </c>
      <c r="D16" s="979">
        <v>387.3</v>
      </c>
      <c r="E16" s="979">
        <v>400.4</v>
      </c>
      <c r="F16" s="979">
        <v>377.8</v>
      </c>
      <c r="G16" s="979">
        <v>412.3</v>
      </c>
      <c r="H16" s="979">
        <v>315.7</v>
      </c>
      <c r="I16" s="979">
        <v>381.4</v>
      </c>
      <c r="J16" s="979">
        <v>417.2</v>
      </c>
      <c r="K16" s="979">
        <v>427.2</v>
      </c>
      <c r="L16" s="985">
        <v>404.4</v>
      </c>
      <c r="M16" s="985">
        <v>407</v>
      </c>
      <c r="N16" s="979">
        <v>387.1</v>
      </c>
      <c r="O16" s="958"/>
      <c r="P16" s="958"/>
      <c r="Q16" s="958"/>
      <c r="R16" s="958"/>
      <c r="S16" s="958"/>
      <c r="T16" s="958"/>
      <c r="U16" s="958"/>
      <c r="V16" s="958"/>
      <c r="W16" s="958"/>
      <c r="X16" s="958"/>
      <c r="Y16" s="958"/>
      <c r="Z16" s="958"/>
      <c r="AA16" s="958"/>
      <c r="AB16" s="958"/>
      <c r="AC16" s="958"/>
      <c r="AD16" s="958"/>
      <c r="AE16" s="958"/>
      <c r="AF16" s="958"/>
      <c r="AG16" s="958"/>
      <c r="AH16" s="958"/>
      <c r="AI16" s="958"/>
      <c r="AJ16" s="958"/>
      <c r="AK16" s="958"/>
      <c r="AL16" s="958"/>
      <c r="AM16" s="958"/>
      <c r="AN16" s="958"/>
      <c r="AO16" s="958"/>
      <c r="AP16" s="958"/>
      <c r="AQ16" s="958"/>
      <c r="AR16" s="958"/>
      <c r="AS16" s="958"/>
      <c r="AT16" s="958"/>
      <c r="AU16" s="958"/>
      <c r="AV16" s="958"/>
      <c r="AW16" s="958"/>
      <c r="AX16" s="958"/>
      <c r="AY16" s="958"/>
      <c r="AZ16" s="958"/>
      <c r="BA16" s="958"/>
      <c r="BB16" s="958"/>
      <c r="BC16" s="958"/>
      <c r="BD16" s="958"/>
      <c r="BE16" s="958"/>
      <c r="BF16" s="958"/>
      <c r="BG16" s="958"/>
      <c r="BH16" s="958"/>
      <c r="BI16" s="958"/>
      <c r="BJ16" s="958"/>
      <c r="BK16" s="958"/>
      <c r="BL16" s="958"/>
      <c r="BM16" s="958"/>
      <c r="BN16" s="958"/>
      <c r="BO16" s="958"/>
      <c r="BP16" s="958"/>
      <c r="BQ16" s="958"/>
      <c r="BR16" s="958"/>
      <c r="BS16" s="958"/>
      <c r="BT16" s="958"/>
      <c r="BU16" s="958"/>
      <c r="BV16" s="958"/>
      <c r="BW16" s="958"/>
      <c r="BX16" s="958"/>
      <c r="BY16" s="958"/>
      <c r="BZ16" s="958"/>
      <c r="CA16" s="958"/>
      <c r="CB16" s="958"/>
      <c r="CC16" s="958"/>
      <c r="CD16" s="958"/>
      <c r="CE16" s="958"/>
      <c r="CF16" s="958"/>
      <c r="CG16" s="958"/>
      <c r="CH16" s="958"/>
      <c r="CI16" s="958"/>
      <c r="CJ16" s="958"/>
      <c r="CK16" s="958"/>
      <c r="CL16" s="958"/>
      <c r="CM16" s="958"/>
      <c r="CN16" s="958"/>
      <c r="CO16" s="958"/>
      <c r="CP16" s="958"/>
      <c r="CQ16" s="958"/>
      <c r="CR16" s="958"/>
      <c r="CS16" s="958"/>
      <c r="CT16" s="958"/>
      <c r="CU16" s="958"/>
      <c r="CV16" s="958"/>
      <c r="CW16" s="958"/>
      <c r="CX16" s="958"/>
      <c r="CY16" s="958"/>
      <c r="CZ16" s="958"/>
      <c r="DA16" s="958"/>
      <c r="DB16" s="958"/>
      <c r="DC16" s="958"/>
      <c r="DD16" s="958"/>
      <c r="DE16" s="958"/>
      <c r="DF16" s="958"/>
      <c r="DG16" s="958"/>
      <c r="DH16" s="958"/>
      <c r="DI16" s="958"/>
      <c r="DJ16" s="958"/>
      <c r="DK16" s="958"/>
      <c r="DL16" s="958"/>
      <c r="DM16" s="958"/>
      <c r="DN16" s="958"/>
      <c r="DO16" s="958"/>
      <c r="DP16" s="958"/>
      <c r="DQ16" s="958"/>
      <c r="DR16" s="958"/>
      <c r="DS16" s="958"/>
      <c r="DT16" s="958"/>
      <c r="DU16" s="958"/>
      <c r="DV16" s="958"/>
      <c r="DW16" s="958"/>
      <c r="DX16" s="958"/>
      <c r="DY16" s="958"/>
      <c r="DZ16" s="958"/>
      <c r="EA16" s="958"/>
      <c r="EB16" s="958"/>
      <c r="EC16" s="958"/>
      <c r="ED16" s="958"/>
      <c r="EE16" s="958"/>
      <c r="EF16" s="958"/>
      <c r="EG16" s="958"/>
      <c r="EH16" s="958"/>
      <c r="EI16" s="958"/>
      <c r="EJ16" s="958"/>
      <c r="EK16" s="958"/>
      <c r="EL16" s="958"/>
      <c r="EM16" s="958"/>
      <c r="EN16" s="958"/>
      <c r="EO16" s="958"/>
      <c r="EP16" s="958"/>
      <c r="EQ16" s="958"/>
      <c r="ER16" s="958"/>
      <c r="ES16" s="958"/>
      <c r="ET16" s="958"/>
      <c r="EU16" s="958"/>
      <c r="EV16" s="958"/>
      <c r="EW16" s="958"/>
      <c r="EX16" s="958"/>
      <c r="EY16" s="958"/>
      <c r="EZ16" s="958"/>
      <c r="FA16" s="958"/>
      <c r="FB16" s="958"/>
      <c r="FC16" s="958"/>
      <c r="FD16" s="958"/>
      <c r="FE16" s="958"/>
      <c r="FF16" s="958"/>
      <c r="FG16" s="958"/>
      <c r="FH16" s="958"/>
      <c r="FI16" s="958"/>
      <c r="FJ16" s="958"/>
      <c r="FK16" s="958"/>
      <c r="FL16" s="958"/>
      <c r="FM16" s="958"/>
      <c r="FN16" s="958"/>
      <c r="FO16" s="958"/>
      <c r="FP16" s="958"/>
      <c r="FQ16" s="958"/>
      <c r="FR16" s="958"/>
      <c r="FS16" s="958"/>
      <c r="FT16" s="958"/>
      <c r="FU16" s="958"/>
      <c r="FV16" s="958"/>
      <c r="FW16" s="958"/>
      <c r="FX16" s="958"/>
      <c r="FY16" s="958"/>
      <c r="FZ16" s="958"/>
      <c r="GA16" s="958"/>
      <c r="GB16" s="958"/>
      <c r="GC16" s="958"/>
      <c r="GD16" s="958"/>
      <c r="GE16" s="958"/>
      <c r="GF16" s="958"/>
      <c r="GG16" s="958"/>
      <c r="GH16" s="958"/>
      <c r="GI16" s="958"/>
      <c r="GJ16" s="958"/>
      <c r="GK16" s="958"/>
      <c r="GL16" s="958"/>
      <c r="GM16" s="958"/>
      <c r="GN16" s="958"/>
      <c r="GO16" s="958"/>
      <c r="GP16" s="958"/>
      <c r="GQ16" s="958"/>
      <c r="GR16" s="958"/>
      <c r="GS16" s="958"/>
      <c r="GT16" s="958"/>
      <c r="GU16" s="958"/>
      <c r="GV16" s="958"/>
      <c r="GW16" s="958"/>
      <c r="GX16" s="958"/>
      <c r="GY16" s="958"/>
      <c r="GZ16" s="958"/>
      <c r="HA16" s="958"/>
      <c r="HB16" s="958"/>
      <c r="HC16" s="958"/>
      <c r="HD16" s="958"/>
      <c r="HE16" s="958"/>
      <c r="HF16" s="958"/>
      <c r="HG16" s="958"/>
      <c r="HH16" s="958"/>
      <c r="HI16" s="958"/>
      <c r="HJ16" s="958"/>
      <c r="HK16" s="958"/>
      <c r="HL16" s="958"/>
      <c r="HM16" s="958"/>
      <c r="HN16" s="958"/>
      <c r="HO16" s="958"/>
      <c r="HP16" s="958"/>
      <c r="HQ16" s="958"/>
      <c r="HR16" s="958"/>
      <c r="HS16" s="958"/>
      <c r="HT16" s="958"/>
      <c r="HU16" s="958"/>
      <c r="HV16" s="958"/>
      <c r="HW16" s="958"/>
      <c r="HX16" s="958"/>
      <c r="HY16" s="958"/>
      <c r="HZ16" s="958"/>
      <c r="IA16" s="958"/>
      <c r="IB16" s="958"/>
      <c r="IC16" s="958"/>
      <c r="ID16" s="958"/>
      <c r="IE16" s="958"/>
      <c r="IF16" s="958"/>
      <c r="IG16" s="958"/>
      <c r="IH16" s="958"/>
      <c r="II16" s="958"/>
      <c r="IJ16" s="958"/>
      <c r="IK16" s="958"/>
      <c r="IL16" s="958"/>
      <c r="IM16" s="958"/>
      <c r="IN16" s="958"/>
      <c r="IO16" s="958"/>
      <c r="IP16" s="958"/>
      <c r="IQ16" s="958"/>
      <c r="IR16" s="958"/>
      <c r="IS16" s="958"/>
      <c r="IT16" s="958"/>
      <c r="IU16" s="958"/>
      <c r="IV16" s="958"/>
    </row>
    <row r="17" spans="1:256" ht="11.25" customHeight="1" thickBot="1">
      <c r="A17" s="986" t="s">
        <v>848</v>
      </c>
      <c r="B17" s="987">
        <v>4179</v>
      </c>
      <c r="C17" s="987">
        <v>4324</v>
      </c>
      <c r="D17" s="988">
        <v>4504</v>
      </c>
      <c r="E17" s="988">
        <v>4656</v>
      </c>
      <c r="F17" s="988">
        <v>4395</v>
      </c>
      <c r="G17" s="988">
        <v>4794.8999999999996</v>
      </c>
      <c r="H17" s="988">
        <v>3671.4</v>
      </c>
      <c r="I17" s="988">
        <v>4435.1000000000004</v>
      </c>
      <c r="J17" s="988">
        <v>4852.3</v>
      </c>
      <c r="K17" s="988">
        <v>4968.7</v>
      </c>
      <c r="L17" s="989">
        <v>4703.2</v>
      </c>
      <c r="M17" s="989">
        <v>4732.8999999999996</v>
      </c>
      <c r="N17" s="988">
        <v>4502.1000000000004</v>
      </c>
      <c r="O17" s="958"/>
      <c r="P17" s="958"/>
      <c r="Q17" s="958"/>
      <c r="R17" s="958"/>
      <c r="S17" s="958"/>
      <c r="T17" s="958"/>
      <c r="U17" s="958"/>
      <c r="V17" s="958"/>
      <c r="W17" s="958"/>
      <c r="X17" s="958"/>
      <c r="Y17" s="958"/>
      <c r="Z17" s="958"/>
      <c r="AA17" s="958"/>
      <c r="AB17" s="958"/>
      <c r="AC17" s="958"/>
      <c r="AD17" s="958"/>
      <c r="AE17" s="958"/>
      <c r="AF17" s="958"/>
      <c r="AG17" s="958"/>
      <c r="AH17" s="958"/>
      <c r="AI17" s="958"/>
      <c r="AJ17" s="958"/>
      <c r="AK17" s="958"/>
      <c r="AL17" s="958"/>
      <c r="AM17" s="958"/>
      <c r="AN17" s="958"/>
      <c r="AO17" s="958"/>
      <c r="AP17" s="958"/>
      <c r="AQ17" s="958"/>
      <c r="AR17" s="958"/>
      <c r="AS17" s="958"/>
      <c r="AT17" s="958"/>
      <c r="AU17" s="958"/>
      <c r="AV17" s="958"/>
      <c r="AW17" s="958"/>
      <c r="AX17" s="958"/>
      <c r="AY17" s="958"/>
      <c r="AZ17" s="958"/>
      <c r="BA17" s="958"/>
      <c r="BB17" s="958"/>
      <c r="BC17" s="958"/>
      <c r="BD17" s="958"/>
      <c r="BE17" s="958"/>
      <c r="BF17" s="958"/>
      <c r="BG17" s="958"/>
      <c r="BH17" s="958"/>
      <c r="BI17" s="958"/>
      <c r="BJ17" s="958"/>
      <c r="BK17" s="958"/>
      <c r="BL17" s="958"/>
      <c r="BM17" s="958"/>
      <c r="BN17" s="958"/>
      <c r="BO17" s="958"/>
      <c r="BP17" s="958"/>
      <c r="BQ17" s="958"/>
      <c r="BR17" s="958"/>
      <c r="BS17" s="958"/>
      <c r="BT17" s="958"/>
      <c r="BU17" s="958"/>
      <c r="BV17" s="958"/>
      <c r="BW17" s="958"/>
      <c r="BX17" s="958"/>
      <c r="BY17" s="958"/>
      <c r="BZ17" s="958"/>
      <c r="CA17" s="958"/>
      <c r="CB17" s="958"/>
      <c r="CC17" s="958"/>
      <c r="CD17" s="958"/>
      <c r="CE17" s="958"/>
      <c r="CF17" s="958"/>
      <c r="CG17" s="958"/>
      <c r="CH17" s="958"/>
      <c r="CI17" s="958"/>
      <c r="CJ17" s="958"/>
      <c r="CK17" s="958"/>
      <c r="CL17" s="958"/>
      <c r="CM17" s="958"/>
      <c r="CN17" s="958"/>
      <c r="CO17" s="958"/>
      <c r="CP17" s="958"/>
      <c r="CQ17" s="958"/>
      <c r="CR17" s="958"/>
      <c r="CS17" s="958"/>
      <c r="CT17" s="958"/>
      <c r="CU17" s="958"/>
      <c r="CV17" s="958"/>
      <c r="CW17" s="958"/>
      <c r="CX17" s="958"/>
      <c r="CY17" s="958"/>
      <c r="CZ17" s="958"/>
      <c r="DA17" s="958"/>
      <c r="DB17" s="958"/>
      <c r="DC17" s="958"/>
      <c r="DD17" s="958"/>
      <c r="DE17" s="958"/>
      <c r="DF17" s="958"/>
      <c r="DG17" s="958"/>
      <c r="DH17" s="958"/>
      <c r="DI17" s="958"/>
      <c r="DJ17" s="958"/>
      <c r="DK17" s="958"/>
      <c r="DL17" s="958"/>
      <c r="DM17" s="958"/>
      <c r="DN17" s="958"/>
      <c r="DO17" s="958"/>
      <c r="DP17" s="958"/>
      <c r="DQ17" s="958"/>
      <c r="DR17" s="958"/>
      <c r="DS17" s="958"/>
      <c r="DT17" s="958"/>
      <c r="DU17" s="958"/>
      <c r="DV17" s="958"/>
      <c r="DW17" s="958"/>
      <c r="DX17" s="958"/>
      <c r="DY17" s="958"/>
      <c r="DZ17" s="958"/>
      <c r="EA17" s="958"/>
      <c r="EB17" s="958"/>
      <c r="EC17" s="958"/>
      <c r="ED17" s="958"/>
      <c r="EE17" s="958"/>
      <c r="EF17" s="958"/>
      <c r="EG17" s="958"/>
      <c r="EH17" s="958"/>
      <c r="EI17" s="958"/>
      <c r="EJ17" s="958"/>
      <c r="EK17" s="958"/>
      <c r="EL17" s="958"/>
      <c r="EM17" s="958"/>
      <c r="EN17" s="958"/>
      <c r="EO17" s="958"/>
      <c r="EP17" s="958"/>
      <c r="EQ17" s="958"/>
      <c r="ER17" s="958"/>
      <c r="ES17" s="958"/>
      <c r="ET17" s="958"/>
      <c r="EU17" s="958"/>
      <c r="EV17" s="958"/>
      <c r="EW17" s="958"/>
      <c r="EX17" s="958"/>
      <c r="EY17" s="958"/>
      <c r="EZ17" s="958"/>
      <c r="FA17" s="958"/>
      <c r="FB17" s="958"/>
      <c r="FC17" s="958"/>
      <c r="FD17" s="958"/>
      <c r="FE17" s="958"/>
      <c r="FF17" s="958"/>
      <c r="FG17" s="958"/>
      <c r="FH17" s="958"/>
      <c r="FI17" s="958"/>
      <c r="FJ17" s="958"/>
      <c r="FK17" s="958"/>
      <c r="FL17" s="958"/>
      <c r="FM17" s="958"/>
      <c r="FN17" s="958"/>
      <c r="FO17" s="958"/>
      <c r="FP17" s="958"/>
      <c r="FQ17" s="958"/>
      <c r="FR17" s="958"/>
      <c r="FS17" s="958"/>
      <c r="FT17" s="958"/>
      <c r="FU17" s="958"/>
      <c r="FV17" s="958"/>
      <c r="FW17" s="958"/>
      <c r="FX17" s="958"/>
      <c r="FY17" s="958"/>
      <c r="FZ17" s="958"/>
      <c r="GA17" s="958"/>
      <c r="GB17" s="958"/>
      <c r="GC17" s="958"/>
      <c r="GD17" s="958"/>
      <c r="GE17" s="958"/>
      <c r="GF17" s="958"/>
      <c r="GG17" s="958"/>
      <c r="GH17" s="958"/>
      <c r="GI17" s="958"/>
      <c r="GJ17" s="958"/>
      <c r="GK17" s="958"/>
      <c r="GL17" s="958"/>
      <c r="GM17" s="958"/>
      <c r="GN17" s="958"/>
      <c r="GO17" s="958"/>
      <c r="GP17" s="958"/>
      <c r="GQ17" s="958"/>
      <c r="GR17" s="958"/>
      <c r="GS17" s="958"/>
      <c r="GT17" s="958"/>
      <c r="GU17" s="958"/>
      <c r="GV17" s="958"/>
      <c r="GW17" s="958"/>
      <c r="GX17" s="958"/>
      <c r="GY17" s="958"/>
      <c r="GZ17" s="958"/>
      <c r="HA17" s="958"/>
      <c r="HB17" s="958"/>
      <c r="HC17" s="958"/>
      <c r="HD17" s="958"/>
      <c r="HE17" s="958"/>
      <c r="HF17" s="958"/>
      <c r="HG17" s="958"/>
      <c r="HH17" s="958"/>
      <c r="HI17" s="958"/>
      <c r="HJ17" s="958"/>
      <c r="HK17" s="958"/>
      <c r="HL17" s="958"/>
      <c r="HM17" s="958"/>
      <c r="HN17" s="958"/>
      <c r="HO17" s="958"/>
      <c r="HP17" s="958"/>
      <c r="HQ17" s="958"/>
      <c r="HR17" s="958"/>
      <c r="HS17" s="958"/>
      <c r="HT17" s="958"/>
      <c r="HU17" s="958"/>
      <c r="HV17" s="958"/>
      <c r="HW17" s="958"/>
      <c r="HX17" s="958"/>
      <c r="HY17" s="958"/>
      <c r="HZ17" s="958"/>
      <c r="IA17" s="958"/>
      <c r="IB17" s="958"/>
      <c r="IC17" s="958"/>
      <c r="ID17" s="958"/>
      <c r="IE17" s="958"/>
      <c r="IF17" s="958"/>
      <c r="IG17" s="958"/>
      <c r="IH17" s="958"/>
      <c r="II17" s="958"/>
      <c r="IJ17" s="958"/>
      <c r="IK17" s="958"/>
      <c r="IL17" s="958"/>
      <c r="IM17" s="958"/>
      <c r="IN17" s="958"/>
      <c r="IO17" s="958"/>
      <c r="IP17" s="958"/>
      <c r="IQ17" s="958"/>
      <c r="IR17" s="958"/>
      <c r="IS17" s="958"/>
      <c r="IT17" s="958"/>
      <c r="IU17" s="958"/>
      <c r="IV17" s="958"/>
    </row>
    <row r="18" spans="1:256" ht="12" customHeight="1" thickTop="1">
      <c r="A18" s="959" t="s">
        <v>158</v>
      </c>
      <c r="B18" s="967"/>
      <c r="C18" s="967"/>
      <c r="D18" s="990"/>
      <c r="E18" s="990"/>
      <c r="F18" s="990"/>
      <c r="G18" s="990"/>
      <c r="H18" s="990"/>
      <c r="I18" s="990"/>
      <c r="J18" s="990"/>
      <c r="K18" s="990"/>
      <c r="L18" s="990"/>
      <c r="M18" s="990"/>
      <c r="N18" s="990"/>
      <c r="O18" s="958"/>
      <c r="P18" s="958"/>
      <c r="Q18" s="958"/>
      <c r="R18" s="958"/>
      <c r="S18" s="958"/>
      <c r="T18" s="958"/>
      <c r="U18" s="958"/>
      <c r="V18" s="958"/>
      <c r="W18" s="958"/>
      <c r="X18" s="958"/>
      <c r="Y18" s="958"/>
      <c r="Z18" s="958"/>
      <c r="AA18" s="958"/>
      <c r="AB18" s="958"/>
      <c r="AC18" s="958"/>
      <c r="AD18" s="958"/>
      <c r="AE18" s="958"/>
      <c r="AF18" s="958"/>
      <c r="AG18" s="958"/>
      <c r="AH18" s="958"/>
      <c r="AI18" s="958"/>
      <c r="AJ18" s="958"/>
      <c r="AK18" s="958"/>
      <c r="AL18" s="958"/>
      <c r="AM18" s="958"/>
      <c r="AN18" s="958"/>
      <c r="AO18" s="958"/>
      <c r="AP18" s="958"/>
      <c r="AQ18" s="958"/>
      <c r="AR18" s="958"/>
      <c r="AS18" s="958"/>
      <c r="AT18" s="958"/>
      <c r="AU18" s="958"/>
      <c r="AV18" s="958"/>
      <c r="AW18" s="958"/>
      <c r="AX18" s="958"/>
      <c r="AY18" s="958"/>
      <c r="AZ18" s="958"/>
      <c r="BA18" s="958"/>
      <c r="BB18" s="958"/>
      <c r="BC18" s="958"/>
      <c r="BD18" s="958"/>
      <c r="BE18" s="958"/>
      <c r="BF18" s="958"/>
      <c r="BG18" s="958"/>
      <c r="BH18" s="958"/>
      <c r="BI18" s="958"/>
      <c r="BJ18" s="958"/>
      <c r="BK18" s="958"/>
      <c r="BL18" s="958"/>
      <c r="BM18" s="958"/>
      <c r="BN18" s="958"/>
      <c r="BO18" s="958"/>
      <c r="BP18" s="958"/>
      <c r="BQ18" s="958"/>
      <c r="BR18" s="958"/>
      <c r="BS18" s="958"/>
      <c r="BT18" s="958"/>
      <c r="BU18" s="958"/>
      <c r="BV18" s="958"/>
      <c r="BW18" s="958"/>
      <c r="BX18" s="958"/>
      <c r="BY18" s="958"/>
      <c r="BZ18" s="958"/>
      <c r="CA18" s="958"/>
      <c r="CB18" s="958"/>
      <c r="CC18" s="958"/>
      <c r="CD18" s="958"/>
      <c r="CE18" s="958"/>
      <c r="CF18" s="958"/>
      <c r="CG18" s="958"/>
      <c r="CH18" s="958"/>
      <c r="CI18" s="958"/>
      <c r="CJ18" s="958"/>
      <c r="CK18" s="958"/>
      <c r="CL18" s="958"/>
      <c r="CM18" s="958"/>
      <c r="CN18" s="958"/>
      <c r="CO18" s="958"/>
      <c r="CP18" s="958"/>
      <c r="CQ18" s="958"/>
      <c r="CR18" s="958"/>
      <c r="CS18" s="958"/>
      <c r="CT18" s="958"/>
      <c r="CU18" s="958"/>
      <c r="CV18" s="958"/>
      <c r="CW18" s="958"/>
      <c r="CX18" s="958"/>
      <c r="CY18" s="958"/>
      <c r="CZ18" s="958"/>
      <c r="DA18" s="958"/>
      <c r="DB18" s="958"/>
      <c r="DC18" s="958"/>
      <c r="DD18" s="958"/>
      <c r="DE18" s="958"/>
      <c r="DF18" s="958"/>
      <c r="DG18" s="958"/>
      <c r="DH18" s="958"/>
      <c r="DI18" s="958"/>
      <c r="DJ18" s="958"/>
      <c r="DK18" s="958"/>
      <c r="DL18" s="958"/>
      <c r="DM18" s="958"/>
      <c r="DN18" s="958"/>
      <c r="DO18" s="958"/>
      <c r="DP18" s="958"/>
      <c r="DQ18" s="958"/>
      <c r="DR18" s="958"/>
      <c r="DS18" s="958"/>
      <c r="DT18" s="958"/>
      <c r="DU18" s="958"/>
      <c r="DV18" s="958"/>
      <c r="DW18" s="958"/>
      <c r="DX18" s="958"/>
      <c r="DY18" s="958"/>
      <c r="DZ18" s="958"/>
      <c r="EA18" s="958"/>
      <c r="EB18" s="958"/>
      <c r="EC18" s="958"/>
      <c r="ED18" s="958"/>
      <c r="EE18" s="958"/>
      <c r="EF18" s="958"/>
      <c r="EG18" s="958"/>
      <c r="EH18" s="958"/>
      <c r="EI18" s="958"/>
      <c r="EJ18" s="958"/>
      <c r="EK18" s="958"/>
      <c r="EL18" s="958"/>
      <c r="EM18" s="958"/>
      <c r="EN18" s="958"/>
      <c r="EO18" s="958"/>
      <c r="EP18" s="958"/>
      <c r="EQ18" s="958"/>
      <c r="ER18" s="958"/>
      <c r="ES18" s="958"/>
      <c r="ET18" s="958"/>
      <c r="EU18" s="958"/>
      <c r="EV18" s="958"/>
      <c r="EW18" s="958"/>
      <c r="EX18" s="958"/>
      <c r="EY18" s="958"/>
      <c r="EZ18" s="958"/>
      <c r="FA18" s="958"/>
      <c r="FB18" s="958"/>
      <c r="FC18" s="958"/>
      <c r="FD18" s="958"/>
      <c r="FE18" s="958"/>
      <c r="FF18" s="958"/>
      <c r="FG18" s="958"/>
      <c r="FH18" s="958"/>
      <c r="FI18" s="958"/>
      <c r="FJ18" s="958"/>
      <c r="FK18" s="958"/>
      <c r="FL18" s="958"/>
      <c r="FM18" s="958"/>
      <c r="FN18" s="958"/>
      <c r="FO18" s="958"/>
      <c r="FP18" s="958"/>
      <c r="FQ18" s="958"/>
      <c r="FR18" s="958"/>
      <c r="FS18" s="958"/>
      <c r="FT18" s="958"/>
      <c r="FU18" s="958"/>
      <c r="FV18" s="958"/>
      <c r="FW18" s="958"/>
      <c r="FX18" s="958"/>
      <c r="FY18" s="958"/>
      <c r="FZ18" s="958"/>
      <c r="GA18" s="958"/>
      <c r="GB18" s="958"/>
      <c r="GC18" s="958"/>
      <c r="GD18" s="958"/>
      <c r="GE18" s="958"/>
      <c r="GF18" s="958"/>
      <c r="GG18" s="958"/>
      <c r="GH18" s="958"/>
      <c r="GI18" s="958"/>
      <c r="GJ18" s="958"/>
      <c r="GK18" s="958"/>
      <c r="GL18" s="958"/>
      <c r="GM18" s="958"/>
      <c r="GN18" s="958"/>
      <c r="GO18" s="958"/>
      <c r="GP18" s="958"/>
      <c r="GQ18" s="958"/>
      <c r="GR18" s="958"/>
      <c r="GS18" s="958"/>
      <c r="GT18" s="958"/>
      <c r="GU18" s="958"/>
      <c r="GV18" s="958"/>
      <c r="GW18" s="958"/>
      <c r="GX18" s="958"/>
      <c r="GY18" s="958"/>
      <c r="GZ18" s="958"/>
      <c r="HA18" s="958"/>
      <c r="HB18" s="958"/>
      <c r="HC18" s="958"/>
      <c r="HD18" s="958"/>
      <c r="HE18" s="958"/>
      <c r="HF18" s="958"/>
      <c r="HG18" s="958"/>
      <c r="HH18" s="958"/>
      <c r="HI18" s="958"/>
      <c r="HJ18" s="958"/>
      <c r="HK18" s="958"/>
      <c r="HL18" s="958"/>
      <c r="HM18" s="958"/>
      <c r="HN18" s="958"/>
      <c r="HO18" s="958"/>
      <c r="HP18" s="958"/>
      <c r="HQ18" s="958"/>
      <c r="HR18" s="958"/>
      <c r="HS18" s="958"/>
      <c r="HT18" s="958"/>
      <c r="HU18" s="958"/>
      <c r="HV18" s="958"/>
      <c r="HW18" s="958"/>
      <c r="HX18" s="958"/>
      <c r="HY18" s="958"/>
      <c r="HZ18" s="958"/>
      <c r="IA18" s="958"/>
      <c r="IB18" s="958"/>
      <c r="IC18" s="958"/>
      <c r="ID18" s="958"/>
      <c r="IE18" s="958"/>
      <c r="IF18" s="958"/>
      <c r="IG18" s="958"/>
      <c r="IH18" s="958"/>
      <c r="II18" s="958"/>
      <c r="IJ18" s="958"/>
      <c r="IK18" s="958"/>
      <c r="IL18" s="958"/>
      <c r="IM18" s="958"/>
      <c r="IN18" s="958"/>
      <c r="IO18" s="958"/>
      <c r="IP18" s="958"/>
      <c r="IQ18" s="958"/>
      <c r="IR18" s="958"/>
      <c r="IS18" s="958"/>
      <c r="IT18" s="958"/>
      <c r="IU18" s="958"/>
      <c r="IV18" s="958"/>
    </row>
    <row r="19" spans="1:256" ht="10.5" customHeight="1">
      <c r="A19" s="944" t="s">
        <v>452</v>
      </c>
      <c r="B19" s="967">
        <v>311</v>
      </c>
      <c r="C19" s="967">
        <v>278.7</v>
      </c>
      <c r="D19" s="968">
        <v>195</v>
      </c>
      <c r="E19" s="968">
        <v>119.2</v>
      </c>
      <c r="F19" s="968">
        <v>71.2</v>
      </c>
      <c r="G19" s="968">
        <v>155.30000000000001</v>
      </c>
      <c r="H19" s="968">
        <v>145.19999999999999</v>
      </c>
      <c r="I19" s="968">
        <v>160.19999999999999</v>
      </c>
      <c r="J19" s="968">
        <v>113</v>
      </c>
      <c r="K19" s="968">
        <v>109.2</v>
      </c>
      <c r="L19" s="991">
        <v>110.5</v>
      </c>
      <c r="M19" s="991">
        <v>111.9</v>
      </c>
      <c r="N19" s="968">
        <v>112.6</v>
      </c>
      <c r="O19" s="958"/>
      <c r="P19" s="958"/>
      <c r="Q19" s="958"/>
      <c r="R19" s="958"/>
      <c r="S19" s="958"/>
      <c r="T19" s="958"/>
      <c r="U19" s="958"/>
      <c r="V19" s="958"/>
      <c r="W19" s="958"/>
      <c r="X19" s="958"/>
      <c r="Y19" s="958"/>
      <c r="Z19" s="958"/>
      <c r="AA19" s="958"/>
      <c r="AB19" s="958"/>
      <c r="AC19" s="958"/>
      <c r="AD19" s="958"/>
      <c r="AE19" s="958"/>
      <c r="AF19" s="958"/>
      <c r="AG19" s="958"/>
      <c r="AH19" s="958"/>
      <c r="AI19" s="958"/>
      <c r="AJ19" s="958"/>
      <c r="AK19" s="958"/>
      <c r="AL19" s="958"/>
      <c r="AM19" s="958"/>
      <c r="AN19" s="958"/>
      <c r="AO19" s="958"/>
      <c r="AP19" s="958"/>
      <c r="AQ19" s="958"/>
      <c r="AR19" s="958"/>
      <c r="AS19" s="958"/>
      <c r="AT19" s="958"/>
      <c r="AU19" s="958"/>
      <c r="AV19" s="958"/>
      <c r="AW19" s="958"/>
      <c r="AX19" s="958"/>
      <c r="AY19" s="958"/>
      <c r="AZ19" s="958"/>
      <c r="BA19" s="958"/>
      <c r="BB19" s="958"/>
      <c r="BC19" s="958"/>
      <c r="BD19" s="958"/>
      <c r="BE19" s="958"/>
      <c r="BF19" s="958"/>
      <c r="BG19" s="958"/>
      <c r="BH19" s="958"/>
      <c r="BI19" s="958"/>
      <c r="BJ19" s="958"/>
      <c r="BK19" s="958"/>
      <c r="BL19" s="958"/>
      <c r="BM19" s="958"/>
      <c r="BN19" s="958"/>
      <c r="BO19" s="958"/>
      <c r="BP19" s="958"/>
      <c r="BQ19" s="958"/>
      <c r="BR19" s="958"/>
      <c r="BS19" s="958"/>
      <c r="BT19" s="958"/>
      <c r="BU19" s="958"/>
      <c r="BV19" s="958"/>
      <c r="BW19" s="958"/>
      <c r="BX19" s="958"/>
      <c r="BY19" s="958"/>
      <c r="BZ19" s="958"/>
      <c r="CA19" s="958"/>
      <c r="CB19" s="958"/>
      <c r="CC19" s="958"/>
      <c r="CD19" s="958"/>
      <c r="CE19" s="958"/>
      <c r="CF19" s="958"/>
      <c r="CG19" s="958"/>
      <c r="CH19" s="958"/>
      <c r="CI19" s="958"/>
      <c r="CJ19" s="958"/>
      <c r="CK19" s="958"/>
      <c r="CL19" s="958"/>
      <c r="CM19" s="958"/>
      <c r="CN19" s="958"/>
      <c r="CO19" s="958"/>
      <c r="CP19" s="958"/>
      <c r="CQ19" s="958"/>
      <c r="CR19" s="958"/>
      <c r="CS19" s="958"/>
      <c r="CT19" s="958"/>
      <c r="CU19" s="958"/>
      <c r="CV19" s="958"/>
      <c r="CW19" s="958"/>
      <c r="CX19" s="958"/>
      <c r="CY19" s="958"/>
      <c r="CZ19" s="958"/>
      <c r="DA19" s="958"/>
      <c r="DB19" s="958"/>
      <c r="DC19" s="958"/>
      <c r="DD19" s="958"/>
      <c r="DE19" s="958"/>
      <c r="DF19" s="958"/>
      <c r="DG19" s="958"/>
      <c r="DH19" s="958"/>
      <c r="DI19" s="958"/>
      <c r="DJ19" s="958"/>
      <c r="DK19" s="958"/>
      <c r="DL19" s="958"/>
      <c r="DM19" s="958"/>
      <c r="DN19" s="958"/>
      <c r="DO19" s="958"/>
      <c r="DP19" s="958"/>
      <c r="DQ19" s="958"/>
      <c r="DR19" s="958"/>
      <c r="DS19" s="958"/>
      <c r="DT19" s="958"/>
      <c r="DU19" s="958"/>
      <c r="DV19" s="958"/>
      <c r="DW19" s="958"/>
      <c r="DX19" s="958"/>
      <c r="DY19" s="958"/>
      <c r="DZ19" s="958"/>
      <c r="EA19" s="958"/>
      <c r="EB19" s="958"/>
      <c r="EC19" s="958"/>
      <c r="ED19" s="958"/>
      <c r="EE19" s="958"/>
      <c r="EF19" s="958"/>
      <c r="EG19" s="958"/>
      <c r="EH19" s="958"/>
      <c r="EI19" s="958"/>
      <c r="EJ19" s="958"/>
      <c r="EK19" s="958"/>
      <c r="EL19" s="958"/>
      <c r="EM19" s="958"/>
      <c r="EN19" s="958"/>
      <c r="EO19" s="958"/>
      <c r="EP19" s="958"/>
      <c r="EQ19" s="958"/>
      <c r="ER19" s="958"/>
      <c r="ES19" s="958"/>
      <c r="ET19" s="958"/>
      <c r="EU19" s="958"/>
      <c r="EV19" s="958"/>
      <c r="EW19" s="958"/>
      <c r="EX19" s="958"/>
      <c r="EY19" s="958"/>
      <c r="EZ19" s="958"/>
      <c r="FA19" s="958"/>
      <c r="FB19" s="958"/>
      <c r="FC19" s="958"/>
      <c r="FD19" s="958"/>
      <c r="FE19" s="958"/>
      <c r="FF19" s="958"/>
      <c r="FG19" s="958"/>
      <c r="FH19" s="958"/>
      <c r="FI19" s="958"/>
      <c r="FJ19" s="958"/>
      <c r="FK19" s="958"/>
      <c r="FL19" s="958"/>
      <c r="FM19" s="958"/>
      <c r="FN19" s="958"/>
      <c r="FO19" s="958"/>
      <c r="FP19" s="958"/>
      <c r="FQ19" s="958"/>
      <c r="FR19" s="958"/>
      <c r="FS19" s="958"/>
      <c r="FT19" s="958"/>
      <c r="FU19" s="958"/>
      <c r="FV19" s="958"/>
      <c r="FW19" s="958"/>
      <c r="FX19" s="958"/>
      <c r="FY19" s="958"/>
      <c r="FZ19" s="958"/>
      <c r="GA19" s="958"/>
      <c r="GB19" s="958"/>
      <c r="GC19" s="958"/>
      <c r="GD19" s="958"/>
      <c r="GE19" s="958"/>
      <c r="GF19" s="958"/>
      <c r="GG19" s="958"/>
      <c r="GH19" s="958"/>
      <c r="GI19" s="958"/>
      <c r="GJ19" s="958"/>
      <c r="GK19" s="958"/>
      <c r="GL19" s="958"/>
      <c r="GM19" s="958"/>
      <c r="GN19" s="958"/>
      <c r="GO19" s="958"/>
      <c r="GP19" s="958"/>
      <c r="GQ19" s="958"/>
      <c r="GR19" s="958"/>
      <c r="GS19" s="958"/>
      <c r="GT19" s="958"/>
      <c r="GU19" s="958"/>
      <c r="GV19" s="958"/>
      <c r="GW19" s="958"/>
      <c r="GX19" s="958"/>
      <c r="GY19" s="958"/>
      <c r="GZ19" s="958"/>
      <c r="HA19" s="958"/>
      <c r="HB19" s="958"/>
      <c r="HC19" s="958"/>
      <c r="HD19" s="958"/>
      <c r="HE19" s="958"/>
      <c r="HF19" s="958"/>
      <c r="HG19" s="958"/>
      <c r="HH19" s="958"/>
      <c r="HI19" s="958"/>
      <c r="HJ19" s="958"/>
      <c r="HK19" s="958"/>
      <c r="HL19" s="958"/>
      <c r="HM19" s="958"/>
      <c r="HN19" s="958"/>
      <c r="HO19" s="958"/>
      <c r="HP19" s="958"/>
      <c r="HQ19" s="958"/>
      <c r="HR19" s="958"/>
      <c r="HS19" s="958"/>
      <c r="HT19" s="958"/>
      <c r="HU19" s="958"/>
      <c r="HV19" s="958"/>
      <c r="HW19" s="958"/>
      <c r="HX19" s="958"/>
      <c r="HY19" s="958"/>
      <c r="HZ19" s="958"/>
      <c r="IA19" s="958"/>
      <c r="IB19" s="958"/>
      <c r="IC19" s="958"/>
      <c r="ID19" s="958"/>
      <c r="IE19" s="958"/>
      <c r="IF19" s="958"/>
      <c r="IG19" s="958"/>
      <c r="IH19" s="958"/>
      <c r="II19" s="958"/>
      <c r="IJ19" s="958"/>
      <c r="IK19" s="958"/>
      <c r="IL19" s="958"/>
      <c r="IM19" s="958"/>
      <c r="IN19" s="958"/>
      <c r="IO19" s="958"/>
      <c r="IP19" s="958"/>
      <c r="IQ19" s="958"/>
      <c r="IR19" s="958"/>
      <c r="IS19" s="958"/>
      <c r="IT19" s="958"/>
      <c r="IU19" s="958"/>
      <c r="IV19" s="958"/>
    </row>
    <row r="20" spans="1:256" ht="10.5" customHeight="1">
      <c r="A20" s="944" t="s">
        <v>841</v>
      </c>
      <c r="B20" s="967">
        <v>813.8</v>
      </c>
      <c r="C20" s="967">
        <v>918.2</v>
      </c>
      <c r="D20" s="968">
        <v>974.4</v>
      </c>
      <c r="E20" s="968">
        <v>869</v>
      </c>
      <c r="F20" s="968">
        <v>1079.2</v>
      </c>
      <c r="G20" s="968">
        <v>867.6</v>
      </c>
      <c r="H20" s="968">
        <v>968.3</v>
      </c>
      <c r="I20" s="968">
        <v>937.8</v>
      </c>
      <c r="J20" s="968">
        <v>883.9</v>
      </c>
      <c r="K20" s="968">
        <v>899.9</v>
      </c>
      <c r="L20" s="991">
        <v>717.7</v>
      </c>
      <c r="M20" s="991">
        <v>723.3</v>
      </c>
      <c r="N20" s="968">
        <v>759.8</v>
      </c>
      <c r="O20" s="958"/>
      <c r="P20" s="958"/>
      <c r="Q20" s="958"/>
      <c r="R20" s="958"/>
      <c r="S20" s="958"/>
      <c r="T20" s="958"/>
      <c r="U20" s="958"/>
      <c r="V20" s="958"/>
      <c r="W20" s="958"/>
      <c r="X20" s="958"/>
      <c r="Y20" s="958"/>
      <c r="Z20" s="958"/>
      <c r="AA20" s="958"/>
      <c r="AB20" s="958"/>
      <c r="AC20" s="958"/>
      <c r="AD20" s="958"/>
      <c r="AE20" s="958"/>
      <c r="AF20" s="958"/>
      <c r="AG20" s="958"/>
      <c r="AH20" s="958"/>
      <c r="AI20" s="958"/>
      <c r="AJ20" s="958"/>
      <c r="AK20" s="958"/>
      <c r="AL20" s="958"/>
      <c r="AM20" s="958"/>
      <c r="AN20" s="958"/>
      <c r="AO20" s="958"/>
      <c r="AP20" s="958"/>
      <c r="AQ20" s="958"/>
      <c r="AR20" s="958"/>
      <c r="AS20" s="958"/>
      <c r="AT20" s="958"/>
      <c r="AU20" s="958"/>
      <c r="AV20" s="958"/>
      <c r="AW20" s="958"/>
      <c r="AX20" s="958"/>
      <c r="AY20" s="958"/>
      <c r="AZ20" s="958"/>
      <c r="BA20" s="958"/>
      <c r="BB20" s="958"/>
      <c r="BC20" s="958"/>
      <c r="BD20" s="958"/>
      <c r="BE20" s="958"/>
      <c r="BF20" s="958"/>
      <c r="BG20" s="958"/>
      <c r="BH20" s="958"/>
      <c r="BI20" s="958"/>
      <c r="BJ20" s="958"/>
      <c r="BK20" s="958"/>
      <c r="BL20" s="958"/>
      <c r="BM20" s="958"/>
      <c r="BN20" s="958"/>
      <c r="BO20" s="958"/>
      <c r="BP20" s="958"/>
      <c r="BQ20" s="958"/>
      <c r="BR20" s="958"/>
      <c r="BS20" s="958"/>
      <c r="BT20" s="958"/>
      <c r="BU20" s="958"/>
      <c r="BV20" s="958"/>
      <c r="BW20" s="958"/>
      <c r="BX20" s="958"/>
      <c r="BY20" s="958"/>
      <c r="BZ20" s="958"/>
      <c r="CA20" s="958"/>
      <c r="CB20" s="958"/>
      <c r="CC20" s="958"/>
      <c r="CD20" s="958"/>
      <c r="CE20" s="958"/>
      <c r="CF20" s="958"/>
      <c r="CG20" s="958"/>
      <c r="CH20" s="958"/>
      <c r="CI20" s="958"/>
      <c r="CJ20" s="958"/>
      <c r="CK20" s="958"/>
      <c r="CL20" s="958"/>
      <c r="CM20" s="958"/>
      <c r="CN20" s="958"/>
      <c r="CO20" s="958"/>
      <c r="CP20" s="958"/>
      <c r="CQ20" s="958"/>
      <c r="CR20" s="958"/>
      <c r="CS20" s="958"/>
      <c r="CT20" s="958"/>
      <c r="CU20" s="958"/>
      <c r="CV20" s="958"/>
      <c r="CW20" s="958"/>
      <c r="CX20" s="958"/>
      <c r="CY20" s="958"/>
      <c r="CZ20" s="958"/>
      <c r="DA20" s="958"/>
      <c r="DB20" s="958"/>
      <c r="DC20" s="958"/>
      <c r="DD20" s="958"/>
      <c r="DE20" s="958"/>
      <c r="DF20" s="958"/>
      <c r="DG20" s="958"/>
      <c r="DH20" s="958"/>
      <c r="DI20" s="958"/>
      <c r="DJ20" s="958"/>
      <c r="DK20" s="958"/>
      <c r="DL20" s="958"/>
      <c r="DM20" s="958"/>
      <c r="DN20" s="958"/>
      <c r="DO20" s="958"/>
      <c r="DP20" s="958"/>
      <c r="DQ20" s="958"/>
      <c r="DR20" s="958"/>
      <c r="DS20" s="958"/>
      <c r="DT20" s="958"/>
      <c r="DU20" s="958"/>
      <c r="DV20" s="958"/>
      <c r="DW20" s="958"/>
      <c r="DX20" s="958"/>
      <c r="DY20" s="958"/>
      <c r="DZ20" s="958"/>
      <c r="EA20" s="958"/>
      <c r="EB20" s="958"/>
      <c r="EC20" s="958"/>
      <c r="ED20" s="958"/>
      <c r="EE20" s="958"/>
      <c r="EF20" s="958"/>
      <c r="EG20" s="958"/>
      <c r="EH20" s="958"/>
      <c r="EI20" s="958"/>
      <c r="EJ20" s="958"/>
      <c r="EK20" s="958"/>
      <c r="EL20" s="958"/>
      <c r="EM20" s="958"/>
      <c r="EN20" s="958"/>
      <c r="EO20" s="958"/>
      <c r="EP20" s="958"/>
      <c r="EQ20" s="958"/>
      <c r="ER20" s="958"/>
      <c r="ES20" s="958"/>
      <c r="ET20" s="958"/>
      <c r="EU20" s="958"/>
      <c r="EV20" s="958"/>
      <c r="EW20" s="958"/>
      <c r="EX20" s="958"/>
      <c r="EY20" s="958"/>
      <c r="EZ20" s="958"/>
      <c r="FA20" s="958"/>
      <c r="FB20" s="958"/>
      <c r="FC20" s="958"/>
      <c r="FD20" s="958"/>
      <c r="FE20" s="958"/>
      <c r="FF20" s="958"/>
      <c r="FG20" s="958"/>
      <c r="FH20" s="958"/>
      <c r="FI20" s="958"/>
      <c r="FJ20" s="958"/>
      <c r="FK20" s="958"/>
      <c r="FL20" s="958"/>
      <c r="FM20" s="958"/>
      <c r="FN20" s="958"/>
      <c r="FO20" s="958"/>
      <c r="FP20" s="958"/>
      <c r="FQ20" s="958"/>
      <c r="FR20" s="958"/>
      <c r="FS20" s="958"/>
      <c r="FT20" s="958"/>
      <c r="FU20" s="958"/>
      <c r="FV20" s="958"/>
      <c r="FW20" s="958"/>
      <c r="FX20" s="958"/>
      <c r="FY20" s="958"/>
      <c r="FZ20" s="958"/>
      <c r="GA20" s="958"/>
      <c r="GB20" s="958"/>
      <c r="GC20" s="958"/>
      <c r="GD20" s="958"/>
      <c r="GE20" s="958"/>
      <c r="GF20" s="958"/>
      <c r="GG20" s="958"/>
      <c r="GH20" s="958"/>
      <c r="GI20" s="958"/>
      <c r="GJ20" s="958"/>
      <c r="GK20" s="958"/>
      <c r="GL20" s="958"/>
      <c r="GM20" s="958"/>
      <c r="GN20" s="958"/>
      <c r="GO20" s="958"/>
      <c r="GP20" s="958"/>
      <c r="GQ20" s="958"/>
      <c r="GR20" s="958"/>
      <c r="GS20" s="958"/>
      <c r="GT20" s="958"/>
      <c r="GU20" s="958"/>
      <c r="GV20" s="958"/>
      <c r="GW20" s="958"/>
      <c r="GX20" s="958"/>
      <c r="GY20" s="958"/>
      <c r="GZ20" s="958"/>
      <c r="HA20" s="958"/>
      <c r="HB20" s="958"/>
      <c r="HC20" s="958"/>
      <c r="HD20" s="958"/>
      <c r="HE20" s="958"/>
      <c r="HF20" s="958"/>
      <c r="HG20" s="958"/>
      <c r="HH20" s="958"/>
      <c r="HI20" s="958"/>
      <c r="HJ20" s="958"/>
      <c r="HK20" s="958"/>
      <c r="HL20" s="958"/>
      <c r="HM20" s="958"/>
      <c r="HN20" s="958"/>
      <c r="HO20" s="958"/>
      <c r="HP20" s="958"/>
      <c r="HQ20" s="958"/>
      <c r="HR20" s="958"/>
      <c r="HS20" s="958"/>
      <c r="HT20" s="958"/>
      <c r="HU20" s="958"/>
      <c r="HV20" s="958"/>
      <c r="HW20" s="958"/>
      <c r="HX20" s="958"/>
      <c r="HY20" s="958"/>
      <c r="HZ20" s="958"/>
      <c r="IA20" s="958"/>
      <c r="IB20" s="958"/>
      <c r="IC20" s="958"/>
      <c r="ID20" s="958"/>
      <c r="IE20" s="958"/>
      <c r="IF20" s="958"/>
      <c r="IG20" s="958"/>
      <c r="IH20" s="958"/>
      <c r="II20" s="958"/>
      <c r="IJ20" s="958"/>
      <c r="IK20" s="958"/>
      <c r="IL20" s="958"/>
      <c r="IM20" s="958"/>
      <c r="IN20" s="958"/>
      <c r="IO20" s="958"/>
      <c r="IP20" s="958"/>
      <c r="IQ20" s="958"/>
      <c r="IR20" s="958"/>
      <c r="IS20" s="958"/>
      <c r="IT20" s="958"/>
      <c r="IU20" s="958"/>
      <c r="IV20" s="958"/>
    </row>
    <row r="21" spans="1:256" ht="10.5" customHeight="1">
      <c r="A21" s="944" t="s">
        <v>842</v>
      </c>
      <c r="B21" s="967">
        <v>134.19999999999999</v>
      </c>
      <c r="C21" s="967">
        <v>112.8</v>
      </c>
      <c r="D21" s="968">
        <v>174.4</v>
      </c>
      <c r="E21" s="968">
        <v>132.30000000000001</v>
      </c>
      <c r="F21" s="968">
        <v>56</v>
      </c>
      <c r="G21" s="968">
        <v>53.2</v>
      </c>
      <c r="H21" s="968">
        <v>29.5</v>
      </c>
      <c r="I21" s="968">
        <v>7.3</v>
      </c>
      <c r="J21" s="968">
        <v>14.1</v>
      </c>
      <c r="K21" s="968">
        <v>19.899999999999999</v>
      </c>
      <c r="L21" s="992">
        <v>15.2</v>
      </c>
      <c r="M21" s="991">
        <v>14</v>
      </c>
      <c r="N21" s="968">
        <v>10.9</v>
      </c>
      <c r="O21" s="958"/>
      <c r="P21" s="958"/>
      <c r="Q21" s="958"/>
      <c r="R21" s="958"/>
      <c r="S21" s="958"/>
      <c r="T21" s="958"/>
      <c r="U21" s="958"/>
      <c r="V21" s="958"/>
      <c r="W21" s="958"/>
      <c r="X21" s="958"/>
      <c r="Y21" s="958"/>
      <c r="Z21" s="958"/>
      <c r="AA21" s="958"/>
      <c r="AB21" s="958"/>
      <c r="AC21" s="958"/>
      <c r="AD21" s="958"/>
      <c r="AE21" s="958"/>
      <c r="AF21" s="958"/>
      <c r="AG21" s="958"/>
      <c r="AH21" s="958"/>
      <c r="AI21" s="958"/>
      <c r="AJ21" s="958"/>
      <c r="AK21" s="958"/>
      <c r="AL21" s="958"/>
      <c r="AM21" s="958"/>
      <c r="AN21" s="958"/>
      <c r="AO21" s="958"/>
      <c r="AP21" s="958"/>
      <c r="AQ21" s="958"/>
      <c r="AR21" s="958"/>
      <c r="AS21" s="958"/>
      <c r="AT21" s="958"/>
      <c r="AU21" s="958"/>
      <c r="AV21" s="958"/>
      <c r="AW21" s="958"/>
      <c r="AX21" s="958"/>
      <c r="AY21" s="958"/>
      <c r="AZ21" s="958"/>
      <c r="BA21" s="958"/>
      <c r="BB21" s="958"/>
      <c r="BC21" s="958"/>
      <c r="BD21" s="958"/>
      <c r="BE21" s="958"/>
      <c r="BF21" s="958"/>
      <c r="BG21" s="958"/>
      <c r="BH21" s="958"/>
      <c r="BI21" s="958"/>
      <c r="BJ21" s="958"/>
      <c r="BK21" s="958"/>
      <c r="BL21" s="958"/>
      <c r="BM21" s="958"/>
      <c r="BN21" s="958"/>
      <c r="BO21" s="958"/>
      <c r="BP21" s="958"/>
      <c r="BQ21" s="958"/>
      <c r="BR21" s="958"/>
      <c r="BS21" s="958"/>
      <c r="BT21" s="958"/>
      <c r="BU21" s="958"/>
      <c r="BV21" s="958"/>
      <c r="BW21" s="958"/>
      <c r="BX21" s="958"/>
      <c r="BY21" s="958"/>
      <c r="BZ21" s="958"/>
      <c r="CA21" s="958"/>
      <c r="CB21" s="958"/>
      <c r="CC21" s="958"/>
      <c r="CD21" s="958"/>
      <c r="CE21" s="958"/>
      <c r="CF21" s="958"/>
      <c r="CG21" s="958"/>
      <c r="CH21" s="958"/>
      <c r="CI21" s="958"/>
      <c r="CJ21" s="958"/>
      <c r="CK21" s="958"/>
      <c r="CL21" s="958"/>
      <c r="CM21" s="958"/>
      <c r="CN21" s="958"/>
      <c r="CO21" s="958"/>
      <c r="CP21" s="958"/>
      <c r="CQ21" s="958"/>
      <c r="CR21" s="958"/>
      <c r="CS21" s="958"/>
      <c r="CT21" s="958"/>
      <c r="CU21" s="958"/>
      <c r="CV21" s="958"/>
      <c r="CW21" s="958"/>
      <c r="CX21" s="958"/>
      <c r="CY21" s="958"/>
      <c r="CZ21" s="958"/>
      <c r="DA21" s="958"/>
      <c r="DB21" s="958"/>
      <c r="DC21" s="958"/>
      <c r="DD21" s="958"/>
      <c r="DE21" s="958"/>
      <c r="DF21" s="958"/>
      <c r="DG21" s="958"/>
      <c r="DH21" s="958"/>
      <c r="DI21" s="958"/>
      <c r="DJ21" s="958"/>
      <c r="DK21" s="958"/>
      <c r="DL21" s="958"/>
      <c r="DM21" s="958"/>
      <c r="DN21" s="958"/>
      <c r="DO21" s="958"/>
      <c r="DP21" s="958"/>
      <c r="DQ21" s="958"/>
      <c r="DR21" s="958"/>
      <c r="DS21" s="958"/>
      <c r="DT21" s="958"/>
      <c r="DU21" s="958"/>
      <c r="DV21" s="958"/>
      <c r="DW21" s="958"/>
      <c r="DX21" s="958"/>
      <c r="DY21" s="958"/>
      <c r="DZ21" s="958"/>
      <c r="EA21" s="958"/>
      <c r="EB21" s="958"/>
      <c r="EC21" s="958"/>
      <c r="ED21" s="958"/>
      <c r="EE21" s="958"/>
      <c r="EF21" s="958"/>
      <c r="EG21" s="958"/>
      <c r="EH21" s="958"/>
      <c r="EI21" s="958"/>
      <c r="EJ21" s="958"/>
      <c r="EK21" s="958"/>
      <c r="EL21" s="958"/>
      <c r="EM21" s="958"/>
      <c r="EN21" s="958"/>
      <c r="EO21" s="958"/>
      <c r="EP21" s="958"/>
      <c r="EQ21" s="958"/>
      <c r="ER21" s="958"/>
      <c r="ES21" s="958"/>
      <c r="ET21" s="958"/>
      <c r="EU21" s="958"/>
      <c r="EV21" s="958"/>
      <c r="EW21" s="958"/>
      <c r="EX21" s="958"/>
      <c r="EY21" s="958"/>
      <c r="EZ21" s="958"/>
      <c r="FA21" s="958"/>
      <c r="FB21" s="958"/>
      <c r="FC21" s="958"/>
      <c r="FD21" s="958"/>
      <c r="FE21" s="958"/>
      <c r="FF21" s="958"/>
      <c r="FG21" s="958"/>
      <c r="FH21" s="958"/>
      <c r="FI21" s="958"/>
      <c r="FJ21" s="958"/>
      <c r="FK21" s="958"/>
      <c r="FL21" s="958"/>
      <c r="FM21" s="958"/>
      <c r="FN21" s="958"/>
      <c r="FO21" s="958"/>
      <c r="FP21" s="958"/>
      <c r="FQ21" s="958"/>
      <c r="FR21" s="958"/>
      <c r="FS21" s="958"/>
      <c r="FT21" s="958"/>
      <c r="FU21" s="958"/>
      <c r="FV21" s="958"/>
      <c r="FW21" s="958"/>
      <c r="FX21" s="958"/>
      <c r="FY21" s="958"/>
      <c r="FZ21" s="958"/>
      <c r="GA21" s="958"/>
      <c r="GB21" s="958"/>
      <c r="GC21" s="958"/>
      <c r="GD21" s="958"/>
      <c r="GE21" s="958"/>
      <c r="GF21" s="958"/>
      <c r="GG21" s="958"/>
      <c r="GH21" s="958"/>
      <c r="GI21" s="958"/>
      <c r="GJ21" s="958"/>
      <c r="GK21" s="958"/>
      <c r="GL21" s="958"/>
      <c r="GM21" s="958"/>
      <c r="GN21" s="958"/>
      <c r="GO21" s="958"/>
      <c r="GP21" s="958"/>
      <c r="GQ21" s="958"/>
      <c r="GR21" s="958"/>
      <c r="GS21" s="958"/>
      <c r="GT21" s="958"/>
      <c r="GU21" s="958"/>
      <c r="GV21" s="958"/>
      <c r="GW21" s="958"/>
      <c r="GX21" s="958"/>
      <c r="GY21" s="958"/>
      <c r="GZ21" s="958"/>
      <c r="HA21" s="958"/>
      <c r="HB21" s="958"/>
      <c r="HC21" s="958"/>
      <c r="HD21" s="958"/>
      <c r="HE21" s="958"/>
      <c r="HF21" s="958"/>
      <c r="HG21" s="958"/>
      <c r="HH21" s="958"/>
      <c r="HI21" s="958"/>
      <c r="HJ21" s="958"/>
      <c r="HK21" s="958"/>
      <c r="HL21" s="958"/>
      <c r="HM21" s="958"/>
      <c r="HN21" s="958"/>
      <c r="HO21" s="958"/>
      <c r="HP21" s="958"/>
      <c r="HQ21" s="958"/>
      <c r="HR21" s="958"/>
      <c r="HS21" s="958"/>
      <c r="HT21" s="958"/>
      <c r="HU21" s="958"/>
      <c r="HV21" s="958"/>
      <c r="HW21" s="958"/>
      <c r="HX21" s="958"/>
      <c r="HY21" s="958"/>
      <c r="HZ21" s="958"/>
      <c r="IA21" s="958"/>
      <c r="IB21" s="958"/>
      <c r="IC21" s="958"/>
      <c r="ID21" s="958"/>
      <c r="IE21" s="958"/>
      <c r="IF21" s="958"/>
      <c r="IG21" s="958"/>
      <c r="IH21" s="958"/>
      <c r="II21" s="958"/>
      <c r="IJ21" s="958"/>
      <c r="IK21" s="958"/>
      <c r="IL21" s="958"/>
      <c r="IM21" s="958"/>
      <c r="IN21" s="958"/>
      <c r="IO21" s="958"/>
      <c r="IP21" s="958"/>
      <c r="IQ21" s="958"/>
      <c r="IR21" s="958"/>
      <c r="IS21" s="958"/>
      <c r="IT21" s="958"/>
      <c r="IU21" s="958"/>
      <c r="IV21" s="958"/>
    </row>
    <row r="22" spans="1:256" ht="10.5" customHeight="1">
      <c r="A22" s="993" t="s">
        <v>843</v>
      </c>
      <c r="B22" s="982">
        <v>352.4</v>
      </c>
      <c r="C22" s="982">
        <v>352.3</v>
      </c>
      <c r="D22" s="983">
        <v>350.5</v>
      </c>
      <c r="E22" s="983">
        <v>364.2</v>
      </c>
      <c r="F22" s="983">
        <v>351.7</v>
      </c>
      <c r="G22" s="983">
        <f>268.5+1.3</f>
        <v>269.8</v>
      </c>
      <c r="H22" s="983">
        <f>301.8+0.5</f>
        <v>302.3</v>
      </c>
      <c r="I22" s="983">
        <v>352.5</v>
      </c>
      <c r="J22" s="983">
        <v>147.4</v>
      </c>
      <c r="K22" s="983">
        <v>137.9</v>
      </c>
      <c r="L22" s="994">
        <v>146.69999999999999</v>
      </c>
      <c r="M22" s="994">
        <v>81.2</v>
      </c>
      <c r="N22" s="983">
        <v>82.6</v>
      </c>
      <c r="O22" s="958"/>
      <c r="P22" s="958"/>
      <c r="Q22" s="958"/>
      <c r="R22" s="958"/>
      <c r="S22" s="958"/>
      <c r="T22" s="958"/>
      <c r="U22" s="958"/>
      <c r="V22" s="958"/>
      <c r="W22" s="958"/>
      <c r="X22" s="958"/>
      <c r="Y22" s="958"/>
      <c r="Z22" s="958"/>
      <c r="AA22" s="958"/>
      <c r="AB22" s="958"/>
      <c r="AC22" s="958"/>
      <c r="AD22" s="958"/>
      <c r="AE22" s="958"/>
      <c r="AF22" s="958"/>
      <c r="AG22" s="958"/>
      <c r="AH22" s="958"/>
      <c r="AI22" s="958"/>
      <c r="AJ22" s="958"/>
      <c r="AK22" s="958"/>
      <c r="AL22" s="958"/>
      <c r="AM22" s="958"/>
      <c r="AN22" s="958"/>
      <c r="AO22" s="958"/>
      <c r="AP22" s="958"/>
      <c r="AQ22" s="958"/>
      <c r="AR22" s="958"/>
      <c r="AS22" s="958"/>
      <c r="AT22" s="958"/>
      <c r="AU22" s="958"/>
      <c r="AV22" s="958"/>
      <c r="AW22" s="958"/>
      <c r="AX22" s="958"/>
      <c r="AY22" s="958"/>
      <c r="AZ22" s="958"/>
      <c r="BA22" s="958"/>
      <c r="BB22" s="958"/>
      <c r="BC22" s="958"/>
      <c r="BD22" s="958"/>
      <c r="BE22" s="958"/>
      <c r="BF22" s="958"/>
      <c r="BG22" s="958"/>
      <c r="BH22" s="958"/>
      <c r="BI22" s="958"/>
      <c r="BJ22" s="958"/>
      <c r="BK22" s="958"/>
      <c r="BL22" s="958"/>
      <c r="BM22" s="958"/>
      <c r="BN22" s="958"/>
      <c r="BO22" s="958"/>
      <c r="BP22" s="958"/>
      <c r="BQ22" s="958"/>
      <c r="BR22" s="958"/>
      <c r="BS22" s="958"/>
      <c r="BT22" s="958"/>
      <c r="BU22" s="958"/>
      <c r="BV22" s="958"/>
      <c r="BW22" s="958"/>
      <c r="BX22" s="958"/>
      <c r="BY22" s="958"/>
      <c r="BZ22" s="958"/>
      <c r="CA22" s="958"/>
      <c r="CB22" s="958"/>
      <c r="CC22" s="958"/>
      <c r="CD22" s="958"/>
      <c r="CE22" s="958"/>
      <c r="CF22" s="958"/>
      <c r="CG22" s="958"/>
      <c r="CH22" s="958"/>
      <c r="CI22" s="958"/>
      <c r="CJ22" s="958"/>
      <c r="CK22" s="958"/>
      <c r="CL22" s="958"/>
      <c r="CM22" s="958"/>
      <c r="CN22" s="958"/>
      <c r="CO22" s="958"/>
      <c r="CP22" s="958"/>
      <c r="CQ22" s="958"/>
      <c r="CR22" s="958"/>
      <c r="CS22" s="958"/>
      <c r="CT22" s="958"/>
      <c r="CU22" s="958"/>
      <c r="CV22" s="958"/>
      <c r="CW22" s="958"/>
      <c r="CX22" s="958"/>
      <c r="CY22" s="958"/>
      <c r="CZ22" s="958"/>
      <c r="DA22" s="958"/>
      <c r="DB22" s="958"/>
      <c r="DC22" s="958"/>
      <c r="DD22" s="958"/>
      <c r="DE22" s="958"/>
      <c r="DF22" s="958"/>
      <c r="DG22" s="958"/>
      <c r="DH22" s="958"/>
      <c r="DI22" s="958"/>
      <c r="DJ22" s="958"/>
      <c r="DK22" s="958"/>
      <c r="DL22" s="958"/>
      <c r="DM22" s="958"/>
      <c r="DN22" s="958"/>
      <c r="DO22" s="958"/>
      <c r="DP22" s="958"/>
      <c r="DQ22" s="958"/>
      <c r="DR22" s="958"/>
      <c r="DS22" s="958"/>
      <c r="DT22" s="958"/>
      <c r="DU22" s="958"/>
      <c r="DV22" s="958"/>
      <c r="DW22" s="958"/>
      <c r="DX22" s="958"/>
      <c r="DY22" s="958"/>
      <c r="DZ22" s="958"/>
      <c r="EA22" s="958"/>
      <c r="EB22" s="958"/>
      <c r="EC22" s="958"/>
      <c r="ED22" s="958"/>
      <c r="EE22" s="958"/>
      <c r="EF22" s="958"/>
      <c r="EG22" s="958"/>
      <c r="EH22" s="958"/>
      <c r="EI22" s="958"/>
      <c r="EJ22" s="958"/>
      <c r="EK22" s="958"/>
      <c r="EL22" s="958"/>
      <c r="EM22" s="958"/>
      <c r="EN22" s="958"/>
      <c r="EO22" s="958"/>
      <c r="EP22" s="958"/>
      <c r="EQ22" s="958"/>
      <c r="ER22" s="958"/>
      <c r="ES22" s="958"/>
      <c r="ET22" s="958"/>
      <c r="EU22" s="958"/>
      <c r="EV22" s="958"/>
      <c r="EW22" s="958"/>
      <c r="EX22" s="958"/>
      <c r="EY22" s="958"/>
      <c r="EZ22" s="958"/>
      <c r="FA22" s="958"/>
      <c r="FB22" s="958"/>
      <c r="FC22" s="958"/>
      <c r="FD22" s="958"/>
      <c r="FE22" s="958"/>
      <c r="FF22" s="958"/>
      <c r="FG22" s="958"/>
      <c r="FH22" s="958"/>
      <c r="FI22" s="958"/>
      <c r="FJ22" s="958"/>
      <c r="FK22" s="958"/>
      <c r="FL22" s="958"/>
      <c r="FM22" s="958"/>
      <c r="FN22" s="958"/>
      <c r="FO22" s="958"/>
      <c r="FP22" s="958"/>
      <c r="FQ22" s="958"/>
      <c r="FR22" s="958"/>
      <c r="FS22" s="958"/>
      <c r="FT22" s="958"/>
      <c r="FU22" s="958"/>
      <c r="FV22" s="958"/>
      <c r="FW22" s="958"/>
      <c r="FX22" s="958"/>
      <c r="FY22" s="958"/>
      <c r="FZ22" s="958"/>
      <c r="GA22" s="958"/>
      <c r="GB22" s="958"/>
      <c r="GC22" s="958"/>
      <c r="GD22" s="958"/>
      <c r="GE22" s="958"/>
      <c r="GF22" s="958"/>
      <c r="GG22" s="958"/>
      <c r="GH22" s="958"/>
      <c r="GI22" s="958"/>
      <c r="GJ22" s="958"/>
      <c r="GK22" s="958"/>
      <c r="GL22" s="958"/>
      <c r="GM22" s="958"/>
      <c r="GN22" s="958"/>
      <c r="GO22" s="958"/>
      <c r="GP22" s="958"/>
      <c r="GQ22" s="958"/>
      <c r="GR22" s="958"/>
      <c r="GS22" s="958"/>
      <c r="GT22" s="958"/>
      <c r="GU22" s="958"/>
      <c r="GV22" s="958"/>
      <c r="GW22" s="958"/>
      <c r="GX22" s="958"/>
      <c r="GY22" s="958"/>
      <c r="GZ22" s="958"/>
      <c r="HA22" s="958"/>
      <c r="HB22" s="958"/>
      <c r="HC22" s="958"/>
      <c r="HD22" s="958"/>
      <c r="HE22" s="958"/>
      <c r="HF22" s="958"/>
      <c r="HG22" s="958"/>
      <c r="HH22" s="958"/>
      <c r="HI22" s="958"/>
      <c r="HJ22" s="958"/>
      <c r="HK22" s="958"/>
      <c r="HL22" s="958"/>
      <c r="HM22" s="958"/>
      <c r="HN22" s="958"/>
      <c r="HO22" s="958"/>
      <c r="HP22" s="958"/>
      <c r="HQ22" s="958"/>
      <c r="HR22" s="958"/>
      <c r="HS22" s="958"/>
      <c r="HT22" s="958"/>
      <c r="HU22" s="958"/>
      <c r="HV22" s="958"/>
      <c r="HW22" s="958"/>
      <c r="HX22" s="958"/>
      <c r="HY22" s="958"/>
      <c r="HZ22" s="958"/>
      <c r="IA22" s="958"/>
      <c r="IB22" s="958"/>
      <c r="IC22" s="958"/>
      <c r="ID22" s="958"/>
      <c r="IE22" s="958"/>
      <c r="IF22" s="958"/>
      <c r="IG22" s="958"/>
      <c r="IH22" s="958"/>
      <c r="II22" s="958"/>
      <c r="IJ22" s="958"/>
      <c r="IK22" s="958"/>
      <c r="IL22" s="958"/>
      <c r="IM22" s="958"/>
      <c r="IN22" s="958"/>
      <c r="IO22" s="958"/>
      <c r="IP22" s="958"/>
      <c r="IQ22" s="958"/>
      <c r="IR22" s="958"/>
      <c r="IS22" s="958"/>
      <c r="IT22" s="958"/>
      <c r="IU22" s="958"/>
      <c r="IV22" s="958"/>
    </row>
    <row r="23" spans="1:256" s="966" customFormat="1" ht="13.5" customHeight="1" thickBot="1">
      <c r="A23" s="986" t="s">
        <v>844</v>
      </c>
      <c r="B23" s="995">
        <v>1611.4</v>
      </c>
      <c r="C23" s="995">
        <v>1662</v>
      </c>
      <c r="D23" s="996">
        <v>1694.2</v>
      </c>
      <c r="E23" s="996">
        <v>1484.7</v>
      </c>
      <c r="F23" s="997">
        <v>1558</v>
      </c>
      <c r="G23" s="997">
        <f>SUM(G19:G22)</f>
        <v>1345.9</v>
      </c>
      <c r="H23" s="997">
        <v>1445.3</v>
      </c>
      <c r="I23" s="997">
        <v>1457.9</v>
      </c>
      <c r="J23" s="997">
        <v>1158.5</v>
      </c>
      <c r="K23" s="997">
        <v>1166.9000000000001</v>
      </c>
      <c r="L23" s="998">
        <v>990.2</v>
      </c>
      <c r="M23" s="999">
        <v>930.4</v>
      </c>
      <c r="N23" s="997">
        <v>966</v>
      </c>
      <c r="O23" s="965"/>
      <c r="P23" s="965"/>
      <c r="Q23" s="965"/>
      <c r="R23" s="965"/>
      <c r="S23" s="965"/>
      <c r="T23" s="965"/>
      <c r="U23" s="965"/>
      <c r="V23" s="965"/>
      <c r="W23" s="965"/>
      <c r="X23" s="965"/>
      <c r="Y23" s="965"/>
      <c r="Z23" s="965"/>
      <c r="AA23" s="965"/>
      <c r="AB23" s="965"/>
      <c r="AC23" s="965"/>
      <c r="AD23" s="965"/>
      <c r="AE23" s="965"/>
      <c r="AF23" s="965"/>
      <c r="AG23" s="965"/>
      <c r="AH23" s="965"/>
      <c r="AI23" s="965"/>
      <c r="AJ23" s="965"/>
      <c r="AK23" s="965"/>
      <c r="AL23" s="965"/>
      <c r="AM23" s="965"/>
      <c r="AN23" s="965"/>
      <c r="AO23" s="965"/>
      <c r="AP23" s="965"/>
      <c r="AQ23" s="965"/>
      <c r="AR23" s="965"/>
      <c r="AS23" s="965"/>
      <c r="AT23" s="965"/>
      <c r="AU23" s="965"/>
      <c r="AV23" s="965"/>
      <c r="AW23" s="965"/>
      <c r="AX23" s="965"/>
      <c r="AY23" s="965"/>
      <c r="AZ23" s="965"/>
      <c r="BA23" s="965"/>
      <c r="BB23" s="965"/>
      <c r="BC23" s="965"/>
      <c r="BD23" s="965"/>
      <c r="BE23" s="965"/>
      <c r="BF23" s="965"/>
      <c r="BG23" s="965"/>
      <c r="BH23" s="965"/>
      <c r="BI23" s="965"/>
      <c r="BJ23" s="965"/>
      <c r="BK23" s="965"/>
      <c r="BL23" s="965"/>
      <c r="BM23" s="965"/>
      <c r="BN23" s="965"/>
      <c r="BO23" s="965"/>
      <c r="BP23" s="965"/>
      <c r="BQ23" s="965"/>
      <c r="BR23" s="965"/>
      <c r="BS23" s="965"/>
      <c r="BT23" s="965"/>
      <c r="BU23" s="965"/>
      <c r="BV23" s="965"/>
      <c r="BW23" s="965"/>
      <c r="BX23" s="965"/>
      <c r="BY23" s="965"/>
      <c r="BZ23" s="965"/>
      <c r="CA23" s="965"/>
      <c r="CB23" s="965"/>
      <c r="CC23" s="965"/>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c r="EC23" s="965"/>
      <c r="ED23" s="965"/>
      <c r="EE23" s="965"/>
      <c r="EF23" s="965"/>
      <c r="EG23" s="965"/>
      <c r="EH23" s="965"/>
      <c r="EI23" s="965"/>
      <c r="EJ23" s="965"/>
      <c r="EK23" s="965"/>
      <c r="EL23" s="965"/>
      <c r="EM23" s="965"/>
      <c r="EN23" s="965"/>
      <c r="EO23" s="965"/>
      <c r="EP23" s="965"/>
      <c r="EQ23" s="965"/>
      <c r="ER23" s="965"/>
      <c r="ES23" s="965"/>
      <c r="ET23" s="965"/>
      <c r="EU23" s="965"/>
      <c r="EV23" s="965"/>
      <c r="EW23" s="965"/>
      <c r="EX23" s="965"/>
      <c r="EY23" s="965"/>
      <c r="EZ23" s="965"/>
      <c r="FA23" s="965"/>
      <c r="FB23" s="965"/>
      <c r="FC23" s="965"/>
      <c r="FD23" s="965"/>
      <c r="FE23" s="965"/>
      <c r="FF23" s="965"/>
      <c r="FG23" s="965"/>
      <c r="FH23" s="965"/>
      <c r="FI23" s="965"/>
      <c r="FJ23" s="965"/>
      <c r="FK23" s="965"/>
      <c r="FL23" s="965"/>
      <c r="FM23" s="965"/>
      <c r="FN23" s="965"/>
      <c r="FO23" s="965"/>
      <c r="FP23" s="965"/>
      <c r="FQ23" s="965"/>
      <c r="FR23" s="965"/>
      <c r="FS23" s="965"/>
      <c r="FT23" s="965"/>
      <c r="FU23" s="965"/>
      <c r="FV23" s="965"/>
      <c r="FW23" s="965"/>
      <c r="FX23" s="965"/>
      <c r="FY23" s="965"/>
      <c r="FZ23" s="965"/>
      <c r="GA23" s="965"/>
      <c r="GB23" s="965"/>
      <c r="GC23" s="965"/>
      <c r="GD23" s="965"/>
      <c r="GE23" s="965"/>
      <c r="GF23" s="965"/>
      <c r="GG23" s="965"/>
      <c r="GH23" s="965"/>
      <c r="GI23" s="965"/>
      <c r="GJ23" s="965"/>
      <c r="GK23" s="965"/>
      <c r="GL23" s="965"/>
      <c r="GM23" s="965"/>
      <c r="GN23" s="965"/>
      <c r="GO23" s="965"/>
      <c r="GP23" s="965"/>
      <c r="GQ23" s="965"/>
      <c r="GR23" s="965"/>
      <c r="GS23" s="965"/>
      <c r="GT23" s="965"/>
      <c r="GU23" s="965"/>
      <c r="GV23" s="965"/>
      <c r="GW23" s="965"/>
      <c r="GX23" s="965"/>
      <c r="GY23" s="965"/>
      <c r="GZ23" s="965"/>
      <c r="HA23" s="965"/>
      <c r="HB23" s="965"/>
      <c r="HC23" s="965"/>
      <c r="HD23" s="965"/>
      <c r="HE23" s="965"/>
      <c r="HF23" s="965"/>
      <c r="HG23" s="965"/>
      <c r="HH23" s="965"/>
      <c r="HI23" s="965"/>
      <c r="HJ23" s="965"/>
      <c r="HK23" s="965"/>
      <c r="HL23" s="965"/>
      <c r="HM23" s="965"/>
      <c r="HN23" s="965"/>
      <c r="HO23" s="965"/>
      <c r="HP23" s="965"/>
      <c r="HQ23" s="965"/>
      <c r="HR23" s="965"/>
      <c r="HS23" s="965"/>
      <c r="HT23" s="965"/>
      <c r="HU23" s="965"/>
      <c r="HV23" s="965"/>
      <c r="HW23" s="965"/>
      <c r="HX23" s="965"/>
      <c r="HY23" s="965"/>
      <c r="HZ23" s="965"/>
      <c r="IA23" s="965"/>
      <c r="IB23" s="965"/>
      <c r="IC23" s="965"/>
      <c r="ID23" s="965"/>
      <c r="IE23" s="965"/>
      <c r="IF23" s="965"/>
      <c r="IG23" s="965"/>
      <c r="IH23" s="965"/>
      <c r="II23" s="965"/>
      <c r="IJ23" s="965"/>
      <c r="IK23" s="965"/>
      <c r="IL23" s="965"/>
      <c r="IM23" s="965"/>
      <c r="IN23" s="965"/>
      <c r="IO23" s="965"/>
      <c r="IP23" s="965"/>
      <c r="IQ23" s="965"/>
      <c r="IR23" s="965"/>
      <c r="IS23" s="965"/>
      <c r="IT23" s="965"/>
      <c r="IU23" s="965"/>
      <c r="IV23" s="965"/>
    </row>
    <row r="24" spans="1:256" ht="12" customHeight="1" thickTop="1">
      <c r="A24" s="1000" t="s">
        <v>849</v>
      </c>
      <c r="B24" s="978">
        <v>591</v>
      </c>
      <c r="C24" s="978">
        <v>617.9</v>
      </c>
      <c r="D24" s="979">
        <v>669.2</v>
      </c>
      <c r="E24" s="979">
        <v>694.4</v>
      </c>
      <c r="F24" s="979">
        <v>939.9</v>
      </c>
      <c r="G24" s="979">
        <v>791.8</v>
      </c>
      <c r="H24" s="979">
        <v>759.3</v>
      </c>
      <c r="I24" s="979">
        <v>791.4</v>
      </c>
      <c r="J24" s="979">
        <v>737.1</v>
      </c>
      <c r="K24" s="979">
        <v>875</v>
      </c>
      <c r="L24" s="985">
        <v>865.6</v>
      </c>
      <c r="M24" s="985">
        <v>799.7</v>
      </c>
      <c r="N24" s="979">
        <v>811.9</v>
      </c>
      <c r="O24" s="958"/>
      <c r="P24" s="958"/>
      <c r="Q24" s="958"/>
      <c r="R24" s="958"/>
      <c r="S24" s="958"/>
      <c r="T24" s="958"/>
      <c r="U24" s="958"/>
      <c r="V24" s="958"/>
      <c r="W24" s="958"/>
      <c r="X24" s="958"/>
      <c r="Y24" s="958"/>
      <c r="Z24" s="958"/>
      <c r="AA24" s="958"/>
      <c r="AB24" s="958"/>
      <c r="AC24" s="958"/>
      <c r="AD24" s="958"/>
      <c r="AE24" s="958"/>
      <c r="AF24" s="958"/>
      <c r="AG24" s="958"/>
      <c r="AH24" s="958"/>
      <c r="AI24" s="958"/>
      <c r="AJ24" s="958"/>
      <c r="AK24" s="958"/>
      <c r="AL24" s="958"/>
      <c r="AM24" s="958"/>
      <c r="AN24" s="958"/>
      <c r="AO24" s="958"/>
      <c r="AP24" s="958"/>
      <c r="AQ24" s="958"/>
      <c r="AR24" s="958"/>
      <c r="AS24" s="958"/>
      <c r="AT24" s="958"/>
      <c r="AU24" s="958"/>
      <c r="AV24" s="958"/>
      <c r="AW24" s="958"/>
      <c r="AX24" s="958"/>
      <c r="AY24" s="958"/>
      <c r="AZ24" s="958"/>
      <c r="BA24" s="958"/>
      <c r="BB24" s="958"/>
      <c r="BC24" s="958"/>
      <c r="BD24" s="958"/>
      <c r="BE24" s="958"/>
      <c r="BF24" s="958"/>
      <c r="BG24" s="958"/>
      <c r="BH24" s="958"/>
      <c r="BI24" s="958"/>
      <c r="BJ24" s="958"/>
      <c r="BK24" s="958"/>
      <c r="BL24" s="958"/>
      <c r="BM24" s="958"/>
      <c r="BN24" s="958"/>
      <c r="BO24" s="958"/>
      <c r="BP24" s="958"/>
      <c r="BQ24" s="958"/>
      <c r="BR24" s="958"/>
      <c r="BS24" s="958"/>
      <c r="BT24" s="958"/>
      <c r="BU24" s="958"/>
      <c r="BV24" s="958"/>
      <c r="BW24" s="958"/>
      <c r="BX24" s="958"/>
      <c r="BY24" s="958"/>
      <c r="BZ24" s="958"/>
      <c r="CA24" s="958"/>
      <c r="CB24" s="958"/>
      <c r="CC24" s="958"/>
      <c r="CD24" s="958"/>
      <c r="CE24" s="958"/>
      <c r="CF24" s="958"/>
      <c r="CG24" s="958"/>
      <c r="CH24" s="958"/>
      <c r="CI24" s="958"/>
      <c r="CJ24" s="958"/>
      <c r="CK24" s="958"/>
      <c r="CL24" s="958"/>
      <c r="CM24" s="958"/>
      <c r="CN24" s="958"/>
      <c r="CO24" s="958"/>
      <c r="CP24" s="958"/>
      <c r="CQ24" s="958"/>
      <c r="CR24" s="958"/>
      <c r="CS24" s="958"/>
      <c r="CT24" s="958"/>
      <c r="CU24" s="958"/>
      <c r="CV24" s="958"/>
      <c r="CW24" s="958"/>
      <c r="CX24" s="958"/>
      <c r="CY24" s="958"/>
      <c r="CZ24" s="958"/>
      <c r="DA24" s="958"/>
      <c r="DB24" s="958"/>
      <c r="DC24" s="958"/>
      <c r="DD24" s="958"/>
      <c r="DE24" s="958"/>
      <c r="DF24" s="958"/>
      <c r="DG24" s="958"/>
      <c r="DH24" s="958"/>
      <c r="DI24" s="958"/>
      <c r="DJ24" s="958"/>
      <c r="DK24" s="958"/>
      <c r="DL24" s="958"/>
      <c r="DM24" s="958"/>
      <c r="DN24" s="958"/>
      <c r="DO24" s="958"/>
      <c r="DP24" s="958"/>
      <c r="DQ24" s="958"/>
      <c r="DR24" s="958"/>
      <c r="DS24" s="958"/>
      <c r="DT24" s="958"/>
      <c r="DU24" s="958"/>
      <c r="DV24" s="958"/>
      <c r="DW24" s="958"/>
      <c r="DX24" s="958"/>
      <c r="DY24" s="958"/>
      <c r="DZ24" s="958"/>
      <c r="EA24" s="958"/>
      <c r="EB24" s="958"/>
      <c r="EC24" s="958"/>
      <c r="ED24" s="958"/>
      <c r="EE24" s="958"/>
      <c r="EF24" s="958"/>
      <c r="EG24" s="958"/>
      <c r="EH24" s="958"/>
      <c r="EI24" s="958"/>
      <c r="EJ24" s="958"/>
      <c r="EK24" s="958"/>
      <c r="EL24" s="958"/>
      <c r="EM24" s="958"/>
      <c r="EN24" s="958"/>
      <c r="EO24" s="958"/>
      <c r="EP24" s="958"/>
      <c r="EQ24" s="958"/>
      <c r="ER24" s="958"/>
      <c r="ES24" s="958"/>
      <c r="ET24" s="958"/>
      <c r="EU24" s="958"/>
      <c r="EV24" s="958"/>
      <c r="EW24" s="958"/>
      <c r="EX24" s="958"/>
      <c r="EY24" s="958"/>
      <c r="EZ24" s="958"/>
      <c r="FA24" s="958"/>
      <c r="FB24" s="958"/>
      <c r="FC24" s="958"/>
      <c r="FD24" s="958"/>
      <c r="FE24" s="958"/>
      <c r="FF24" s="958"/>
      <c r="FG24" s="958"/>
      <c r="FH24" s="958"/>
      <c r="FI24" s="958"/>
      <c r="FJ24" s="958"/>
      <c r="FK24" s="958"/>
      <c r="FL24" s="958"/>
      <c r="FM24" s="958"/>
      <c r="FN24" s="958"/>
      <c r="FO24" s="958"/>
      <c r="FP24" s="958"/>
      <c r="FQ24" s="958"/>
      <c r="FR24" s="958"/>
      <c r="FS24" s="958"/>
      <c r="FT24" s="958"/>
      <c r="FU24" s="958"/>
      <c r="FV24" s="958"/>
      <c r="FW24" s="958"/>
      <c r="FX24" s="958"/>
      <c r="FY24" s="958"/>
      <c r="FZ24" s="958"/>
      <c r="GA24" s="958"/>
      <c r="GB24" s="958"/>
      <c r="GC24" s="958"/>
      <c r="GD24" s="958"/>
      <c r="GE24" s="958"/>
      <c r="GF24" s="958"/>
      <c r="GG24" s="958"/>
      <c r="GH24" s="958"/>
      <c r="GI24" s="958"/>
      <c r="GJ24" s="958"/>
      <c r="GK24" s="958"/>
      <c r="GL24" s="958"/>
      <c r="GM24" s="958"/>
      <c r="GN24" s="958"/>
      <c r="GO24" s="958"/>
      <c r="GP24" s="958"/>
      <c r="GQ24" s="958"/>
      <c r="GR24" s="958"/>
      <c r="GS24" s="958"/>
      <c r="GT24" s="958"/>
      <c r="GU24" s="958"/>
      <c r="GV24" s="958"/>
      <c r="GW24" s="958"/>
      <c r="GX24" s="958"/>
      <c r="GY24" s="958"/>
      <c r="GZ24" s="958"/>
      <c r="HA24" s="958"/>
      <c r="HB24" s="958"/>
      <c r="HC24" s="958"/>
      <c r="HD24" s="958"/>
      <c r="HE24" s="958"/>
      <c r="HF24" s="958"/>
      <c r="HG24" s="958"/>
      <c r="HH24" s="958"/>
      <c r="HI24" s="958"/>
      <c r="HJ24" s="958"/>
      <c r="HK24" s="958"/>
      <c r="HL24" s="958"/>
      <c r="HM24" s="958"/>
      <c r="HN24" s="958"/>
      <c r="HO24" s="958"/>
      <c r="HP24" s="958"/>
      <c r="HQ24" s="958"/>
      <c r="HR24" s="958"/>
      <c r="HS24" s="958"/>
      <c r="HT24" s="958"/>
      <c r="HU24" s="958"/>
      <c r="HV24" s="958"/>
      <c r="HW24" s="958"/>
      <c r="HX24" s="958"/>
      <c r="HY24" s="958"/>
      <c r="HZ24" s="958"/>
      <c r="IA24" s="958"/>
      <c r="IB24" s="958"/>
      <c r="IC24" s="958"/>
      <c r="ID24" s="958"/>
      <c r="IE24" s="958"/>
      <c r="IF24" s="958"/>
      <c r="IG24" s="958"/>
      <c r="IH24" s="958"/>
      <c r="II24" s="958"/>
      <c r="IJ24" s="958"/>
      <c r="IK24" s="958"/>
      <c r="IL24" s="958"/>
      <c r="IM24" s="958"/>
      <c r="IN24" s="958"/>
      <c r="IO24" s="958"/>
      <c r="IP24" s="958"/>
      <c r="IQ24" s="958"/>
      <c r="IR24" s="958"/>
      <c r="IS24" s="958"/>
      <c r="IT24" s="958"/>
      <c r="IU24" s="958"/>
      <c r="IV24" s="958"/>
    </row>
    <row r="25" spans="1:256" ht="12" customHeight="1">
      <c r="A25" s="1001" t="s">
        <v>850</v>
      </c>
      <c r="B25" s="982">
        <v>6873</v>
      </c>
      <c r="C25" s="982">
        <v>7186</v>
      </c>
      <c r="D25" s="983">
        <v>7783</v>
      </c>
      <c r="E25" s="983">
        <v>8075</v>
      </c>
      <c r="F25" s="983">
        <v>10931</v>
      </c>
      <c r="G25" s="983">
        <v>9207.75</v>
      </c>
      <c r="H25" s="983">
        <v>8830.1</v>
      </c>
      <c r="I25" s="983">
        <v>9203.9</v>
      </c>
      <c r="J25" s="983">
        <v>8572.2999999999993</v>
      </c>
      <c r="K25" s="983">
        <v>10176.799999999999</v>
      </c>
      <c r="L25" s="994">
        <v>10066.9</v>
      </c>
      <c r="M25" s="994">
        <v>9300.2999999999993</v>
      </c>
      <c r="N25" s="983">
        <v>9442.7999999999993</v>
      </c>
      <c r="O25" s="958"/>
      <c r="P25" s="958"/>
      <c r="Q25" s="958"/>
      <c r="R25" s="958"/>
      <c r="S25" s="958"/>
      <c r="T25" s="958"/>
      <c r="U25" s="958"/>
      <c r="V25" s="958"/>
      <c r="W25" s="958"/>
      <c r="X25" s="958"/>
      <c r="Y25" s="958"/>
      <c r="Z25" s="958"/>
      <c r="AA25" s="958"/>
      <c r="AB25" s="958"/>
      <c r="AC25" s="958"/>
      <c r="AD25" s="958"/>
      <c r="AE25" s="958"/>
      <c r="AF25" s="958"/>
      <c r="AG25" s="958"/>
      <c r="AH25" s="958"/>
      <c r="AI25" s="958"/>
      <c r="AJ25" s="958"/>
      <c r="AK25" s="958"/>
      <c r="AL25" s="958"/>
      <c r="AM25" s="958"/>
      <c r="AN25" s="958"/>
      <c r="AO25" s="958"/>
      <c r="AP25" s="958"/>
      <c r="AQ25" s="958"/>
      <c r="AR25" s="958"/>
      <c r="AS25" s="958"/>
      <c r="AT25" s="958"/>
      <c r="AU25" s="958"/>
      <c r="AV25" s="958"/>
      <c r="AW25" s="958"/>
      <c r="AX25" s="958"/>
      <c r="AY25" s="958"/>
      <c r="AZ25" s="958"/>
      <c r="BA25" s="958"/>
      <c r="BB25" s="958"/>
      <c r="BC25" s="958"/>
      <c r="BD25" s="958"/>
      <c r="BE25" s="958"/>
      <c r="BF25" s="958"/>
      <c r="BG25" s="958"/>
      <c r="BH25" s="958"/>
      <c r="BI25" s="958"/>
      <c r="BJ25" s="958"/>
      <c r="BK25" s="958"/>
      <c r="BL25" s="958"/>
      <c r="BM25" s="958"/>
      <c r="BN25" s="958"/>
      <c r="BO25" s="958"/>
      <c r="BP25" s="958"/>
      <c r="BQ25" s="958"/>
      <c r="BR25" s="958"/>
      <c r="BS25" s="958"/>
      <c r="BT25" s="958"/>
      <c r="BU25" s="958"/>
      <c r="BV25" s="958"/>
      <c r="BW25" s="958"/>
      <c r="BX25" s="958"/>
      <c r="BY25" s="958"/>
      <c r="BZ25" s="958"/>
      <c r="CA25" s="958"/>
      <c r="CB25" s="958"/>
      <c r="CC25" s="958"/>
      <c r="CD25" s="958"/>
      <c r="CE25" s="958"/>
      <c r="CF25" s="958"/>
      <c r="CG25" s="958"/>
      <c r="CH25" s="958"/>
      <c r="CI25" s="958"/>
      <c r="CJ25" s="958"/>
      <c r="CK25" s="958"/>
      <c r="CL25" s="958"/>
      <c r="CM25" s="958"/>
      <c r="CN25" s="958"/>
      <c r="CO25" s="958"/>
      <c r="CP25" s="958"/>
      <c r="CQ25" s="958"/>
      <c r="CR25" s="958"/>
      <c r="CS25" s="958"/>
      <c r="CT25" s="958"/>
      <c r="CU25" s="958"/>
      <c r="CV25" s="958"/>
      <c r="CW25" s="958"/>
      <c r="CX25" s="958"/>
      <c r="CY25" s="958"/>
      <c r="CZ25" s="958"/>
      <c r="DA25" s="958"/>
      <c r="DB25" s="958"/>
      <c r="DC25" s="958"/>
      <c r="DD25" s="958"/>
      <c r="DE25" s="958"/>
      <c r="DF25" s="958"/>
      <c r="DG25" s="958"/>
      <c r="DH25" s="958"/>
      <c r="DI25" s="958"/>
      <c r="DJ25" s="958"/>
      <c r="DK25" s="958"/>
      <c r="DL25" s="958"/>
      <c r="DM25" s="958"/>
      <c r="DN25" s="958"/>
      <c r="DO25" s="958"/>
      <c r="DP25" s="958"/>
      <c r="DQ25" s="958"/>
      <c r="DR25" s="958"/>
      <c r="DS25" s="958"/>
      <c r="DT25" s="958"/>
      <c r="DU25" s="958"/>
      <c r="DV25" s="958"/>
      <c r="DW25" s="958"/>
      <c r="DX25" s="958"/>
      <c r="DY25" s="958"/>
      <c r="DZ25" s="958"/>
      <c r="EA25" s="958"/>
      <c r="EB25" s="958"/>
      <c r="EC25" s="958"/>
      <c r="ED25" s="958"/>
      <c r="EE25" s="958"/>
      <c r="EF25" s="958"/>
      <c r="EG25" s="958"/>
      <c r="EH25" s="958"/>
      <c r="EI25" s="958"/>
      <c r="EJ25" s="958"/>
      <c r="EK25" s="958"/>
      <c r="EL25" s="958"/>
      <c r="EM25" s="958"/>
      <c r="EN25" s="958"/>
      <c r="EO25" s="958"/>
      <c r="EP25" s="958"/>
      <c r="EQ25" s="958"/>
      <c r="ER25" s="958"/>
      <c r="ES25" s="958"/>
      <c r="ET25" s="958"/>
      <c r="EU25" s="958"/>
      <c r="EV25" s="958"/>
      <c r="EW25" s="958"/>
      <c r="EX25" s="958"/>
      <c r="EY25" s="958"/>
      <c r="EZ25" s="958"/>
      <c r="FA25" s="958"/>
      <c r="FB25" s="958"/>
      <c r="FC25" s="958"/>
      <c r="FD25" s="958"/>
      <c r="FE25" s="958"/>
      <c r="FF25" s="958"/>
      <c r="FG25" s="958"/>
      <c r="FH25" s="958"/>
      <c r="FI25" s="958"/>
      <c r="FJ25" s="958"/>
      <c r="FK25" s="958"/>
      <c r="FL25" s="958"/>
      <c r="FM25" s="958"/>
      <c r="FN25" s="958"/>
      <c r="FO25" s="958"/>
      <c r="FP25" s="958"/>
      <c r="FQ25" s="958"/>
      <c r="FR25" s="958"/>
      <c r="FS25" s="958"/>
      <c r="FT25" s="958"/>
      <c r="FU25" s="958"/>
      <c r="FV25" s="958"/>
      <c r="FW25" s="958"/>
      <c r="FX25" s="958"/>
      <c r="FY25" s="958"/>
      <c r="FZ25" s="958"/>
      <c r="GA25" s="958"/>
      <c r="GB25" s="958"/>
      <c r="GC25" s="958"/>
      <c r="GD25" s="958"/>
      <c r="GE25" s="958"/>
      <c r="GF25" s="958"/>
      <c r="GG25" s="958"/>
      <c r="GH25" s="958"/>
      <c r="GI25" s="958"/>
      <c r="GJ25" s="958"/>
      <c r="GK25" s="958"/>
      <c r="GL25" s="958"/>
      <c r="GM25" s="958"/>
      <c r="GN25" s="958"/>
      <c r="GO25" s="958"/>
      <c r="GP25" s="958"/>
      <c r="GQ25" s="958"/>
      <c r="GR25" s="958"/>
      <c r="GS25" s="958"/>
      <c r="GT25" s="958"/>
      <c r="GU25" s="958"/>
      <c r="GV25" s="958"/>
      <c r="GW25" s="958"/>
      <c r="GX25" s="958"/>
      <c r="GY25" s="958"/>
      <c r="GZ25" s="958"/>
      <c r="HA25" s="958"/>
      <c r="HB25" s="958"/>
      <c r="HC25" s="958"/>
      <c r="HD25" s="958"/>
      <c r="HE25" s="958"/>
      <c r="HF25" s="958"/>
      <c r="HG25" s="958"/>
      <c r="HH25" s="958"/>
      <c r="HI25" s="958"/>
      <c r="HJ25" s="958"/>
      <c r="HK25" s="958"/>
      <c r="HL25" s="958"/>
      <c r="HM25" s="958"/>
      <c r="HN25" s="958"/>
      <c r="HO25" s="958"/>
      <c r="HP25" s="958"/>
      <c r="HQ25" s="958"/>
      <c r="HR25" s="958"/>
      <c r="HS25" s="958"/>
      <c r="HT25" s="958"/>
      <c r="HU25" s="958"/>
      <c r="HV25" s="958"/>
      <c r="HW25" s="958"/>
      <c r="HX25" s="958"/>
      <c r="HY25" s="958"/>
      <c r="HZ25" s="958"/>
      <c r="IA25" s="958"/>
      <c r="IB25" s="958"/>
      <c r="IC25" s="958"/>
      <c r="ID25" s="958"/>
      <c r="IE25" s="958"/>
      <c r="IF25" s="958"/>
      <c r="IG25" s="958"/>
      <c r="IH25" s="958"/>
      <c r="II25" s="958"/>
      <c r="IJ25" s="958"/>
      <c r="IK25" s="958"/>
      <c r="IL25" s="958"/>
      <c r="IM25" s="958"/>
      <c r="IN25" s="958"/>
      <c r="IO25" s="958"/>
      <c r="IP25" s="958"/>
      <c r="IQ25" s="958"/>
      <c r="IR25" s="958"/>
      <c r="IS25" s="958"/>
      <c r="IT25" s="958"/>
      <c r="IU25" s="958"/>
      <c r="IV25" s="958"/>
    </row>
    <row r="26" spans="1:256" ht="12" customHeight="1">
      <c r="A26" s="1000" t="s">
        <v>851</v>
      </c>
      <c r="B26" s="978">
        <v>506.7</v>
      </c>
      <c r="C26" s="978">
        <v>531.79999999999995</v>
      </c>
      <c r="D26" s="979">
        <v>550.5</v>
      </c>
      <c r="E26" s="979">
        <v>585</v>
      </c>
      <c r="F26" s="979">
        <v>687.3</v>
      </c>
      <c r="G26" s="979">
        <v>532.1</v>
      </c>
      <c r="H26" s="979">
        <v>656</v>
      </c>
      <c r="I26" s="979">
        <v>469.5</v>
      </c>
      <c r="J26" s="979">
        <v>560.4</v>
      </c>
      <c r="K26" s="979">
        <v>768.3</v>
      </c>
      <c r="L26" s="985">
        <v>626.70000000000005</v>
      </c>
      <c r="M26" s="985">
        <v>592.20000000000005</v>
      </c>
      <c r="N26" s="979">
        <v>465.1</v>
      </c>
      <c r="O26" s="958"/>
      <c r="P26" s="958"/>
      <c r="Q26" s="958"/>
      <c r="R26" s="958"/>
      <c r="S26" s="958"/>
      <c r="T26" s="958"/>
      <c r="U26" s="958"/>
      <c r="V26" s="958"/>
      <c r="W26" s="958"/>
      <c r="X26" s="958"/>
      <c r="Y26" s="958"/>
      <c r="Z26" s="958"/>
      <c r="AA26" s="958"/>
      <c r="AB26" s="958"/>
      <c r="AC26" s="958"/>
      <c r="AD26" s="958"/>
      <c r="AE26" s="958"/>
      <c r="AF26" s="958"/>
      <c r="AG26" s="958"/>
      <c r="AH26" s="958"/>
      <c r="AI26" s="958"/>
      <c r="AJ26" s="958"/>
      <c r="AK26" s="958"/>
      <c r="AL26" s="958"/>
      <c r="AM26" s="958"/>
      <c r="AN26" s="958"/>
      <c r="AO26" s="958"/>
      <c r="AP26" s="958"/>
      <c r="AQ26" s="958"/>
      <c r="AR26" s="958"/>
      <c r="AS26" s="958"/>
      <c r="AT26" s="958"/>
      <c r="AU26" s="958"/>
      <c r="AV26" s="958"/>
      <c r="AW26" s="958"/>
      <c r="AX26" s="958"/>
      <c r="AY26" s="958"/>
      <c r="AZ26" s="958"/>
      <c r="BA26" s="958"/>
      <c r="BB26" s="958"/>
      <c r="BC26" s="958"/>
      <c r="BD26" s="958"/>
      <c r="BE26" s="958"/>
      <c r="BF26" s="958"/>
      <c r="BG26" s="958"/>
      <c r="BH26" s="958"/>
      <c r="BI26" s="958"/>
      <c r="BJ26" s="958"/>
      <c r="BK26" s="958"/>
      <c r="BL26" s="958"/>
      <c r="BM26" s="958"/>
      <c r="BN26" s="958"/>
      <c r="BO26" s="958"/>
      <c r="BP26" s="958"/>
      <c r="BQ26" s="958"/>
      <c r="BR26" s="958"/>
      <c r="BS26" s="958"/>
      <c r="BT26" s="958"/>
      <c r="BU26" s="958"/>
      <c r="BV26" s="958"/>
      <c r="BW26" s="958"/>
      <c r="BX26" s="958"/>
      <c r="BY26" s="958"/>
      <c r="BZ26" s="958"/>
      <c r="CA26" s="958"/>
      <c r="CB26" s="958"/>
      <c r="CC26" s="958"/>
      <c r="CD26" s="958"/>
      <c r="CE26" s="958"/>
      <c r="CF26" s="958"/>
      <c r="CG26" s="958"/>
      <c r="CH26" s="958"/>
      <c r="CI26" s="958"/>
      <c r="CJ26" s="958"/>
      <c r="CK26" s="958"/>
      <c r="CL26" s="958"/>
      <c r="CM26" s="958"/>
      <c r="CN26" s="958"/>
      <c r="CO26" s="958"/>
      <c r="CP26" s="958"/>
      <c r="CQ26" s="958"/>
      <c r="CR26" s="958"/>
      <c r="CS26" s="958"/>
      <c r="CT26" s="958"/>
      <c r="CU26" s="958"/>
      <c r="CV26" s="958"/>
      <c r="CW26" s="958"/>
      <c r="CX26" s="958"/>
      <c r="CY26" s="958"/>
      <c r="CZ26" s="958"/>
      <c r="DA26" s="958"/>
      <c r="DB26" s="958"/>
      <c r="DC26" s="958"/>
      <c r="DD26" s="958"/>
      <c r="DE26" s="958"/>
      <c r="DF26" s="958"/>
      <c r="DG26" s="958"/>
      <c r="DH26" s="958"/>
      <c r="DI26" s="958"/>
      <c r="DJ26" s="958"/>
      <c r="DK26" s="958"/>
      <c r="DL26" s="958"/>
      <c r="DM26" s="958"/>
      <c r="DN26" s="958"/>
      <c r="DO26" s="958"/>
      <c r="DP26" s="958"/>
      <c r="DQ26" s="958"/>
      <c r="DR26" s="958"/>
      <c r="DS26" s="958"/>
      <c r="DT26" s="958"/>
      <c r="DU26" s="958"/>
      <c r="DV26" s="958"/>
      <c r="DW26" s="958"/>
      <c r="DX26" s="958"/>
      <c r="DY26" s="958"/>
      <c r="DZ26" s="958"/>
      <c r="EA26" s="958"/>
      <c r="EB26" s="958"/>
      <c r="EC26" s="958"/>
      <c r="ED26" s="958"/>
      <c r="EE26" s="958"/>
      <c r="EF26" s="958"/>
      <c r="EG26" s="958"/>
      <c r="EH26" s="958"/>
      <c r="EI26" s="958"/>
      <c r="EJ26" s="958"/>
      <c r="EK26" s="958"/>
      <c r="EL26" s="958"/>
      <c r="EM26" s="958"/>
      <c r="EN26" s="958"/>
      <c r="EO26" s="958"/>
      <c r="EP26" s="958"/>
      <c r="EQ26" s="958"/>
      <c r="ER26" s="958"/>
      <c r="ES26" s="958"/>
      <c r="ET26" s="958"/>
      <c r="EU26" s="958"/>
      <c r="EV26" s="958"/>
      <c r="EW26" s="958"/>
      <c r="EX26" s="958"/>
      <c r="EY26" s="958"/>
      <c r="EZ26" s="958"/>
      <c r="FA26" s="958"/>
      <c r="FB26" s="958"/>
      <c r="FC26" s="958"/>
      <c r="FD26" s="958"/>
      <c r="FE26" s="958"/>
      <c r="FF26" s="958"/>
      <c r="FG26" s="958"/>
      <c r="FH26" s="958"/>
      <c r="FI26" s="958"/>
      <c r="FJ26" s="958"/>
      <c r="FK26" s="958"/>
      <c r="FL26" s="958"/>
      <c r="FM26" s="958"/>
      <c r="FN26" s="958"/>
      <c r="FO26" s="958"/>
      <c r="FP26" s="958"/>
      <c r="FQ26" s="958"/>
      <c r="FR26" s="958"/>
      <c r="FS26" s="958"/>
      <c r="FT26" s="958"/>
      <c r="FU26" s="958"/>
      <c r="FV26" s="958"/>
      <c r="FW26" s="958"/>
      <c r="FX26" s="958"/>
      <c r="FY26" s="958"/>
      <c r="FZ26" s="958"/>
      <c r="GA26" s="958"/>
      <c r="GB26" s="958"/>
      <c r="GC26" s="958"/>
      <c r="GD26" s="958"/>
      <c r="GE26" s="958"/>
      <c r="GF26" s="958"/>
      <c r="GG26" s="958"/>
      <c r="GH26" s="958"/>
      <c r="GI26" s="958"/>
      <c r="GJ26" s="958"/>
      <c r="GK26" s="958"/>
      <c r="GL26" s="958"/>
      <c r="GM26" s="958"/>
      <c r="GN26" s="958"/>
      <c r="GO26" s="958"/>
      <c r="GP26" s="958"/>
      <c r="GQ26" s="958"/>
      <c r="GR26" s="958"/>
      <c r="GS26" s="958"/>
      <c r="GT26" s="958"/>
      <c r="GU26" s="958"/>
      <c r="GV26" s="958"/>
      <c r="GW26" s="958"/>
      <c r="GX26" s="958"/>
      <c r="GY26" s="958"/>
      <c r="GZ26" s="958"/>
      <c r="HA26" s="958"/>
      <c r="HB26" s="958"/>
      <c r="HC26" s="958"/>
      <c r="HD26" s="958"/>
      <c r="HE26" s="958"/>
      <c r="HF26" s="958"/>
      <c r="HG26" s="958"/>
      <c r="HH26" s="958"/>
      <c r="HI26" s="958"/>
      <c r="HJ26" s="958"/>
      <c r="HK26" s="958"/>
      <c r="HL26" s="958"/>
      <c r="HM26" s="958"/>
      <c r="HN26" s="958"/>
      <c r="HO26" s="958"/>
      <c r="HP26" s="958"/>
      <c r="HQ26" s="958"/>
      <c r="HR26" s="958"/>
      <c r="HS26" s="958"/>
      <c r="HT26" s="958"/>
      <c r="HU26" s="958"/>
      <c r="HV26" s="958"/>
      <c r="HW26" s="958"/>
      <c r="HX26" s="958"/>
      <c r="HY26" s="958"/>
      <c r="HZ26" s="958"/>
      <c r="IA26" s="958"/>
      <c r="IB26" s="958"/>
      <c r="IC26" s="958"/>
      <c r="ID26" s="958"/>
      <c r="IE26" s="958"/>
      <c r="IF26" s="958"/>
      <c r="IG26" s="958"/>
      <c r="IH26" s="958"/>
      <c r="II26" s="958"/>
      <c r="IJ26" s="958"/>
      <c r="IK26" s="958"/>
      <c r="IL26" s="958"/>
      <c r="IM26" s="958"/>
      <c r="IN26" s="958"/>
      <c r="IO26" s="958"/>
      <c r="IP26" s="958"/>
      <c r="IQ26" s="958"/>
      <c r="IR26" s="958"/>
      <c r="IS26" s="958"/>
      <c r="IT26" s="958"/>
      <c r="IU26" s="958"/>
      <c r="IV26" s="958"/>
    </row>
    <row r="27" spans="1:256" ht="12" customHeight="1" thickBot="1">
      <c r="A27" s="1002" t="s">
        <v>852</v>
      </c>
      <c r="B27" s="987">
        <v>5893</v>
      </c>
      <c r="C27" s="987">
        <v>6185</v>
      </c>
      <c r="D27" s="988">
        <v>6402</v>
      </c>
      <c r="E27" s="988">
        <v>6803</v>
      </c>
      <c r="F27" s="988">
        <v>7993</v>
      </c>
      <c r="G27" s="988">
        <v>6188.2</v>
      </c>
      <c r="H27" s="988">
        <v>7629.6</v>
      </c>
      <c r="I27" s="988">
        <v>5460</v>
      </c>
      <c r="J27" s="988">
        <v>6517.1</v>
      </c>
      <c r="K27" s="988">
        <v>8935.2999999999993</v>
      </c>
      <c r="L27" s="989">
        <v>7288.9</v>
      </c>
      <c r="M27" s="989">
        <v>6887.6</v>
      </c>
      <c r="N27" s="988">
        <v>5409</v>
      </c>
      <c r="O27" s="958"/>
      <c r="P27" s="958"/>
      <c r="Q27" s="958"/>
      <c r="R27" s="958"/>
      <c r="S27" s="958"/>
      <c r="T27" s="958"/>
      <c r="U27" s="958"/>
      <c r="V27" s="958"/>
      <c r="W27" s="958"/>
      <c r="X27" s="958"/>
      <c r="Y27" s="958"/>
      <c r="Z27" s="958"/>
      <c r="AA27" s="958"/>
      <c r="AB27" s="958"/>
      <c r="AC27" s="958"/>
      <c r="AD27" s="958"/>
      <c r="AE27" s="958"/>
      <c r="AF27" s="958"/>
      <c r="AG27" s="958"/>
      <c r="AH27" s="958"/>
      <c r="AI27" s="958"/>
      <c r="AJ27" s="958"/>
      <c r="AK27" s="958"/>
      <c r="AL27" s="958"/>
      <c r="AM27" s="958"/>
      <c r="AN27" s="958"/>
      <c r="AO27" s="958"/>
      <c r="AP27" s="958"/>
      <c r="AQ27" s="958"/>
      <c r="AR27" s="958"/>
      <c r="AS27" s="958"/>
      <c r="AT27" s="958"/>
      <c r="AU27" s="958"/>
      <c r="AV27" s="958"/>
      <c r="AW27" s="958"/>
      <c r="AX27" s="958"/>
      <c r="AY27" s="958"/>
      <c r="AZ27" s="958"/>
      <c r="BA27" s="958"/>
      <c r="BB27" s="958"/>
      <c r="BC27" s="958"/>
      <c r="BD27" s="958"/>
      <c r="BE27" s="958"/>
      <c r="BF27" s="958"/>
      <c r="BG27" s="958"/>
      <c r="BH27" s="958"/>
      <c r="BI27" s="958"/>
      <c r="BJ27" s="958"/>
      <c r="BK27" s="958"/>
      <c r="BL27" s="958"/>
      <c r="BM27" s="958"/>
      <c r="BN27" s="958"/>
      <c r="BO27" s="958"/>
      <c r="BP27" s="958"/>
      <c r="BQ27" s="958"/>
      <c r="BR27" s="958"/>
      <c r="BS27" s="958"/>
      <c r="BT27" s="958"/>
      <c r="BU27" s="958"/>
      <c r="BV27" s="958"/>
      <c r="BW27" s="958"/>
      <c r="BX27" s="958"/>
      <c r="BY27" s="958"/>
      <c r="BZ27" s="958"/>
      <c r="CA27" s="958"/>
      <c r="CB27" s="958"/>
      <c r="CC27" s="958"/>
      <c r="CD27" s="958"/>
      <c r="CE27" s="958"/>
      <c r="CF27" s="958"/>
      <c r="CG27" s="958"/>
      <c r="CH27" s="958"/>
      <c r="CI27" s="958"/>
      <c r="CJ27" s="958"/>
      <c r="CK27" s="958"/>
      <c r="CL27" s="958"/>
      <c r="CM27" s="958"/>
      <c r="CN27" s="958"/>
      <c r="CO27" s="958"/>
      <c r="CP27" s="958"/>
      <c r="CQ27" s="958"/>
      <c r="CR27" s="958"/>
      <c r="CS27" s="958"/>
      <c r="CT27" s="958"/>
      <c r="CU27" s="958"/>
      <c r="CV27" s="958"/>
      <c r="CW27" s="958"/>
      <c r="CX27" s="958"/>
      <c r="CY27" s="958"/>
      <c r="CZ27" s="958"/>
      <c r="DA27" s="958"/>
      <c r="DB27" s="958"/>
      <c r="DC27" s="958"/>
      <c r="DD27" s="958"/>
      <c r="DE27" s="958"/>
      <c r="DF27" s="958"/>
      <c r="DG27" s="958"/>
      <c r="DH27" s="958"/>
      <c r="DI27" s="958"/>
      <c r="DJ27" s="958"/>
      <c r="DK27" s="958"/>
      <c r="DL27" s="958"/>
      <c r="DM27" s="958"/>
      <c r="DN27" s="958"/>
      <c r="DO27" s="958"/>
      <c r="DP27" s="958"/>
      <c r="DQ27" s="958"/>
      <c r="DR27" s="958"/>
      <c r="DS27" s="958"/>
      <c r="DT27" s="958"/>
      <c r="DU27" s="958"/>
      <c r="DV27" s="958"/>
      <c r="DW27" s="958"/>
      <c r="DX27" s="958"/>
      <c r="DY27" s="958"/>
      <c r="DZ27" s="958"/>
      <c r="EA27" s="958"/>
      <c r="EB27" s="958"/>
      <c r="EC27" s="958"/>
      <c r="ED27" s="958"/>
      <c r="EE27" s="958"/>
      <c r="EF27" s="958"/>
      <c r="EG27" s="958"/>
      <c r="EH27" s="958"/>
      <c r="EI27" s="958"/>
      <c r="EJ27" s="958"/>
      <c r="EK27" s="958"/>
      <c r="EL27" s="958"/>
      <c r="EM27" s="958"/>
      <c r="EN27" s="958"/>
      <c r="EO27" s="958"/>
      <c r="EP27" s="958"/>
      <c r="EQ27" s="958"/>
      <c r="ER27" s="958"/>
      <c r="ES27" s="958"/>
      <c r="ET27" s="958"/>
      <c r="EU27" s="958"/>
      <c r="EV27" s="958"/>
      <c r="EW27" s="958"/>
      <c r="EX27" s="958"/>
      <c r="EY27" s="958"/>
      <c r="EZ27" s="958"/>
      <c r="FA27" s="958"/>
      <c r="FB27" s="958"/>
      <c r="FC27" s="958"/>
      <c r="FD27" s="958"/>
      <c r="FE27" s="958"/>
      <c r="FF27" s="958"/>
      <c r="FG27" s="958"/>
      <c r="FH27" s="958"/>
      <c r="FI27" s="958"/>
      <c r="FJ27" s="958"/>
      <c r="FK27" s="958"/>
      <c r="FL27" s="958"/>
      <c r="FM27" s="958"/>
      <c r="FN27" s="958"/>
      <c r="FO27" s="958"/>
      <c r="FP27" s="958"/>
      <c r="FQ27" s="958"/>
      <c r="FR27" s="958"/>
      <c r="FS27" s="958"/>
      <c r="FT27" s="958"/>
      <c r="FU27" s="958"/>
      <c r="FV27" s="958"/>
      <c r="FW27" s="958"/>
      <c r="FX27" s="958"/>
      <c r="FY27" s="958"/>
      <c r="FZ27" s="958"/>
      <c r="GA27" s="958"/>
      <c r="GB27" s="958"/>
      <c r="GC27" s="958"/>
      <c r="GD27" s="958"/>
      <c r="GE27" s="958"/>
      <c r="GF27" s="958"/>
      <c r="GG27" s="958"/>
      <c r="GH27" s="958"/>
      <c r="GI27" s="958"/>
      <c r="GJ27" s="958"/>
      <c r="GK27" s="958"/>
      <c r="GL27" s="958"/>
      <c r="GM27" s="958"/>
      <c r="GN27" s="958"/>
      <c r="GO27" s="958"/>
      <c r="GP27" s="958"/>
      <c r="GQ27" s="958"/>
      <c r="GR27" s="958"/>
      <c r="GS27" s="958"/>
      <c r="GT27" s="958"/>
      <c r="GU27" s="958"/>
      <c r="GV27" s="958"/>
      <c r="GW27" s="958"/>
      <c r="GX27" s="958"/>
      <c r="GY27" s="958"/>
      <c r="GZ27" s="958"/>
      <c r="HA27" s="958"/>
      <c r="HB27" s="958"/>
      <c r="HC27" s="958"/>
      <c r="HD27" s="958"/>
      <c r="HE27" s="958"/>
      <c r="HF27" s="958"/>
      <c r="HG27" s="958"/>
      <c r="HH27" s="958"/>
      <c r="HI27" s="958"/>
      <c r="HJ27" s="958"/>
      <c r="HK27" s="958"/>
      <c r="HL27" s="958"/>
      <c r="HM27" s="958"/>
      <c r="HN27" s="958"/>
      <c r="HO27" s="958"/>
      <c r="HP27" s="958"/>
      <c r="HQ27" s="958"/>
      <c r="HR27" s="958"/>
      <c r="HS27" s="958"/>
      <c r="HT27" s="958"/>
      <c r="HU27" s="958"/>
      <c r="HV27" s="958"/>
      <c r="HW27" s="958"/>
      <c r="HX27" s="958"/>
      <c r="HY27" s="958"/>
      <c r="HZ27" s="958"/>
      <c r="IA27" s="958"/>
      <c r="IB27" s="958"/>
      <c r="IC27" s="958"/>
      <c r="ID27" s="958"/>
      <c r="IE27" s="958"/>
      <c r="IF27" s="958"/>
      <c r="IG27" s="958"/>
      <c r="IH27" s="958"/>
      <c r="II27" s="958"/>
      <c r="IJ27" s="958"/>
      <c r="IK27" s="958"/>
      <c r="IL27" s="958"/>
      <c r="IM27" s="958"/>
      <c r="IN27" s="958"/>
      <c r="IO27" s="958"/>
      <c r="IP27" s="958"/>
      <c r="IQ27" s="958"/>
      <c r="IR27" s="958"/>
      <c r="IS27" s="958"/>
      <c r="IT27" s="958"/>
      <c r="IU27" s="958"/>
      <c r="IV27" s="958"/>
    </row>
    <row r="28" spans="1:256" ht="12.75" customHeight="1" thickTop="1">
      <c r="A28" s="1000" t="s">
        <v>853</v>
      </c>
      <c r="B28" s="1003"/>
      <c r="C28" s="1003"/>
      <c r="D28" s="990"/>
      <c r="E28" s="990"/>
      <c r="F28" s="990"/>
      <c r="G28" s="990"/>
      <c r="H28" s="990"/>
      <c r="I28" s="990"/>
      <c r="J28" s="990"/>
      <c r="K28" s="990"/>
      <c r="L28" s="990"/>
      <c r="M28" s="990"/>
      <c r="N28" s="990"/>
      <c r="O28" s="958"/>
      <c r="P28" s="958"/>
      <c r="Q28" s="958"/>
      <c r="R28" s="958"/>
      <c r="S28" s="958"/>
      <c r="T28" s="958"/>
      <c r="U28" s="958"/>
      <c r="V28" s="958"/>
      <c r="W28" s="958"/>
      <c r="X28" s="958"/>
      <c r="Y28" s="958"/>
      <c r="Z28" s="958"/>
      <c r="AA28" s="958"/>
      <c r="AB28" s="958"/>
      <c r="AC28" s="958"/>
      <c r="AD28" s="958"/>
      <c r="AE28" s="958"/>
      <c r="AF28" s="958"/>
      <c r="AG28" s="958"/>
      <c r="AH28" s="958"/>
      <c r="AI28" s="958"/>
      <c r="AJ28" s="958"/>
      <c r="AK28" s="958"/>
      <c r="AL28" s="958"/>
      <c r="AM28" s="958"/>
      <c r="AN28" s="958"/>
      <c r="AO28" s="958"/>
      <c r="AP28" s="958"/>
      <c r="AQ28" s="958"/>
      <c r="AR28" s="958"/>
      <c r="AS28" s="958"/>
      <c r="AT28" s="958"/>
      <c r="AU28" s="958"/>
      <c r="AV28" s="958"/>
      <c r="AW28" s="958"/>
      <c r="AX28" s="958"/>
      <c r="AY28" s="958"/>
      <c r="AZ28" s="958"/>
      <c r="BA28" s="958"/>
      <c r="BB28" s="958"/>
      <c r="BC28" s="958"/>
      <c r="BD28" s="958"/>
      <c r="BE28" s="958"/>
      <c r="BF28" s="958"/>
      <c r="BG28" s="958"/>
      <c r="BH28" s="958"/>
      <c r="BI28" s="958"/>
      <c r="BJ28" s="958"/>
      <c r="BK28" s="958"/>
      <c r="BL28" s="958"/>
      <c r="BM28" s="958"/>
      <c r="BN28" s="958"/>
      <c r="BO28" s="958"/>
      <c r="BP28" s="958"/>
      <c r="BQ28" s="958"/>
      <c r="BR28" s="958"/>
      <c r="BS28" s="958"/>
      <c r="BT28" s="958"/>
      <c r="BU28" s="958"/>
      <c r="BV28" s="958"/>
      <c r="BW28" s="958"/>
      <c r="BX28" s="958"/>
      <c r="BY28" s="958"/>
      <c r="BZ28" s="958"/>
      <c r="CA28" s="958"/>
      <c r="CB28" s="958"/>
      <c r="CC28" s="958"/>
      <c r="CD28" s="958"/>
      <c r="CE28" s="958"/>
      <c r="CF28" s="958"/>
      <c r="CG28" s="958"/>
      <c r="CH28" s="958"/>
      <c r="CI28" s="958"/>
      <c r="CJ28" s="958"/>
      <c r="CK28" s="958"/>
      <c r="CL28" s="958"/>
      <c r="CM28" s="958"/>
      <c r="CN28" s="958"/>
      <c r="CO28" s="958"/>
      <c r="CP28" s="958"/>
      <c r="CQ28" s="958"/>
      <c r="CR28" s="958"/>
      <c r="CS28" s="958"/>
      <c r="CT28" s="958"/>
      <c r="CU28" s="958"/>
      <c r="CV28" s="958"/>
      <c r="CW28" s="958"/>
      <c r="CX28" s="958"/>
      <c r="CY28" s="958"/>
      <c r="CZ28" s="958"/>
      <c r="DA28" s="958"/>
      <c r="DB28" s="958"/>
      <c r="DC28" s="958"/>
      <c r="DD28" s="958"/>
      <c r="DE28" s="958"/>
      <c r="DF28" s="958"/>
      <c r="DG28" s="958"/>
      <c r="DH28" s="958"/>
      <c r="DI28" s="958"/>
      <c r="DJ28" s="958"/>
      <c r="DK28" s="958"/>
      <c r="DL28" s="958"/>
      <c r="DM28" s="958"/>
      <c r="DN28" s="958"/>
      <c r="DO28" s="958"/>
      <c r="DP28" s="958"/>
      <c r="DQ28" s="958"/>
      <c r="DR28" s="958"/>
      <c r="DS28" s="958"/>
      <c r="DT28" s="958"/>
      <c r="DU28" s="958"/>
      <c r="DV28" s="958"/>
      <c r="DW28" s="958"/>
      <c r="DX28" s="958"/>
      <c r="DY28" s="958"/>
      <c r="DZ28" s="958"/>
      <c r="EA28" s="958"/>
      <c r="EB28" s="958"/>
      <c r="EC28" s="958"/>
      <c r="ED28" s="958"/>
      <c r="EE28" s="958"/>
      <c r="EF28" s="958"/>
      <c r="EG28" s="958"/>
      <c r="EH28" s="958"/>
      <c r="EI28" s="958"/>
      <c r="EJ28" s="958"/>
      <c r="EK28" s="958"/>
      <c r="EL28" s="958"/>
      <c r="EM28" s="958"/>
      <c r="EN28" s="958"/>
      <c r="EO28" s="958"/>
      <c r="EP28" s="958"/>
      <c r="EQ28" s="958"/>
      <c r="ER28" s="958"/>
      <c r="ES28" s="958"/>
      <c r="ET28" s="958"/>
      <c r="EU28" s="958"/>
      <c r="EV28" s="958"/>
      <c r="EW28" s="958"/>
      <c r="EX28" s="958"/>
      <c r="EY28" s="958"/>
      <c r="EZ28" s="958"/>
      <c r="FA28" s="958"/>
      <c r="FB28" s="958"/>
      <c r="FC28" s="958"/>
      <c r="FD28" s="958"/>
      <c r="FE28" s="958"/>
      <c r="FF28" s="958"/>
      <c r="FG28" s="958"/>
      <c r="FH28" s="958"/>
      <c r="FI28" s="958"/>
      <c r="FJ28" s="958"/>
      <c r="FK28" s="958"/>
      <c r="FL28" s="958"/>
      <c r="FM28" s="958"/>
      <c r="FN28" s="958"/>
      <c r="FO28" s="958"/>
      <c r="FP28" s="958"/>
      <c r="FQ28" s="958"/>
      <c r="FR28" s="958"/>
      <c r="FS28" s="958"/>
      <c r="FT28" s="958"/>
      <c r="FU28" s="958"/>
      <c r="FV28" s="958"/>
      <c r="FW28" s="958"/>
      <c r="FX28" s="958"/>
      <c r="FY28" s="958"/>
      <c r="FZ28" s="958"/>
      <c r="GA28" s="958"/>
      <c r="GB28" s="958"/>
      <c r="GC28" s="958"/>
      <c r="GD28" s="958"/>
      <c r="GE28" s="958"/>
      <c r="GF28" s="958"/>
      <c r="GG28" s="958"/>
      <c r="GH28" s="958"/>
      <c r="GI28" s="958"/>
      <c r="GJ28" s="958"/>
      <c r="GK28" s="958"/>
      <c r="GL28" s="958"/>
      <c r="GM28" s="958"/>
      <c r="GN28" s="958"/>
      <c r="GO28" s="958"/>
      <c r="GP28" s="958"/>
      <c r="GQ28" s="958"/>
      <c r="GR28" s="958"/>
      <c r="GS28" s="958"/>
      <c r="GT28" s="958"/>
      <c r="GU28" s="958"/>
      <c r="GV28" s="958"/>
      <c r="GW28" s="958"/>
      <c r="GX28" s="958"/>
      <c r="GY28" s="958"/>
      <c r="GZ28" s="958"/>
      <c r="HA28" s="958"/>
      <c r="HB28" s="958"/>
      <c r="HC28" s="958"/>
      <c r="HD28" s="958"/>
      <c r="HE28" s="958"/>
      <c r="HF28" s="958"/>
      <c r="HG28" s="958"/>
      <c r="HH28" s="958"/>
      <c r="HI28" s="958"/>
      <c r="HJ28" s="958"/>
      <c r="HK28" s="958"/>
      <c r="HL28" s="958"/>
      <c r="HM28" s="958"/>
      <c r="HN28" s="958"/>
      <c r="HO28" s="958"/>
      <c r="HP28" s="958"/>
      <c r="HQ28" s="958"/>
      <c r="HR28" s="958"/>
      <c r="HS28" s="958"/>
      <c r="HT28" s="958"/>
      <c r="HU28" s="958"/>
      <c r="HV28" s="958"/>
      <c r="HW28" s="958"/>
      <c r="HX28" s="958"/>
      <c r="HY28" s="958"/>
      <c r="HZ28" s="958"/>
      <c r="IA28" s="958"/>
      <c r="IB28" s="958"/>
      <c r="IC28" s="958"/>
      <c r="ID28" s="958"/>
      <c r="IE28" s="958"/>
      <c r="IF28" s="958"/>
      <c r="IG28" s="958"/>
      <c r="IH28" s="958"/>
      <c r="II28" s="958"/>
      <c r="IJ28" s="958"/>
      <c r="IK28" s="958"/>
      <c r="IL28" s="958"/>
      <c r="IM28" s="958"/>
      <c r="IN28" s="958"/>
      <c r="IO28" s="958"/>
      <c r="IP28" s="958"/>
      <c r="IQ28" s="958"/>
      <c r="IR28" s="958"/>
      <c r="IS28" s="958"/>
      <c r="IT28" s="958"/>
      <c r="IU28" s="958"/>
      <c r="IV28" s="958"/>
    </row>
    <row r="29" spans="1:256" ht="10.5" customHeight="1">
      <c r="A29" s="944" t="s">
        <v>452</v>
      </c>
      <c r="B29" s="967">
        <v>1.9</v>
      </c>
      <c r="C29" s="967">
        <v>1.6</v>
      </c>
      <c r="D29" s="968">
        <v>0.2</v>
      </c>
      <c r="E29" s="968">
        <v>0</v>
      </c>
      <c r="F29" s="968">
        <v>0</v>
      </c>
      <c r="G29" s="968">
        <v>0</v>
      </c>
      <c r="H29" s="968">
        <v>0</v>
      </c>
      <c r="I29" s="968">
        <v>0</v>
      </c>
      <c r="J29" s="968">
        <v>0</v>
      </c>
      <c r="K29" s="968">
        <v>0</v>
      </c>
      <c r="L29" s="992">
        <v>0</v>
      </c>
      <c r="M29" s="992">
        <v>0</v>
      </c>
      <c r="N29" s="992">
        <v>0</v>
      </c>
      <c r="O29" s="958"/>
      <c r="P29" s="958"/>
      <c r="Q29" s="958"/>
      <c r="R29" s="958"/>
      <c r="S29" s="958"/>
      <c r="T29" s="958"/>
      <c r="U29" s="958"/>
      <c r="V29" s="958"/>
      <c r="W29" s="958"/>
      <c r="X29" s="958"/>
      <c r="Y29" s="958"/>
      <c r="Z29" s="958"/>
      <c r="AA29" s="958"/>
      <c r="AB29" s="958"/>
      <c r="AC29" s="958"/>
      <c r="AD29" s="958"/>
      <c r="AE29" s="958"/>
      <c r="AF29" s="958"/>
      <c r="AG29" s="958"/>
      <c r="AH29" s="958"/>
      <c r="AI29" s="958"/>
      <c r="AJ29" s="958"/>
      <c r="AK29" s="958"/>
      <c r="AL29" s="958"/>
      <c r="AM29" s="958"/>
      <c r="AN29" s="958"/>
      <c r="AO29" s="958"/>
      <c r="AP29" s="958"/>
      <c r="AQ29" s="958"/>
      <c r="AR29" s="958"/>
      <c r="AS29" s="958"/>
      <c r="AT29" s="958"/>
      <c r="AU29" s="958"/>
      <c r="AV29" s="958"/>
      <c r="AW29" s="958"/>
      <c r="AX29" s="958"/>
      <c r="AY29" s="958"/>
      <c r="AZ29" s="958"/>
      <c r="BA29" s="958"/>
      <c r="BB29" s="958"/>
      <c r="BC29" s="958"/>
      <c r="BD29" s="958"/>
      <c r="BE29" s="958"/>
      <c r="BF29" s="958"/>
      <c r="BG29" s="958"/>
      <c r="BH29" s="958"/>
      <c r="BI29" s="958"/>
      <c r="BJ29" s="958"/>
      <c r="BK29" s="958"/>
      <c r="BL29" s="958"/>
      <c r="BM29" s="958"/>
      <c r="BN29" s="958"/>
      <c r="BO29" s="958"/>
      <c r="BP29" s="958"/>
      <c r="BQ29" s="958"/>
      <c r="BR29" s="958"/>
      <c r="BS29" s="958"/>
      <c r="BT29" s="958"/>
      <c r="BU29" s="958"/>
      <c r="BV29" s="958"/>
      <c r="BW29" s="958"/>
      <c r="BX29" s="958"/>
      <c r="BY29" s="958"/>
      <c r="BZ29" s="958"/>
      <c r="CA29" s="958"/>
      <c r="CB29" s="958"/>
      <c r="CC29" s="958"/>
      <c r="CD29" s="958"/>
      <c r="CE29" s="958"/>
      <c r="CF29" s="958"/>
      <c r="CG29" s="958"/>
      <c r="CH29" s="958"/>
      <c r="CI29" s="958"/>
      <c r="CJ29" s="958"/>
      <c r="CK29" s="958"/>
      <c r="CL29" s="958"/>
      <c r="CM29" s="958"/>
      <c r="CN29" s="958"/>
      <c r="CO29" s="958"/>
      <c r="CP29" s="958"/>
      <c r="CQ29" s="958"/>
      <c r="CR29" s="958"/>
      <c r="CS29" s="958"/>
      <c r="CT29" s="958"/>
      <c r="CU29" s="958"/>
      <c r="CV29" s="958"/>
      <c r="CW29" s="958"/>
      <c r="CX29" s="958"/>
      <c r="CY29" s="958"/>
      <c r="CZ29" s="958"/>
      <c r="DA29" s="958"/>
      <c r="DB29" s="958"/>
      <c r="DC29" s="958"/>
      <c r="DD29" s="958"/>
      <c r="DE29" s="958"/>
      <c r="DF29" s="958"/>
      <c r="DG29" s="958"/>
      <c r="DH29" s="958"/>
      <c r="DI29" s="958"/>
      <c r="DJ29" s="958"/>
      <c r="DK29" s="958"/>
      <c r="DL29" s="958"/>
      <c r="DM29" s="958"/>
      <c r="DN29" s="958"/>
      <c r="DO29" s="958"/>
      <c r="DP29" s="958"/>
      <c r="DQ29" s="958"/>
      <c r="DR29" s="958"/>
      <c r="DS29" s="958"/>
      <c r="DT29" s="958"/>
      <c r="DU29" s="958"/>
      <c r="DV29" s="958"/>
      <c r="DW29" s="958"/>
      <c r="DX29" s="958"/>
      <c r="DY29" s="958"/>
      <c r="DZ29" s="958"/>
      <c r="EA29" s="958"/>
      <c r="EB29" s="958"/>
      <c r="EC29" s="958"/>
      <c r="ED29" s="958"/>
      <c r="EE29" s="958"/>
      <c r="EF29" s="958"/>
      <c r="EG29" s="958"/>
      <c r="EH29" s="958"/>
      <c r="EI29" s="958"/>
      <c r="EJ29" s="958"/>
      <c r="EK29" s="958"/>
      <c r="EL29" s="958"/>
      <c r="EM29" s="958"/>
      <c r="EN29" s="958"/>
      <c r="EO29" s="958"/>
      <c r="EP29" s="958"/>
      <c r="EQ29" s="958"/>
      <c r="ER29" s="958"/>
      <c r="ES29" s="958"/>
      <c r="ET29" s="958"/>
      <c r="EU29" s="958"/>
      <c r="EV29" s="958"/>
      <c r="EW29" s="958"/>
      <c r="EX29" s="958"/>
      <c r="EY29" s="958"/>
      <c r="EZ29" s="958"/>
      <c r="FA29" s="958"/>
      <c r="FB29" s="958"/>
      <c r="FC29" s="958"/>
      <c r="FD29" s="958"/>
      <c r="FE29" s="958"/>
      <c r="FF29" s="958"/>
      <c r="FG29" s="958"/>
      <c r="FH29" s="958"/>
      <c r="FI29" s="958"/>
      <c r="FJ29" s="958"/>
      <c r="FK29" s="958"/>
      <c r="FL29" s="958"/>
      <c r="FM29" s="958"/>
      <c r="FN29" s="958"/>
      <c r="FO29" s="958"/>
      <c r="FP29" s="958"/>
      <c r="FQ29" s="958"/>
      <c r="FR29" s="958"/>
      <c r="FS29" s="958"/>
      <c r="FT29" s="958"/>
      <c r="FU29" s="958"/>
      <c r="FV29" s="958"/>
      <c r="FW29" s="958"/>
      <c r="FX29" s="958"/>
      <c r="FY29" s="958"/>
      <c r="FZ29" s="958"/>
      <c r="GA29" s="958"/>
      <c r="GB29" s="958"/>
      <c r="GC29" s="958"/>
      <c r="GD29" s="958"/>
      <c r="GE29" s="958"/>
      <c r="GF29" s="958"/>
      <c r="GG29" s="958"/>
      <c r="GH29" s="958"/>
      <c r="GI29" s="958"/>
      <c r="GJ29" s="958"/>
      <c r="GK29" s="958"/>
      <c r="GL29" s="958"/>
      <c r="GM29" s="958"/>
      <c r="GN29" s="958"/>
      <c r="GO29" s="958"/>
      <c r="GP29" s="958"/>
      <c r="GQ29" s="958"/>
      <c r="GR29" s="958"/>
      <c r="GS29" s="958"/>
      <c r="GT29" s="958"/>
      <c r="GU29" s="958"/>
      <c r="GV29" s="958"/>
      <c r="GW29" s="958"/>
      <c r="GX29" s="958"/>
      <c r="GY29" s="958"/>
      <c r="GZ29" s="958"/>
      <c r="HA29" s="958"/>
      <c r="HB29" s="958"/>
      <c r="HC29" s="958"/>
      <c r="HD29" s="958"/>
      <c r="HE29" s="958"/>
      <c r="HF29" s="958"/>
      <c r="HG29" s="958"/>
      <c r="HH29" s="958"/>
      <c r="HI29" s="958"/>
      <c r="HJ29" s="958"/>
      <c r="HK29" s="958"/>
      <c r="HL29" s="958"/>
      <c r="HM29" s="958"/>
      <c r="HN29" s="958"/>
      <c r="HO29" s="958"/>
      <c r="HP29" s="958"/>
      <c r="HQ29" s="958"/>
      <c r="HR29" s="958"/>
      <c r="HS29" s="958"/>
      <c r="HT29" s="958"/>
      <c r="HU29" s="958"/>
      <c r="HV29" s="958"/>
      <c r="HW29" s="958"/>
      <c r="HX29" s="958"/>
      <c r="HY29" s="958"/>
      <c r="HZ29" s="958"/>
      <c r="IA29" s="958"/>
      <c r="IB29" s="958"/>
      <c r="IC29" s="958"/>
      <c r="ID29" s="958"/>
      <c r="IE29" s="958"/>
      <c r="IF29" s="958"/>
      <c r="IG29" s="958"/>
      <c r="IH29" s="958"/>
      <c r="II29" s="958"/>
      <c r="IJ29" s="958"/>
      <c r="IK29" s="958"/>
      <c r="IL29" s="958"/>
      <c r="IM29" s="958"/>
      <c r="IN29" s="958"/>
      <c r="IO29" s="958"/>
      <c r="IP29" s="958"/>
      <c r="IQ29" s="958"/>
      <c r="IR29" s="958"/>
      <c r="IS29" s="958"/>
      <c r="IT29" s="958"/>
      <c r="IU29" s="958"/>
      <c r="IV29" s="958"/>
    </row>
    <row r="30" spans="1:256" ht="10.5" customHeight="1">
      <c r="A30" s="944" t="s">
        <v>841</v>
      </c>
      <c r="B30" s="967">
        <v>24.6</v>
      </c>
      <c r="C30" s="967">
        <v>20.9</v>
      </c>
      <c r="D30" s="968">
        <v>20.5</v>
      </c>
      <c r="E30" s="968">
        <v>23.4</v>
      </c>
      <c r="F30" s="968">
        <v>136.5</v>
      </c>
      <c r="G30" s="968">
        <v>47.9</v>
      </c>
      <c r="H30" s="968">
        <v>83.4</v>
      </c>
      <c r="I30" s="968">
        <v>94</v>
      </c>
      <c r="J30" s="968">
        <v>69.900000000000006</v>
      </c>
      <c r="K30" s="968">
        <v>57</v>
      </c>
      <c r="L30" s="991">
        <v>32.5</v>
      </c>
      <c r="M30" s="991">
        <v>76.599999999999994</v>
      </c>
      <c r="N30" s="968">
        <v>79.5</v>
      </c>
      <c r="O30" s="958"/>
      <c r="P30" s="958"/>
      <c r="Q30" s="958"/>
      <c r="R30" s="958"/>
      <c r="S30" s="958"/>
      <c r="T30" s="958"/>
      <c r="U30" s="958"/>
      <c r="V30" s="958"/>
      <c r="W30" s="958"/>
      <c r="X30" s="958"/>
      <c r="Y30" s="958"/>
      <c r="Z30" s="958"/>
      <c r="AA30" s="958"/>
      <c r="AB30" s="958"/>
      <c r="AC30" s="958"/>
      <c r="AD30" s="958"/>
      <c r="AE30" s="958"/>
      <c r="AF30" s="958"/>
      <c r="AG30" s="958"/>
      <c r="AH30" s="958"/>
      <c r="AI30" s="958"/>
      <c r="AJ30" s="958"/>
      <c r="AK30" s="958"/>
      <c r="AL30" s="958"/>
      <c r="AM30" s="958"/>
      <c r="AN30" s="958"/>
      <c r="AO30" s="958"/>
      <c r="AP30" s="958"/>
      <c r="AQ30" s="958"/>
      <c r="AR30" s="958"/>
      <c r="AS30" s="958"/>
      <c r="AT30" s="958"/>
      <c r="AU30" s="958"/>
      <c r="AV30" s="958"/>
      <c r="AW30" s="958"/>
      <c r="AX30" s="958"/>
      <c r="AY30" s="958"/>
      <c r="AZ30" s="958"/>
      <c r="BA30" s="958"/>
      <c r="BB30" s="958"/>
      <c r="BC30" s="958"/>
      <c r="BD30" s="958"/>
      <c r="BE30" s="958"/>
      <c r="BF30" s="958"/>
      <c r="BG30" s="958"/>
      <c r="BH30" s="958"/>
      <c r="BI30" s="958"/>
      <c r="BJ30" s="958"/>
      <c r="BK30" s="958"/>
      <c r="BL30" s="958"/>
      <c r="BM30" s="958"/>
      <c r="BN30" s="958"/>
      <c r="BO30" s="958"/>
      <c r="BP30" s="958"/>
      <c r="BQ30" s="958"/>
      <c r="BR30" s="958"/>
      <c r="BS30" s="958"/>
      <c r="BT30" s="958"/>
      <c r="BU30" s="958"/>
      <c r="BV30" s="958"/>
      <c r="BW30" s="958"/>
      <c r="BX30" s="958"/>
      <c r="BY30" s="958"/>
      <c r="BZ30" s="958"/>
      <c r="CA30" s="958"/>
      <c r="CB30" s="958"/>
      <c r="CC30" s="958"/>
      <c r="CD30" s="958"/>
      <c r="CE30" s="958"/>
      <c r="CF30" s="958"/>
      <c r="CG30" s="958"/>
      <c r="CH30" s="958"/>
      <c r="CI30" s="958"/>
      <c r="CJ30" s="958"/>
      <c r="CK30" s="958"/>
      <c r="CL30" s="958"/>
      <c r="CM30" s="958"/>
      <c r="CN30" s="958"/>
      <c r="CO30" s="958"/>
      <c r="CP30" s="958"/>
      <c r="CQ30" s="958"/>
      <c r="CR30" s="958"/>
      <c r="CS30" s="958"/>
      <c r="CT30" s="958"/>
      <c r="CU30" s="958"/>
      <c r="CV30" s="958"/>
      <c r="CW30" s="958"/>
      <c r="CX30" s="958"/>
      <c r="CY30" s="958"/>
      <c r="CZ30" s="958"/>
      <c r="DA30" s="958"/>
      <c r="DB30" s="958"/>
      <c r="DC30" s="958"/>
      <c r="DD30" s="958"/>
      <c r="DE30" s="958"/>
      <c r="DF30" s="958"/>
      <c r="DG30" s="958"/>
      <c r="DH30" s="958"/>
      <c r="DI30" s="958"/>
      <c r="DJ30" s="958"/>
      <c r="DK30" s="958"/>
      <c r="DL30" s="958"/>
      <c r="DM30" s="958"/>
      <c r="DN30" s="958"/>
      <c r="DO30" s="958"/>
      <c r="DP30" s="958"/>
      <c r="DQ30" s="958"/>
      <c r="DR30" s="958"/>
      <c r="DS30" s="958"/>
      <c r="DT30" s="958"/>
      <c r="DU30" s="958"/>
      <c r="DV30" s="958"/>
      <c r="DW30" s="958"/>
      <c r="DX30" s="958"/>
      <c r="DY30" s="958"/>
      <c r="DZ30" s="958"/>
      <c r="EA30" s="958"/>
      <c r="EB30" s="958"/>
      <c r="EC30" s="958"/>
      <c r="ED30" s="958"/>
      <c r="EE30" s="958"/>
      <c r="EF30" s="958"/>
      <c r="EG30" s="958"/>
      <c r="EH30" s="958"/>
      <c r="EI30" s="958"/>
      <c r="EJ30" s="958"/>
      <c r="EK30" s="958"/>
      <c r="EL30" s="958"/>
      <c r="EM30" s="958"/>
      <c r="EN30" s="958"/>
      <c r="EO30" s="958"/>
      <c r="EP30" s="958"/>
      <c r="EQ30" s="958"/>
      <c r="ER30" s="958"/>
      <c r="ES30" s="958"/>
      <c r="ET30" s="958"/>
      <c r="EU30" s="958"/>
      <c r="EV30" s="958"/>
      <c r="EW30" s="958"/>
      <c r="EX30" s="958"/>
      <c r="EY30" s="958"/>
      <c r="EZ30" s="958"/>
      <c r="FA30" s="958"/>
      <c r="FB30" s="958"/>
      <c r="FC30" s="958"/>
      <c r="FD30" s="958"/>
      <c r="FE30" s="958"/>
      <c r="FF30" s="958"/>
      <c r="FG30" s="958"/>
      <c r="FH30" s="958"/>
      <c r="FI30" s="958"/>
      <c r="FJ30" s="958"/>
      <c r="FK30" s="958"/>
      <c r="FL30" s="958"/>
      <c r="FM30" s="958"/>
      <c r="FN30" s="958"/>
      <c r="FO30" s="958"/>
      <c r="FP30" s="958"/>
      <c r="FQ30" s="958"/>
      <c r="FR30" s="958"/>
      <c r="FS30" s="958"/>
      <c r="FT30" s="958"/>
      <c r="FU30" s="958"/>
      <c r="FV30" s="958"/>
      <c r="FW30" s="958"/>
      <c r="FX30" s="958"/>
      <c r="FY30" s="958"/>
      <c r="FZ30" s="958"/>
      <c r="GA30" s="958"/>
      <c r="GB30" s="958"/>
      <c r="GC30" s="958"/>
      <c r="GD30" s="958"/>
      <c r="GE30" s="958"/>
      <c r="GF30" s="958"/>
      <c r="GG30" s="958"/>
      <c r="GH30" s="958"/>
      <c r="GI30" s="958"/>
      <c r="GJ30" s="958"/>
      <c r="GK30" s="958"/>
      <c r="GL30" s="958"/>
      <c r="GM30" s="958"/>
      <c r="GN30" s="958"/>
      <c r="GO30" s="958"/>
      <c r="GP30" s="958"/>
      <c r="GQ30" s="958"/>
      <c r="GR30" s="958"/>
      <c r="GS30" s="958"/>
      <c r="GT30" s="958"/>
      <c r="GU30" s="958"/>
      <c r="GV30" s="958"/>
      <c r="GW30" s="958"/>
      <c r="GX30" s="958"/>
      <c r="GY30" s="958"/>
      <c r="GZ30" s="958"/>
      <c r="HA30" s="958"/>
      <c r="HB30" s="958"/>
      <c r="HC30" s="958"/>
      <c r="HD30" s="958"/>
      <c r="HE30" s="958"/>
      <c r="HF30" s="958"/>
      <c r="HG30" s="958"/>
      <c r="HH30" s="958"/>
      <c r="HI30" s="958"/>
      <c r="HJ30" s="958"/>
      <c r="HK30" s="958"/>
      <c r="HL30" s="958"/>
      <c r="HM30" s="958"/>
      <c r="HN30" s="958"/>
      <c r="HO30" s="958"/>
      <c r="HP30" s="958"/>
      <c r="HQ30" s="958"/>
      <c r="HR30" s="958"/>
      <c r="HS30" s="958"/>
      <c r="HT30" s="958"/>
      <c r="HU30" s="958"/>
      <c r="HV30" s="958"/>
      <c r="HW30" s="958"/>
      <c r="HX30" s="958"/>
      <c r="HY30" s="958"/>
      <c r="HZ30" s="958"/>
      <c r="IA30" s="958"/>
      <c r="IB30" s="958"/>
      <c r="IC30" s="958"/>
      <c r="ID30" s="958"/>
      <c r="IE30" s="958"/>
      <c r="IF30" s="958"/>
      <c r="IG30" s="958"/>
      <c r="IH30" s="958"/>
      <c r="II30" s="958"/>
      <c r="IJ30" s="958"/>
      <c r="IK30" s="958"/>
      <c r="IL30" s="958"/>
      <c r="IM30" s="958"/>
      <c r="IN30" s="958"/>
      <c r="IO30" s="958"/>
      <c r="IP30" s="958"/>
      <c r="IQ30" s="958"/>
      <c r="IR30" s="958"/>
      <c r="IS30" s="958"/>
      <c r="IT30" s="958"/>
      <c r="IU30" s="958"/>
      <c r="IV30" s="958"/>
    </row>
    <row r="31" spans="1:256" ht="10.5" customHeight="1">
      <c r="A31" s="944" t="s">
        <v>842</v>
      </c>
      <c r="B31" s="968">
        <v>3.1</v>
      </c>
      <c r="C31" s="968">
        <v>5.2</v>
      </c>
      <c r="D31" s="968">
        <v>8.4</v>
      </c>
      <c r="E31" s="968">
        <v>10.6</v>
      </c>
      <c r="F31" s="968">
        <v>10.7</v>
      </c>
      <c r="G31" s="968">
        <v>6.4</v>
      </c>
      <c r="H31" s="968">
        <v>5.8</v>
      </c>
      <c r="I31" s="968">
        <v>5.8</v>
      </c>
      <c r="J31" s="968">
        <v>5.8</v>
      </c>
      <c r="K31" s="968">
        <v>5.7</v>
      </c>
      <c r="L31" s="992">
        <v>5.7</v>
      </c>
      <c r="M31" s="992">
        <v>5.7</v>
      </c>
      <c r="N31" s="968">
        <v>5.7</v>
      </c>
      <c r="O31" s="958"/>
      <c r="P31" s="958"/>
      <c r="Q31" s="958"/>
      <c r="R31" s="958"/>
      <c r="S31" s="958"/>
      <c r="T31" s="958"/>
      <c r="U31" s="958"/>
      <c r="V31" s="958"/>
      <c r="W31" s="958"/>
      <c r="X31" s="958"/>
      <c r="Y31" s="958"/>
      <c r="Z31" s="958"/>
      <c r="AA31" s="958"/>
      <c r="AB31" s="958"/>
      <c r="AC31" s="958"/>
      <c r="AD31" s="958"/>
      <c r="AE31" s="958"/>
      <c r="AF31" s="958"/>
      <c r="AG31" s="958"/>
      <c r="AH31" s="958"/>
      <c r="AI31" s="958"/>
      <c r="AJ31" s="958"/>
      <c r="AK31" s="958"/>
      <c r="AL31" s="958"/>
      <c r="AM31" s="958"/>
      <c r="AN31" s="958"/>
      <c r="AO31" s="958"/>
      <c r="AP31" s="958"/>
      <c r="AQ31" s="958"/>
      <c r="AR31" s="958"/>
      <c r="AS31" s="958"/>
      <c r="AT31" s="958"/>
      <c r="AU31" s="958"/>
      <c r="AV31" s="958"/>
      <c r="AW31" s="958"/>
      <c r="AX31" s="958"/>
      <c r="AY31" s="958"/>
      <c r="AZ31" s="958"/>
      <c r="BA31" s="958"/>
      <c r="BB31" s="958"/>
      <c r="BC31" s="958"/>
      <c r="BD31" s="958"/>
      <c r="BE31" s="958"/>
      <c r="BF31" s="958"/>
      <c r="BG31" s="958"/>
      <c r="BH31" s="958"/>
      <c r="BI31" s="958"/>
      <c r="BJ31" s="958"/>
      <c r="BK31" s="958"/>
      <c r="BL31" s="958"/>
      <c r="BM31" s="958"/>
      <c r="BN31" s="958"/>
      <c r="BO31" s="958"/>
      <c r="BP31" s="958"/>
      <c r="BQ31" s="958"/>
      <c r="BR31" s="958"/>
      <c r="BS31" s="958"/>
      <c r="BT31" s="958"/>
      <c r="BU31" s="958"/>
      <c r="BV31" s="958"/>
      <c r="BW31" s="958"/>
      <c r="BX31" s="958"/>
      <c r="BY31" s="958"/>
      <c r="BZ31" s="958"/>
      <c r="CA31" s="958"/>
      <c r="CB31" s="958"/>
      <c r="CC31" s="958"/>
      <c r="CD31" s="958"/>
      <c r="CE31" s="958"/>
      <c r="CF31" s="958"/>
      <c r="CG31" s="958"/>
      <c r="CH31" s="958"/>
      <c r="CI31" s="958"/>
      <c r="CJ31" s="958"/>
      <c r="CK31" s="958"/>
      <c r="CL31" s="958"/>
      <c r="CM31" s="958"/>
      <c r="CN31" s="958"/>
      <c r="CO31" s="958"/>
      <c r="CP31" s="958"/>
      <c r="CQ31" s="958"/>
      <c r="CR31" s="958"/>
      <c r="CS31" s="958"/>
      <c r="CT31" s="958"/>
      <c r="CU31" s="958"/>
      <c r="CV31" s="958"/>
      <c r="CW31" s="958"/>
      <c r="CX31" s="958"/>
      <c r="CY31" s="958"/>
      <c r="CZ31" s="958"/>
      <c r="DA31" s="958"/>
      <c r="DB31" s="958"/>
      <c r="DC31" s="958"/>
      <c r="DD31" s="958"/>
      <c r="DE31" s="958"/>
      <c r="DF31" s="958"/>
      <c r="DG31" s="958"/>
      <c r="DH31" s="958"/>
      <c r="DI31" s="958"/>
      <c r="DJ31" s="958"/>
      <c r="DK31" s="958"/>
      <c r="DL31" s="958"/>
      <c r="DM31" s="958"/>
      <c r="DN31" s="958"/>
      <c r="DO31" s="958"/>
      <c r="DP31" s="958"/>
      <c r="DQ31" s="958"/>
      <c r="DR31" s="958"/>
      <c r="DS31" s="958"/>
      <c r="DT31" s="958"/>
      <c r="DU31" s="958"/>
      <c r="DV31" s="958"/>
      <c r="DW31" s="958"/>
      <c r="DX31" s="958"/>
      <c r="DY31" s="958"/>
      <c r="DZ31" s="958"/>
      <c r="EA31" s="958"/>
      <c r="EB31" s="958"/>
      <c r="EC31" s="958"/>
      <c r="ED31" s="958"/>
      <c r="EE31" s="958"/>
      <c r="EF31" s="958"/>
      <c r="EG31" s="958"/>
      <c r="EH31" s="958"/>
      <c r="EI31" s="958"/>
      <c r="EJ31" s="958"/>
      <c r="EK31" s="958"/>
      <c r="EL31" s="958"/>
      <c r="EM31" s="958"/>
      <c r="EN31" s="958"/>
      <c r="EO31" s="958"/>
      <c r="EP31" s="958"/>
      <c r="EQ31" s="958"/>
      <c r="ER31" s="958"/>
      <c r="ES31" s="958"/>
      <c r="ET31" s="958"/>
      <c r="EU31" s="958"/>
      <c r="EV31" s="958"/>
      <c r="EW31" s="958"/>
      <c r="EX31" s="958"/>
      <c r="EY31" s="958"/>
      <c r="EZ31" s="958"/>
      <c r="FA31" s="958"/>
      <c r="FB31" s="958"/>
      <c r="FC31" s="958"/>
      <c r="FD31" s="958"/>
      <c r="FE31" s="958"/>
      <c r="FF31" s="958"/>
      <c r="FG31" s="958"/>
      <c r="FH31" s="958"/>
      <c r="FI31" s="958"/>
      <c r="FJ31" s="958"/>
      <c r="FK31" s="958"/>
      <c r="FL31" s="958"/>
      <c r="FM31" s="958"/>
      <c r="FN31" s="958"/>
      <c r="FO31" s="958"/>
      <c r="FP31" s="958"/>
      <c r="FQ31" s="958"/>
      <c r="FR31" s="958"/>
      <c r="FS31" s="958"/>
      <c r="FT31" s="958"/>
      <c r="FU31" s="958"/>
      <c r="FV31" s="958"/>
      <c r="FW31" s="958"/>
      <c r="FX31" s="958"/>
      <c r="FY31" s="958"/>
      <c r="FZ31" s="958"/>
      <c r="GA31" s="958"/>
      <c r="GB31" s="958"/>
      <c r="GC31" s="958"/>
      <c r="GD31" s="958"/>
      <c r="GE31" s="958"/>
      <c r="GF31" s="958"/>
      <c r="GG31" s="958"/>
      <c r="GH31" s="958"/>
      <c r="GI31" s="958"/>
      <c r="GJ31" s="958"/>
      <c r="GK31" s="958"/>
      <c r="GL31" s="958"/>
      <c r="GM31" s="958"/>
      <c r="GN31" s="958"/>
      <c r="GO31" s="958"/>
      <c r="GP31" s="958"/>
      <c r="GQ31" s="958"/>
      <c r="GR31" s="958"/>
      <c r="GS31" s="958"/>
      <c r="GT31" s="958"/>
      <c r="GU31" s="958"/>
      <c r="GV31" s="958"/>
      <c r="GW31" s="958"/>
      <c r="GX31" s="958"/>
      <c r="GY31" s="958"/>
      <c r="GZ31" s="958"/>
      <c r="HA31" s="958"/>
      <c r="HB31" s="958"/>
      <c r="HC31" s="958"/>
      <c r="HD31" s="958"/>
      <c r="HE31" s="958"/>
      <c r="HF31" s="958"/>
      <c r="HG31" s="958"/>
      <c r="HH31" s="958"/>
      <c r="HI31" s="958"/>
      <c r="HJ31" s="958"/>
      <c r="HK31" s="958"/>
      <c r="HL31" s="958"/>
      <c r="HM31" s="958"/>
      <c r="HN31" s="958"/>
      <c r="HO31" s="958"/>
      <c r="HP31" s="958"/>
      <c r="HQ31" s="958"/>
      <c r="HR31" s="958"/>
      <c r="HS31" s="958"/>
      <c r="HT31" s="958"/>
      <c r="HU31" s="958"/>
      <c r="HV31" s="958"/>
      <c r="HW31" s="958"/>
      <c r="HX31" s="958"/>
      <c r="HY31" s="958"/>
      <c r="HZ31" s="958"/>
      <c r="IA31" s="958"/>
      <c r="IB31" s="958"/>
      <c r="IC31" s="958"/>
      <c r="ID31" s="958"/>
      <c r="IE31" s="958"/>
      <c r="IF31" s="958"/>
      <c r="IG31" s="958"/>
      <c r="IH31" s="958"/>
      <c r="II31" s="958"/>
      <c r="IJ31" s="958"/>
      <c r="IK31" s="958"/>
      <c r="IL31" s="958"/>
      <c r="IM31" s="958"/>
      <c r="IN31" s="958"/>
      <c r="IO31" s="958"/>
      <c r="IP31" s="958"/>
      <c r="IQ31" s="958"/>
      <c r="IR31" s="958"/>
      <c r="IS31" s="958"/>
      <c r="IT31" s="958"/>
      <c r="IU31" s="958"/>
      <c r="IV31" s="958"/>
    </row>
    <row r="32" spans="1:256" ht="10.5" customHeight="1">
      <c r="A32" s="993" t="s">
        <v>854</v>
      </c>
      <c r="B32" s="983">
        <v>0</v>
      </c>
      <c r="C32" s="983">
        <v>0</v>
      </c>
      <c r="D32" s="983">
        <v>0</v>
      </c>
      <c r="E32" s="983">
        <v>0</v>
      </c>
      <c r="F32" s="983">
        <v>0</v>
      </c>
      <c r="G32" s="983">
        <v>0</v>
      </c>
      <c r="H32" s="983">
        <v>0</v>
      </c>
      <c r="I32" s="983">
        <v>0</v>
      </c>
      <c r="J32" s="983">
        <v>0</v>
      </c>
      <c r="K32" s="983">
        <v>0</v>
      </c>
      <c r="L32" s="984">
        <v>0</v>
      </c>
      <c r="M32" s="984">
        <v>0</v>
      </c>
      <c r="N32" s="984">
        <v>0</v>
      </c>
      <c r="O32" s="958"/>
      <c r="P32" s="958"/>
      <c r="Q32" s="958"/>
      <c r="R32" s="958"/>
      <c r="S32" s="958"/>
      <c r="T32" s="958"/>
      <c r="U32" s="958"/>
      <c r="V32" s="958"/>
      <c r="W32" s="958"/>
      <c r="X32" s="958"/>
      <c r="Y32" s="958"/>
      <c r="Z32" s="958"/>
      <c r="AA32" s="958"/>
      <c r="AB32" s="958"/>
      <c r="AC32" s="958"/>
      <c r="AD32" s="958"/>
      <c r="AE32" s="958"/>
      <c r="AF32" s="958"/>
      <c r="AG32" s="958"/>
      <c r="AH32" s="958"/>
      <c r="AI32" s="958"/>
      <c r="AJ32" s="958"/>
      <c r="AK32" s="958"/>
      <c r="AL32" s="958"/>
      <c r="AM32" s="958"/>
      <c r="AN32" s="958"/>
      <c r="AO32" s="958"/>
      <c r="AP32" s="958"/>
      <c r="AQ32" s="958"/>
      <c r="AR32" s="958"/>
      <c r="AS32" s="958"/>
      <c r="AT32" s="958"/>
      <c r="AU32" s="958"/>
      <c r="AV32" s="958"/>
      <c r="AW32" s="958"/>
      <c r="AX32" s="958"/>
      <c r="AY32" s="958"/>
      <c r="AZ32" s="958"/>
      <c r="BA32" s="958"/>
      <c r="BB32" s="958"/>
      <c r="BC32" s="958"/>
      <c r="BD32" s="958"/>
      <c r="BE32" s="958"/>
      <c r="BF32" s="958"/>
      <c r="BG32" s="958"/>
      <c r="BH32" s="958"/>
      <c r="BI32" s="958"/>
      <c r="BJ32" s="958"/>
      <c r="BK32" s="958"/>
      <c r="BL32" s="958"/>
      <c r="BM32" s="958"/>
      <c r="BN32" s="958"/>
      <c r="BO32" s="958"/>
      <c r="BP32" s="958"/>
      <c r="BQ32" s="958"/>
      <c r="BR32" s="958"/>
      <c r="BS32" s="958"/>
      <c r="BT32" s="958"/>
      <c r="BU32" s="958"/>
      <c r="BV32" s="958"/>
      <c r="BW32" s="958"/>
      <c r="BX32" s="958"/>
      <c r="BY32" s="958"/>
      <c r="BZ32" s="958"/>
      <c r="CA32" s="958"/>
      <c r="CB32" s="958"/>
      <c r="CC32" s="958"/>
      <c r="CD32" s="958"/>
      <c r="CE32" s="958"/>
      <c r="CF32" s="958"/>
      <c r="CG32" s="958"/>
      <c r="CH32" s="958"/>
      <c r="CI32" s="958"/>
      <c r="CJ32" s="958"/>
      <c r="CK32" s="958"/>
      <c r="CL32" s="958"/>
      <c r="CM32" s="958"/>
      <c r="CN32" s="958"/>
      <c r="CO32" s="958"/>
      <c r="CP32" s="958"/>
      <c r="CQ32" s="958"/>
      <c r="CR32" s="958"/>
      <c r="CS32" s="958"/>
      <c r="CT32" s="958"/>
      <c r="CU32" s="958"/>
      <c r="CV32" s="958"/>
      <c r="CW32" s="958"/>
      <c r="CX32" s="958"/>
      <c r="CY32" s="958"/>
      <c r="CZ32" s="958"/>
      <c r="DA32" s="958"/>
      <c r="DB32" s="958"/>
      <c r="DC32" s="958"/>
      <c r="DD32" s="958"/>
      <c r="DE32" s="958"/>
      <c r="DF32" s="958"/>
      <c r="DG32" s="958"/>
      <c r="DH32" s="958"/>
      <c r="DI32" s="958"/>
      <c r="DJ32" s="958"/>
      <c r="DK32" s="958"/>
      <c r="DL32" s="958"/>
      <c r="DM32" s="958"/>
      <c r="DN32" s="958"/>
      <c r="DO32" s="958"/>
      <c r="DP32" s="958"/>
      <c r="DQ32" s="958"/>
      <c r="DR32" s="958"/>
      <c r="DS32" s="958"/>
      <c r="DT32" s="958"/>
      <c r="DU32" s="958"/>
      <c r="DV32" s="958"/>
      <c r="DW32" s="958"/>
      <c r="DX32" s="958"/>
      <c r="DY32" s="958"/>
      <c r="DZ32" s="958"/>
      <c r="EA32" s="958"/>
      <c r="EB32" s="958"/>
      <c r="EC32" s="958"/>
      <c r="ED32" s="958"/>
      <c r="EE32" s="958"/>
      <c r="EF32" s="958"/>
      <c r="EG32" s="958"/>
      <c r="EH32" s="958"/>
      <c r="EI32" s="958"/>
      <c r="EJ32" s="958"/>
      <c r="EK32" s="958"/>
      <c r="EL32" s="958"/>
      <c r="EM32" s="958"/>
      <c r="EN32" s="958"/>
      <c r="EO32" s="958"/>
      <c r="EP32" s="958"/>
      <c r="EQ32" s="958"/>
      <c r="ER32" s="958"/>
      <c r="ES32" s="958"/>
      <c r="ET32" s="958"/>
      <c r="EU32" s="958"/>
      <c r="EV32" s="958"/>
      <c r="EW32" s="958"/>
      <c r="EX32" s="958"/>
      <c r="EY32" s="958"/>
      <c r="EZ32" s="958"/>
      <c r="FA32" s="958"/>
      <c r="FB32" s="958"/>
      <c r="FC32" s="958"/>
      <c r="FD32" s="958"/>
      <c r="FE32" s="958"/>
      <c r="FF32" s="958"/>
      <c r="FG32" s="958"/>
      <c r="FH32" s="958"/>
      <c r="FI32" s="958"/>
      <c r="FJ32" s="958"/>
      <c r="FK32" s="958"/>
      <c r="FL32" s="958"/>
      <c r="FM32" s="958"/>
      <c r="FN32" s="958"/>
      <c r="FO32" s="958"/>
      <c r="FP32" s="958"/>
      <c r="FQ32" s="958"/>
      <c r="FR32" s="958"/>
      <c r="FS32" s="958"/>
      <c r="FT32" s="958"/>
      <c r="FU32" s="958"/>
      <c r="FV32" s="958"/>
      <c r="FW32" s="958"/>
      <c r="FX32" s="958"/>
      <c r="FY32" s="958"/>
      <c r="FZ32" s="958"/>
      <c r="GA32" s="958"/>
      <c r="GB32" s="958"/>
      <c r="GC32" s="958"/>
      <c r="GD32" s="958"/>
      <c r="GE32" s="958"/>
      <c r="GF32" s="958"/>
      <c r="GG32" s="958"/>
      <c r="GH32" s="958"/>
      <c r="GI32" s="958"/>
      <c r="GJ32" s="958"/>
      <c r="GK32" s="958"/>
      <c r="GL32" s="958"/>
      <c r="GM32" s="958"/>
      <c r="GN32" s="958"/>
      <c r="GO32" s="958"/>
      <c r="GP32" s="958"/>
      <c r="GQ32" s="958"/>
      <c r="GR32" s="958"/>
      <c r="GS32" s="958"/>
      <c r="GT32" s="958"/>
      <c r="GU32" s="958"/>
      <c r="GV32" s="958"/>
      <c r="GW32" s="958"/>
      <c r="GX32" s="958"/>
      <c r="GY32" s="958"/>
      <c r="GZ32" s="958"/>
      <c r="HA32" s="958"/>
      <c r="HB32" s="958"/>
      <c r="HC32" s="958"/>
      <c r="HD32" s="958"/>
      <c r="HE32" s="958"/>
      <c r="HF32" s="958"/>
      <c r="HG32" s="958"/>
      <c r="HH32" s="958"/>
      <c r="HI32" s="958"/>
      <c r="HJ32" s="958"/>
      <c r="HK32" s="958"/>
      <c r="HL32" s="958"/>
      <c r="HM32" s="958"/>
      <c r="HN32" s="958"/>
      <c r="HO32" s="958"/>
      <c r="HP32" s="958"/>
      <c r="HQ32" s="958"/>
      <c r="HR32" s="958"/>
      <c r="HS32" s="958"/>
      <c r="HT32" s="958"/>
      <c r="HU32" s="958"/>
      <c r="HV32" s="958"/>
      <c r="HW32" s="958"/>
      <c r="HX32" s="958"/>
      <c r="HY32" s="958"/>
      <c r="HZ32" s="958"/>
      <c r="IA32" s="958"/>
      <c r="IB32" s="958"/>
      <c r="IC32" s="958"/>
      <c r="ID32" s="958"/>
      <c r="IE32" s="958"/>
      <c r="IF32" s="958"/>
      <c r="IG32" s="958"/>
      <c r="IH32" s="958"/>
      <c r="II32" s="958"/>
      <c r="IJ32" s="958"/>
      <c r="IK32" s="958"/>
      <c r="IL32" s="958"/>
      <c r="IM32" s="958"/>
      <c r="IN32" s="958"/>
      <c r="IO32" s="958"/>
      <c r="IP32" s="958"/>
      <c r="IQ32" s="958"/>
      <c r="IR32" s="958"/>
      <c r="IS32" s="958"/>
      <c r="IT32" s="958"/>
      <c r="IU32" s="958"/>
      <c r="IV32" s="958"/>
    </row>
    <row r="33" spans="1:256" s="966" customFormat="1" ht="12.75" customHeight="1" thickBot="1">
      <c r="A33" s="986" t="s">
        <v>855</v>
      </c>
      <c r="B33" s="995">
        <v>29.6</v>
      </c>
      <c r="C33" s="995">
        <v>27.7</v>
      </c>
      <c r="D33" s="996">
        <v>29</v>
      </c>
      <c r="E33" s="996">
        <v>34.200000000000003</v>
      </c>
      <c r="F33" s="997">
        <v>147.4</v>
      </c>
      <c r="G33" s="997">
        <v>54.49</v>
      </c>
      <c r="H33" s="997">
        <v>89.2</v>
      </c>
      <c r="I33" s="997">
        <v>99.8</v>
      </c>
      <c r="J33" s="997">
        <v>75.7</v>
      </c>
      <c r="K33" s="997">
        <v>62.8</v>
      </c>
      <c r="L33" s="998">
        <v>38.200000000000003</v>
      </c>
      <c r="M33" s="998">
        <v>82.3</v>
      </c>
      <c r="N33" s="997">
        <v>85.2</v>
      </c>
      <c r="O33" s="965"/>
      <c r="P33" s="965"/>
      <c r="Q33" s="965"/>
      <c r="R33" s="965"/>
      <c r="S33" s="965"/>
      <c r="T33" s="965"/>
      <c r="U33" s="965"/>
      <c r="V33" s="965"/>
      <c r="W33" s="965"/>
      <c r="X33" s="965"/>
      <c r="Y33" s="965"/>
      <c r="Z33" s="965"/>
      <c r="AA33" s="965"/>
      <c r="AB33" s="965"/>
      <c r="AC33" s="965"/>
      <c r="AD33" s="965"/>
      <c r="AE33" s="965"/>
      <c r="AF33" s="965"/>
      <c r="AG33" s="965"/>
      <c r="AH33" s="965"/>
      <c r="AI33" s="965"/>
      <c r="AJ33" s="965"/>
      <c r="AK33" s="965"/>
      <c r="AL33" s="965"/>
      <c r="AM33" s="965"/>
      <c r="AN33" s="965"/>
      <c r="AO33" s="965"/>
      <c r="AP33" s="965"/>
      <c r="AQ33" s="965"/>
      <c r="AR33" s="965"/>
      <c r="AS33" s="965"/>
      <c r="AT33" s="965"/>
      <c r="AU33" s="965"/>
      <c r="AV33" s="965"/>
      <c r="AW33" s="965"/>
      <c r="AX33" s="965"/>
      <c r="AY33" s="965"/>
      <c r="AZ33" s="965"/>
      <c r="BA33" s="965"/>
      <c r="BB33" s="965"/>
      <c r="BC33" s="965"/>
      <c r="BD33" s="965"/>
      <c r="BE33" s="965"/>
      <c r="BF33" s="965"/>
      <c r="BG33" s="965"/>
      <c r="BH33" s="965"/>
      <c r="BI33" s="965"/>
      <c r="BJ33" s="965"/>
      <c r="BK33" s="965"/>
      <c r="BL33" s="965"/>
      <c r="BM33" s="965"/>
      <c r="BN33" s="965"/>
      <c r="BO33" s="965"/>
      <c r="BP33" s="965"/>
      <c r="BQ33" s="965"/>
      <c r="BR33" s="965"/>
      <c r="BS33" s="965"/>
      <c r="BT33" s="965"/>
      <c r="BU33" s="965"/>
      <c r="BV33" s="965"/>
      <c r="BW33" s="965"/>
      <c r="BX33" s="965"/>
      <c r="BY33" s="965"/>
      <c r="BZ33" s="965"/>
      <c r="CA33" s="965"/>
      <c r="CB33" s="965"/>
      <c r="CC33" s="965"/>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c r="EC33" s="965"/>
      <c r="ED33" s="965"/>
      <c r="EE33" s="965"/>
      <c r="EF33" s="965"/>
      <c r="EG33" s="965"/>
      <c r="EH33" s="965"/>
      <c r="EI33" s="965"/>
      <c r="EJ33" s="965"/>
      <c r="EK33" s="965"/>
      <c r="EL33" s="965"/>
      <c r="EM33" s="965"/>
      <c r="EN33" s="965"/>
      <c r="EO33" s="965"/>
      <c r="EP33" s="965"/>
      <c r="EQ33" s="965"/>
      <c r="ER33" s="965"/>
      <c r="ES33" s="965"/>
      <c r="ET33" s="965"/>
      <c r="EU33" s="965"/>
      <c r="EV33" s="965"/>
      <c r="EW33" s="965"/>
      <c r="EX33" s="965"/>
      <c r="EY33" s="965"/>
      <c r="EZ33" s="965"/>
      <c r="FA33" s="965"/>
      <c r="FB33" s="965"/>
      <c r="FC33" s="965"/>
      <c r="FD33" s="965"/>
      <c r="FE33" s="965"/>
      <c r="FF33" s="965"/>
      <c r="FG33" s="965"/>
      <c r="FH33" s="965"/>
      <c r="FI33" s="965"/>
      <c r="FJ33" s="965"/>
      <c r="FK33" s="965"/>
      <c r="FL33" s="965"/>
      <c r="FM33" s="965"/>
      <c r="FN33" s="965"/>
      <c r="FO33" s="965"/>
      <c r="FP33" s="965"/>
      <c r="FQ33" s="965"/>
      <c r="FR33" s="965"/>
      <c r="FS33" s="965"/>
      <c r="FT33" s="965"/>
      <c r="FU33" s="965"/>
      <c r="FV33" s="965"/>
      <c r="FW33" s="965"/>
      <c r="FX33" s="965"/>
      <c r="FY33" s="965"/>
      <c r="FZ33" s="965"/>
      <c r="GA33" s="965"/>
      <c r="GB33" s="965"/>
      <c r="GC33" s="965"/>
      <c r="GD33" s="965"/>
      <c r="GE33" s="965"/>
      <c r="GF33" s="965"/>
      <c r="GG33" s="965"/>
      <c r="GH33" s="965"/>
      <c r="GI33" s="965"/>
      <c r="GJ33" s="965"/>
      <c r="GK33" s="965"/>
      <c r="GL33" s="965"/>
      <c r="GM33" s="965"/>
      <c r="GN33" s="965"/>
      <c r="GO33" s="965"/>
      <c r="GP33" s="965"/>
      <c r="GQ33" s="965"/>
      <c r="GR33" s="965"/>
      <c r="GS33" s="965"/>
      <c r="GT33" s="965"/>
      <c r="GU33" s="965"/>
      <c r="GV33" s="965"/>
      <c r="GW33" s="965"/>
      <c r="GX33" s="965"/>
      <c r="GY33" s="965"/>
      <c r="GZ33" s="965"/>
      <c r="HA33" s="965"/>
      <c r="HB33" s="965"/>
      <c r="HC33" s="965"/>
      <c r="HD33" s="965"/>
      <c r="HE33" s="965"/>
      <c r="HF33" s="965"/>
      <c r="HG33" s="965"/>
      <c r="HH33" s="965"/>
      <c r="HI33" s="965"/>
      <c r="HJ33" s="965"/>
      <c r="HK33" s="965"/>
      <c r="HL33" s="965"/>
      <c r="HM33" s="965"/>
      <c r="HN33" s="965"/>
      <c r="HO33" s="965"/>
      <c r="HP33" s="965"/>
      <c r="HQ33" s="965"/>
      <c r="HR33" s="965"/>
      <c r="HS33" s="965"/>
      <c r="HT33" s="965"/>
      <c r="HU33" s="965"/>
      <c r="HV33" s="965"/>
      <c r="HW33" s="965"/>
      <c r="HX33" s="965"/>
      <c r="HY33" s="965"/>
      <c r="HZ33" s="965"/>
      <c r="IA33" s="965"/>
      <c r="IB33" s="965"/>
      <c r="IC33" s="965"/>
      <c r="ID33" s="965"/>
      <c r="IE33" s="965"/>
      <c r="IF33" s="965"/>
      <c r="IG33" s="965"/>
      <c r="IH33" s="965"/>
      <c r="II33" s="965"/>
      <c r="IJ33" s="965"/>
      <c r="IK33" s="965"/>
      <c r="IL33" s="965"/>
      <c r="IM33" s="965"/>
      <c r="IN33" s="965"/>
      <c r="IO33" s="965"/>
      <c r="IP33" s="965"/>
      <c r="IQ33" s="965"/>
      <c r="IR33" s="965"/>
      <c r="IS33" s="965"/>
      <c r="IT33" s="965"/>
      <c r="IU33" s="965"/>
      <c r="IV33" s="965"/>
    </row>
    <row r="34" spans="1:256" s="966" customFormat="1" ht="12" customHeight="1" thickTop="1">
      <c r="A34" s="959" t="s">
        <v>856</v>
      </c>
      <c r="B34" s="978">
        <v>13.8</v>
      </c>
      <c r="C34" s="978">
        <v>12.1</v>
      </c>
      <c r="D34" s="979">
        <v>12.9</v>
      </c>
      <c r="E34" s="979">
        <v>15.2</v>
      </c>
      <c r="F34" s="1004">
        <v>65.8</v>
      </c>
      <c r="G34" s="1004">
        <v>23.6</v>
      </c>
      <c r="H34" s="1004">
        <v>38.4</v>
      </c>
      <c r="I34" s="1004">
        <v>43.4</v>
      </c>
      <c r="J34" s="1004">
        <v>31.3</v>
      </c>
      <c r="K34" s="1004">
        <v>18.3</v>
      </c>
      <c r="L34" s="1005">
        <v>16.3</v>
      </c>
      <c r="M34" s="1005">
        <v>36.200000000000003</v>
      </c>
      <c r="N34" s="1004">
        <v>39.5</v>
      </c>
      <c r="O34" s="965"/>
      <c r="P34" s="965"/>
      <c r="Q34" s="965"/>
      <c r="R34" s="965"/>
      <c r="S34" s="965"/>
      <c r="T34" s="965"/>
      <c r="U34" s="965"/>
      <c r="V34" s="965"/>
      <c r="W34" s="965"/>
      <c r="X34" s="965"/>
      <c r="Y34" s="965"/>
      <c r="Z34" s="965"/>
      <c r="AA34" s="965"/>
      <c r="AB34" s="965"/>
      <c r="AC34" s="965"/>
      <c r="AD34" s="965"/>
      <c r="AE34" s="965"/>
      <c r="AF34" s="965"/>
      <c r="AG34" s="965"/>
      <c r="AH34" s="965"/>
      <c r="AI34" s="965"/>
      <c r="AJ34" s="965"/>
      <c r="AK34" s="965"/>
      <c r="AL34" s="965"/>
      <c r="AM34" s="965"/>
      <c r="AN34" s="965"/>
      <c r="AO34" s="965"/>
      <c r="AP34" s="965"/>
      <c r="AQ34" s="965"/>
      <c r="AR34" s="965"/>
      <c r="AS34" s="965"/>
      <c r="AT34" s="965"/>
      <c r="AU34" s="965"/>
      <c r="AV34" s="965"/>
      <c r="AW34" s="965"/>
      <c r="AX34" s="965"/>
      <c r="AY34" s="965"/>
      <c r="AZ34" s="965"/>
      <c r="BA34" s="965"/>
      <c r="BB34" s="965"/>
      <c r="BC34" s="965"/>
      <c r="BD34" s="965"/>
      <c r="BE34" s="965"/>
      <c r="BF34" s="965"/>
      <c r="BG34" s="965"/>
      <c r="BH34" s="965"/>
      <c r="BI34" s="965"/>
      <c r="BJ34" s="965"/>
      <c r="BK34" s="965"/>
      <c r="BL34" s="965"/>
      <c r="BM34" s="965"/>
      <c r="BN34" s="965"/>
      <c r="BO34" s="965"/>
      <c r="BP34" s="965"/>
      <c r="BQ34" s="965"/>
      <c r="BR34" s="965"/>
      <c r="BS34" s="965"/>
      <c r="BT34" s="965"/>
      <c r="BU34" s="965"/>
      <c r="BV34" s="965"/>
      <c r="BW34" s="965"/>
      <c r="BX34" s="965"/>
      <c r="BY34" s="965"/>
      <c r="BZ34" s="965"/>
      <c r="CA34" s="965"/>
      <c r="CB34" s="965"/>
      <c r="CC34" s="965"/>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c r="EC34" s="965"/>
      <c r="ED34" s="965"/>
      <c r="EE34" s="965"/>
      <c r="EF34" s="965"/>
      <c r="EG34" s="965"/>
      <c r="EH34" s="965"/>
      <c r="EI34" s="965"/>
      <c r="EJ34" s="965"/>
      <c r="EK34" s="965"/>
      <c r="EL34" s="965"/>
      <c r="EM34" s="965"/>
      <c r="EN34" s="965"/>
      <c r="EO34" s="965"/>
      <c r="EP34" s="965"/>
      <c r="EQ34" s="965"/>
      <c r="ER34" s="965"/>
      <c r="ES34" s="965"/>
      <c r="ET34" s="965"/>
      <c r="EU34" s="965"/>
      <c r="EV34" s="965"/>
      <c r="EW34" s="965"/>
      <c r="EX34" s="965"/>
      <c r="EY34" s="965"/>
      <c r="EZ34" s="965"/>
      <c r="FA34" s="965"/>
      <c r="FB34" s="965"/>
      <c r="FC34" s="965"/>
      <c r="FD34" s="965"/>
      <c r="FE34" s="965"/>
      <c r="FF34" s="965"/>
      <c r="FG34" s="965"/>
      <c r="FH34" s="965"/>
      <c r="FI34" s="965"/>
      <c r="FJ34" s="965"/>
      <c r="FK34" s="965"/>
      <c r="FL34" s="965"/>
      <c r="FM34" s="965"/>
      <c r="FN34" s="965"/>
      <c r="FO34" s="965"/>
      <c r="FP34" s="965"/>
      <c r="FQ34" s="965"/>
      <c r="FR34" s="965"/>
      <c r="FS34" s="965"/>
      <c r="FT34" s="965"/>
      <c r="FU34" s="965"/>
      <c r="FV34" s="965"/>
      <c r="FW34" s="965"/>
      <c r="FX34" s="965"/>
      <c r="FY34" s="965"/>
      <c r="FZ34" s="965"/>
      <c r="GA34" s="965"/>
      <c r="GB34" s="965"/>
      <c r="GC34" s="965"/>
      <c r="GD34" s="965"/>
      <c r="GE34" s="965"/>
      <c r="GF34" s="965"/>
      <c r="GG34" s="965"/>
      <c r="GH34" s="965"/>
      <c r="GI34" s="965"/>
      <c r="GJ34" s="965"/>
      <c r="GK34" s="965"/>
      <c r="GL34" s="965"/>
      <c r="GM34" s="965"/>
      <c r="GN34" s="965"/>
      <c r="GO34" s="965"/>
      <c r="GP34" s="965"/>
      <c r="GQ34" s="965"/>
      <c r="GR34" s="965"/>
      <c r="GS34" s="965"/>
      <c r="GT34" s="965"/>
      <c r="GU34" s="965"/>
      <c r="GV34" s="965"/>
      <c r="GW34" s="965"/>
      <c r="GX34" s="965"/>
      <c r="GY34" s="965"/>
      <c r="GZ34" s="965"/>
      <c r="HA34" s="965"/>
      <c r="HB34" s="965"/>
      <c r="HC34" s="965"/>
      <c r="HD34" s="965"/>
      <c r="HE34" s="965"/>
      <c r="HF34" s="965"/>
      <c r="HG34" s="965"/>
      <c r="HH34" s="965"/>
      <c r="HI34" s="965"/>
      <c r="HJ34" s="965"/>
      <c r="HK34" s="965"/>
      <c r="HL34" s="965"/>
      <c r="HM34" s="965"/>
      <c r="HN34" s="965"/>
      <c r="HO34" s="965"/>
      <c r="HP34" s="965"/>
      <c r="HQ34" s="965"/>
      <c r="HR34" s="965"/>
      <c r="HS34" s="965"/>
      <c r="HT34" s="965"/>
      <c r="HU34" s="965"/>
      <c r="HV34" s="965"/>
      <c r="HW34" s="965"/>
      <c r="HX34" s="965"/>
      <c r="HY34" s="965"/>
      <c r="HZ34" s="965"/>
      <c r="IA34" s="965"/>
      <c r="IB34" s="965"/>
      <c r="IC34" s="965"/>
      <c r="ID34" s="965"/>
      <c r="IE34" s="965"/>
      <c r="IF34" s="965"/>
      <c r="IG34" s="965"/>
      <c r="IH34" s="965"/>
      <c r="II34" s="965"/>
      <c r="IJ34" s="965"/>
      <c r="IK34" s="965"/>
      <c r="IL34" s="965"/>
      <c r="IM34" s="965"/>
      <c r="IN34" s="965"/>
      <c r="IO34" s="965"/>
      <c r="IP34" s="965"/>
      <c r="IQ34" s="965"/>
      <c r="IR34" s="965"/>
      <c r="IS34" s="965"/>
      <c r="IT34" s="965"/>
      <c r="IU34" s="965"/>
      <c r="IV34" s="965"/>
    </row>
    <row r="35" spans="1:256" s="966" customFormat="1" ht="12" customHeight="1">
      <c r="A35" s="981" t="s">
        <v>857</v>
      </c>
      <c r="B35" s="982">
        <v>160</v>
      </c>
      <c r="C35" s="982">
        <v>141</v>
      </c>
      <c r="D35" s="983">
        <v>150</v>
      </c>
      <c r="E35" s="983">
        <v>177</v>
      </c>
      <c r="F35" s="1006">
        <v>765</v>
      </c>
      <c r="G35" s="1006">
        <v>274.2</v>
      </c>
      <c r="H35" s="1006">
        <v>447.3</v>
      </c>
      <c r="I35" s="1006">
        <v>504.7</v>
      </c>
      <c r="J35" s="1006">
        <v>364.3</v>
      </c>
      <c r="K35" s="1006">
        <v>212.5</v>
      </c>
      <c r="L35" s="1007">
        <v>189.4</v>
      </c>
      <c r="M35" s="1007">
        <v>421.1</v>
      </c>
      <c r="N35" s="1006">
        <v>459.9</v>
      </c>
      <c r="O35" s="965"/>
      <c r="P35" s="965"/>
      <c r="Q35" s="965"/>
      <c r="R35" s="965"/>
      <c r="S35" s="965"/>
      <c r="T35" s="965"/>
      <c r="U35" s="965"/>
      <c r="V35" s="965"/>
      <c r="W35" s="965"/>
      <c r="X35" s="965"/>
      <c r="Y35" s="965"/>
      <c r="Z35" s="965"/>
      <c r="AA35" s="965"/>
      <c r="AB35" s="965"/>
      <c r="AC35" s="965"/>
      <c r="AD35" s="965"/>
      <c r="AE35" s="965"/>
      <c r="AF35" s="965"/>
      <c r="AG35" s="965"/>
      <c r="AH35" s="965"/>
      <c r="AI35" s="965"/>
      <c r="AJ35" s="965"/>
      <c r="AK35" s="965"/>
      <c r="AL35" s="965"/>
      <c r="AM35" s="965"/>
      <c r="AN35" s="965"/>
      <c r="AO35" s="965"/>
      <c r="AP35" s="965"/>
      <c r="AQ35" s="965"/>
      <c r="AR35" s="965"/>
      <c r="AS35" s="965"/>
      <c r="AT35" s="965"/>
      <c r="AU35" s="965"/>
      <c r="AV35" s="965"/>
      <c r="AW35" s="965"/>
      <c r="AX35" s="965"/>
      <c r="AY35" s="965"/>
      <c r="AZ35" s="965"/>
      <c r="BA35" s="965"/>
      <c r="BB35" s="965"/>
      <c r="BC35" s="965"/>
      <c r="BD35" s="965"/>
      <c r="BE35" s="965"/>
      <c r="BF35" s="965"/>
      <c r="BG35" s="965"/>
      <c r="BH35" s="965"/>
      <c r="BI35" s="965"/>
      <c r="BJ35" s="965"/>
      <c r="BK35" s="965"/>
      <c r="BL35" s="965"/>
      <c r="BM35" s="965"/>
      <c r="BN35" s="965"/>
      <c r="BO35" s="965"/>
      <c r="BP35" s="965"/>
      <c r="BQ35" s="965"/>
      <c r="BR35" s="965"/>
      <c r="BS35" s="965"/>
      <c r="BT35" s="965"/>
      <c r="BU35" s="965"/>
      <c r="BV35" s="965"/>
      <c r="BW35" s="965"/>
      <c r="BX35" s="965"/>
      <c r="BY35" s="965"/>
      <c r="BZ35" s="965"/>
      <c r="CA35" s="965"/>
      <c r="CB35" s="965"/>
      <c r="CC35" s="965"/>
      <c r="CD35" s="965"/>
      <c r="CE35" s="965"/>
      <c r="CF35" s="965"/>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c r="EC35" s="965"/>
      <c r="ED35" s="965"/>
      <c r="EE35" s="965"/>
      <c r="EF35" s="965"/>
      <c r="EG35" s="965"/>
      <c r="EH35" s="965"/>
      <c r="EI35" s="965"/>
      <c r="EJ35" s="965"/>
      <c r="EK35" s="965"/>
      <c r="EL35" s="965"/>
      <c r="EM35" s="965"/>
      <c r="EN35" s="965"/>
      <c r="EO35" s="965"/>
      <c r="EP35" s="965"/>
      <c r="EQ35" s="965"/>
      <c r="ER35" s="965"/>
      <c r="ES35" s="965"/>
      <c r="ET35" s="965"/>
      <c r="EU35" s="965"/>
      <c r="EV35" s="965"/>
      <c r="EW35" s="965"/>
      <c r="EX35" s="965"/>
      <c r="EY35" s="965"/>
      <c r="EZ35" s="965"/>
      <c r="FA35" s="965"/>
      <c r="FB35" s="965"/>
      <c r="FC35" s="965"/>
      <c r="FD35" s="965"/>
      <c r="FE35" s="965"/>
      <c r="FF35" s="965"/>
      <c r="FG35" s="965"/>
      <c r="FH35" s="965"/>
      <c r="FI35" s="965"/>
      <c r="FJ35" s="965"/>
      <c r="FK35" s="965"/>
      <c r="FL35" s="965"/>
      <c r="FM35" s="965"/>
      <c r="FN35" s="965"/>
      <c r="FO35" s="965"/>
      <c r="FP35" s="965"/>
      <c r="FQ35" s="965"/>
      <c r="FR35" s="965"/>
      <c r="FS35" s="965"/>
      <c r="FT35" s="965"/>
      <c r="FU35" s="965"/>
      <c r="FV35" s="965"/>
      <c r="FW35" s="965"/>
      <c r="FX35" s="965"/>
      <c r="FY35" s="965"/>
      <c r="FZ35" s="965"/>
      <c r="GA35" s="965"/>
      <c r="GB35" s="965"/>
      <c r="GC35" s="965"/>
      <c r="GD35" s="965"/>
      <c r="GE35" s="965"/>
      <c r="GF35" s="965"/>
      <c r="GG35" s="965"/>
      <c r="GH35" s="965"/>
      <c r="GI35" s="965"/>
      <c r="GJ35" s="965"/>
      <c r="GK35" s="965"/>
      <c r="GL35" s="965"/>
      <c r="GM35" s="965"/>
      <c r="GN35" s="965"/>
      <c r="GO35" s="965"/>
      <c r="GP35" s="965"/>
      <c r="GQ35" s="965"/>
      <c r="GR35" s="965"/>
      <c r="GS35" s="965"/>
      <c r="GT35" s="965"/>
      <c r="GU35" s="965"/>
      <c r="GV35" s="965"/>
      <c r="GW35" s="965"/>
      <c r="GX35" s="965"/>
      <c r="GY35" s="965"/>
      <c r="GZ35" s="965"/>
      <c r="HA35" s="965"/>
      <c r="HB35" s="965"/>
      <c r="HC35" s="965"/>
      <c r="HD35" s="965"/>
      <c r="HE35" s="965"/>
      <c r="HF35" s="965"/>
      <c r="HG35" s="965"/>
      <c r="HH35" s="965"/>
      <c r="HI35" s="965"/>
      <c r="HJ35" s="965"/>
      <c r="HK35" s="965"/>
      <c r="HL35" s="965"/>
      <c r="HM35" s="965"/>
      <c r="HN35" s="965"/>
      <c r="HO35" s="965"/>
      <c r="HP35" s="965"/>
      <c r="HQ35" s="965"/>
      <c r="HR35" s="965"/>
      <c r="HS35" s="965"/>
      <c r="HT35" s="965"/>
      <c r="HU35" s="965"/>
      <c r="HV35" s="965"/>
      <c r="HW35" s="965"/>
      <c r="HX35" s="965"/>
      <c r="HY35" s="965"/>
      <c r="HZ35" s="965"/>
      <c r="IA35" s="965"/>
      <c r="IB35" s="965"/>
      <c r="IC35" s="965"/>
      <c r="ID35" s="965"/>
      <c r="IE35" s="965"/>
      <c r="IF35" s="965"/>
      <c r="IG35" s="965"/>
      <c r="IH35" s="965"/>
      <c r="II35" s="965"/>
      <c r="IJ35" s="965"/>
      <c r="IK35" s="965"/>
      <c r="IL35" s="965"/>
      <c r="IM35" s="965"/>
      <c r="IN35" s="965"/>
      <c r="IO35" s="965"/>
      <c r="IP35" s="965"/>
      <c r="IQ35" s="965"/>
      <c r="IR35" s="965"/>
      <c r="IS35" s="965"/>
      <c r="IT35" s="965"/>
      <c r="IU35" s="965"/>
      <c r="IV35" s="965"/>
    </row>
    <row r="36" spans="1:256" s="966" customFormat="1" ht="12" customHeight="1">
      <c r="A36" s="959" t="s">
        <v>858</v>
      </c>
      <c r="B36" s="978">
        <v>13.1</v>
      </c>
      <c r="C36" s="978">
        <v>11.6</v>
      </c>
      <c r="D36" s="979">
        <v>12.3</v>
      </c>
      <c r="E36" s="979">
        <v>14.5</v>
      </c>
      <c r="F36" s="1004">
        <v>54.7</v>
      </c>
      <c r="G36" s="1004">
        <v>22.2</v>
      </c>
      <c r="H36" s="1004">
        <v>36.299999999999997</v>
      </c>
      <c r="I36" s="1004">
        <v>40.9</v>
      </c>
      <c r="J36" s="1004">
        <v>30.1</v>
      </c>
      <c r="K36" s="1004">
        <v>17.600000000000001</v>
      </c>
      <c r="L36" s="1005">
        <v>15.7</v>
      </c>
      <c r="M36" s="1005">
        <v>34.6</v>
      </c>
      <c r="N36" s="1004">
        <v>38</v>
      </c>
      <c r="O36" s="965"/>
      <c r="P36" s="965"/>
      <c r="Q36" s="965"/>
      <c r="R36" s="965"/>
      <c r="S36" s="965"/>
      <c r="T36" s="965"/>
      <c r="U36" s="965"/>
      <c r="V36" s="965"/>
      <c r="W36" s="965"/>
      <c r="X36" s="965"/>
      <c r="Y36" s="965"/>
      <c r="Z36" s="965"/>
      <c r="AA36" s="965"/>
      <c r="AB36" s="965"/>
      <c r="AC36" s="965"/>
      <c r="AD36" s="965"/>
      <c r="AE36" s="965"/>
      <c r="AF36" s="965"/>
      <c r="AG36" s="965"/>
      <c r="AH36" s="965"/>
      <c r="AI36" s="965"/>
      <c r="AJ36" s="965"/>
      <c r="AK36" s="965"/>
      <c r="AL36" s="965"/>
      <c r="AM36" s="965"/>
      <c r="AN36" s="965"/>
      <c r="AO36" s="965"/>
      <c r="AP36" s="965"/>
      <c r="AQ36" s="965"/>
      <c r="AR36" s="965"/>
      <c r="AS36" s="965"/>
      <c r="AT36" s="965"/>
      <c r="AU36" s="965"/>
      <c r="AV36" s="965"/>
      <c r="AW36" s="965"/>
      <c r="AX36" s="965"/>
      <c r="AY36" s="965"/>
      <c r="AZ36" s="965"/>
      <c r="BA36" s="965"/>
      <c r="BB36" s="965"/>
      <c r="BC36" s="965"/>
      <c r="BD36" s="965"/>
      <c r="BE36" s="965"/>
      <c r="BF36" s="965"/>
      <c r="BG36" s="965"/>
      <c r="BH36" s="965"/>
      <c r="BI36" s="965"/>
      <c r="BJ36" s="965"/>
      <c r="BK36" s="965"/>
      <c r="BL36" s="965"/>
      <c r="BM36" s="965"/>
      <c r="BN36" s="965"/>
      <c r="BO36" s="965"/>
      <c r="BP36" s="965"/>
      <c r="BQ36" s="965"/>
      <c r="BR36" s="965"/>
      <c r="BS36" s="965"/>
      <c r="BT36" s="965"/>
      <c r="BU36" s="965"/>
      <c r="BV36" s="965"/>
      <c r="BW36" s="965"/>
      <c r="BX36" s="965"/>
      <c r="BY36" s="965"/>
      <c r="BZ36" s="965"/>
      <c r="CA36" s="965"/>
      <c r="CB36" s="965"/>
      <c r="CC36" s="965"/>
      <c r="CD36" s="965"/>
      <c r="CE36" s="965"/>
      <c r="CF36" s="965"/>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c r="EC36" s="965"/>
      <c r="ED36" s="965"/>
      <c r="EE36" s="965"/>
      <c r="EF36" s="965"/>
      <c r="EG36" s="965"/>
      <c r="EH36" s="965"/>
      <c r="EI36" s="965"/>
      <c r="EJ36" s="965"/>
      <c r="EK36" s="965"/>
      <c r="EL36" s="965"/>
      <c r="EM36" s="965"/>
      <c r="EN36" s="965"/>
      <c r="EO36" s="965"/>
      <c r="EP36" s="965"/>
      <c r="EQ36" s="965"/>
      <c r="ER36" s="965"/>
      <c r="ES36" s="965"/>
      <c r="ET36" s="965"/>
      <c r="EU36" s="965"/>
      <c r="EV36" s="965"/>
      <c r="EW36" s="965"/>
      <c r="EX36" s="965"/>
      <c r="EY36" s="965"/>
      <c r="EZ36" s="965"/>
      <c r="FA36" s="965"/>
      <c r="FB36" s="965"/>
      <c r="FC36" s="965"/>
      <c r="FD36" s="965"/>
      <c r="FE36" s="965"/>
      <c r="FF36" s="965"/>
      <c r="FG36" s="965"/>
      <c r="FH36" s="965"/>
      <c r="FI36" s="965"/>
      <c r="FJ36" s="965"/>
      <c r="FK36" s="965"/>
      <c r="FL36" s="965"/>
      <c r="FM36" s="965"/>
      <c r="FN36" s="965"/>
      <c r="FO36" s="965"/>
      <c r="FP36" s="965"/>
      <c r="FQ36" s="965"/>
      <c r="FR36" s="965"/>
      <c r="FS36" s="965"/>
      <c r="FT36" s="965"/>
      <c r="FU36" s="965"/>
      <c r="FV36" s="965"/>
      <c r="FW36" s="965"/>
      <c r="FX36" s="965"/>
      <c r="FY36" s="965"/>
      <c r="FZ36" s="965"/>
      <c r="GA36" s="965"/>
      <c r="GB36" s="965"/>
      <c r="GC36" s="965"/>
      <c r="GD36" s="965"/>
      <c r="GE36" s="965"/>
      <c r="GF36" s="965"/>
      <c r="GG36" s="965"/>
      <c r="GH36" s="965"/>
      <c r="GI36" s="965"/>
      <c r="GJ36" s="965"/>
      <c r="GK36" s="965"/>
      <c r="GL36" s="965"/>
      <c r="GM36" s="965"/>
      <c r="GN36" s="965"/>
      <c r="GO36" s="965"/>
      <c r="GP36" s="965"/>
      <c r="GQ36" s="965"/>
      <c r="GR36" s="965"/>
      <c r="GS36" s="965"/>
      <c r="GT36" s="965"/>
      <c r="GU36" s="965"/>
      <c r="GV36" s="965"/>
      <c r="GW36" s="965"/>
      <c r="GX36" s="965"/>
      <c r="GY36" s="965"/>
      <c r="GZ36" s="965"/>
      <c r="HA36" s="965"/>
      <c r="HB36" s="965"/>
      <c r="HC36" s="965"/>
      <c r="HD36" s="965"/>
      <c r="HE36" s="965"/>
      <c r="HF36" s="965"/>
      <c r="HG36" s="965"/>
      <c r="HH36" s="965"/>
      <c r="HI36" s="965"/>
      <c r="HJ36" s="965"/>
      <c r="HK36" s="965"/>
      <c r="HL36" s="965"/>
      <c r="HM36" s="965"/>
      <c r="HN36" s="965"/>
      <c r="HO36" s="965"/>
      <c r="HP36" s="965"/>
      <c r="HQ36" s="965"/>
      <c r="HR36" s="965"/>
      <c r="HS36" s="965"/>
      <c r="HT36" s="965"/>
      <c r="HU36" s="965"/>
      <c r="HV36" s="965"/>
      <c r="HW36" s="965"/>
      <c r="HX36" s="965"/>
      <c r="HY36" s="965"/>
      <c r="HZ36" s="965"/>
      <c r="IA36" s="965"/>
      <c r="IB36" s="965"/>
      <c r="IC36" s="965"/>
      <c r="ID36" s="965"/>
      <c r="IE36" s="965"/>
      <c r="IF36" s="965"/>
      <c r="IG36" s="965"/>
      <c r="IH36" s="965"/>
      <c r="II36" s="965"/>
      <c r="IJ36" s="965"/>
      <c r="IK36" s="965"/>
      <c r="IL36" s="965"/>
      <c r="IM36" s="965"/>
      <c r="IN36" s="965"/>
      <c r="IO36" s="965"/>
      <c r="IP36" s="965"/>
      <c r="IQ36" s="965"/>
      <c r="IR36" s="965"/>
      <c r="IS36" s="965"/>
      <c r="IT36" s="965"/>
      <c r="IU36" s="965"/>
      <c r="IV36" s="965"/>
    </row>
    <row r="37" spans="1:256" s="966" customFormat="1" ht="12" customHeight="1" thickBot="1">
      <c r="A37" s="986" t="s">
        <v>859</v>
      </c>
      <c r="B37" s="987">
        <v>153</v>
      </c>
      <c r="C37" s="987">
        <v>135</v>
      </c>
      <c r="D37" s="988">
        <v>143</v>
      </c>
      <c r="E37" s="988">
        <v>169</v>
      </c>
      <c r="F37" s="1008">
        <v>636</v>
      </c>
      <c r="G37" s="1008">
        <v>258.5</v>
      </c>
      <c r="H37" s="1008">
        <v>421.8</v>
      </c>
      <c r="I37" s="1008">
        <v>475.5</v>
      </c>
      <c r="J37" s="1008">
        <v>350.5</v>
      </c>
      <c r="K37" s="1008">
        <v>204.6</v>
      </c>
      <c r="L37" s="1009">
        <v>182.3</v>
      </c>
      <c r="M37" s="1009">
        <v>401.8</v>
      </c>
      <c r="N37" s="1008">
        <v>442.4</v>
      </c>
      <c r="O37" s="965"/>
      <c r="P37" s="965"/>
      <c r="Q37" s="965"/>
      <c r="R37" s="965"/>
      <c r="S37" s="965"/>
      <c r="T37" s="965"/>
      <c r="U37" s="965"/>
      <c r="V37" s="965"/>
      <c r="W37" s="965"/>
      <c r="X37" s="965"/>
      <c r="Y37" s="965"/>
      <c r="Z37" s="965"/>
      <c r="AA37" s="965"/>
      <c r="AB37" s="965"/>
      <c r="AC37" s="965"/>
      <c r="AD37" s="965"/>
      <c r="AE37" s="965"/>
      <c r="AF37" s="965"/>
      <c r="AG37" s="965"/>
      <c r="AH37" s="965"/>
      <c r="AI37" s="965"/>
      <c r="AJ37" s="965"/>
      <c r="AK37" s="965"/>
      <c r="AL37" s="965"/>
      <c r="AM37" s="965"/>
      <c r="AN37" s="965"/>
      <c r="AO37" s="965"/>
      <c r="AP37" s="965"/>
      <c r="AQ37" s="965"/>
      <c r="AR37" s="965"/>
      <c r="AS37" s="965"/>
      <c r="AT37" s="965"/>
      <c r="AU37" s="965"/>
      <c r="AV37" s="965"/>
      <c r="AW37" s="965"/>
      <c r="AX37" s="965"/>
      <c r="AY37" s="965"/>
      <c r="AZ37" s="965"/>
      <c r="BA37" s="965"/>
      <c r="BB37" s="965"/>
      <c r="BC37" s="965"/>
      <c r="BD37" s="965"/>
      <c r="BE37" s="965"/>
      <c r="BF37" s="965"/>
      <c r="BG37" s="965"/>
      <c r="BH37" s="965"/>
      <c r="BI37" s="965"/>
      <c r="BJ37" s="965"/>
      <c r="BK37" s="965"/>
      <c r="BL37" s="965"/>
      <c r="BM37" s="965"/>
      <c r="BN37" s="965"/>
      <c r="BO37" s="965"/>
      <c r="BP37" s="965"/>
      <c r="BQ37" s="965"/>
      <c r="BR37" s="965"/>
      <c r="BS37" s="965"/>
      <c r="BT37" s="965"/>
      <c r="BU37" s="965"/>
      <c r="BV37" s="965"/>
      <c r="BW37" s="965"/>
      <c r="BX37" s="965"/>
      <c r="BY37" s="965"/>
      <c r="BZ37" s="965"/>
      <c r="CA37" s="965"/>
      <c r="CB37" s="965"/>
      <c r="CC37" s="965"/>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c r="EC37" s="965"/>
      <c r="ED37" s="965"/>
      <c r="EE37" s="965"/>
      <c r="EF37" s="965"/>
      <c r="EG37" s="965"/>
      <c r="EH37" s="965"/>
      <c r="EI37" s="965"/>
      <c r="EJ37" s="965"/>
      <c r="EK37" s="965"/>
      <c r="EL37" s="965"/>
      <c r="EM37" s="965"/>
      <c r="EN37" s="965"/>
      <c r="EO37" s="965"/>
      <c r="EP37" s="965"/>
      <c r="EQ37" s="965"/>
      <c r="ER37" s="965"/>
      <c r="ES37" s="965"/>
      <c r="ET37" s="965"/>
      <c r="EU37" s="965"/>
      <c r="EV37" s="965"/>
      <c r="EW37" s="965"/>
      <c r="EX37" s="965"/>
      <c r="EY37" s="965"/>
      <c r="EZ37" s="965"/>
      <c r="FA37" s="965"/>
      <c r="FB37" s="965"/>
      <c r="FC37" s="965"/>
      <c r="FD37" s="965"/>
      <c r="FE37" s="965"/>
      <c r="FF37" s="965"/>
      <c r="FG37" s="965"/>
      <c r="FH37" s="965"/>
      <c r="FI37" s="965"/>
      <c r="FJ37" s="965"/>
      <c r="FK37" s="965"/>
      <c r="FL37" s="965"/>
      <c r="FM37" s="965"/>
      <c r="FN37" s="965"/>
      <c r="FO37" s="965"/>
      <c r="FP37" s="965"/>
      <c r="FQ37" s="965"/>
      <c r="FR37" s="965"/>
      <c r="FS37" s="965"/>
      <c r="FT37" s="965"/>
      <c r="FU37" s="965"/>
      <c r="FV37" s="965"/>
      <c r="FW37" s="965"/>
      <c r="FX37" s="965"/>
      <c r="FY37" s="965"/>
      <c r="FZ37" s="965"/>
      <c r="GA37" s="965"/>
      <c r="GB37" s="965"/>
      <c r="GC37" s="965"/>
      <c r="GD37" s="965"/>
      <c r="GE37" s="965"/>
      <c r="GF37" s="965"/>
      <c r="GG37" s="965"/>
      <c r="GH37" s="965"/>
      <c r="GI37" s="965"/>
      <c r="GJ37" s="965"/>
      <c r="GK37" s="965"/>
      <c r="GL37" s="965"/>
      <c r="GM37" s="965"/>
      <c r="GN37" s="965"/>
      <c r="GO37" s="965"/>
      <c r="GP37" s="965"/>
      <c r="GQ37" s="965"/>
      <c r="GR37" s="965"/>
      <c r="GS37" s="965"/>
      <c r="GT37" s="965"/>
      <c r="GU37" s="965"/>
      <c r="GV37" s="965"/>
      <c r="GW37" s="965"/>
      <c r="GX37" s="965"/>
      <c r="GY37" s="965"/>
      <c r="GZ37" s="965"/>
      <c r="HA37" s="965"/>
      <c r="HB37" s="965"/>
      <c r="HC37" s="965"/>
      <c r="HD37" s="965"/>
      <c r="HE37" s="965"/>
      <c r="HF37" s="965"/>
      <c r="HG37" s="965"/>
      <c r="HH37" s="965"/>
      <c r="HI37" s="965"/>
      <c r="HJ37" s="965"/>
      <c r="HK37" s="965"/>
      <c r="HL37" s="965"/>
      <c r="HM37" s="965"/>
      <c r="HN37" s="965"/>
      <c r="HO37" s="965"/>
      <c r="HP37" s="965"/>
      <c r="HQ37" s="965"/>
      <c r="HR37" s="965"/>
      <c r="HS37" s="965"/>
      <c r="HT37" s="965"/>
      <c r="HU37" s="965"/>
      <c r="HV37" s="965"/>
      <c r="HW37" s="965"/>
      <c r="HX37" s="965"/>
      <c r="HY37" s="965"/>
      <c r="HZ37" s="965"/>
      <c r="IA37" s="965"/>
      <c r="IB37" s="965"/>
      <c r="IC37" s="965"/>
      <c r="ID37" s="965"/>
      <c r="IE37" s="965"/>
      <c r="IF37" s="965"/>
      <c r="IG37" s="965"/>
      <c r="IH37" s="965"/>
      <c r="II37" s="965"/>
      <c r="IJ37" s="965"/>
      <c r="IK37" s="965"/>
      <c r="IL37" s="965"/>
      <c r="IM37" s="965"/>
      <c r="IN37" s="965"/>
      <c r="IO37" s="965"/>
      <c r="IP37" s="965"/>
      <c r="IQ37" s="965"/>
      <c r="IR37" s="965"/>
      <c r="IS37" s="965"/>
      <c r="IT37" s="965"/>
      <c r="IU37" s="965"/>
      <c r="IV37" s="965"/>
    </row>
    <row r="38" spans="1:256" s="966" customFormat="1" ht="12.75" customHeight="1" thickTop="1">
      <c r="A38" s="959" t="s">
        <v>860</v>
      </c>
      <c r="B38" s="1003"/>
      <c r="C38" s="1003"/>
      <c r="D38" s="990"/>
      <c r="E38" s="990"/>
      <c r="F38" s="1010"/>
      <c r="G38" s="1010"/>
      <c r="H38" s="1010"/>
      <c r="I38" s="1010"/>
      <c r="J38" s="1010"/>
      <c r="K38" s="1010"/>
      <c r="L38" s="1010"/>
      <c r="M38" s="1010"/>
      <c r="N38" s="1010"/>
      <c r="O38" s="965"/>
      <c r="P38" s="965"/>
      <c r="Q38" s="965"/>
      <c r="R38" s="965"/>
      <c r="S38" s="965"/>
      <c r="T38" s="965"/>
      <c r="U38" s="965"/>
      <c r="V38" s="965"/>
      <c r="W38" s="965"/>
      <c r="X38" s="965"/>
      <c r="Y38" s="965"/>
      <c r="Z38" s="965"/>
      <c r="AA38" s="965"/>
      <c r="AB38" s="965"/>
      <c r="AC38" s="965"/>
      <c r="AD38" s="965"/>
      <c r="AE38" s="965"/>
      <c r="AF38" s="965"/>
      <c r="AG38" s="965"/>
      <c r="AH38" s="965"/>
      <c r="AI38" s="965"/>
      <c r="AJ38" s="965"/>
      <c r="AK38" s="965"/>
      <c r="AL38" s="965"/>
      <c r="AM38" s="965"/>
      <c r="AN38" s="965"/>
      <c r="AO38" s="965"/>
      <c r="AP38" s="965"/>
      <c r="AQ38" s="965"/>
      <c r="AR38" s="965"/>
      <c r="AS38" s="965"/>
      <c r="AT38" s="965"/>
      <c r="AU38" s="965"/>
      <c r="AV38" s="965"/>
      <c r="AW38" s="965"/>
      <c r="AX38" s="965"/>
      <c r="AY38" s="965"/>
      <c r="AZ38" s="965"/>
      <c r="BA38" s="965"/>
      <c r="BB38" s="965"/>
      <c r="BC38" s="965"/>
      <c r="BD38" s="965"/>
      <c r="BE38" s="965"/>
      <c r="BF38" s="965"/>
      <c r="BG38" s="965"/>
      <c r="BH38" s="965"/>
      <c r="BI38" s="965"/>
      <c r="BJ38" s="965"/>
      <c r="BK38" s="965"/>
      <c r="BL38" s="965"/>
      <c r="BM38" s="965"/>
      <c r="BN38" s="965"/>
      <c r="BO38" s="965"/>
      <c r="BP38" s="965"/>
      <c r="BQ38" s="965"/>
      <c r="BR38" s="965"/>
      <c r="BS38" s="965"/>
      <c r="BT38" s="965"/>
      <c r="BU38" s="965"/>
      <c r="BV38" s="965"/>
      <c r="BW38" s="965"/>
      <c r="BX38" s="965"/>
      <c r="BY38" s="965"/>
      <c r="BZ38" s="965"/>
      <c r="CA38" s="965"/>
      <c r="CB38" s="965"/>
      <c r="CC38" s="965"/>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c r="EC38" s="965"/>
      <c r="ED38" s="965"/>
      <c r="EE38" s="965"/>
      <c r="EF38" s="965"/>
      <c r="EG38" s="965"/>
      <c r="EH38" s="965"/>
      <c r="EI38" s="965"/>
      <c r="EJ38" s="965"/>
      <c r="EK38" s="965"/>
      <c r="EL38" s="965"/>
      <c r="EM38" s="965"/>
      <c r="EN38" s="965"/>
      <c r="EO38" s="965"/>
      <c r="EP38" s="965"/>
      <c r="EQ38" s="965"/>
      <c r="ER38" s="965"/>
      <c r="ES38" s="965"/>
      <c r="ET38" s="965"/>
      <c r="EU38" s="965"/>
      <c r="EV38" s="965"/>
      <c r="EW38" s="965"/>
      <c r="EX38" s="965"/>
      <c r="EY38" s="965"/>
      <c r="EZ38" s="965"/>
      <c r="FA38" s="965"/>
      <c r="FB38" s="965"/>
      <c r="FC38" s="965"/>
      <c r="FD38" s="965"/>
      <c r="FE38" s="965"/>
      <c r="FF38" s="965"/>
      <c r="FG38" s="965"/>
      <c r="FH38" s="965"/>
      <c r="FI38" s="965"/>
      <c r="FJ38" s="965"/>
      <c r="FK38" s="965"/>
      <c r="FL38" s="965"/>
      <c r="FM38" s="965"/>
      <c r="FN38" s="965"/>
      <c r="FO38" s="965"/>
      <c r="FP38" s="965"/>
      <c r="FQ38" s="965"/>
      <c r="FR38" s="965"/>
      <c r="FS38" s="965"/>
      <c r="FT38" s="965"/>
      <c r="FU38" s="965"/>
      <c r="FV38" s="965"/>
      <c r="FW38" s="965"/>
      <c r="FX38" s="965"/>
      <c r="FY38" s="965"/>
      <c r="FZ38" s="965"/>
      <c r="GA38" s="965"/>
      <c r="GB38" s="965"/>
      <c r="GC38" s="965"/>
      <c r="GD38" s="965"/>
      <c r="GE38" s="965"/>
      <c r="GF38" s="965"/>
      <c r="GG38" s="965"/>
      <c r="GH38" s="965"/>
      <c r="GI38" s="965"/>
      <c r="GJ38" s="965"/>
      <c r="GK38" s="965"/>
      <c r="GL38" s="965"/>
      <c r="GM38" s="965"/>
      <c r="GN38" s="965"/>
      <c r="GO38" s="965"/>
      <c r="GP38" s="965"/>
      <c r="GQ38" s="965"/>
      <c r="GR38" s="965"/>
      <c r="GS38" s="965"/>
      <c r="GT38" s="965"/>
      <c r="GU38" s="965"/>
      <c r="GV38" s="965"/>
      <c r="GW38" s="965"/>
      <c r="GX38" s="965"/>
      <c r="GY38" s="965"/>
      <c r="GZ38" s="965"/>
      <c r="HA38" s="965"/>
      <c r="HB38" s="965"/>
      <c r="HC38" s="965"/>
      <c r="HD38" s="965"/>
      <c r="HE38" s="965"/>
      <c r="HF38" s="965"/>
      <c r="HG38" s="965"/>
      <c r="HH38" s="965"/>
      <c r="HI38" s="965"/>
      <c r="HJ38" s="965"/>
      <c r="HK38" s="965"/>
      <c r="HL38" s="965"/>
      <c r="HM38" s="965"/>
      <c r="HN38" s="965"/>
      <c r="HO38" s="965"/>
      <c r="HP38" s="965"/>
      <c r="HQ38" s="965"/>
      <c r="HR38" s="965"/>
      <c r="HS38" s="965"/>
      <c r="HT38" s="965"/>
      <c r="HU38" s="965"/>
      <c r="HV38" s="965"/>
      <c r="HW38" s="965"/>
      <c r="HX38" s="965"/>
      <c r="HY38" s="965"/>
      <c r="HZ38" s="965"/>
      <c r="IA38" s="965"/>
      <c r="IB38" s="965"/>
      <c r="IC38" s="965"/>
      <c r="ID38" s="965"/>
      <c r="IE38" s="965"/>
      <c r="IF38" s="965"/>
      <c r="IG38" s="965"/>
      <c r="IH38" s="965"/>
      <c r="II38" s="965"/>
      <c r="IJ38" s="965"/>
      <c r="IK38" s="965"/>
      <c r="IL38" s="965"/>
      <c r="IM38" s="965"/>
      <c r="IN38" s="965"/>
      <c r="IO38" s="965"/>
      <c r="IP38" s="965"/>
      <c r="IQ38" s="965"/>
      <c r="IR38" s="965"/>
      <c r="IS38" s="965"/>
      <c r="IT38" s="965"/>
      <c r="IU38" s="965"/>
      <c r="IV38" s="965"/>
    </row>
    <row r="39" spans="1:256" ht="10.5" customHeight="1">
      <c r="A39" s="944" t="s">
        <v>452</v>
      </c>
      <c r="B39" s="967">
        <v>30.3</v>
      </c>
      <c r="C39" s="967">
        <v>32.5</v>
      </c>
      <c r="D39" s="968">
        <v>33.1</v>
      </c>
      <c r="E39" s="968">
        <v>30.9</v>
      </c>
      <c r="F39" s="968">
        <v>27.2</v>
      </c>
      <c r="G39" s="968">
        <v>20.2</v>
      </c>
      <c r="H39" s="968">
        <v>20.3</v>
      </c>
      <c r="I39" s="968">
        <v>18.3</v>
      </c>
      <c r="J39" s="968">
        <v>11.7</v>
      </c>
      <c r="K39" s="968">
        <v>10.5</v>
      </c>
      <c r="L39" s="992">
        <v>7.1</v>
      </c>
      <c r="M39" s="992">
        <v>4.5999999999999996</v>
      </c>
      <c r="N39" s="968">
        <v>3</v>
      </c>
      <c r="O39" s="958"/>
      <c r="P39" s="958"/>
      <c r="Q39" s="958"/>
      <c r="R39" s="958"/>
      <c r="S39" s="958"/>
      <c r="T39" s="958"/>
      <c r="U39" s="958"/>
      <c r="V39" s="958"/>
      <c r="W39" s="958"/>
      <c r="X39" s="958"/>
      <c r="Y39" s="958"/>
      <c r="Z39" s="958"/>
      <c r="AA39" s="958"/>
      <c r="AB39" s="958"/>
      <c r="AC39" s="958"/>
      <c r="AD39" s="958"/>
      <c r="AE39" s="958"/>
      <c r="AF39" s="958"/>
      <c r="AG39" s="958"/>
      <c r="AH39" s="958"/>
      <c r="AI39" s="958"/>
      <c r="AJ39" s="958"/>
      <c r="AK39" s="958"/>
      <c r="AL39" s="958"/>
      <c r="AM39" s="958"/>
      <c r="AN39" s="958"/>
      <c r="AO39" s="958"/>
      <c r="AP39" s="958"/>
      <c r="AQ39" s="958"/>
      <c r="AR39" s="958"/>
      <c r="AS39" s="958"/>
      <c r="AT39" s="958"/>
      <c r="AU39" s="958"/>
      <c r="AV39" s="958"/>
      <c r="AW39" s="958"/>
      <c r="AX39" s="958"/>
      <c r="AY39" s="958"/>
      <c r="AZ39" s="958"/>
      <c r="BA39" s="958"/>
      <c r="BB39" s="958"/>
      <c r="BC39" s="958"/>
      <c r="BD39" s="958"/>
      <c r="BE39" s="958"/>
      <c r="BF39" s="958"/>
      <c r="BG39" s="958"/>
      <c r="BH39" s="958"/>
      <c r="BI39" s="958"/>
      <c r="BJ39" s="958"/>
      <c r="BK39" s="958"/>
      <c r="BL39" s="958"/>
      <c r="BM39" s="958"/>
      <c r="BN39" s="958"/>
      <c r="BO39" s="958"/>
      <c r="BP39" s="958"/>
      <c r="BQ39" s="958"/>
      <c r="BR39" s="958"/>
      <c r="BS39" s="958"/>
      <c r="BT39" s="958"/>
      <c r="BU39" s="958"/>
      <c r="BV39" s="958"/>
      <c r="BW39" s="958"/>
      <c r="BX39" s="958"/>
      <c r="BY39" s="958"/>
      <c r="BZ39" s="958"/>
      <c r="CA39" s="958"/>
      <c r="CB39" s="958"/>
      <c r="CC39" s="958"/>
      <c r="CD39" s="958"/>
      <c r="CE39" s="958"/>
      <c r="CF39" s="958"/>
      <c r="CG39" s="958"/>
      <c r="CH39" s="958"/>
      <c r="CI39" s="958"/>
      <c r="CJ39" s="958"/>
      <c r="CK39" s="958"/>
      <c r="CL39" s="958"/>
      <c r="CM39" s="958"/>
      <c r="CN39" s="958"/>
      <c r="CO39" s="958"/>
      <c r="CP39" s="958"/>
      <c r="CQ39" s="958"/>
      <c r="CR39" s="958"/>
      <c r="CS39" s="958"/>
      <c r="CT39" s="958"/>
      <c r="CU39" s="958"/>
      <c r="CV39" s="958"/>
      <c r="CW39" s="958"/>
      <c r="CX39" s="958"/>
      <c r="CY39" s="958"/>
      <c r="CZ39" s="958"/>
      <c r="DA39" s="958"/>
      <c r="DB39" s="958"/>
      <c r="DC39" s="958"/>
      <c r="DD39" s="958"/>
      <c r="DE39" s="958"/>
      <c r="DF39" s="958"/>
      <c r="DG39" s="958"/>
      <c r="DH39" s="958"/>
      <c r="DI39" s="958"/>
      <c r="DJ39" s="958"/>
      <c r="DK39" s="958"/>
      <c r="DL39" s="958"/>
      <c r="DM39" s="958"/>
      <c r="DN39" s="958"/>
      <c r="DO39" s="958"/>
      <c r="DP39" s="958"/>
      <c r="DQ39" s="958"/>
      <c r="DR39" s="958"/>
      <c r="DS39" s="958"/>
      <c r="DT39" s="958"/>
      <c r="DU39" s="958"/>
      <c r="DV39" s="958"/>
      <c r="DW39" s="958"/>
      <c r="DX39" s="958"/>
      <c r="DY39" s="958"/>
      <c r="DZ39" s="958"/>
      <c r="EA39" s="958"/>
      <c r="EB39" s="958"/>
      <c r="EC39" s="958"/>
      <c r="ED39" s="958"/>
      <c r="EE39" s="958"/>
      <c r="EF39" s="958"/>
      <c r="EG39" s="958"/>
      <c r="EH39" s="958"/>
      <c r="EI39" s="958"/>
      <c r="EJ39" s="958"/>
      <c r="EK39" s="958"/>
      <c r="EL39" s="958"/>
      <c r="EM39" s="958"/>
      <c r="EN39" s="958"/>
      <c r="EO39" s="958"/>
      <c r="EP39" s="958"/>
      <c r="EQ39" s="958"/>
      <c r="ER39" s="958"/>
      <c r="ES39" s="958"/>
      <c r="ET39" s="958"/>
      <c r="EU39" s="958"/>
      <c r="EV39" s="958"/>
      <c r="EW39" s="958"/>
      <c r="EX39" s="958"/>
      <c r="EY39" s="958"/>
      <c r="EZ39" s="958"/>
      <c r="FA39" s="958"/>
      <c r="FB39" s="958"/>
      <c r="FC39" s="958"/>
      <c r="FD39" s="958"/>
      <c r="FE39" s="958"/>
      <c r="FF39" s="958"/>
      <c r="FG39" s="958"/>
      <c r="FH39" s="958"/>
      <c r="FI39" s="958"/>
      <c r="FJ39" s="958"/>
      <c r="FK39" s="958"/>
      <c r="FL39" s="958"/>
      <c r="FM39" s="958"/>
      <c r="FN39" s="958"/>
      <c r="FO39" s="958"/>
      <c r="FP39" s="958"/>
      <c r="FQ39" s="958"/>
      <c r="FR39" s="958"/>
      <c r="FS39" s="958"/>
      <c r="FT39" s="958"/>
      <c r="FU39" s="958"/>
      <c r="FV39" s="958"/>
      <c r="FW39" s="958"/>
      <c r="FX39" s="958"/>
      <c r="FY39" s="958"/>
      <c r="FZ39" s="958"/>
      <c r="GA39" s="958"/>
      <c r="GB39" s="958"/>
      <c r="GC39" s="958"/>
      <c r="GD39" s="958"/>
      <c r="GE39" s="958"/>
      <c r="GF39" s="958"/>
      <c r="GG39" s="958"/>
      <c r="GH39" s="958"/>
      <c r="GI39" s="958"/>
      <c r="GJ39" s="958"/>
      <c r="GK39" s="958"/>
      <c r="GL39" s="958"/>
      <c r="GM39" s="958"/>
      <c r="GN39" s="958"/>
      <c r="GO39" s="958"/>
      <c r="GP39" s="958"/>
      <c r="GQ39" s="958"/>
      <c r="GR39" s="958"/>
      <c r="GS39" s="958"/>
      <c r="GT39" s="958"/>
      <c r="GU39" s="958"/>
      <c r="GV39" s="958"/>
      <c r="GW39" s="958"/>
      <c r="GX39" s="958"/>
      <c r="GY39" s="958"/>
      <c r="GZ39" s="958"/>
      <c r="HA39" s="958"/>
      <c r="HB39" s="958"/>
      <c r="HC39" s="958"/>
      <c r="HD39" s="958"/>
      <c r="HE39" s="958"/>
      <c r="HF39" s="958"/>
      <c r="HG39" s="958"/>
      <c r="HH39" s="958"/>
      <c r="HI39" s="958"/>
      <c r="HJ39" s="958"/>
      <c r="HK39" s="958"/>
      <c r="HL39" s="958"/>
      <c r="HM39" s="958"/>
      <c r="HN39" s="958"/>
      <c r="HO39" s="958"/>
      <c r="HP39" s="958"/>
      <c r="HQ39" s="958"/>
      <c r="HR39" s="958"/>
      <c r="HS39" s="958"/>
      <c r="HT39" s="958"/>
      <c r="HU39" s="958"/>
      <c r="HV39" s="958"/>
      <c r="HW39" s="958"/>
      <c r="HX39" s="958"/>
      <c r="HY39" s="958"/>
      <c r="HZ39" s="958"/>
      <c r="IA39" s="958"/>
      <c r="IB39" s="958"/>
      <c r="IC39" s="958"/>
      <c r="ID39" s="958"/>
      <c r="IE39" s="958"/>
      <c r="IF39" s="958"/>
      <c r="IG39" s="958"/>
      <c r="IH39" s="958"/>
      <c r="II39" s="958"/>
      <c r="IJ39" s="958"/>
      <c r="IK39" s="958"/>
      <c r="IL39" s="958"/>
      <c r="IM39" s="958"/>
      <c r="IN39" s="958"/>
      <c r="IO39" s="958"/>
      <c r="IP39" s="958"/>
      <c r="IQ39" s="958"/>
      <c r="IR39" s="958"/>
      <c r="IS39" s="958"/>
      <c r="IT39" s="958"/>
      <c r="IU39" s="958"/>
      <c r="IV39" s="958"/>
    </row>
    <row r="40" spans="1:256" ht="10.5" customHeight="1">
      <c r="A40" s="944" t="s">
        <v>841</v>
      </c>
      <c r="B40" s="967">
        <v>149.19999999999999</v>
      </c>
      <c r="C40" s="967">
        <v>172.3</v>
      </c>
      <c r="D40" s="968">
        <v>236.5</v>
      </c>
      <c r="E40" s="968">
        <v>367.9</v>
      </c>
      <c r="F40" s="968">
        <v>344.8</v>
      </c>
      <c r="G40" s="968">
        <v>268.89999999999998</v>
      </c>
      <c r="H40" s="968">
        <v>322.2</v>
      </c>
      <c r="I40" s="968">
        <v>325.60000000000002</v>
      </c>
      <c r="J40" s="968">
        <v>276.8</v>
      </c>
      <c r="K40" s="968">
        <v>351.2</v>
      </c>
      <c r="L40" s="991">
        <v>335.3</v>
      </c>
      <c r="M40" s="991">
        <v>372.3</v>
      </c>
      <c r="N40" s="968">
        <v>369.1</v>
      </c>
      <c r="O40" s="958"/>
      <c r="P40" s="958"/>
      <c r="Q40" s="958"/>
      <c r="R40" s="958"/>
      <c r="S40" s="958"/>
      <c r="T40" s="958"/>
      <c r="U40" s="958"/>
      <c r="V40" s="958"/>
      <c r="W40" s="958"/>
      <c r="X40" s="958"/>
      <c r="Y40" s="958"/>
      <c r="Z40" s="958"/>
      <c r="AA40" s="958"/>
      <c r="AB40" s="958"/>
      <c r="AC40" s="958"/>
      <c r="AD40" s="958"/>
      <c r="AE40" s="958"/>
      <c r="AF40" s="958"/>
      <c r="AG40" s="958"/>
      <c r="AH40" s="958"/>
      <c r="AI40" s="958"/>
      <c r="AJ40" s="958"/>
      <c r="AK40" s="958"/>
      <c r="AL40" s="958"/>
      <c r="AM40" s="958"/>
      <c r="AN40" s="958"/>
      <c r="AO40" s="958"/>
      <c r="AP40" s="958"/>
      <c r="AQ40" s="958"/>
      <c r="AR40" s="958"/>
      <c r="AS40" s="958"/>
      <c r="AT40" s="958"/>
      <c r="AU40" s="958"/>
      <c r="AV40" s="958"/>
      <c r="AW40" s="958"/>
      <c r="AX40" s="958"/>
      <c r="AY40" s="958"/>
      <c r="AZ40" s="958"/>
      <c r="BA40" s="958"/>
      <c r="BB40" s="958"/>
      <c r="BC40" s="958"/>
      <c r="BD40" s="958"/>
      <c r="BE40" s="958"/>
      <c r="BF40" s="958"/>
      <c r="BG40" s="958"/>
      <c r="BH40" s="958"/>
      <c r="BI40" s="958"/>
      <c r="BJ40" s="958"/>
      <c r="BK40" s="958"/>
      <c r="BL40" s="958"/>
      <c r="BM40" s="958"/>
      <c r="BN40" s="958"/>
      <c r="BO40" s="958"/>
      <c r="BP40" s="958"/>
      <c r="BQ40" s="958"/>
      <c r="BR40" s="958"/>
      <c r="BS40" s="958"/>
      <c r="BT40" s="958"/>
      <c r="BU40" s="958"/>
      <c r="BV40" s="958"/>
      <c r="BW40" s="958"/>
      <c r="BX40" s="958"/>
      <c r="BY40" s="958"/>
      <c r="BZ40" s="958"/>
      <c r="CA40" s="958"/>
      <c r="CB40" s="958"/>
      <c r="CC40" s="958"/>
      <c r="CD40" s="958"/>
      <c r="CE40" s="958"/>
      <c r="CF40" s="958"/>
      <c r="CG40" s="958"/>
      <c r="CH40" s="958"/>
      <c r="CI40" s="958"/>
      <c r="CJ40" s="958"/>
      <c r="CK40" s="958"/>
      <c r="CL40" s="958"/>
      <c r="CM40" s="958"/>
      <c r="CN40" s="958"/>
      <c r="CO40" s="958"/>
      <c r="CP40" s="958"/>
      <c r="CQ40" s="958"/>
      <c r="CR40" s="958"/>
      <c r="CS40" s="958"/>
      <c r="CT40" s="958"/>
      <c r="CU40" s="958"/>
      <c r="CV40" s="958"/>
      <c r="CW40" s="958"/>
      <c r="CX40" s="958"/>
      <c r="CY40" s="958"/>
      <c r="CZ40" s="958"/>
      <c r="DA40" s="958"/>
      <c r="DB40" s="958"/>
      <c r="DC40" s="958"/>
      <c r="DD40" s="958"/>
      <c r="DE40" s="958"/>
      <c r="DF40" s="958"/>
      <c r="DG40" s="958"/>
      <c r="DH40" s="958"/>
      <c r="DI40" s="958"/>
      <c r="DJ40" s="958"/>
      <c r="DK40" s="958"/>
      <c r="DL40" s="958"/>
      <c r="DM40" s="958"/>
      <c r="DN40" s="958"/>
      <c r="DO40" s="958"/>
      <c r="DP40" s="958"/>
      <c r="DQ40" s="958"/>
      <c r="DR40" s="958"/>
      <c r="DS40" s="958"/>
      <c r="DT40" s="958"/>
      <c r="DU40" s="958"/>
      <c r="DV40" s="958"/>
      <c r="DW40" s="958"/>
      <c r="DX40" s="958"/>
      <c r="DY40" s="958"/>
      <c r="DZ40" s="958"/>
      <c r="EA40" s="958"/>
      <c r="EB40" s="958"/>
      <c r="EC40" s="958"/>
      <c r="ED40" s="958"/>
      <c r="EE40" s="958"/>
      <c r="EF40" s="958"/>
      <c r="EG40" s="958"/>
      <c r="EH40" s="958"/>
      <c r="EI40" s="958"/>
      <c r="EJ40" s="958"/>
      <c r="EK40" s="958"/>
      <c r="EL40" s="958"/>
      <c r="EM40" s="958"/>
      <c r="EN40" s="958"/>
      <c r="EO40" s="958"/>
      <c r="EP40" s="958"/>
      <c r="EQ40" s="958"/>
      <c r="ER40" s="958"/>
      <c r="ES40" s="958"/>
      <c r="ET40" s="958"/>
      <c r="EU40" s="958"/>
      <c r="EV40" s="958"/>
      <c r="EW40" s="958"/>
      <c r="EX40" s="958"/>
      <c r="EY40" s="958"/>
      <c r="EZ40" s="958"/>
      <c r="FA40" s="958"/>
      <c r="FB40" s="958"/>
      <c r="FC40" s="958"/>
      <c r="FD40" s="958"/>
      <c r="FE40" s="958"/>
      <c r="FF40" s="958"/>
      <c r="FG40" s="958"/>
      <c r="FH40" s="958"/>
      <c r="FI40" s="958"/>
      <c r="FJ40" s="958"/>
      <c r="FK40" s="958"/>
      <c r="FL40" s="958"/>
      <c r="FM40" s="958"/>
      <c r="FN40" s="958"/>
      <c r="FO40" s="958"/>
      <c r="FP40" s="958"/>
      <c r="FQ40" s="958"/>
      <c r="FR40" s="958"/>
      <c r="FS40" s="958"/>
      <c r="FT40" s="958"/>
      <c r="FU40" s="958"/>
      <c r="FV40" s="958"/>
      <c r="FW40" s="958"/>
      <c r="FX40" s="958"/>
      <c r="FY40" s="958"/>
      <c r="FZ40" s="958"/>
      <c r="GA40" s="958"/>
      <c r="GB40" s="958"/>
      <c r="GC40" s="958"/>
      <c r="GD40" s="958"/>
      <c r="GE40" s="958"/>
      <c r="GF40" s="958"/>
      <c r="GG40" s="958"/>
      <c r="GH40" s="958"/>
      <c r="GI40" s="958"/>
      <c r="GJ40" s="958"/>
      <c r="GK40" s="958"/>
      <c r="GL40" s="958"/>
      <c r="GM40" s="958"/>
      <c r="GN40" s="958"/>
      <c r="GO40" s="958"/>
      <c r="GP40" s="958"/>
      <c r="GQ40" s="958"/>
      <c r="GR40" s="958"/>
      <c r="GS40" s="958"/>
      <c r="GT40" s="958"/>
      <c r="GU40" s="958"/>
      <c r="GV40" s="958"/>
      <c r="GW40" s="958"/>
      <c r="GX40" s="958"/>
      <c r="GY40" s="958"/>
      <c r="GZ40" s="958"/>
      <c r="HA40" s="958"/>
      <c r="HB40" s="958"/>
      <c r="HC40" s="958"/>
      <c r="HD40" s="958"/>
      <c r="HE40" s="958"/>
      <c r="HF40" s="958"/>
      <c r="HG40" s="958"/>
      <c r="HH40" s="958"/>
      <c r="HI40" s="958"/>
      <c r="HJ40" s="958"/>
      <c r="HK40" s="958"/>
      <c r="HL40" s="958"/>
      <c r="HM40" s="958"/>
      <c r="HN40" s="958"/>
      <c r="HO40" s="958"/>
      <c r="HP40" s="958"/>
      <c r="HQ40" s="958"/>
      <c r="HR40" s="958"/>
      <c r="HS40" s="958"/>
      <c r="HT40" s="958"/>
      <c r="HU40" s="958"/>
      <c r="HV40" s="958"/>
      <c r="HW40" s="958"/>
      <c r="HX40" s="958"/>
      <c r="HY40" s="958"/>
      <c r="HZ40" s="958"/>
      <c r="IA40" s="958"/>
      <c r="IB40" s="958"/>
      <c r="IC40" s="958"/>
      <c r="ID40" s="958"/>
      <c r="IE40" s="958"/>
      <c r="IF40" s="958"/>
      <c r="IG40" s="958"/>
      <c r="IH40" s="958"/>
      <c r="II40" s="958"/>
      <c r="IJ40" s="958"/>
      <c r="IK40" s="958"/>
      <c r="IL40" s="958"/>
      <c r="IM40" s="958"/>
      <c r="IN40" s="958"/>
      <c r="IO40" s="958"/>
      <c r="IP40" s="958"/>
      <c r="IQ40" s="958"/>
      <c r="IR40" s="958"/>
      <c r="IS40" s="958"/>
      <c r="IT40" s="958"/>
      <c r="IU40" s="958"/>
      <c r="IV40" s="958"/>
    </row>
    <row r="41" spans="1:256" ht="10.5" customHeight="1">
      <c r="A41" s="944" t="s">
        <v>842</v>
      </c>
      <c r="B41" s="967">
        <v>26.4</v>
      </c>
      <c r="C41" s="967">
        <v>19.399999999999999</v>
      </c>
      <c r="D41" s="968">
        <v>11.6</v>
      </c>
      <c r="E41" s="968">
        <v>9.6999999999999993</v>
      </c>
      <c r="F41" s="968">
        <v>5.4</v>
      </c>
      <c r="G41" s="968">
        <v>5.4</v>
      </c>
      <c r="H41" s="968">
        <v>4.2</v>
      </c>
      <c r="I41" s="968">
        <v>4.8</v>
      </c>
      <c r="J41" s="968">
        <v>46.9</v>
      </c>
      <c r="K41" s="968">
        <v>9.1</v>
      </c>
      <c r="L41" s="992">
        <v>8.1</v>
      </c>
      <c r="M41" s="991">
        <v>4.5999999999999996</v>
      </c>
      <c r="N41" s="968">
        <v>3.4</v>
      </c>
      <c r="O41" s="958"/>
      <c r="P41" s="958"/>
      <c r="Q41" s="958"/>
      <c r="R41" s="958"/>
      <c r="S41" s="958"/>
      <c r="T41" s="958"/>
      <c r="U41" s="958"/>
      <c r="V41" s="958"/>
      <c r="W41" s="958"/>
      <c r="X41" s="958"/>
      <c r="Y41" s="958"/>
      <c r="Z41" s="958"/>
      <c r="AA41" s="958"/>
      <c r="AB41" s="958"/>
      <c r="AC41" s="958"/>
      <c r="AD41" s="958"/>
      <c r="AE41" s="958"/>
      <c r="AF41" s="958"/>
      <c r="AG41" s="958"/>
      <c r="AH41" s="958"/>
      <c r="AI41" s="958"/>
      <c r="AJ41" s="958"/>
      <c r="AK41" s="958"/>
      <c r="AL41" s="958"/>
      <c r="AM41" s="958"/>
      <c r="AN41" s="958"/>
      <c r="AO41" s="958"/>
      <c r="AP41" s="958"/>
      <c r="AQ41" s="958"/>
      <c r="AR41" s="958"/>
      <c r="AS41" s="958"/>
      <c r="AT41" s="958"/>
      <c r="AU41" s="958"/>
      <c r="AV41" s="958"/>
      <c r="AW41" s="958"/>
      <c r="AX41" s="958"/>
      <c r="AY41" s="958"/>
      <c r="AZ41" s="958"/>
      <c r="BA41" s="958"/>
      <c r="BB41" s="958"/>
      <c r="BC41" s="958"/>
      <c r="BD41" s="958"/>
      <c r="BE41" s="958"/>
      <c r="BF41" s="958"/>
      <c r="BG41" s="958"/>
      <c r="BH41" s="958"/>
      <c r="BI41" s="958"/>
      <c r="BJ41" s="958"/>
      <c r="BK41" s="958"/>
      <c r="BL41" s="958"/>
      <c r="BM41" s="958"/>
      <c r="BN41" s="958"/>
      <c r="BO41" s="958"/>
      <c r="BP41" s="958"/>
      <c r="BQ41" s="958"/>
      <c r="BR41" s="958"/>
      <c r="BS41" s="958"/>
      <c r="BT41" s="958"/>
      <c r="BU41" s="958"/>
      <c r="BV41" s="958"/>
      <c r="BW41" s="958"/>
      <c r="BX41" s="958"/>
      <c r="BY41" s="958"/>
      <c r="BZ41" s="958"/>
      <c r="CA41" s="958"/>
      <c r="CB41" s="958"/>
      <c r="CC41" s="958"/>
      <c r="CD41" s="958"/>
      <c r="CE41" s="958"/>
      <c r="CF41" s="958"/>
      <c r="CG41" s="958"/>
      <c r="CH41" s="958"/>
      <c r="CI41" s="958"/>
      <c r="CJ41" s="958"/>
      <c r="CK41" s="958"/>
      <c r="CL41" s="958"/>
      <c r="CM41" s="958"/>
      <c r="CN41" s="958"/>
      <c r="CO41" s="958"/>
      <c r="CP41" s="958"/>
      <c r="CQ41" s="958"/>
      <c r="CR41" s="958"/>
      <c r="CS41" s="958"/>
      <c r="CT41" s="958"/>
      <c r="CU41" s="958"/>
      <c r="CV41" s="958"/>
      <c r="CW41" s="958"/>
      <c r="CX41" s="958"/>
      <c r="CY41" s="958"/>
      <c r="CZ41" s="958"/>
      <c r="DA41" s="958"/>
      <c r="DB41" s="958"/>
      <c r="DC41" s="958"/>
      <c r="DD41" s="958"/>
      <c r="DE41" s="958"/>
      <c r="DF41" s="958"/>
      <c r="DG41" s="958"/>
      <c r="DH41" s="958"/>
      <c r="DI41" s="958"/>
      <c r="DJ41" s="958"/>
      <c r="DK41" s="958"/>
      <c r="DL41" s="958"/>
      <c r="DM41" s="958"/>
      <c r="DN41" s="958"/>
      <c r="DO41" s="958"/>
      <c r="DP41" s="958"/>
      <c r="DQ41" s="958"/>
      <c r="DR41" s="958"/>
      <c r="DS41" s="958"/>
      <c r="DT41" s="958"/>
      <c r="DU41" s="958"/>
      <c r="DV41" s="958"/>
      <c r="DW41" s="958"/>
      <c r="DX41" s="958"/>
      <c r="DY41" s="958"/>
      <c r="DZ41" s="958"/>
      <c r="EA41" s="958"/>
      <c r="EB41" s="958"/>
      <c r="EC41" s="958"/>
      <c r="ED41" s="958"/>
      <c r="EE41" s="958"/>
      <c r="EF41" s="958"/>
      <c r="EG41" s="958"/>
      <c r="EH41" s="958"/>
      <c r="EI41" s="958"/>
      <c r="EJ41" s="958"/>
      <c r="EK41" s="958"/>
      <c r="EL41" s="958"/>
      <c r="EM41" s="958"/>
      <c r="EN41" s="958"/>
      <c r="EO41" s="958"/>
      <c r="EP41" s="958"/>
      <c r="EQ41" s="958"/>
      <c r="ER41" s="958"/>
      <c r="ES41" s="958"/>
      <c r="ET41" s="958"/>
      <c r="EU41" s="958"/>
      <c r="EV41" s="958"/>
      <c r="EW41" s="958"/>
      <c r="EX41" s="958"/>
      <c r="EY41" s="958"/>
      <c r="EZ41" s="958"/>
      <c r="FA41" s="958"/>
      <c r="FB41" s="958"/>
      <c r="FC41" s="958"/>
      <c r="FD41" s="958"/>
      <c r="FE41" s="958"/>
      <c r="FF41" s="958"/>
      <c r="FG41" s="958"/>
      <c r="FH41" s="958"/>
      <c r="FI41" s="958"/>
      <c r="FJ41" s="958"/>
      <c r="FK41" s="958"/>
      <c r="FL41" s="958"/>
      <c r="FM41" s="958"/>
      <c r="FN41" s="958"/>
      <c r="FO41" s="958"/>
      <c r="FP41" s="958"/>
      <c r="FQ41" s="958"/>
      <c r="FR41" s="958"/>
      <c r="FS41" s="958"/>
      <c r="FT41" s="958"/>
      <c r="FU41" s="958"/>
      <c r="FV41" s="958"/>
      <c r="FW41" s="958"/>
      <c r="FX41" s="958"/>
      <c r="FY41" s="958"/>
      <c r="FZ41" s="958"/>
      <c r="GA41" s="958"/>
      <c r="GB41" s="958"/>
      <c r="GC41" s="958"/>
      <c r="GD41" s="958"/>
      <c r="GE41" s="958"/>
      <c r="GF41" s="958"/>
      <c r="GG41" s="958"/>
      <c r="GH41" s="958"/>
      <c r="GI41" s="958"/>
      <c r="GJ41" s="958"/>
      <c r="GK41" s="958"/>
      <c r="GL41" s="958"/>
      <c r="GM41" s="958"/>
      <c r="GN41" s="958"/>
      <c r="GO41" s="958"/>
      <c r="GP41" s="958"/>
      <c r="GQ41" s="958"/>
      <c r="GR41" s="958"/>
      <c r="GS41" s="958"/>
      <c r="GT41" s="958"/>
      <c r="GU41" s="958"/>
      <c r="GV41" s="958"/>
      <c r="GW41" s="958"/>
      <c r="GX41" s="958"/>
      <c r="GY41" s="958"/>
      <c r="GZ41" s="958"/>
      <c r="HA41" s="958"/>
      <c r="HB41" s="958"/>
      <c r="HC41" s="958"/>
      <c r="HD41" s="958"/>
      <c r="HE41" s="958"/>
      <c r="HF41" s="958"/>
      <c r="HG41" s="958"/>
      <c r="HH41" s="958"/>
      <c r="HI41" s="958"/>
      <c r="HJ41" s="958"/>
      <c r="HK41" s="958"/>
      <c r="HL41" s="958"/>
      <c r="HM41" s="958"/>
      <c r="HN41" s="958"/>
      <c r="HO41" s="958"/>
      <c r="HP41" s="958"/>
      <c r="HQ41" s="958"/>
      <c r="HR41" s="958"/>
      <c r="HS41" s="958"/>
      <c r="HT41" s="958"/>
      <c r="HU41" s="958"/>
      <c r="HV41" s="958"/>
      <c r="HW41" s="958"/>
      <c r="HX41" s="958"/>
      <c r="HY41" s="958"/>
      <c r="HZ41" s="958"/>
      <c r="IA41" s="958"/>
      <c r="IB41" s="958"/>
      <c r="IC41" s="958"/>
      <c r="ID41" s="958"/>
      <c r="IE41" s="958"/>
      <c r="IF41" s="958"/>
      <c r="IG41" s="958"/>
      <c r="IH41" s="958"/>
      <c r="II41" s="958"/>
      <c r="IJ41" s="958"/>
      <c r="IK41" s="958"/>
      <c r="IL41" s="958"/>
      <c r="IM41" s="958"/>
      <c r="IN41" s="958"/>
      <c r="IO41" s="958"/>
      <c r="IP41" s="958"/>
      <c r="IQ41" s="958"/>
      <c r="IR41" s="958"/>
      <c r="IS41" s="958"/>
      <c r="IT41" s="958"/>
      <c r="IU41" s="958"/>
      <c r="IV41" s="958"/>
    </row>
    <row r="42" spans="1:256" ht="10.5" customHeight="1">
      <c r="A42" s="993" t="s">
        <v>854</v>
      </c>
      <c r="B42" s="983">
        <v>0</v>
      </c>
      <c r="C42" s="984">
        <v>0.1</v>
      </c>
      <c r="D42" s="983">
        <v>0</v>
      </c>
      <c r="E42" s="983">
        <v>0</v>
      </c>
      <c r="F42" s="983">
        <v>0</v>
      </c>
      <c r="G42" s="983">
        <v>0</v>
      </c>
      <c r="H42" s="983">
        <v>0</v>
      </c>
      <c r="I42" s="983">
        <f>0.3-0.3</f>
        <v>0</v>
      </c>
      <c r="J42" s="983">
        <v>0</v>
      </c>
      <c r="K42" s="983">
        <v>0</v>
      </c>
      <c r="L42" s="984">
        <v>0</v>
      </c>
      <c r="M42" s="984">
        <v>0</v>
      </c>
      <c r="N42" s="984">
        <v>0</v>
      </c>
      <c r="O42" s="958"/>
      <c r="P42" s="958"/>
      <c r="Q42" s="958"/>
      <c r="R42" s="958"/>
      <c r="S42" s="958"/>
      <c r="T42" s="958"/>
      <c r="U42" s="958"/>
      <c r="V42" s="958"/>
      <c r="W42" s="958"/>
      <c r="X42" s="958"/>
      <c r="Y42" s="958"/>
      <c r="Z42" s="958"/>
      <c r="AA42" s="958"/>
      <c r="AB42" s="958"/>
      <c r="AC42" s="958"/>
      <c r="AD42" s="958"/>
      <c r="AE42" s="958"/>
      <c r="AF42" s="958"/>
      <c r="AG42" s="958"/>
      <c r="AH42" s="958"/>
      <c r="AI42" s="958"/>
      <c r="AJ42" s="958"/>
      <c r="AK42" s="958"/>
      <c r="AL42" s="958"/>
      <c r="AM42" s="958"/>
      <c r="AN42" s="958"/>
      <c r="AO42" s="958"/>
      <c r="AP42" s="958"/>
      <c r="AQ42" s="958"/>
      <c r="AR42" s="958"/>
      <c r="AS42" s="958"/>
      <c r="AT42" s="958"/>
      <c r="AU42" s="958"/>
      <c r="AV42" s="958"/>
      <c r="AW42" s="958"/>
      <c r="AX42" s="958"/>
      <c r="AY42" s="958"/>
      <c r="AZ42" s="958"/>
      <c r="BA42" s="958"/>
      <c r="BB42" s="958"/>
      <c r="BC42" s="958"/>
      <c r="BD42" s="958"/>
      <c r="BE42" s="958"/>
      <c r="BF42" s="958"/>
      <c r="BG42" s="958"/>
      <c r="BH42" s="958"/>
      <c r="BI42" s="958"/>
      <c r="BJ42" s="958"/>
      <c r="BK42" s="958"/>
      <c r="BL42" s="958"/>
      <c r="BM42" s="958"/>
      <c r="BN42" s="958"/>
      <c r="BO42" s="958"/>
      <c r="BP42" s="958"/>
      <c r="BQ42" s="958"/>
      <c r="BR42" s="958"/>
      <c r="BS42" s="958"/>
      <c r="BT42" s="958"/>
      <c r="BU42" s="958"/>
      <c r="BV42" s="958"/>
      <c r="BW42" s="958"/>
      <c r="BX42" s="958"/>
      <c r="BY42" s="958"/>
      <c r="BZ42" s="958"/>
      <c r="CA42" s="958"/>
      <c r="CB42" s="958"/>
      <c r="CC42" s="958"/>
      <c r="CD42" s="958"/>
      <c r="CE42" s="958"/>
      <c r="CF42" s="958"/>
      <c r="CG42" s="958"/>
      <c r="CH42" s="958"/>
      <c r="CI42" s="958"/>
      <c r="CJ42" s="958"/>
      <c r="CK42" s="958"/>
      <c r="CL42" s="958"/>
      <c r="CM42" s="958"/>
      <c r="CN42" s="958"/>
      <c r="CO42" s="958"/>
      <c r="CP42" s="958"/>
      <c r="CQ42" s="958"/>
      <c r="CR42" s="958"/>
      <c r="CS42" s="958"/>
      <c r="CT42" s="958"/>
      <c r="CU42" s="958"/>
      <c r="CV42" s="958"/>
      <c r="CW42" s="958"/>
      <c r="CX42" s="958"/>
      <c r="CY42" s="958"/>
      <c r="CZ42" s="958"/>
      <c r="DA42" s="958"/>
      <c r="DB42" s="958"/>
      <c r="DC42" s="958"/>
      <c r="DD42" s="958"/>
      <c r="DE42" s="958"/>
      <c r="DF42" s="958"/>
      <c r="DG42" s="958"/>
      <c r="DH42" s="958"/>
      <c r="DI42" s="958"/>
      <c r="DJ42" s="958"/>
      <c r="DK42" s="958"/>
      <c r="DL42" s="958"/>
      <c r="DM42" s="958"/>
      <c r="DN42" s="958"/>
      <c r="DO42" s="958"/>
      <c r="DP42" s="958"/>
      <c r="DQ42" s="958"/>
      <c r="DR42" s="958"/>
      <c r="DS42" s="958"/>
      <c r="DT42" s="958"/>
      <c r="DU42" s="958"/>
      <c r="DV42" s="958"/>
      <c r="DW42" s="958"/>
      <c r="DX42" s="958"/>
      <c r="DY42" s="958"/>
      <c r="DZ42" s="958"/>
      <c r="EA42" s="958"/>
      <c r="EB42" s="958"/>
      <c r="EC42" s="958"/>
      <c r="ED42" s="958"/>
      <c r="EE42" s="958"/>
      <c r="EF42" s="958"/>
      <c r="EG42" s="958"/>
      <c r="EH42" s="958"/>
      <c r="EI42" s="958"/>
      <c r="EJ42" s="958"/>
      <c r="EK42" s="958"/>
      <c r="EL42" s="958"/>
      <c r="EM42" s="958"/>
      <c r="EN42" s="958"/>
      <c r="EO42" s="958"/>
      <c r="EP42" s="958"/>
      <c r="EQ42" s="958"/>
      <c r="ER42" s="958"/>
      <c r="ES42" s="958"/>
      <c r="ET42" s="958"/>
      <c r="EU42" s="958"/>
      <c r="EV42" s="958"/>
      <c r="EW42" s="958"/>
      <c r="EX42" s="958"/>
      <c r="EY42" s="958"/>
      <c r="EZ42" s="958"/>
      <c r="FA42" s="958"/>
      <c r="FB42" s="958"/>
      <c r="FC42" s="958"/>
      <c r="FD42" s="958"/>
      <c r="FE42" s="958"/>
      <c r="FF42" s="958"/>
      <c r="FG42" s="958"/>
      <c r="FH42" s="958"/>
      <c r="FI42" s="958"/>
      <c r="FJ42" s="958"/>
      <c r="FK42" s="958"/>
      <c r="FL42" s="958"/>
      <c r="FM42" s="958"/>
      <c r="FN42" s="958"/>
      <c r="FO42" s="958"/>
      <c r="FP42" s="958"/>
      <c r="FQ42" s="958"/>
      <c r="FR42" s="958"/>
      <c r="FS42" s="958"/>
      <c r="FT42" s="958"/>
      <c r="FU42" s="958"/>
      <c r="FV42" s="958"/>
      <c r="FW42" s="958"/>
      <c r="FX42" s="958"/>
      <c r="FY42" s="958"/>
      <c r="FZ42" s="958"/>
      <c r="GA42" s="958"/>
      <c r="GB42" s="958"/>
      <c r="GC42" s="958"/>
      <c r="GD42" s="958"/>
      <c r="GE42" s="958"/>
      <c r="GF42" s="958"/>
      <c r="GG42" s="958"/>
      <c r="GH42" s="958"/>
      <c r="GI42" s="958"/>
      <c r="GJ42" s="958"/>
      <c r="GK42" s="958"/>
      <c r="GL42" s="958"/>
      <c r="GM42" s="958"/>
      <c r="GN42" s="958"/>
      <c r="GO42" s="958"/>
      <c r="GP42" s="958"/>
      <c r="GQ42" s="958"/>
      <c r="GR42" s="958"/>
      <c r="GS42" s="958"/>
      <c r="GT42" s="958"/>
      <c r="GU42" s="958"/>
      <c r="GV42" s="958"/>
      <c r="GW42" s="958"/>
      <c r="GX42" s="958"/>
      <c r="GY42" s="958"/>
      <c r="GZ42" s="958"/>
      <c r="HA42" s="958"/>
      <c r="HB42" s="958"/>
      <c r="HC42" s="958"/>
      <c r="HD42" s="958"/>
      <c r="HE42" s="958"/>
      <c r="HF42" s="958"/>
      <c r="HG42" s="958"/>
      <c r="HH42" s="958"/>
      <c r="HI42" s="958"/>
      <c r="HJ42" s="958"/>
      <c r="HK42" s="958"/>
      <c r="HL42" s="958"/>
      <c r="HM42" s="958"/>
      <c r="HN42" s="958"/>
      <c r="HO42" s="958"/>
      <c r="HP42" s="958"/>
      <c r="HQ42" s="958"/>
      <c r="HR42" s="958"/>
      <c r="HS42" s="958"/>
      <c r="HT42" s="958"/>
      <c r="HU42" s="958"/>
      <c r="HV42" s="958"/>
      <c r="HW42" s="958"/>
      <c r="HX42" s="958"/>
      <c r="HY42" s="958"/>
      <c r="HZ42" s="958"/>
      <c r="IA42" s="958"/>
      <c r="IB42" s="958"/>
      <c r="IC42" s="958"/>
      <c r="ID42" s="958"/>
      <c r="IE42" s="958"/>
      <c r="IF42" s="958"/>
      <c r="IG42" s="958"/>
      <c r="IH42" s="958"/>
      <c r="II42" s="958"/>
      <c r="IJ42" s="958"/>
      <c r="IK42" s="958"/>
      <c r="IL42" s="958"/>
      <c r="IM42" s="958"/>
      <c r="IN42" s="958"/>
      <c r="IO42" s="958"/>
      <c r="IP42" s="958"/>
      <c r="IQ42" s="958"/>
      <c r="IR42" s="958"/>
      <c r="IS42" s="958"/>
      <c r="IT42" s="958"/>
      <c r="IU42" s="958"/>
      <c r="IV42" s="958"/>
    </row>
    <row r="43" spans="1:256" s="966" customFormat="1" ht="12.75" customHeight="1" thickBot="1">
      <c r="A43" s="986" t="s">
        <v>844</v>
      </c>
      <c r="B43" s="995">
        <v>205.9</v>
      </c>
      <c r="C43" s="995">
        <v>224.3</v>
      </c>
      <c r="D43" s="996">
        <v>281.3</v>
      </c>
      <c r="E43" s="996">
        <v>408.5</v>
      </c>
      <c r="F43" s="997">
        <v>377.4</v>
      </c>
      <c r="G43" s="997">
        <v>294.5</v>
      </c>
      <c r="H43" s="997">
        <v>346.7</v>
      </c>
      <c r="I43" s="997">
        <v>348.7</v>
      </c>
      <c r="J43" s="997">
        <v>335.4</v>
      </c>
      <c r="K43" s="997">
        <v>370.8</v>
      </c>
      <c r="L43" s="998">
        <v>350.5</v>
      </c>
      <c r="M43" s="998">
        <v>381.4</v>
      </c>
      <c r="N43" s="997">
        <v>375.5</v>
      </c>
      <c r="O43" s="965"/>
      <c r="P43" s="965"/>
      <c r="Q43" s="965"/>
      <c r="R43" s="965"/>
      <c r="S43" s="965"/>
      <c r="T43" s="965"/>
      <c r="U43" s="965"/>
      <c r="V43" s="965"/>
      <c r="W43" s="965"/>
      <c r="X43" s="965"/>
      <c r="Y43" s="965"/>
      <c r="Z43" s="965"/>
      <c r="AA43" s="965"/>
      <c r="AB43" s="965"/>
      <c r="AC43" s="965"/>
      <c r="AD43" s="965"/>
      <c r="AE43" s="965"/>
      <c r="AF43" s="965"/>
      <c r="AG43" s="965"/>
      <c r="AH43" s="965"/>
      <c r="AI43" s="965"/>
      <c r="AJ43" s="965"/>
      <c r="AK43" s="965"/>
      <c r="AL43" s="965"/>
      <c r="AM43" s="965"/>
      <c r="AN43" s="965"/>
      <c r="AO43" s="965"/>
      <c r="AP43" s="965"/>
      <c r="AQ43" s="965"/>
      <c r="AR43" s="965"/>
      <c r="AS43" s="965"/>
      <c r="AT43" s="965"/>
      <c r="AU43" s="965"/>
      <c r="AV43" s="965"/>
      <c r="AW43" s="965"/>
      <c r="AX43" s="965"/>
      <c r="AY43" s="965"/>
      <c r="AZ43" s="965"/>
      <c r="BA43" s="965"/>
      <c r="BB43" s="965"/>
      <c r="BC43" s="965"/>
      <c r="BD43" s="965"/>
      <c r="BE43" s="965"/>
      <c r="BF43" s="965"/>
      <c r="BG43" s="965"/>
      <c r="BH43" s="965"/>
      <c r="BI43" s="965"/>
      <c r="BJ43" s="965"/>
      <c r="BK43" s="965"/>
      <c r="BL43" s="965"/>
      <c r="BM43" s="965"/>
      <c r="BN43" s="965"/>
      <c r="BO43" s="965"/>
      <c r="BP43" s="965"/>
      <c r="BQ43" s="965"/>
      <c r="BR43" s="965"/>
      <c r="BS43" s="965"/>
      <c r="BT43" s="965"/>
      <c r="BU43" s="965"/>
      <c r="BV43" s="965"/>
      <c r="BW43" s="965"/>
      <c r="BX43" s="965"/>
      <c r="BY43" s="965"/>
      <c r="BZ43" s="965"/>
      <c r="CA43" s="965"/>
      <c r="CB43" s="965"/>
      <c r="CC43" s="965"/>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c r="EC43" s="965"/>
      <c r="ED43" s="965"/>
      <c r="EE43" s="965"/>
      <c r="EF43" s="965"/>
      <c r="EG43" s="965"/>
      <c r="EH43" s="965"/>
      <c r="EI43" s="965"/>
      <c r="EJ43" s="965"/>
      <c r="EK43" s="965"/>
      <c r="EL43" s="965"/>
      <c r="EM43" s="965"/>
      <c r="EN43" s="965"/>
      <c r="EO43" s="965"/>
      <c r="EP43" s="965"/>
      <c r="EQ43" s="965"/>
      <c r="ER43" s="965"/>
      <c r="ES43" s="965"/>
      <c r="ET43" s="965"/>
      <c r="EU43" s="965"/>
      <c r="EV43" s="965"/>
      <c r="EW43" s="965"/>
      <c r="EX43" s="965"/>
      <c r="EY43" s="965"/>
      <c r="EZ43" s="965"/>
      <c r="FA43" s="965"/>
      <c r="FB43" s="965"/>
      <c r="FC43" s="965"/>
      <c r="FD43" s="965"/>
      <c r="FE43" s="965"/>
      <c r="FF43" s="965"/>
      <c r="FG43" s="965"/>
      <c r="FH43" s="965"/>
      <c r="FI43" s="965"/>
      <c r="FJ43" s="965"/>
      <c r="FK43" s="965"/>
      <c r="FL43" s="965"/>
      <c r="FM43" s="965"/>
      <c r="FN43" s="965"/>
      <c r="FO43" s="965"/>
      <c r="FP43" s="965"/>
      <c r="FQ43" s="965"/>
      <c r="FR43" s="965"/>
      <c r="FS43" s="965"/>
      <c r="FT43" s="965"/>
      <c r="FU43" s="965"/>
      <c r="FV43" s="965"/>
      <c r="FW43" s="965"/>
      <c r="FX43" s="965"/>
      <c r="FY43" s="965"/>
      <c r="FZ43" s="965"/>
      <c r="GA43" s="965"/>
      <c r="GB43" s="965"/>
      <c r="GC43" s="965"/>
      <c r="GD43" s="965"/>
      <c r="GE43" s="965"/>
      <c r="GF43" s="965"/>
      <c r="GG43" s="965"/>
      <c r="GH43" s="965"/>
      <c r="GI43" s="965"/>
      <c r="GJ43" s="965"/>
      <c r="GK43" s="965"/>
      <c r="GL43" s="965"/>
      <c r="GM43" s="965"/>
      <c r="GN43" s="965"/>
      <c r="GO43" s="965"/>
      <c r="GP43" s="965"/>
      <c r="GQ43" s="965"/>
      <c r="GR43" s="965"/>
      <c r="GS43" s="965"/>
      <c r="GT43" s="965"/>
      <c r="GU43" s="965"/>
      <c r="GV43" s="965"/>
      <c r="GW43" s="965"/>
      <c r="GX43" s="965"/>
      <c r="GY43" s="965"/>
      <c r="GZ43" s="965"/>
      <c r="HA43" s="965"/>
      <c r="HB43" s="965"/>
      <c r="HC43" s="965"/>
      <c r="HD43" s="965"/>
      <c r="HE43" s="965"/>
      <c r="HF43" s="965"/>
      <c r="HG43" s="965"/>
      <c r="HH43" s="965"/>
      <c r="HI43" s="965"/>
      <c r="HJ43" s="965"/>
      <c r="HK43" s="965"/>
      <c r="HL43" s="965"/>
      <c r="HM43" s="965"/>
      <c r="HN43" s="965"/>
      <c r="HO43" s="965"/>
      <c r="HP43" s="965"/>
      <c r="HQ43" s="965"/>
      <c r="HR43" s="965"/>
      <c r="HS43" s="965"/>
      <c r="HT43" s="965"/>
      <c r="HU43" s="965"/>
      <c r="HV43" s="965"/>
      <c r="HW43" s="965"/>
      <c r="HX43" s="965"/>
      <c r="HY43" s="965"/>
      <c r="HZ43" s="965"/>
      <c r="IA43" s="965"/>
      <c r="IB43" s="965"/>
      <c r="IC43" s="965"/>
      <c r="ID43" s="965"/>
      <c r="IE43" s="965"/>
      <c r="IF43" s="965"/>
      <c r="IG43" s="965"/>
      <c r="IH43" s="965"/>
      <c r="II43" s="965"/>
      <c r="IJ43" s="965"/>
      <c r="IK43" s="965"/>
      <c r="IL43" s="965"/>
      <c r="IM43" s="965"/>
      <c r="IN43" s="965"/>
      <c r="IO43" s="965"/>
      <c r="IP43" s="965"/>
      <c r="IQ43" s="965"/>
      <c r="IR43" s="965"/>
      <c r="IS43" s="965"/>
      <c r="IT43" s="965"/>
      <c r="IU43" s="965"/>
      <c r="IV43" s="965"/>
    </row>
    <row r="44" spans="1:256" ht="12" customHeight="1" thickTop="1">
      <c r="A44" s="1000" t="s">
        <v>861</v>
      </c>
      <c r="B44" s="978">
        <v>86.8</v>
      </c>
      <c r="C44" s="978">
        <v>94.7</v>
      </c>
      <c r="D44" s="979">
        <v>120.1</v>
      </c>
      <c r="E44" s="979">
        <v>190.9</v>
      </c>
      <c r="F44" s="979">
        <v>182.5</v>
      </c>
      <c r="G44" s="979">
        <v>144.4</v>
      </c>
      <c r="H44" s="979">
        <v>168.9</v>
      </c>
      <c r="I44" s="979">
        <v>170.1</v>
      </c>
      <c r="J44" s="979">
        <v>163.69999999999999</v>
      </c>
      <c r="K44" s="979">
        <v>181.9</v>
      </c>
      <c r="L44" s="985">
        <v>170.4</v>
      </c>
      <c r="M44" s="985">
        <v>184.4</v>
      </c>
      <c r="N44" s="979">
        <v>182.8</v>
      </c>
      <c r="O44" s="958"/>
      <c r="P44" s="958"/>
      <c r="Q44" s="958"/>
      <c r="R44" s="958"/>
      <c r="S44" s="958"/>
      <c r="T44" s="958"/>
      <c r="U44" s="958"/>
      <c r="V44" s="958"/>
      <c r="W44" s="958"/>
      <c r="X44" s="958"/>
      <c r="Y44" s="958"/>
      <c r="Z44" s="958"/>
      <c r="AA44" s="958"/>
      <c r="AB44" s="958"/>
      <c r="AC44" s="958"/>
      <c r="AD44" s="958"/>
      <c r="AE44" s="958"/>
      <c r="AF44" s="958"/>
      <c r="AG44" s="958"/>
      <c r="AH44" s="958"/>
      <c r="AI44" s="958"/>
      <c r="AJ44" s="958"/>
      <c r="AK44" s="958"/>
      <c r="AL44" s="958"/>
      <c r="AM44" s="958"/>
      <c r="AN44" s="958"/>
      <c r="AO44" s="958"/>
      <c r="AP44" s="958"/>
      <c r="AQ44" s="958"/>
      <c r="AR44" s="958"/>
      <c r="AS44" s="958"/>
      <c r="AT44" s="958"/>
      <c r="AU44" s="958"/>
      <c r="AV44" s="958"/>
      <c r="AW44" s="958"/>
      <c r="AX44" s="958"/>
      <c r="AY44" s="958"/>
      <c r="AZ44" s="958"/>
      <c r="BA44" s="958"/>
      <c r="BB44" s="958"/>
      <c r="BC44" s="958"/>
      <c r="BD44" s="958"/>
      <c r="BE44" s="958"/>
      <c r="BF44" s="958"/>
      <c r="BG44" s="958"/>
      <c r="BH44" s="958"/>
      <c r="BI44" s="958"/>
      <c r="BJ44" s="958"/>
      <c r="BK44" s="958"/>
      <c r="BL44" s="958"/>
      <c r="BM44" s="958"/>
      <c r="BN44" s="958"/>
      <c r="BO44" s="958"/>
      <c r="BP44" s="958"/>
      <c r="BQ44" s="958"/>
      <c r="BR44" s="958"/>
      <c r="BS44" s="958"/>
      <c r="BT44" s="958"/>
      <c r="BU44" s="958"/>
      <c r="BV44" s="958"/>
      <c r="BW44" s="958"/>
      <c r="BX44" s="958"/>
      <c r="BY44" s="958"/>
      <c r="BZ44" s="958"/>
      <c r="CA44" s="958"/>
      <c r="CB44" s="958"/>
      <c r="CC44" s="958"/>
      <c r="CD44" s="958"/>
      <c r="CE44" s="958"/>
      <c r="CF44" s="958"/>
      <c r="CG44" s="958"/>
      <c r="CH44" s="958"/>
      <c r="CI44" s="958"/>
      <c r="CJ44" s="958"/>
      <c r="CK44" s="958"/>
      <c r="CL44" s="958"/>
      <c r="CM44" s="958"/>
      <c r="CN44" s="958"/>
      <c r="CO44" s="958"/>
      <c r="CP44" s="958"/>
      <c r="CQ44" s="958"/>
      <c r="CR44" s="958"/>
      <c r="CS44" s="958"/>
      <c r="CT44" s="958"/>
      <c r="CU44" s="958"/>
      <c r="CV44" s="958"/>
      <c r="CW44" s="958"/>
      <c r="CX44" s="958"/>
      <c r="CY44" s="958"/>
      <c r="CZ44" s="958"/>
      <c r="DA44" s="958"/>
      <c r="DB44" s="958"/>
      <c r="DC44" s="958"/>
      <c r="DD44" s="958"/>
      <c r="DE44" s="958"/>
      <c r="DF44" s="958"/>
      <c r="DG44" s="958"/>
      <c r="DH44" s="958"/>
      <c r="DI44" s="958"/>
      <c r="DJ44" s="958"/>
      <c r="DK44" s="958"/>
      <c r="DL44" s="958"/>
      <c r="DM44" s="958"/>
      <c r="DN44" s="958"/>
      <c r="DO44" s="958"/>
      <c r="DP44" s="958"/>
      <c r="DQ44" s="958"/>
      <c r="DR44" s="958"/>
      <c r="DS44" s="958"/>
      <c r="DT44" s="958"/>
      <c r="DU44" s="958"/>
      <c r="DV44" s="958"/>
      <c r="DW44" s="958"/>
      <c r="DX44" s="958"/>
      <c r="DY44" s="958"/>
      <c r="DZ44" s="958"/>
      <c r="EA44" s="958"/>
      <c r="EB44" s="958"/>
      <c r="EC44" s="958"/>
      <c r="ED44" s="958"/>
      <c r="EE44" s="958"/>
      <c r="EF44" s="958"/>
      <c r="EG44" s="958"/>
      <c r="EH44" s="958"/>
      <c r="EI44" s="958"/>
      <c r="EJ44" s="958"/>
      <c r="EK44" s="958"/>
      <c r="EL44" s="958"/>
      <c r="EM44" s="958"/>
      <c r="EN44" s="958"/>
      <c r="EO44" s="958"/>
      <c r="EP44" s="958"/>
      <c r="EQ44" s="958"/>
      <c r="ER44" s="958"/>
      <c r="ES44" s="958"/>
      <c r="ET44" s="958"/>
      <c r="EU44" s="958"/>
      <c r="EV44" s="958"/>
      <c r="EW44" s="958"/>
      <c r="EX44" s="958"/>
      <c r="EY44" s="958"/>
      <c r="EZ44" s="958"/>
      <c r="FA44" s="958"/>
      <c r="FB44" s="958"/>
      <c r="FC44" s="958"/>
      <c r="FD44" s="958"/>
      <c r="FE44" s="958"/>
      <c r="FF44" s="958"/>
      <c r="FG44" s="958"/>
      <c r="FH44" s="958"/>
      <c r="FI44" s="958"/>
      <c r="FJ44" s="958"/>
      <c r="FK44" s="958"/>
      <c r="FL44" s="958"/>
      <c r="FM44" s="958"/>
      <c r="FN44" s="958"/>
      <c r="FO44" s="958"/>
      <c r="FP44" s="958"/>
      <c r="FQ44" s="958"/>
      <c r="FR44" s="958"/>
      <c r="FS44" s="958"/>
      <c r="FT44" s="958"/>
      <c r="FU44" s="958"/>
      <c r="FV44" s="958"/>
      <c r="FW44" s="958"/>
      <c r="FX44" s="958"/>
      <c r="FY44" s="958"/>
      <c r="FZ44" s="958"/>
      <c r="GA44" s="958"/>
      <c r="GB44" s="958"/>
      <c r="GC44" s="958"/>
      <c r="GD44" s="958"/>
      <c r="GE44" s="958"/>
      <c r="GF44" s="958"/>
      <c r="GG44" s="958"/>
      <c r="GH44" s="958"/>
      <c r="GI44" s="958"/>
      <c r="GJ44" s="958"/>
      <c r="GK44" s="958"/>
      <c r="GL44" s="958"/>
      <c r="GM44" s="958"/>
      <c r="GN44" s="958"/>
      <c r="GO44" s="958"/>
      <c r="GP44" s="958"/>
      <c r="GQ44" s="958"/>
      <c r="GR44" s="958"/>
      <c r="GS44" s="958"/>
      <c r="GT44" s="958"/>
      <c r="GU44" s="958"/>
      <c r="GV44" s="958"/>
      <c r="GW44" s="958"/>
      <c r="GX44" s="958"/>
      <c r="GY44" s="958"/>
      <c r="GZ44" s="958"/>
      <c r="HA44" s="958"/>
      <c r="HB44" s="958"/>
      <c r="HC44" s="958"/>
      <c r="HD44" s="958"/>
      <c r="HE44" s="958"/>
      <c r="HF44" s="958"/>
      <c r="HG44" s="958"/>
      <c r="HH44" s="958"/>
      <c r="HI44" s="958"/>
      <c r="HJ44" s="958"/>
      <c r="HK44" s="958"/>
      <c r="HL44" s="958"/>
      <c r="HM44" s="958"/>
      <c r="HN44" s="958"/>
      <c r="HO44" s="958"/>
      <c r="HP44" s="958"/>
      <c r="HQ44" s="958"/>
      <c r="HR44" s="958"/>
      <c r="HS44" s="958"/>
      <c r="HT44" s="958"/>
      <c r="HU44" s="958"/>
      <c r="HV44" s="958"/>
      <c r="HW44" s="958"/>
      <c r="HX44" s="958"/>
      <c r="HY44" s="958"/>
      <c r="HZ44" s="958"/>
      <c r="IA44" s="958"/>
      <c r="IB44" s="958"/>
      <c r="IC44" s="958"/>
      <c r="ID44" s="958"/>
      <c r="IE44" s="958"/>
      <c r="IF44" s="958"/>
      <c r="IG44" s="958"/>
      <c r="IH44" s="958"/>
      <c r="II44" s="958"/>
      <c r="IJ44" s="958"/>
      <c r="IK44" s="958"/>
      <c r="IL44" s="958"/>
      <c r="IM44" s="958"/>
      <c r="IN44" s="958"/>
      <c r="IO44" s="958"/>
      <c r="IP44" s="958"/>
      <c r="IQ44" s="958"/>
      <c r="IR44" s="958"/>
      <c r="IS44" s="958"/>
      <c r="IT44" s="958"/>
      <c r="IU44" s="958"/>
      <c r="IV44" s="958"/>
    </row>
    <row r="45" spans="1:256" ht="12.75" customHeight="1">
      <c r="A45" s="1001" t="s">
        <v>850</v>
      </c>
      <c r="B45" s="982">
        <v>1010</v>
      </c>
      <c r="C45" s="982">
        <v>1102</v>
      </c>
      <c r="D45" s="983">
        <v>1397</v>
      </c>
      <c r="E45" s="983">
        <v>2220</v>
      </c>
      <c r="F45" s="983">
        <v>2122</v>
      </c>
      <c r="G45" s="983">
        <v>1679.3</v>
      </c>
      <c r="H45" s="983">
        <v>1964.9</v>
      </c>
      <c r="I45" s="983">
        <v>1977.8</v>
      </c>
      <c r="J45" s="983">
        <v>1904.1</v>
      </c>
      <c r="K45" s="983">
        <v>2115.3000000000002</v>
      </c>
      <c r="L45" s="994">
        <v>1981.9</v>
      </c>
      <c r="M45" s="994">
        <v>2144.4</v>
      </c>
      <c r="N45" s="983">
        <v>2126.4</v>
      </c>
      <c r="O45" s="958"/>
      <c r="P45" s="958"/>
      <c r="Q45" s="958"/>
      <c r="R45" s="958"/>
      <c r="S45" s="958"/>
      <c r="T45" s="958"/>
      <c r="U45" s="958"/>
      <c r="V45" s="958"/>
      <c r="W45" s="958"/>
      <c r="X45" s="958"/>
      <c r="Y45" s="958"/>
      <c r="Z45" s="958"/>
      <c r="AA45" s="958"/>
      <c r="AB45" s="958"/>
      <c r="AC45" s="958"/>
      <c r="AD45" s="958"/>
      <c r="AE45" s="958"/>
      <c r="AF45" s="958"/>
      <c r="AG45" s="958"/>
      <c r="AH45" s="958"/>
      <c r="AI45" s="958"/>
      <c r="AJ45" s="958"/>
      <c r="AK45" s="958"/>
      <c r="AL45" s="958"/>
      <c r="AM45" s="958"/>
      <c r="AN45" s="958"/>
      <c r="AO45" s="958"/>
      <c r="AP45" s="958"/>
      <c r="AQ45" s="958"/>
      <c r="AR45" s="958"/>
      <c r="AS45" s="958"/>
      <c r="AT45" s="958"/>
      <c r="AU45" s="958"/>
      <c r="AV45" s="958"/>
      <c r="AW45" s="958"/>
      <c r="AX45" s="958"/>
      <c r="AY45" s="958"/>
      <c r="AZ45" s="958"/>
      <c r="BA45" s="958"/>
      <c r="BB45" s="958"/>
      <c r="BC45" s="958"/>
      <c r="BD45" s="958"/>
      <c r="BE45" s="958"/>
      <c r="BF45" s="958"/>
      <c r="BG45" s="958"/>
      <c r="BH45" s="958"/>
      <c r="BI45" s="958"/>
      <c r="BJ45" s="958"/>
      <c r="BK45" s="958"/>
      <c r="BL45" s="958"/>
      <c r="BM45" s="958"/>
      <c r="BN45" s="958"/>
      <c r="BO45" s="958"/>
      <c r="BP45" s="958"/>
      <c r="BQ45" s="958"/>
      <c r="BR45" s="958"/>
      <c r="BS45" s="958"/>
      <c r="BT45" s="958"/>
      <c r="BU45" s="958"/>
      <c r="BV45" s="958"/>
      <c r="BW45" s="958"/>
      <c r="BX45" s="958"/>
      <c r="BY45" s="958"/>
      <c r="BZ45" s="958"/>
      <c r="CA45" s="958"/>
      <c r="CB45" s="958"/>
      <c r="CC45" s="958"/>
      <c r="CD45" s="958"/>
      <c r="CE45" s="958"/>
      <c r="CF45" s="958"/>
      <c r="CG45" s="958"/>
      <c r="CH45" s="958"/>
      <c r="CI45" s="958"/>
      <c r="CJ45" s="958"/>
      <c r="CK45" s="958"/>
      <c r="CL45" s="958"/>
      <c r="CM45" s="958"/>
      <c r="CN45" s="958"/>
      <c r="CO45" s="958"/>
      <c r="CP45" s="958"/>
      <c r="CQ45" s="958"/>
      <c r="CR45" s="958"/>
      <c r="CS45" s="958"/>
      <c r="CT45" s="958"/>
      <c r="CU45" s="958"/>
      <c r="CV45" s="958"/>
      <c r="CW45" s="958"/>
      <c r="CX45" s="958"/>
      <c r="CY45" s="958"/>
      <c r="CZ45" s="958"/>
      <c r="DA45" s="958"/>
      <c r="DB45" s="958"/>
      <c r="DC45" s="958"/>
      <c r="DD45" s="958"/>
      <c r="DE45" s="958"/>
      <c r="DF45" s="958"/>
      <c r="DG45" s="958"/>
      <c r="DH45" s="958"/>
      <c r="DI45" s="958"/>
      <c r="DJ45" s="958"/>
      <c r="DK45" s="958"/>
      <c r="DL45" s="958"/>
      <c r="DM45" s="958"/>
      <c r="DN45" s="958"/>
      <c r="DO45" s="958"/>
      <c r="DP45" s="958"/>
      <c r="DQ45" s="958"/>
      <c r="DR45" s="958"/>
      <c r="DS45" s="958"/>
      <c r="DT45" s="958"/>
      <c r="DU45" s="958"/>
      <c r="DV45" s="958"/>
      <c r="DW45" s="958"/>
      <c r="DX45" s="958"/>
      <c r="DY45" s="958"/>
      <c r="DZ45" s="958"/>
      <c r="EA45" s="958"/>
      <c r="EB45" s="958"/>
      <c r="EC45" s="958"/>
      <c r="ED45" s="958"/>
      <c r="EE45" s="958"/>
      <c r="EF45" s="958"/>
      <c r="EG45" s="958"/>
      <c r="EH45" s="958"/>
      <c r="EI45" s="958"/>
      <c r="EJ45" s="958"/>
      <c r="EK45" s="958"/>
      <c r="EL45" s="958"/>
      <c r="EM45" s="958"/>
      <c r="EN45" s="958"/>
      <c r="EO45" s="958"/>
      <c r="EP45" s="958"/>
      <c r="EQ45" s="958"/>
      <c r="ER45" s="958"/>
      <c r="ES45" s="958"/>
      <c r="ET45" s="958"/>
      <c r="EU45" s="958"/>
      <c r="EV45" s="958"/>
      <c r="EW45" s="958"/>
      <c r="EX45" s="958"/>
      <c r="EY45" s="958"/>
      <c r="EZ45" s="958"/>
      <c r="FA45" s="958"/>
      <c r="FB45" s="958"/>
      <c r="FC45" s="958"/>
      <c r="FD45" s="958"/>
      <c r="FE45" s="958"/>
      <c r="FF45" s="958"/>
      <c r="FG45" s="958"/>
      <c r="FH45" s="958"/>
      <c r="FI45" s="958"/>
      <c r="FJ45" s="958"/>
      <c r="FK45" s="958"/>
      <c r="FL45" s="958"/>
      <c r="FM45" s="958"/>
      <c r="FN45" s="958"/>
      <c r="FO45" s="958"/>
      <c r="FP45" s="958"/>
      <c r="FQ45" s="958"/>
      <c r="FR45" s="958"/>
      <c r="FS45" s="958"/>
      <c r="FT45" s="958"/>
      <c r="FU45" s="958"/>
      <c r="FV45" s="958"/>
      <c r="FW45" s="958"/>
      <c r="FX45" s="958"/>
      <c r="FY45" s="958"/>
      <c r="FZ45" s="958"/>
      <c r="GA45" s="958"/>
      <c r="GB45" s="958"/>
      <c r="GC45" s="958"/>
      <c r="GD45" s="958"/>
      <c r="GE45" s="958"/>
      <c r="GF45" s="958"/>
      <c r="GG45" s="958"/>
      <c r="GH45" s="958"/>
      <c r="GI45" s="958"/>
      <c r="GJ45" s="958"/>
      <c r="GK45" s="958"/>
      <c r="GL45" s="958"/>
      <c r="GM45" s="958"/>
      <c r="GN45" s="958"/>
      <c r="GO45" s="958"/>
      <c r="GP45" s="958"/>
      <c r="GQ45" s="958"/>
      <c r="GR45" s="958"/>
      <c r="GS45" s="958"/>
      <c r="GT45" s="958"/>
      <c r="GU45" s="958"/>
      <c r="GV45" s="958"/>
      <c r="GW45" s="958"/>
      <c r="GX45" s="958"/>
      <c r="GY45" s="958"/>
      <c r="GZ45" s="958"/>
      <c r="HA45" s="958"/>
      <c r="HB45" s="958"/>
      <c r="HC45" s="958"/>
      <c r="HD45" s="958"/>
      <c r="HE45" s="958"/>
      <c r="HF45" s="958"/>
      <c r="HG45" s="958"/>
      <c r="HH45" s="958"/>
      <c r="HI45" s="958"/>
      <c r="HJ45" s="958"/>
      <c r="HK45" s="958"/>
      <c r="HL45" s="958"/>
      <c r="HM45" s="958"/>
      <c r="HN45" s="958"/>
      <c r="HO45" s="958"/>
      <c r="HP45" s="958"/>
      <c r="HQ45" s="958"/>
      <c r="HR45" s="958"/>
      <c r="HS45" s="958"/>
      <c r="HT45" s="958"/>
      <c r="HU45" s="958"/>
      <c r="HV45" s="958"/>
      <c r="HW45" s="958"/>
      <c r="HX45" s="958"/>
      <c r="HY45" s="958"/>
      <c r="HZ45" s="958"/>
      <c r="IA45" s="958"/>
      <c r="IB45" s="958"/>
      <c r="IC45" s="958"/>
      <c r="ID45" s="958"/>
      <c r="IE45" s="958"/>
      <c r="IF45" s="958"/>
      <c r="IG45" s="958"/>
      <c r="IH45" s="958"/>
      <c r="II45" s="958"/>
      <c r="IJ45" s="958"/>
      <c r="IK45" s="958"/>
      <c r="IL45" s="958"/>
      <c r="IM45" s="958"/>
      <c r="IN45" s="958"/>
      <c r="IO45" s="958"/>
      <c r="IP45" s="958"/>
      <c r="IQ45" s="958"/>
      <c r="IR45" s="958"/>
      <c r="IS45" s="958"/>
      <c r="IT45" s="958"/>
      <c r="IU45" s="958"/>
      <c r="IV45" s="958"/>
    </row>
    <row r="46" spans="1:256" s="966" customFormat="1" ht="12" customHeight="1">
      <c r="A46" s="959" t="s">
        <v>862</v>
      </c>
      <c r="B46" s="978">
        <v>73.599999999999994</v>
      </c>
      <c r="C46" s="978">
        <v>81</v>
      </c>
      <c r="D46" s="979">
        <v>103.2</v>
      </c>
      <c r="E46" s="979">
        <v>172.4</v>
      </c>
      <c r="F46" s="1004">
        <v>86.4</v>
      </c>
      <c r="G46" s="1004">
        <v>83.1</v>
      </c>
      <c r="H46" s="1004">
        <v>123.7</v>
      </c>
      <c r="I46" s="1004">
        <v>95.6</v>
      </c>
      <c r="J46" s="1004">
        <v>144.6</v>
      </c>
      <c r="K46" s="1004">
        <v>162.19999999999999</v>
      </c>
      <c r="L46" s="1011">
        <v>128.69999999999999</v>
      </c>
      <c r="M46" s="1005">
        <v>22.8</v>
      </c>
      <c r="N46" s="1004">
        <v>130</v>
      </c>
      <c r="O46" s="965"/>
      <c r="P46" s="965"/>
      <c r="Q46" s="965"/>
      <c r="R46" s="965"/>
      <c r="S46" s="965"/>
      <c r="T46" s="965"/>
      <c r="U46" s="965"/>
      <c r="V46" s="965"/>
      <c r="W46" s="965"/>
      <c r="X46" s="965"/>
      <c r="Y46" s="965"/>
      <c r="Z46" s="965"/>
      <c r="AA46" s="965"/>
      <c r="AB46" s="965"/>
      <c r="AC46" s="965"/>
      <c r="AD46" s="965"/>
      <c r="AE46" s="965"/>
      <c r="AF46" s="965"/>
      <c r="AG46" s="965"/>
      <c r="AH46" s="965"/>
      <c r="AI46" s="965"/>
      <c r="AJ46" s="965"/>
      <c r="AK46" s="965"/>
      <c r="AL46" s="965"/>
      <c r="AM46" s="965"/>
      <c r="AN46" s="965"/>
      <c r="AO46" s="965"/>
      <c r="AP46" s="965"/>
      <c r="AQ46" s="965"/>
      <c r="AR46" s="965"/>
      <c r="AS46" s="965"/>
      <c r="AT46" s="965"/>
      <c r="AU46" s="965"/>
      <c r="AV46" s="965"/>
      <c r="AW46" s="965"/>
      <c r="AX46" s="965"/>
      <c r="AY46" s="965"/>
      <c r="AZ46" s="965"/>
      <c r="BA46" s="965"/>
      <c r="BB46" s="965"/>
      <c r="BC46" s="965"/>
      <c r="BD46" s="965"/>
      <c r="BE46" s="965"/>
      <c r="BF46" s="965"/>
      <c r="BG46" s="965"/>
      <c r="BH46" s="965"/>
      <c r="BI46" s="965"/>
      <c r="BJ46" s="965"/>
      <c r="BK46" s="965"/>
      <c r="BL46" s="965"/>
      <c r="BM46" s="965"/>
      <c r="BN46" s="965"/>
      <c r="BO46" s="965"/>
      <c r="BP46" s="965"/>
      <c r="BQ46" s="965"/>
      <c r="BR46" s="965"/>
      <c r="BS46" s="965"/>
      <c r="BT46" s="965"/>
      <c r="BU46" s="965"/>
      <c r="BV46" s="965"/>
      <c r="BW46" s="965"/>
      <c r="BX46" s="965"/>
      <c r="BY46" s="965"/>
      <c r="BZ46" s="965"/>
      <c r="CA46" s="965"/>
      <c r="CB46" s="965"/>
      <c r="CC46" s="965"/>
      <c r="CD46" s="965"/>
      <c r="CE46" s="965"/>
      <c r="CF46" s="965"/>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c r="EC46" s="965"/>
      <c r="ED46" s="965"/>
      <c r="EE46" s="965"/>
      <c r="EF46" s="965"/>
      <c r="EG46" s="965"/>
      <c r="EH46" s="965"/>
      <c r="EI46" s="965"/>
      <c r="EJ46" s="965"/>
      <c r="EK46" s="965"/>
      <c r="EL46" s="965"/>
      <c r="EM46" s="965"/>
      <c r="EN46" s="965"/>
      <c r="EO46" s="965"/>
      <c r="EP46" s="965"/>
      <c r="EQ46" s="965"/>
      <c r="ER46" s="965"/>
      <c r="ES46" s="965"/>
      <c r="ET46" s="965"/>
      <c r="EU46" s="965"/>
      <c r="EV46" s="965"/>
      <c r="EW46" s="965"/>
      <c r="EX46" s="965"/>
      <c r="EY46" s="965"/>
      <c r="EZ46" s="965"/>
      <c r="FA46" s="965"/>
      <c r="FB46" s="965"/>
      <c r="FC46" s="965"/>
      <c r="FD46" s="965"/>
      <c r="FE46" s="965"/>
      <c r="FF46" s="965"/>
      <c r="FG46" s="965"/>
      <c r="FH46" s="965"/>
      <c r="FI46" s="965"/>
      <c r="FJ46" s="965"/>
      <c r="FK46" s="965"/>
      <c r="FL46" s="965"/>
      <c r="FM46" s="965"/>
      <c r="FN46" s="965"/>
      <c r="FO46" s="965"/>
      <c r="FP46" s="965"/>
      <c r="FQ46" s="965"/>
      <c r="FR46" s="965"/>
      <c r="FS46" s="965"/>
      <c r="FT46" s="965"/>
      <c r="FU46" s="965"/>
      <c r="FV46" s="965"/>
      <c r="FW46" s="965"/>
      <c r="FX46" s="965"/>
      <c r="FY46" s="965"/>
      <c r="FZ46" s="965"/>
      <c r="GA46" s="965"/>
      <c r="GB46" s="965"/>
      <c r="GC46" s="965"/>
      <c r="GD46" s="965"/>
      <c r="GE46" s="965"/>
      <c r="GF46" s="965"/>
      <c r="GG46" s="965"/>
      <c r="GH46" s="965"/>
      <c r="GI46" s="965"/>
      <c r="GJ46" s="965"/>
      <c r="GK46" s="965"/>
      <c r="GL46" s="965"/>
      <c r="GM46" s="965"/>
      <c r="GN46" s="965"/>
      <c r="GO46" s="965"/>
      <c r="GP46" s="965"/>
      <c r="GQ46" s="965"/>
      <c r="GR46" s="965"/>
      <c r="GS46" s="965"/>
      <c r="GT46" s="965"/>
      <c r="GU46" s="965"/>
      <c r="GV46" s="965"/>
      <c r="GW46" s="965"/>
      <c r="GX46" s="965"/>
      <c r="GY46" s="965"/>
      <c r="GZ46" s="965"/>
      <c r="HA46" s="965"/>
      <c r="HB46" s="965"/>
      <c r="HC46" s="965"/>
      <c r="HD46" s="965"/>
      <c r="HE46" s="965"/>
      <c r="HF46" s="965"/>
      <c r="HG46" s="965"/>
      <c r="HH46" s="965"/>
      <c r="HI46" s="965"/>
      <c r="HJ46" s="965"/>
      <c r="HK46" s="965"/>
      <c r="HL46" s="965"/>
      <c r="HM46" s="965"/>
      <c r="HN46" s="965"/>
      <c r="HO46" s="965"/>
      <c r="HP46" s="965"/>
      <c r="HQ46" s="965"/>
      <c r="HR46" s="965"/>
      <c r="HS46" s="965"/>
      <c r="HT46" s="965"/>
      <c r="HU46" s="965"/>
      <c r="HV46" s="965"/>
      <c r="HW46" s="965"/>
      <c r="HX46" s="965"/>
      <c r="HY46" s="965"/>
      <c r="HZ46" s="965"/>
      <c r="IA46" s="965"/>
      <c r="IB46" s="965"/>
      <c r="IC46" s="965"/>
      <c r="ID46" s="965"/>
      <c r="IE46" s="965"/>
      <c r="IF46" s="965"/>
      <c r="IG46" s="965"/>
      <c r="IH46" s="965"/>
      <c r="II46" s="965"/>
      <c r="IJ46" s="965"/>
      <c r="IK46" s="965"/>
      <c r="IL46" s="965"/>
      <c r="IM46" s="965"/>
      <c r="IN46" s="965"/>
      <c r="IO46" s="965"/>
      <c r="IP46" s="965"/>
      <c r="IQ46" s="965"/>
      <c r="IR46" s="965"/>
      <c r="IS46" s="965"/>
      <c r="IT46" s="965"/>
      <c r="IU46" s="965"/>
      <c r="IV46" s="965"/>
    </row>
    <row r="47" spans="1:256" s="966" customFormat="1" ht="12" customHeight="1" thickBot="1">
      <c r="A47" s="986" t="s">
        <v>863</v>
      </c>
      <c r="B47" s="987">
        <v>856</v>
      </c>
      <c r="C47" s="987">
        <v>943</v>
      </c>
      <c r="D47" s="988">
        <v>1200</v>
      </c>
      <c r="E47" s="988">
        <v>2005</v>
      </c>
      <c r="F47" s="1008">
        <v>1005</v>
      </c>
      <c r="G47" s="1008">
        <v>966.2</v>
      </c>
      <c r="H47" s="1008">
        <v>1438.3</v>
      </c>
      <c r="I47" s="1008">
        <v>1112.4000000000001</v>
      </c>
      <c r="J47" s="1008">
        <v>1681.5</v>
      </c>
      <c r="K47" s="1008">
        <v>1886</v>
      </c>
      <c r="L47" s="1009">
        <v>1496.9</v>
      </c>
      <c r="M47" s="1009">
        <v>265.5</v>
      </c>
      <c r="N47" s="1008">
        <v>1512.2</v>
      </c>
      <c r="O47" s="965"/>
      <c r="P47" s="965"/>
      <c r="Q47" s="965"/>
      <c r="R47" s="965"/>
      <c r="S47" s="965"/>
      <c r="T47" s="965"/>
      <c r="U47" s="965"/>
      <c r="V47" s="965"/>
      <c r="W47" s="965"/>
      <c r="X47" s="965"/>
      <c r="Y47" s="965"/>
      <c r="Z47" s="965"/>
      <c r="AA47" s="965"/>
      <c r="AB47" s="965"/>
      <c r="AC47" s="965"/>
      <c r="AD47" s="965"/>
      <c r="AE47" s="965"/>
      <c r="AF47" s="965"/>
      <c r="AG47" s="965"/>
      <c r="AH47" s="965"/>
      <c r="AI47" s="965"/>
      <c r="AJ47" s="965"/>
      <c r="AK47" s="965"/>
      <c r="AL47" s="965"/>
      <c r="AM47" s="965"/>
      <c r="AN47" s="965"/>
      <c r="AO47" s="965"/>
      <c r="AP47" s="965"/>
      <c r="AQ47" s="965"/>
      <c r="AR47" s="965"/>
      <c r="AS47" s="965"/>
      <c r="AT47" s="965"/>
      <c r="AU47" s="965"/>
      <c r="AV47" s="965"/>
      <c r="AW47" s="965"/>
      <c r="AX47" s="965"/>
      <c r="AY47" s="965"/>
      <c r="AZ47" s="965"/>
      <c r="BA47" s="965"/>
      <c r="BB47" s="965"/>
      <c r="BC47" s="965"/>
      <c r="BD47" s="965"/>
      <c r="BE47" s="965"/>
      <c r="BF47" s="965"/>
      <c r="BG47" s="965"/>
      <c r="BH47" s="965"/>
      <c r="BI47" s="965"/>
      <c r="BJ47" s="965"/>
      <c r="BK47" s="965"/>
      <c r="BL47" s="965"/>
      <c r="BM47" s="965"/>
      <c r="BN47" s="965"/>
      <c r="BO47" s="965"/>
      <c r="BP47" s="965"/>
      <c r="BQ47" s="965"/>
      <c r="BR47" s="965"/>
      <c r="BS47" s="965"/>
      <c r="BT47" s="965"/>
      <c r="BU47" s="965"/>
      <c r="BV47" s="965"/>
      <c r="BW47" s="965"/>
      <c r="BX47" s="965"/>
      <c r="BY47" s="965"/>
      <c r="BZ47" s="965"/>
      <c r="CA47" s="965"/>
      <c r="CB47" s="965"/>
      <c r="CC47" s="965"/>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c r="EC47" s="965"/>
      <c r="ED47" s="965"/>
      <c r="EE47" s="965"/>
      <c r="EF47" s="965"/>
      <c r="EG47" s="965"/>
      <c r="EH47" s="965"/>
      <c r="EI47" s="965"/>
      <c r="EJ47" s="965"/>
      <c r="EK47" s="965"/>
      <c r="EL47" s="965"/>
      <c r="EM47" s="965"/>
      <c r="EN47" s="965"/>
      <c r="EO47" s="965"/>
      <c r="EP47" s="965"/>
      <c r="EQ47" s="965"/>
      <c r="ER47" s="965"/>
      <c r="ES47" s="965"/>
      <c r="ET47" s="965"/>
      <c r="EU47" s="965"/>
      <c r="EV47" s="965"/>
      <c r="EW47" s="965"/>
      <c r="EX47" s="965"/>
      <c r="EY47" s="965"/>
      <c r="EZ47" s="965"/>
      <c r="FA47" s="965"/>
      <c r="FB47" s="965"/>
      <c r="FC47" s="965"/>
      <c r="FD47" s="965"/>
      <c r="FE47" s="965"/>
      <c r="FF47" s="965"/>
      <c r="FG47" s="965"/>
      <c r="FH47" s="965"/>
      <c r="FI47" s="965"/>
      <c r="FJ47" s="965"/>
      <c r="FK47" s="965"/>
      <c r="FL47" s="965"/>
      <c r="FM47" s="965"/>
      <c r="FN47" s="965"/>
      <c r="FO47" s="965"/>
      <c r="FP47" s="965"/>
      <c r="FQ47" s="965"/>
      <c r="FR47" s="965"/>
      <c r="FS47" s="965"/>
      <c r="FT47" s="965"/>
      <c r="FU47" s="965"/>
      <c r="FV47" s="965"/>
      <c r="FW47" s="965"/>
      <c r="FX47" s="965"/>
      <c r="FY47" s="965"/>
      <c r="FZ47" s="965"/>
      <c r="GA47" s="965"/>
      <c r="GB47" s="965"/>
      <c r="GC47" s="965"/>
      <c r="GD47" s="965"/>
      <c r="GE47" s="965"/>
      <c r="GF47" s="965"/>
      <c r="GG47" s="965"/>
      <c r="GH47" s="965"/>
      <c r="GI47" s="965"/>
      <c r="GJ47" s="965"/>
      <c r="GK47" s="965"/>
      <c r="GL47" s="965"/>
      <c r="GM47" s="965"/>
      <c r="GN47" s="965"/>
      <c r="GO47" s="965"/>
      <c r="GP47" s="965"/>
      <c r="GQ47" s="965"/>
      <c r="GR47" s="965"/>
      <c r="GS47" s="965"/>
      <c r="GT47" s="965"/>
      <c r="GU47" s="965"/>
      <c r="GV47" s="965"/>
      <c r="GW47" s="965"/>
      <c r="GX47" s="965"/>
      <c r="GY47" s="965"/>
      <c r="GZ47" s="965"/>
      <c r="HA47" s="965"/>
      <c r="HB47" s="965"/>
      <c r="HC47" s="965"/>
      <c r="HD47" s="965"/>
      <c r="HE47" s="965"/>
      <c r="HF47" s="965"/>
      <c r="HG47" s="965"/>
      <c r="HH47" s="965"/>
      <c r="HI47" s="965"/>
      <c r="HJ47" s="965"/>
      <c r="HK47" s="965"/>
      <c r="HL47" s="965"/>
      <c r="HM47" s="965"/>
      <c r="HN47" s="965"/>
      <c r="HO47" s="965"/>
      <c r="HP47" s="965"/>
      <c r="HQ47" s="965"/>
      <c r="HR47" s="965"/>
      <c r="HS47" s="965"/>
      <c r="HT47" s="965"/>
      <c r="HU47" s="965"/>
      <c r="HV47" s="965"/>
      <c r="HW47" s="965"/>
      <c r="HX47" s="965"/>
      <c r="HY47" s="965"/>
      <c r="HZ47" s="965"/>
      <c r="IA47" s="965"/>
      <c r="IB47" s="965"/>
      <c r="IC47" s="965"/>
      <c r="ID47" s="965"/>
      <c r="IE47" s="965"/>
      <c r="IF47" s="965"/>
      <c r="IG47" s="965"/>
      <c r="IH47" s="965"/>
      <c r="II47" s="965"/>
      <c r="IJ47" s="965"/>
      <c r="IK47" s="965"/>
      <c r="IL47" s="965"/>
      <c r="IM47" s="965"/>
      <c r="IN47" s="965"/>
      <c r="IO47" s="965"/>
      <c r="IP47" s="965"/>
      <c r="IQ47" s="965"/>
      <c r="IR47" s="965"/>
      <c r="IS47" s="965"/>
      <c r="IT47" s="965"/>
      <c r="IU47" s="965"/>
      <c r="IV47" s="965"/>
    </row>
    <row r="48" spans="1:256" ht="12" customHeight="1" thickTop="1">
      <c r="A48" s="944"/>
      <c r="B48" s="1012"/>
      <c r="C48" s="1013"/>
      <c r="D48" s="1013"/>
      <c r="E48" s="1013"/>
      <c r="F48" s="1013"/>
      <c r="G48" s="1014"/>
      <c r="H48" s="1015"/>
      <c r="I48" s="1016"/>
      <c r="J48" s="1016"/>
      <c r="K48" s="1017"/>
      <c r="L48" s="1017"/>
      <c r="M48" s="1017"/>
      <c r="N48" s="1017"/>
      <c r="O48" s="958"/>
      <c r="P48" s="958"/>
      <c r="Q48" s="958"/>
      <c r="R48" s="958"/>
      <c r="S48" s="958"/>
      <c r="T48" s="958"/>
      <c r="U48" s="958"/>
      <c r="V48" s="958"/>
      <c r="W48" s="958"/>
      <c r="X48" s="958"/>
      <c r="Y48" s="958"/>
      <c r="Z48" s="958"/>
      <c r="AA48" s="958"/>
      <c r="AB48" s="958"/>
      <c r="AC48" s="958"/>
      <c r="AD48" s="958"/>
      <c r="AE48" s="958"/>
      <c r="AF48" s="958"/>
      <c r="AG48" s="958"/>
      <c r="AH48" s="958"/>
      <c r="AI48" s="958"/>
      <c r="AJ48" s="958"/>
      <c r="AK48" s="958"/>
      <c r="AL48" s="958"/>
      <c r="AM48" s="958"/>
      <c r="AN48" s="958"/>
      <c r="AO48" s="958"/>
      <c r="AP48" s="958"/>
      <c r="AQ48" s="958"/>
      <c r="AR48" s="958"/>
      <c r="AS48" s="958"/>
      <c r="AT48" s="958"/>
      <c r="AU48" s="958"/>
      <c r="AV48" s="958"/>
      <c r="AW48" s="958"/>
      <c r="AX48" s="958"/>
      <c r="AY48" s="958"/>
      <c r="AZ48" s="958"/>
      <c r="BA48" s="958"/>
      <c r="BB48" s="958"/>
      <c r="BC48" s="958"/>
      <c r="BD48" s="958"/>
      <c r="BE48" s="958"/>
      <c r="BF48" s="958"/>
      <c r="BG48" s="958"/>
      <c r="BH48" s="958"/>
      <c r="BI48" s="958"/>
      <c r="BJ48" s="958"/>
      <c r="BK48" s="958"/>
      <c r="BL48" s="958"/>
      <c r="BM48" s="958"/>
      <c r="BN48" s="958"/>
      <c r="BO48" s="958"/>
      <c r="BP48" s="958"/>
      <c r="BQ48" s="958"/>
      <c r="BR48" s="958"/>
      <c r="BS48" s="958"/>
      <c r="BT48" s="958"/>
      <c r="BU48" s="958"/>
      <c r="BV48" s="958"/>
      <c r="BW48" s="958"/>
      <c r="BX48" s="958"/>
      <c r="BY48" s="958"/>
      <c r="BZ48" s="958"/>
      <c r="CA48" s="958"/>
      <c r="CB48" s="958"/>
      <c r="CC48" s="958"/>
      <c r="CD48" s="958"/>
      <c r="CE48" s="958"/>
      <c r="CF48" s="958"/>
      <c r="CG48" s="958"/>
      <c r="CH48" s="958"/>
      <c r="CI48" s="958"/>
      <c r="CJ48" s="958"/>
      <c r="CK48" s="958"/>
      <c r="CL48" s="958"/>
      <c r="CM48" s="958"/>
      <c r="CN48" s="958"/>
      <c r="CO48" s="958"/>
      <c r="CP48" s="958"/>
      <c r="CQ48" s="958"/>
      <c r="CR48" s="958"/>
      <c r="CS48" s="958"/>
      <c r="CT48" s="958"/>
      <c r="CU48" s="958"/>
      <c r="CV48" s="958"/>
      <c r="CW48" s="958"/>
      <c r="CX48" s="958"/>
      <c r="CY48" s="958"/>
      <c r="CZ48" s="958"/>
      <c r="DA48" s="958"/>
      <c r="DB48" s="958"/>
      <c r="DC48" s="958"/>
      <c r="DD48" s="958"/>
      <c r="DE48" s="958"/>
      <c r="DF48" s="958"/>
      <c r="DG48" s="958"/>
      <c r="DH48" s="958"/>
      <c r="DI48" s="958"/>
      <c r="DJ48" s="958"/>
      <c r="DK48" s="958"/>
      <c r="DL48" s="958"/>
      <c r="DM48" s="958"/>
      <c r="DN48" s="958"/>
      <c r="DO48" s="958"/>
      <c r="DP48" s="958"/>
      <c r="DQ48" s="958"/>
      <c r="DR48" s="958"/>
      <c r="DS48" s="958"/>
      <c r="DT48" s="958"/>
      <c r="DU48" s="958"/>
      <c r="DV48" s="958"/>
      <c r="DW48" s="958"/>
      <c r="DX48" s="958"/>
      <c r="DY48" s="958"/>
      <c r="DZ48" s="958"/>
      <c r="EA48" s="958"/>
      <c r="EB48" s="958"/>
      <c r="EC48" s="958"/>
      <c r="ED48" s="958"/>
      <c r="EE48" s="958"/>
      <c r="EF48" s="958"/>
      <c r="EG48" s="958"/>
      <c r="EH48" s="958"/>
      <c r="EI48" s="958"/>
      <c r="EJ48" s="958"/>
      <c r="EK48" s="958"/>
      <c r="EL48" s="958"/>
      <c r="EM48" s="958"/>
      <c r="EN48" s="958"/>
      <c r="EO48" s="958"/>
      <c r="EP48" s="958"/>
      <c r="EQ48" s="958"/>
      <c r="ER48" s="958"/>
      <c r="ES48" s="958"/>
      <c r="ET48" s="958"/>
      <c r="EU48" s="958"/>
      <c r="EV48" s="958"/>
      <c r="EW48" s="958"/>
      <c r="EX48" s="958"/>
      <c r="EY48" s="958"/>
      <c r="EZ48" s="958"/>
      <c r="FA48" s="958"/>
      <c r="FB48" s="958"/>
      <c r="FC48" s="958"/>
      <c r="FD48" s="958"/>
      <c r="FE48" s="958"/>
      <c r="FF48" s="958"/>
      <c r="FG48" s="958"/>
      <c r="FH48" s="958"/>
      <c r="FI48" s="958"/>
      <c r="FJ48" s="958"/>
      <c r="FK48" s="958"/>
      <c r="FL48" s="958"/>
      <c r="FM48" s="958"/>
      <c r="FN48" s="958"/>
      <c r="FO48" s="958"/>
      <c r="FP48" s="958"/>
      <c r="FQ48" s="958"/>
      <c r="FR48" s="958"/>
      <c r="FS48" s="958"/>
      <c r="FT48" s="958"/>
      <c r="FU48" s="958"/>
      <c r="FV48" s="958"/>
      <c r="FW48" s="958"/>
      <c r="FX48" s="958"/>
      <c r="FY48" s="958"/>
      <c r="FZ48" s="958"/>
      <c r="GA48" s="958"/>
      <c r="GB48" s="958"/>
      <c r="GC48" s="958"/>
      <c r="GD48" s="958"/>
      <c r="GE48" s="958"/>
      <c r="GF48" s="958"/>
      <c r="GG48" s="958"/>
      <c r="GH48" s="958"/>
      <c r="GI48" s="958"/>
      <c r="GJ48" s="958"/>
      <c r="GK48" s="958"/>
      <c r="GL48" s="958"/>
      <c r="GM48" s="958"/>
      <c r="GN48" s="958"/>
      <c r="GO48" s="958"/>
      <c r="GP48" s="958"/>
      <c r="GQ48" s="958"/>
      <c r="GR48" s="958"/>
      <c r="GS48" s="958"/>
      <c r="GT48" s="958"/>
      <c r="GU48" s="958"/>
      <c r="GV48" s="958"/>
      <c r="GW48" s="958"/>
      <c r="GX48" s="958"/>
      <c r="GY48" s="958"/>
      <c r="GZ48" s="958"/>
      <c r="HA48" s="958"/>
      <c r="HB48" s="958"/>
      <c r="HC48" s="958"/>
      <c r="HD48" s="958"/>
      <c r="HE48" s="958"/>
      <c r="HF48" s="958"/>
      <c r="HG48" s="958"/>
      <c r="HH48" s="958"/>
      <c r="HI48" s="958"/>
      <c r="HJ48" s="958"/>
      <c r="HK48" s="958"/>
      <c r="HL48" s="958"/>
      <c r="HM48" s="958"/>
      <c r="HN48" s="958"/>
      <c r="HO48" s="958"/>
      <c r="HP48" s="958"/>
      <c r="HQ48" s="958"/>
      <c r="HR48" s="958"/>
      <c r="HS48" s="958"/>
      <c r="HT48" s="958"/>
      <c r="HU48" s="958"/>
      <c r="HV48" s="958"/>
      <c r="HW48" s="958"/>
      <c r="HX48" s="958"/>
      <c r="HY48" s="958"/>
      <c r="HZ48" s="958"/>
      <c r="IA48" s="958"/>
      <c r="IB48" s="958"/>
      <c r="IC48" s="958"/>
      <c r="ID48" s="958"/>
      <c r="IE48" s="958"/>
      <c r="IF48" s="958"/>
      <c r="IG48" s="958"/>
      <c r="IH48" s="958"/>
      <c r="II48" s="958"/>
      <c r="IJ48" s="958"/>
      <c r="IK48" s="958"/>
      <c r="IL48" s="958"/>
      <c r="IM48" s="958"/>
      <c r="IN48" s="958"/>
      <c r="IO48" s="958"/>
      <c r="IP48" s="958"/>
      <c r="IQ48" s="958"/>
      <c r="IR48" s="958"/>
      <c r="IS48" s="958"/>
      <c r="IT48" s="958"/>
      <c r="IU48" s="958"/>
      <c r="IV48" s="958"/>
    </row>
    <row r="49" spans="1:256" s="1021" customFormat="1" ht="10.5" customHeight="1">
      <c r="A49" s="1018" t="s">
        <v>864</v>
      </c>
      <c r="B49" s="1019"/>
      <c r="C49" s="1019"/>
      <c r="D49" s="1019"/>
      <c r="E49" s="1019"/>
      <c r="F49" s="1019"/>
      <c r="G49" s="1014"/>
      <c r="H49" s="1014"/>
      <c r="I49" s="1014"/>
      <c r="J49" s="1014"/>
      <c r="K49" s="1017"/>
      <c r="L49" s="1017"/>
      <c r="M49" s="1017"/>
      <c r="N49" s="1017"/>
      <c r="O49" s="1020"/>
      <c r="P49" s="1020"/>
      <c r="Q49" s="1020"/>
      <c r="R49" s="1020"/>
      <c r="S49" s="1020"/>
      <c r="T49" s="1020"/>
      <c r="U49" s="1020"/>
      <c r="V49" s="1020"/>
      <c r="W49" s="1020"/>
      <c r="X49" s="1020"/>
      <c r="Y49" s="1020"/>
      <c r="Z49" s="1020"/>
      <c r="AA49" s="1020"/>
      <c r="AB49" s="1020"/>
      <c r="AC49" s="1020"/>
      <c r="AD49" s="1020"/>
      <c r="AE49" s="1020"/>
      <c r="AF49" s="1020"/>
      <c r="AG49" s="1020"/>
      <c r="AH49" s="1020"/>
      <c r="AI49" s="1020"/>
      <c r="AJ49" s="1020"/>
      <c r="AK49" s="1020"/>
      <c r="AL49" s="1020"/>
      <c r="AM49" s="1020"/>
      <c r="AN49" s="1020"/>
      <c r="AO49" s="1020"/>
      <c r="AP49" s="1020"/>
      <c r="AQ49" s="1020"/>
      <c r="AR49" s="1020"/>
      <c r="AS49" s="1020"/>
      <c r="AT49" s="1020"/>
      <c r="AU49" s="1020"/>
      <c r="AV49" s="1020"/>
      <c r="AW49" s="1020"/>
      <c r="AX49" s="1020"/>
      <c r="AY49" s="1020"/>
      <c r="AZ49" s="1020"/>
      <c r="BA49" s="1020"/>
      <c r="BB49" s="1020"/>
      <c r="BC49" s="1020"/>
      <c r="BD49" s="1020"/>
      <c r="BE49" s="1020"/>
      <c r="BF49" s="1020"/>
      <c r="BG49" s="1020"/>
      <c r="BH49" s="1020"/>
      <c r="BI49" s="1020"/>
      <c r="BJ49" s="1020"/>
      <c r="BK49" s="1020"/>
      <c r="BL49" s="1020"/>
      <c r="BM49" s="1020"/>
      <c r="BN49" s="1020"/>
      <c r="BO49" s="1020"/>
      <c r="BP49" s="1020"/>
      <c r="BQ49" s="1020"/>
      <c r="BR49" s="1020"/>
      <c r="BS49" s="1020"/>
      <c r="BT49" s="1020"/>
      <c r="BU49" s="1020"/>
      <c r="BV49" s="1020"/>
      <c r="BW49" s="1020"/>
      <c r="BX49" s="1020"/>
      <c r="BY49" s="1020"/>
      <c r="BZ49" s="1020"/>
      <c r="CA49" s="1020"/>
      <c r="CB49" s="1020"/>
      <c r="CC49" s="1020"/>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c r="EC49" s="1020"/>
      <c r="ED49" s="1020"/>
      <c r="EE49" s="1020"/>
      <c r="EF49" s="1020"/>
      <c r="EG49" s="1020"/>
      <c r="EH49" s="1020"/>
      <c r="EI49" s="1020"/>
      <c r="EJ49" s="1020"/>
      <c r="EK49" s="1020"/>
      <c r="EL49" s="1020"/>
      <c r="EM49" s="1020"/>
      <c r="EN49" s="1020"/>
      <c r="EO49" s="1020"/>
      <c r="EP49" s="1020"/>
      <c r="EQ49" s="1020"/>
      <c r="ER49" s="1020"/>
      <c r="ES49" s="1020"/>
      <c r="ET49" s="1020"/>
      <c r="EU49" s="1020"/>
      <c r="EV49" s="1020"/>
      <c r="EW49" s="1020"/>
      <c r="EX49" s="1020"/>
      <c r="EY49" s="1020"/>
      <c r="EZ49" s="1020"/>
      <c r="FA49" s="1020"/>
      <c r="FB49" s="1020"/>
      <c r="FC49" s="1020"/>
      <c r="FD49" s="1020"/>
      <c r="FE49" s="1020"/>
      <c r="FF49" s="1020"/>
      <c r="FG49" s="1020"/>
      <c r="FH49" s="1020"/>
      <c r="FI49" s="1020"/>
      <c r="FJ49" s="1020"/>
      <c r="FK49" s="1020"/>
      <c r="FL49" s="1020"/>
      <c r="FM49" s="1020"/>
      <c r="FN49" s="1020"/>
      <c r="FO49" s="1020"/>
      <c r="FP49" s="1020"/>
      <c r="FQ49" s="1020"/>
      <c r="FR49" s="1020"/>
      <c r="FS49" s="1020"/>
      <c r="FT49" s="1020"/>
      <c r="FU49" s="1020"/>
      <c r="FV49" s="1020"/>
      <c r="FW49" s="1020"/>
      <c r="FX49" s="1020"/>
      <c r="FY49" s="1020"/>
      <c r="FZ49" s="1020"/>
      <c r="GA49" s="1020"/>
      <c r="GB49" s="1020"/>
      <c r="GC49" s="1020"/>
      <c r="GD49" s="1020"/>
      <c r="GE49" s="1020"/>
      <c r="GF49" s="1020"/>
      <c r="GG49" s="1020"/>
      <c r="GH49" s="1020"/>
      <c r="GI49" s="1020"/>
      <c r="GJ49" s="1020"/>
      <c r="GK49" s="1020"/>
      <c r="GL49" s="1020"/>
      <c r="GM49" s="1020"/>
      <c r="GN49" s="1020"/>
      <c r="GO49" s="1020"/>
      <c r="GP49" s="1020"/>
      <c r="GQ49" s="1020"/>
      <c r="GR49" s="1020"/>
      <c r="GS49" s="1020"/>
      <c r="GT49" s="1020"/>
      <c r="GU49" s="1020"/>
      <c r="GV49" s="1020"/>
      <c r="GW49" s="1020"/>
      <c r="GX49" s="1020"/>
      <c r="GY49" s="1020"/>
      <c r="GZ49" s="1020"/>
      <c r="HA49" s="1020"/>
      <c r="HB49" s="1020"/>
      <c r="HC49" s="1020"/>
      <c r="HD49" s="1020"/>
      <c r="HE49" s="1020"/>
      <c r="HF49" s="1020"/>
      <c r="HG49" s="1020"/>
      <c r="HH49" s="1020"/>
      <c r="HI49" s="1020"/>
      <c r="HJ49" s="1020"/>
      <c r="HK49" s="1020"/>
      <c r="HL49" s="1020"/>
      <c r="HM49" s="1020"/>
      <c r="HN49" s="1020"/>
      <c r="HO49" s="1020"/>
      <c r="HP49" s="1020"/>
      <c r="HQ49" s="1020"/>
      <c r="HR49" s="1020"/>
      <c r="HS49" s="1020"/>
      <c r="HT49" s="1020"/>
      <c r="HU49" s="1020"/>
      <c r="HV49" s="1020"/>
      <c r="HW49" s="1020"/>
      <c r="HX49" s="1020"/>
      <c r="HY49" s="1020"/>
      <c r="HZ49" s="1020"/>
      <c r="IA49" s="1020"/>
      <c r="IB49" s="1020"/>
      <c r="IC49" s="1020"/>
      <c r="ID49" s="1020"/>
      <c r="IE49" s="1020"/>
      <c r="IF49" s="1020"/>
      <c r="IG49" s="1020"/>
      <c r="IH49" s="1020"/>
      <c r="II49" s="1020"/>
      <c r="IJ49" s="1020"/>
      <c r="IK49" s="1020"/>
      <c r="IL49" s="1020"/>
      <c r="IM49" s="1020"/>
      <c r="IN49" s="1020"/>
      <c r="IO49" s="1020"/>
      <c r="IP49" s="1020"/>
      <c r="IQ49" s="1020"/>
      <c r="IR49" s="1020"/>
      <c r="IS49" s="1020"/>
      <c r="IT49" s="1020"/>
      <c r="IU49" s="1020"/>
      <c r="IV49" s="1020"/>
    </row>
    <row r="50" spans="1:256" s="1021" customFormat="1" ht="10.5" customHeight="1">
      <c r="A50" s="1018" t="s">
        <v>865</v>
      </c>
      <c r="B50" s="1019"/>
      <c r="C50" s="1019"/>
      <c r="D50" s="1019"/>
      <c r="E50" s="1019"/>
      <c r="F50" s="1019"/>
      <c r="G50" s="1014"/>
      <c r="H50" s="1014"/>
      <c r="I50" s="1014"/>
      <c r="J50" s="1014"/>
      <c r="K50" s="1017"/>
      <c r="L50" s="1017"/>
      <c r="M50" s="1017"/>
      <c r="N50" s="1017"/>
      <c r="O50" s="1020"/>
      <c r="P50" s="1020"/>
      <c r="Q50" s="1020"/>
      <c r="R50" s="1020"/>
      <c r="S50" s="1020"/>
      <c r="T50" s="1020"/>
      <c r="U50" s="1020"/>
      <c r="V50" s="1020"/>
      <c r="W50" s="1020"/>
      <c r="X50" s="1020"/>
      <c r="Y50" s="1020"/>
      <c r="Z50" s="1020"/>
      <c r="AA50" s="1020"/>
      <c r="AB50" s="1020"/>
      <c r="AC50" s="1020"/>
      <c r="AD50" s="1020"/>
      <c r="AE50" s="1020"/>
      <c r="AF50" s="1020"/>
      <c r="AG50" s="1020"/>
      <c r="AH50" s="1020"/>
      <c r="AI50" s="1020"/>
      <c r="AJ50" s="1020"/>
      <c r="AK50" s="1020"/>
      <c r="AL50" s="1020"/>
      <c r="AM50" s="1020"/>
      <c r="AN50" s="1020"/>
      <c r="AO50" s="1020"/>
      <c r="AP50" s="1020"/>
      <c r="AQ50" s="1020"/>
      <c r="AR50" s="1020"/>
      <c r="AS50" s="1020"/>
      <c r="AT50" s="1020"/>
      <c r="AU50" s="1020"/>
      <c r="AV50" s="1020"/>
      <c r="AW50" s="1020"/>
      <c r="AX50" s="1020"/>
      <c r="AY50" s="1020"/>
      <c r="AZ50" s="1020"/>
      <c r="BA50" s="1020"/>
      <c r="BB50" s="1020"/>
      <c r="BC50" s="1020"/>
      <c r="BD50" s="1020"/>
      <c r="BE50" s="1020"/>
      <c r="BF50" s="1020"/>
      <c r="BG50" s="1020"/>
      <c r="BH50" s="1020"/>
      <c r="BI50" s="1020"/>
      <c r="BJ50" s="1020"/>
      <c r="BK50" s="1020"/>
      <c r="BL50" s="1020"/>
      <c r="BM50" s="1020"/>
      <c r="BN50" s="1020"/>
      <c r="BO50" s="1020"/>
      <c r="BP50" s="1020"/>
      <c r="BQ50" s="1020"/>
      <c r="BR50" s="1020"/>
      <c r="BS50" s="1020"/>
      <c r="BT50" s="1020"/>
      <c r="BU50" s="1020"/>
      <c r="BV50" s="1020"/>
      <c r="BW50" s="1020"/>
      <c r="BX50" s="1020"/>
      <c r="BY50" s="1020"/>
      <c r="BZ50" s="1020"/>
      <c r="CA50" s="1020"/>
      <c r="CB50" s="1020"/>
      <c r="CC50" s="1020"/>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c r="EC50" s="1020"/>
      <c r="ED50" s="1020"/>
      <c r="EE50" s="1020"/>
      <c r="EF50" s="1020"/>
      <c r="EG50" s="1020"/>
      <c r="EH50" s="1020"/>
      <c r="EI50" s="1020"/>
      <c r="EJ50" s="1020"/>
      <c r="EK50" s="1020"/>
      <c r="EL50" s="1020"/>
      <c r="EM50" s="1020"/>
      <c r="EN50" s="1020"/>
      <c r="EO50" s="1020"/>
      <c r="EP50" s="1020"/>
      <c r="EQ50" s="1020"/>
      <c r="ER50" s="1020"/>
      <c r="ES50" s="1020"/>
      <c r="ET50" s="1020"/>
      <c r="EU50" s="1020"/>
      <c r="EV50" s="1020"/>
      <c r="EW50" s="1020"/>
      <c r="EX50" s="1020"/>
      <c r="EY50" s="1020"/>
      <c r="EZ50" s="1020"/>
      <c r="FA50" s="1020"/>
      <c r="FB50" s="1020"/>
      <c r="FC50" s="1020"/>
      <c r="FD50" s="1020"/>
      <c r="FE50" s="1020"/>
      <c r="FF50" s="1020"/>
      <c r="FG50" s="1020"/>
      <c r="FH50" s="1020"/>
      <c r="FI50" s="1020"/>
      <c r="FJ50" s="1020"/>
      <c r="FK50" s="1020"/>
      <c r="FL50" s="1020"/>
      <c r="FM50" s="1020"/>
      <c r="FN50" s="1020"/>
      <c r="FO50" s="1020"/>
      <c r="FP50" s="1020"/>
      <c r="FQ50" s="1020"/>
      <c r="FR50" s="1020"/>
      <c r="FS50" s="1020"/>
      <c r="FT50" s="1020"/>
      <c r="FU50" s="1020"/>
      <c r="FV50" s="1020"/>
      <c r="FW50" s="1020"/>
      <c r="FX50" s="1020"/>
      <c r="FY50" s="1020"/>
      <c r="FZ50" s="1020"/>
      <c r="GA50" s="1020"/>
      <c r="GB50" s="1020"/>
      <c r="GC50" s="1020"/>
      <c r="GD50" s="1020"/>
      <c r="GE50" s="1020"/>
      <c r="GF50" s="1020"/>
      <c r="GG50" s="1020"/>
      <c r="GH50" s="1020"/>
      <c r="GI50" s="1020"/>
      <c r="GJ50" s="1020"/>
      <c r="GK50" s="1020"/>
      <c r="GL50" s="1020"/>
      <c r="GM50" s="1020"/>
      <c r="GN50" s="1020"/>
      <c r="GO50" s="1020"/>
      <c r="GP50" s="1020"/>
      <c r="GQ50" s="1020"/>
      <c r="GR50" s="1020"/>
      <c r="GS50" s="1020"/>
      <c r="GT50" s="1020"/>
      <c r="GU50" s="1020"/>
      <c r="GV50" s="1020"/>
      <c r="GW50" s="1020"/>
      <c r="GX50" s="1020"/>
      <c r="GY50" s="1020"/>
      <c r="GZ50" s="1020"/>
      <c r="HA50" s="1020"/>
      <c r="HB50" s="1020"/>
      <c r="HC50" s="1020"/>
      <c r="HD50" s="1020"/>
      <c r="HE50" s="1020"/>
      <c r="HF50" s="1020"/>
      <c r="HG50" s="1020"/>
      <c r="HH50" s="1020"/>
      <c r="HI50" s="1020"/>
      <c r="HJ50" s="1020"/>
      <c r="HK50" s="1020"/>
      <c r="HL50" s="1020"/>
      <c r="HM50" s="1020"/>
      <c r="HN50" s="1020"/>
      <c r="HO50" s="1020"/>
      <c r="HP50" s="1020"/>
      <c r="HQ50" s="1020"/>
      <c r="HR50" s="1020"/>
      <c r="HS50" s="1020"/>
      <c r="HT50" s="1020"/>
      <c r="HU50" s="1020"/>
      <c r="HV50" s="1020"/>
      <c r="HW50" s="1020"/>
      <c r="HX50" s="1020"/>
      <c r="HY50" s="1020"/>
      <c r="HZ50" s="1020"/>
      <c r="IA50" s="1020"/>
      <c r="IB50" s="1020"/>
      <c r="IC50" s="1020"/>
      <c r="ID50" s="1020"/>
      <c r="IE50" s="1020"/>
      <c r="IF50" s="1020"/>
      <c r="IG50" s="1020"/>
      <c r="IH50" s="1020"/>
      <c r="II50" s="1020"/>
      <c r="IJ50" s="1020"/>
      <c r="IK50" s="1020"/>
      <c r="IL50" s="1020"/>
      <c r="IM50" s="1020"/>
      <c r="IN50" s="1020"/>
      <c r="IO50" s="1020"/>
      <c r="IP50" s="1020"/>
      <c r="IQ50" s="1020"/>
      <c r="IR50" s="1020"/>
      <c r="IS50" s="1020"/>
      <c r="IT50" s="1020"/>
      <c r="IU50" s="1020"/>
      <c r="IV50" s="1020"/>
    </row>
    <row r="51" spans="1:256" s="1021" customFormat="1" ht="10.5" customHeight="1">
      <c r="A51" s="1018" t="s">
        <v>866</v>
      </c>
      <c r="B51" s="944"/>
      <c r="C51" s="1019"/>
      <c r="D51" s="1019"/>
      <c r="E51" s="1019"/>
      <c r="F51" s="1019"/>
      <c r="G51" s="1014"/>
      <c r="H51" s="1014"/>
      <c r="I51" s="1014"/>
      <c r="J51" s="1014"/>
      <c r="K51" s="1017"/>
      <c r="L51" s="1017"/>
      <c r="M51" s="1017"/>
      <c r="N51" s="1017"/>
      <c r="O51" s="1020"/>
      <c r="P51" s="1020"/>
      <c r="Q51" s="1020"/>
      <c r="R51" s="1020"/>
      <c r="S51" s="1020"/>
      <c r="T51" s="1020"/>
      <c r="U51" s="1020"/>
      <c r="V51" s="1020"/>
      <c r="W51" s="1020"/>
      <c r="X51" s="1020"/>
      <c r="Y51" s="1020"/>
      <c r="Z51" s="1020"/>
      <c r="AA51" s="1020"/>
      <c r="AB51" s="1020"/>
      <c r="AC51" s="1020"/>
      <c r="AD51" s="1020"/>
      <c r="AE51" s="1020"/>
      <c r="AF51" s="1020"/>
      <c r="AG51" s="1020"/>
      <c r="AH51" s="1020"/>
      <c r="AI51" s="1020"/>
      <c r="AJ51" s="1020"/>
      <c r="AK51" s="1020"/>
      <c r="AL51" s="1020"/>
      <c r="AM51" s="1020"/>
      <c r="AN51" s="1020"/>
      <c r="AO51" s="1020"/>
      <c r="AP51" s="1020"/>
      <c r="AQ51" s="1020"/>
      <c r="AR51" s="1020"/>
      <c r="AS51" s="1020"/>
      <c r="AT51" s="1020"/>
      <c r="AU51" s="1020"/>
      <c r="AV51" s="1020"/>
      <c r="AW51" s="1020"/>
      <c r="AX51" s="1020"/>
      <c r="AY51" s="1020"/>
      <c r="AZ51" s="1020"/>
      <c r="BA51" s="1020"/>
      <c r="BB51" s="1020"/>
      <c r="BC51" s="1020"/>
      <c r="BD51" s="1020"/>
      <c r="BE51" s="1020"/>
      <c r="BF51" s="1020"/>
      <c r="BG51" s="1020"/>
      <c r="BH51" s="1020"/>
      <c r="BI51" s="1020"/>
      <c r="BJ51" s="1020"/>
      <c r="BK51" s="1020"/>
      <c r="BL51" s="1020"/>
      <c r="BM51" s="1020"/>
      <c r="BN51" s="1020"/>
      <c r="BO51" s="1020"/>
      <c r="BP51" s="1020"/>
      <c r="BQ51" s="1020"/>
      <c r="BR51" s="1020"/>
      <c r="BS51" s="1020"/>
      <c r="BT51" s="1020"/>
      <c r="BU51" s="1020"/>
      <c r="BV51" s="1020"/>
      <c r="BW51" s="1020"/>
      <c r="BX51" s="1020"/>
      <c r="BY51" s="1020"/>
      <c r="BZ51" s="1020"/>
      <c r="CA51" s="1020"/>
      <c r="CB51" s="1020"/>
      <c r="CC51" s="1020"/>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c r="EC51" s="1020"/>
      <c r="ED51" s="1020"/>
      <c r="EE51" s="1020"/>
      <c r="EF51" s="1020"/>
      <c r="EG51" s="1020"/>
      <c r="EH51" s="1020"/>
      <c r="EI51" s="1020"/>
      <c r="EJ51" s="1020"/>
      <c r="EK51" s="1020"/>
      <c r="EL51" s="1020"/>
      <c r="EM51" s="1020"/>
      <c r="EN51" s="1020"/>
      <c r="EO51" s="1020"/>
      <c r="EP51" s="1020"/>
      <c r="EQ51" s="1020"/>
      <c r="ER51" s="1020"/>
      <c r="ES51" s="1020"/>
      <c r="ET51" s="1020"/>
      <c r="EU51" s="1020"/>
      <c r="EV51" s="1020"/>
      <c r="EW51" s="1020"/>
      <c r="EX51" s="1020"/>
      <c r="EY51" s="1020"/>
      <c r="EZ51" s="1020"/>
      <c r="FA51" s="1020"/>
      <c r="FB51" s="1020"/>
      <c r="FC51" s="1020"/>
      <c r="FD51" s="1020"/>
      <c r="FE51" s="1020"/>
      <c r="FF51" s="1020"/>
      <c r="FG51" s="1020"/>
      <c r="FH51" s="1020"/>
      <c r="FI51" s="1020"/>
      <c r="FJ51" s="1020"/>
      <c r="FK51" s="1020"/>
      <c r="FL51" s="1020"/>
      <c r="FM51" s="1020"/>
      <c r="FN51" s="1020"/>
      <c r="FO51" s="1020"/>
      <c r="FP51" s="1020"/>
      <c r="FQ51" s="1020"/>
      <c r="FR51" s="1020"/>
      <c r="FS51" s="1020"/>
      <c r="FT51" s="1020"/>
      <c r="FU51" s="1020"/>
      <c r="FV51" s="1020"/>
      <c r="FW51" s="1020"/>
      <c r="FX51" s="1020"/>
      <c r="FY51" s="1020"/>
      <c r="FZ51" s="1020"/>
      <c r="GA51" s="1020"/>
      <c r="GB51" s="1020"/>
      <c r="GC51" s="1020"/>
      <c r="GD51" s="1020"/>
      <c r="GE51" s="1020"/>
      <c r="GF51" s="1020"/>
      <c r="GG51" s="1020"/>
      <c r="GH51" s="1020"/>
      <c r="GI51" s="1020"/>
      <c r="GJ51" s="1020"/>
      <c r="GK51" s="1020"/>
      <c r="GL51" s="1020"/>
      <c r="GM51" s="1020"/>
      <c r="GN51" s="1020"/>
      <c r="GO51" s="1020"/>
      <c r="GP51" s="1020"/>
      <c r="GQ51" s="1020"/>
      <c r="GR51" s="1020"/>
      <c r="GS51" s="1020"/>
      <c r="GT51" s="1020"/>
      <c r="GU51" s="1020"/>
      <c r="GV51" s="1020"/>
      <c r="GW51" s="1020"/>
      <c r="GX51" s="1020"/>
      <c r="GY51" s="1020"/>
      <c r="GZ51" s="1020"/>
      <c r="HA51" s="1020"/>
      <c r="HB51" s="1020"/>
      <c r="HC51" s="1020"/>
      <c r="HD51" s="1020"/>
      <c r="HE51" s="1020"/>
      <c r="HF51" s="1020"/>
      <c r="HG51" s="1020"/>
      <c r="HH51" s="1020"/>
      <c r="HI51" s="1020"/>
      <c r="HJ51" s="1020"/>
      <c r="HK51" s="1020"/>
      <c r="HL51" s="1020"/>
      <c r="HM51" s="1020"/>
      <c r="HN51" s="1020"/>
      <c r="HO51" s="1020"/>
      <c r="HP51" s="1020"/>
      <c r="HQ51" s="1020"/>
      <c r="HR51" s="1020"/>
      <c r="HS51" s="1020"/>
      <c r="HT51" s="1020"/>
      <c r="HU51" s="1020"/>
      <c r="HV51" s="1020"/>
      <c r="HW51" s="1020"/>
      <c r="HX51" s="1020"/>
      <c r="HY51" s="1020"/>
      <c r="HZ51" s="1020"/>
      <c r="IA51" s="1020"/>
      <c r="IB51" s="1020"/>
      <c r="IC51" s="1020"/>
      <c r="ID51" s="1020"/>
      <c r="IE51" s="1020"/>
      <c r="IF51" s="1020"/>
      <c r="IG51" s="1020"/>
      <c r="IH51" s="1020"/>
      <c r="II51" s="1020"/>
      <c r="IJ51" s="1020"/>
      <c r="IK51" s="1020"/>
      <c r="IL51" s="1020"/>
      <c r="IM51" s="1020"/>
      <c r="IN51" s="1020"/>
      <c r="IO51" s="1020"/>
      <c r="IP51" s="1020"/>
      <c r="IQ51" s="1020"/>
      <c r="IR51" s="1020"/>
      <c r="IS51" s="1020"/>
      <c r="IT51" s="1020"/>
      <c r="IU51" s="1020"/>
      <c r="IV51" s="1020"/>
    </row>
    <row r="52" spans="1:256" ht="10.5" customHeight="1">
      <c r="A52" s="1018"/>
      <c r="B52" s="944"/>
      <c r="C52" s="1019"/>
      <c r="D52" s="1019"/>
      <c r="E52" s="1019"/>
      <c r="F52" s="1019"/>
      <c r="G52" s="1014"/>
      <c r="H52" s="1015"/>
      <c r="I52" s="1016"/>
      <c r="J52" s="1016"/>
      <c r="K52" s="1017"/>
      <c r="L52" s="1017"/>
      <c r="M52" s="1017"/>
      <c r="N52" s="1017"/>
      <c r="O52" s="958"/>
      <c r="P52" s="958"/>
      <c r="Q52" s="958"/>
      <c r="R52" s="958"/>
      <c r="S52" s="958"/>
      <c r="T52" s="958"/>
      <c r="U52" s="958"/>
      <c r="V52" s="958"/>
      <c r="W52" s="958"/>
      <c r="X52" s="958"/>
      <c r="Y52" s="958"/>
      <c r="Z52" s="958"/>
      <c r="AA52" s="958"/>
      <c r="AB52" s="958"/>
      <c r="AC52" s="958"/>
      <c r="AD52" s="958"/>
      <c r="AE52" s="958"/>
      <c r="AF52" s="958"/>
      <c r="AG52" s="958"/>
      <c r="AH52" s="958"/>
      <c r="AI52" s="958"/>
      <c r="AJ52" s="958"/>
      <c r="AK52" s="958"/>
      <c r="AL52" s="958"/>
      <c r="AM52" s="958"/>
      <c r="AN52" s="958"/>
      <c r="AO52" s="958"/>
      <c r="AP52" s="958"/>
      <c r="AQ52" s="958"/>
      <c r="AR52" s="958"/>
      <c r="AS52" s="958"/>
      <c r="AT52" s="958"/>
      <c r="AU52" s="958"/>
      <c r="AV52" s="958"/>
      <c r="AW52" s="958"/>
      <c r="AX52" s="958"/>
      <c r="AY52" s="958"/>
      <c r="AZ52" s="958"/>
      <c r="BA52" s="958"/>
      <c r="BB52" s="958"/>
      <c r="BC52" s="958"/>
      <c r="BD52" s="958"/>
      <c r="BE52" s="958"/>
      <c r="BF52" s="958"/>
      <c r="BG52" s="958"/>
      <c r="BH52" s="958"/>
      <c r="BI52" s="958"/>
      <c r="BJ52" s="958"/>
      <c r="BK52" s="958"/>
      <c r="BL52" s="958"/>
      <c r="BM52" s="958"/>
      <c r="BN52" s="958"/>
      <c r="BO52" s="958"/>
      <c r="BP52" s="958"/>
      <c r="BQ52" s="958"/>
      <c r="BR52" s="958"/>
      <c r="BS52" s="958"/>
      <c r="BT52" s="958"/>
      <c r="BU52" s="958"/>
      <c r="BV52" s="958"/>
      <c r="BW52" s="958"/>
      <c r="BX52" s="958"/>
      <c r="BY52" s="958"/>
      <c r="BZ52" s="958"/>
      <c r="CA52" s="958"/>
      <c r="CB52" s="958"/>
      <c r="CC52" s="958"/>
      <c r="CD52" s="958"/>
      <c r="CE52" s="958"/>
      <c r="CF52" s="958"/>
      <c r="CG52" s="958"/>
      <c r="CH52" s="958"/>
      <c r="CI52" s="958"/>
      <c r="CJ52" s="958"/>
      <c r="CK52" s="958"/>
      <c r="CL52" s="958"/>
      <c r="CM52" s="958"/>
      <c r="CN52" s="958"/>
      <c r="CO52" s="958"/>
      <c r="CP52" s="958"/>
      <c r="CQ52" s="958"/>
      <c r="CR52" s="958"/>
      <c r="CS52" s="958"/>
      <c r="CT52" s="958"/>
      <c r="CU52" s="958"/>
      <c r="CV52" s="958"/>
      <c r="CW52" s="958"/>
      <c r="CX52" s="958"/>
      <c r="CY52" s="958"/>
      <c r="CZ52" s="958"/>
      <c r="DA52" s="958"/>
      <c r="DB52" s="958"/>
      <c r="DC52" s="958"/>
      <c r="DD52" s="958"/>
      <c r="DE52" s="958"/>
      <c r="DF52" s="958"/>
      <c r="DG52" s="958"/>
      <c r="DH52" s="958"/>
      <c r="DI52" s="958"/>
      <c r="DJ52" s="958"/>
      <c r="DK52" s="958"/>
      <c r="DL52" s="958"/>
      <c r="DM52" s="958"/>
      <c r="DN52" s="958"/>
      <c r="DO52" s="958"/>
      <c r="DP52" s="958"/>
      <c r="DQ52" s="958"/>
      <c r="DR52" s="958"/>
      <c r="DS52" s="958"/>
      <c r="DT52" s="958"/>
      <c r="DU52" s="958"/>
      <c r="DV52" s="958"/>
      <c r="DW52" s="958"/>
      <c r="DX52" s="958"/>
      <c r="DY52" s="958"/>
      <c r="DZ52" s="958"/>
      <c r="EA52" s="958"/>
      <c r="EB52" s="958"/>
      <c r="EC52" s="958"/>
      <c r="ED52" s="958"/>
      <c r="EE52" s="958"/>
      <c r="EF52" s="958"/>
      <c r="EG52" s="958"/>
      <c r="EH52" s="958"/>
      <c r="EI52" s="958"/>
      <c r="EJ52" s="958"/>
      <c r="EK52" s="958"/>
      <c r="EL52" s="958"/>
      <c r="EM52" s="958"/>
      <c r="EN52" s="958"/>
      <c r="EO52" s="958"/>
      <c r="EP52" s="958"/>
      <c r="EQ52" s="958"/>
      <c r="ER52" s="958"/>
      <c r="ES52" s="958"/>
      <c r="ET52" s="958"/>
      <c r="EU52" s="958"/>
      <c r="EV52" s="958"/>
      <c r="EW52" s="958"/>
      <c r="EX52" s="958"/>
      <c r="EY52" s="958"/>
      <c r="EZ52" s="958"/>
      <c r="FA52" s="958"/>
      <c r="FB52" s="958"/>
      <c r="FC52" s="958"/>
      <c r="FD52" s="958"/>
      <c r="FE52" s="958"/>
      <c r="FF52" s="958"/>
      <c r="FG52" s="958"/>
      <c r="FH52" s="958"/>
      <c r="FI52" s="958"/>
      <c r="FJ52" s="958"/>
      <c r="FK52" s="958"/>
      <c r="FL52" s="958"/>
      <c r="FM52" s="958"/>
      <c r="FN52" s="958"/>
      <c r="FO52" s="958"/>
      <c r="FP52" s="958"/>
      <c r="FQ52" s="958"/>
      <c r="FR52" s="958"/>
      <c r="FS52" s="958"/>
      <c r="FT52" s="958"/>
      <c r="FU52" s="958"/>
      <c r="FV52" s="958"/>
      <c r="FW52" s="958"/>
      <c r="FX52" s="958"/>
      <c r="FY52" s="958"/>
      <c r="FZ52" s="958"/>
      <c r="GA52" s="958"/>
      <c r="GB52" s="958"/>
      <c r="GC52" s="958"/>
      <c r="GD52" s="958"/>
      <c r="GE52" s="958"/>
      <c r="GF52" s="958"/>
      <c r="GG52" s="958"/>
      <c r="GH52" s="958"/>
      <c r="GI52" s="958"/>
      <c r="GJ52" s="958"/>
      <c r="GK52" s="958"/>
      <c r="GL52" s="958"/>
      <c r="GM52" s="958"/>
      <c r="GN52" s="958"/>
      <c r="GO52" s="958"/>
      <c r="GP52" s="958"/>
      <c r="GQ52" s="958"/>
      <c r="GR52" s="958"/>
      <c r="GS52" s="958"/>
      <c r="GT52" s="958"/>
      <c r="GU52" s="958"/>
      <c r="GV52" s="958"/>
      <c r="GW52" s="958"/>
      <c r="GX52" s="958"/>
      <c r="GY52" s="958"/>
      <c r="GZ52" s="958"/>
      <c r="HA52" s="958"/>
      <c r="HB52" s="958"/>
      <c r="HC52" s="958"/>
      <c r="HD52" s="958"/>
      <c r="HE52" s="958"/>
      <c r="HF52" s="958"/>
      <c r="HG52" s="958"/>
      <c r="HH52" s="958"/>
      <c r="HI52" s="958"/>
      <c r="HJ52" s="958"/>
      <c r="HK52" s="958"/>
      <c r="HL52" s="958"/>
      <c r="HM52" s="958"/>
      <c r="HN52" s="958"/>
      <c r="HO52" s="958"/>
      <c r="HP52" s="958"/>
      <c r="HQ52" s="958"/>
      <c r="HR52" s="958"/>
      <c r="HS52" s="958"/>
      <c r="HT52" s="958"/>
      <c r="HU52" s="958"/>
      <c r="HV52" s="958"/>
      <c r="HW52" s="958"/>
      <c r="HX52" s="958"/>
      <c r="HY52" s="958"/>
      <c r="HZ52" s="958"/>
      <c r="IA52" s="958"/>
      <c r="IB52" s="958"/>
      <c r="IC52" s="958"/>
      <c r="ID52" s="958"/>
      <c r="IE52" s="958"/>
      <c r="IF52" s="958"/>
      <c r="IG52" s="958"/>
      <c r="IH52" s="958"/>
      <c r="II52" s="958"/>
      <c r="IJ52" s="958"/>
      <c r="IK52" s="958"/>
      <c r="IL52" s="958"/>
      <c r="IM52" s="958"/>
      <c r="IN52" s="958"/>
      <c r="IO52" s="958"/>
      <c r="IP52" s="958"/>
      <c r="IQ52" s="958"/>
      <c r="IR52" s="958"/>
      <c r="IS52" s="958"/>
      <c r="IT52" s="958"/>
      <c r="IU52" s="958"/>
      <c r="IV52" s="958"/>
    </row>
    <row r="53" spans="1:256" ht="10.5" customHeight="1">
      <c r="A53" s="1018"/>
      <c r="B53" s="944"/>
      <c r="C53" s="1019"/>
      <c r="D53" s="1019"/>
      <c r="E53" s="1019"/>
      <c r="F53" s="1019"/>
      <c r="G53" s="1014"/>
      <c r="H53" s="1015"/>
      <c r="I53" s="1016"/>
      <c r="J53" s="1016"/>
      <c r="K53" s="1017"/>
      <c r="L53" s="1017"/>
      <c r="M53" s="1017"/>
      <c r="N53" s="1017"/>
      <c r="O53" s="958"/>
      <c r="P53" s="958"/>
      <c r="Q53" s="958"/>
      <c r="R53" s="958"/>
      <c r="S53" s="958"/>
      <c r="T53" s="958"/>
      <c r="U53" s="958"/>
      <c r="V53" s="958"/>
      <c r="W53" s="958"/>
      <c r="X53" s="958"/>
      <c r="Y53" s="958"/>
      <c r="Z53" s="958"/>
      <c r="AA53" s="958"/>
      <c r="AB53" s="958"/>
      <c r="AC53" s="958"/>
      <c r="AD53" s="958"/>
      <c r="AE53" s="958"/>
      <c r="AF53" s="958"/>
      <c r="AG53" s="958"/>
      <c r="AH53" s="958"/>
      <c r="AI53" s="958"/>
      <c r="AJ53" s="958"/>
      <c r="AK53" s="958"/>
      <c r="AL53" s="958"/>
      <c r="AM53" s="958"/>
      <c r="AN53" s="958"/>
      <c r="AO53" s="958"/>
      <c r="AP53" s="958"/>
      <c r="AQ53" s="958"/>
      <c r="AR53" s="958"/>
      <c r="AS53" s="958"/>
      <c r="AT53" s="958"/>
      <c r="AU53" s="958"/>
      <c r="AV53" s="958"/>
      <c r="AW53" s="958"/>
      <c r="AX53" s="958"/>
      <c r="AY53" s="958"/>
      <c r="AZ53" s="958"/>
      <c r="BA53" s="958"/>
      <c r="BB53" s="958"/>
      <c r="BC53" s="958"/>
      <c r="BD53" s="958"/>
      <c r="BE53" s="958"/>
      <c r="BF53" s="958"/>
      <c r="BG53" s="958"/>
      <c r="BH53" s="958"/>
      <c r="BI53" s="958"/>
      <c r="BJ53" s="958"/>
      <c r="BK53" s="958"/>
      <c r="BL53" s="958"/>
      <c r="BM53" s="958"/>
      <c r="BN53" s="958"/>
      <c r="BO53" s="958"/>
      <c r="BP53" s="958"/>
      <c r="BQ53" s="958"/>
      <c r="BR53" s="958"/>
      <c r="BS53" s="958"/>
      <c r="BT53" s="958"/>
      <c r="BU53" s="958"/>
      <c r="BV53" s="958"/>
      <c r="BW53" s="958"/>
      <c r="BX53" s="958"/>
      <c r="BY53" s="958"/>
      <c r="BZ53" s="958"/>
      <c r="CA53" s="958"/>
      <c r="CB53" s="958"/>
      <c r="CC53" s="958"/>
      <c r="CD53" s="958"/>
      <c r="CE53" s="958"/>
      <c r="CF53" s="958"/>
      <c r="CG53" s="958"/>
      <c r="CH53" s="958"/>
      <c r="CI53" s="958"/>
      <c r="CJ53" s="958"/>
      <c r="CK53" s="958"/>
      <c r="CL53" s="958"/>
      <c r="CM53" s="958"/>
      <c r="CN53" s="958"/>
      <c r="CO53" s="958"/>
      <c r="CP53" s="958"/>
      <c r="CQ53" s="958"/>
      <c r="CR53" s="958"/>
      <c r="CS53" s="958"/>
      <c r="CT53" s="958"/>
      <c r="CU53" s="958"/>
      <c r="CV53" s="958"/>
      <c r="CW53" s="958"/>
      <c r="CX53" s="958"/>
      <c r="CY53" s="958"/>
      <c r="CZ53" s="958"/>
      <c r="DA53" s="958"/>
      <c r="DB53" s="958"/>
      <c r="DC53" s="958"/>
      <c r="DD53" s="958"/>
      <c r="DE53" s="958"/>
      <c r="DF53" s="958"/>
      <c r="DG53" s="958"/>
      <c r="DH53" s="958"/>
      <c r="DI53" s="958"/>
      <c r="DJ53" s="958"/>
      <c r="DK53" s="958"/>
      <c r="DL53" s="958"/>
      <c r="DM53" s="958"/>
      <c r="DN53" s="958"/>
      <c r="DO53" s="958"/>
      <c r="DP53" s="958"/>
      <c r="DQ53" s="958"/>
      <c r="DR53" s="958"/>
      <c r="DS53" s="958"/>
      <c r="DT53" s="958"/>
      <c r="DU53" s="958"/>
      <c r="DV53" s="958"/>
      <c r="DW53" s="958"/>
      <c r="DX53" s="958"/>
      <c r="DY53" s="958"/>
      <c r="DZ53" s="958"/>
      <c r="EA53" s="958"/>
      <c r="EB53" s="958"/>
      <c r="EC53" s="958"/>
      <c r="ED53" s="958"/>
      <c r="EE53" s="958"/>
      <c r="EF53" s="958"/>
      <c r="EG53" s="958"/>
      <c r="EH53" s="958"/>
      <c r="EI53" s="958"/>
      <c r="EJ53" s="958"/>
      <c r="EK53" s="958"/>
      <c r="EL53" s="958"/>
      <c r="EM53" s="958"/>
      <c r="EN53" s="958"/>
      <c r="EO53" s="958"/>
      <c r="EP53" s="958"/>
      <c r="EQ53" s="958"/>
      <c r="ER53" s="958"/>
      <c r="ES53" s="958"/>
      <c r="ET53" s="958"/>
      <c r="EU53" s="958"/>
      <c r="EV53" s="958"/>
      <c r="EW53" s="958"/>
      <c r="EX53" s="958"/>
      <c r="EY53" s="958"/>
      <c r="EZ53" s="958"/>
      <c r="FA53" s="958"/>
      <c r="FB53" s="958"/>
      <c r="FC53" s="958"/>
      <c r="FD53" s="958"/>
      <c r="FE53" s="958"/>
      <c r="FF53" s="958"/>
      <c r="FG53" s="958"/>
      <c r="FH53" s="958"/>
      <c r="FI53" s="958"/>
      <c r="FJ53" s="958"/>
      <c r="FK53" s="958"/>
      <c r="FL53" s="958"/>
      <c r="FM53" s="958"/>
      <c r="FN53" s="958"/>
      <c r="FO53" s="958"/>
      <c r="FP53" s="958"/>
      <c r="FQ53" s="958"/>
      <c r="FR53" s="958"/>
      <c r="FS53" s="958"/>
      <c r="FT53" s="958"/>
      <c r="FU53" s="958"/>
      <c r="FV53" s="958"/>
      <c r="FW53" s="958"/>
      <c r="FX53" s="958"/>
      <c r="FY53" s="958"/>
      <c r="FZ53" s="958"/>
      <c r="GA53" s="958"/>
      <c r="GB53" s="958"/>
      <c r="GC53" s="958"/>
      <c r="GD53" s="958"/>
      <c r="GE53" s="958"/>
      <c r="GF53" s="958"/>
      <c r="GG53" s="958"/>
      <c r="GH53" s="958"/>
      <c r="GI53" s="958"/>
      <c r="GJ53" s="958"/>
      <c r="GK53" s="958"/>
      <c r="GL53" s="958"/>
      <c r="GM53" s="958"/>
      <c r="GN53" s="958"/>
      <c r="GO53" s="958"/>
      <c r="GP53" s="958"/>
      <c r="GQ53" s="958"/>
      <c r="GR53" s="958"/>
      <c r="GS53" s="958"/>
      <c r="GT53" s="958"/>
      <c r="GU53" s="958"/>
      <c r="GV53" s="958"/>
      <c r="GW53" s="958"/>
      <c r="GX53" s="958"/>
      <c r="GY53" s="958"/>
      <c r="GZ53" s="958"/>
      <c r="HA53" s="958"/>
      <c r="HB53" s="958"/>
      <c r="HC53" s="958"/>
      <c r="HD53" s="958"/>
      <c r="HE53" s="958"/>
      <c r="HF53" s="958"/>
      <c r="HG53" s="958"/>
      <c r="HH53" s="958"/>
      <c r="HI53" s="958"/>
      <c r="HJ53" s="958"/>
      <c r="HK53" s="958"/>
      <c r="HL53" s="958"/>
      <c r="HM53" s="958"/>
      <c r="HN53" s="958"/>
      <c r="HO53" s="958"/>
      <c r="HP53" s="958"/>
      <c r="HQ53" s="958"/>
      <c r="HR53" s="958"/>
      <c r="HS53" s="958"/>
      <c r="HT53" s="958"/>
      <c r="HU53" s="958"/>
      <c r="HV53" s="958"/>
      <c r="HW53" s="958"/>
      <c r="HX53" s="958"/>
      <c r="HY53" s="958"/>
      <c r="HZ53" s="958"/>
      <c r="IA53" s="958"/>
      <c r="IB53" s="958"/>
      <c r="IC53" s="958"/>
      <c r="ID53" s="958"/>
      <c r="IE53" s="958"/>
      <c r="IF53" s="958"/>
      <c r="IG53" s="958"/>
      <c r="IH53" s="958"/>
      <c r="II53" s="958"/>
      <c r="IJ53" s="958"/>
      <c r="IK53" s="958"/>
      <c r="IL53" s="958"/>
      <c r="IM53" s="958"/>
      <c r="IN53" s="958"/>
      <c r="IO53" s="958"/>
      <c r="IP53" s="958"/>
      <c r="IQ53" s="958"/>
      <c r="IR53" s="958"/>
      <c r="IS53" s="958"/>
      <c r="IT53" s="958"/>
      <c r="IU53" s="958"/>
      <c r="IV53" s="958"/>
    </row>
    <row r="54" spans="1:256" ht="10.5" customHeight="1">
      <c r="A54" s="1018"/>
      <c r="B54" s="944"/>
      <c r="C54" s="1019"/>
      <c r="D54" s="1019"/>
      <c r="E54" s="1019"/>
      <c r="F54" s="1019"/>
      <c r="G54" s="1014"/>
      <c r="H54" s="1015"/>
      <c r="I54" s="1016"/>
      <c r="J54" s="1016"/>
      <c r="K54" s="1017"/>
      <c r="L54" s="1017"/>
      <c r="M54" s="1017"/>
      <c r="N54" s="1017"/>
      <c r="O54" s="958"/>
      <c r="P54" s="958"/>
      <c r="Q54" s="958"/>
      <c r="R54" s="958"/>
      <c r="S54" s="958"/>
      <c r="T54" s="958"/>
      <c r="U54" s="958"/>
      <c r="V54" s="958"/>
      <c r="W54" s="958"/>
      <c r="X54" s="958"/>
      <c r="Y54" s="958"/>
      <c r="Z54" s="958"/>
      <c r="AA54" s="958"/>
      <c r="AB54" s="958"/>
      <c r="AC54" s="958"/>
      <c r="AD54" s="958"/>
      <c r="AE54" s="958"/>
      <c r="AF54" s="958"/>
      <c r="AG54" s="958"/>
      <c r="AH54" s="958"/>
      <c r="AI54" s="958"/>
      <c r="AJ54" s="958"/>
      <c r="AK54" s="958"/>
      <c r="AL54" s="958"/>
      <c r="AM54" s="958"/>
      <c r="AN54" s="958"/>
      <c r="AO54" s="958"/>
      <c r="AP54" s="958"/>
      <c r="AQ54" s="958"/>
      <c r="AR54" s="958"/>
      <c r="AS54" s="958"/>
      <c r="AT54" s="958"/>
      <c r="AU54" s="958"/>
      <c r="AV54" s="958"/>
      <c r="AW54" s="958"/>
      <c r="AX54" s="958"/>
      <c r="AY54" s="958"/>
      <c r="AZ54" s="958"/>
      <c r="BA54" s="958"/>
      <c r="BB54" s="958"/>
      <c r="BC54" s="958"/>
      <c r="BD54" s="958"/>
      <c r="BE54" s="958"/>
      <c r="BF54" s="958"/>
      <c r="BG54" s="958"/>
      <c r="BH54" s="958"/>
      <c r="BI54" s="958"/>
      <c r="BJ54" s="958"/>
      <c r="BK54" s="958"/>
      <c r="BL54" s="958"/>
      <c r="BM54" s="958"/>
      <c r="BN54" s="958"/>
      <c r="BO54" s="958"/>
      <c r="BP54" s="958"/>
      <c r="BQ54" s="958"/>
      <c r="BR54" s="958"/>
      <c r="BS54" s="958"/>
      <c r="BT54" s="958"/>
      <c r="BU54" s="958"/>
      <c r="BV54" s="958"/>
      <c r="BW54" s="958"/>
      <c r="BX54" s="958"/>
      <c r="BY54" s="958"/>
      <c r="BZ54" s="958"/>
      <c r="CA54" s="958"/>
      <c r="CB54" s="958"/>
      <c r="CC54" s="958"/>
      <c r="CD54" s="958"/>
      <c r="CE54" s="958"/>
      <c r="CF54" s="958"/>
      <c r="CG54" s="958"/>
      <c r="CH54" s="958"/>
      <c r="CI54" s="958"/>
      <c r="CJ54" s="958"/>
      <c r="CK54" s="958"/>
      <c r="CL54" s="958"/>
      <c r="CM54" s="958"/>
      <c r="CN54" s="958"/>
      <c r="CO54" s="958"/>
      <c r="CP54" s="958"/>
      <c r="CQ54" s="958"/>
      <c r="CR54" s="958"/>
      <c r="CS54" s="958"/>
      <c r="CT54" s="958"/>
      <c r="CU54" s="958"/>
      <c r="CV54" s="958"/>
      <c r="CW54" s="958"/>
      <c r="CX54" s="958"/>
      <c r="CY54" s="958"/>
      <c r="CZ54" s="958"/>
      <c r="DA54" s="958"/>
      <c r="DB54" s="958"/>
      <c r="DC54" s="958"/>
      <c r="DD54" s="958"/>
      <c r="DE54" s="958"/>
      <c r="DF54" s="958"/>
      <c r="DG54" s="958"/>
      <c r="DH54" s="958"/>
      <c r="DI54" s="958"/>
      <c r="DJ54" s="958"/>
      <c r="DK54" s="958"/>
      <c r="DL54" s="958"/>
      <c r="DM54" s="958"/>
      <c r="DN54" s="958"/>
      <c r="DO54" s="958"/>
      <c r="DP54" s="958"/>
      <c r="DQ54" s="958"/>
      <c r="DR54" s="958"/>
      <c r="DS54" s="958"/>
      <c r="DT54" s="958"/>
      <c r="DU54" s="958"/>
      <c r="DV54" s="958"/>
      <c r="DW54" s="958"/>
      <c r="DX54" s="958"/>
      <c r="DY54" s="958"/>
      <c r="DZ54" s="958"/>
      <c r="EA54" s="958"/>
      <c r="EB54" s="958"/>
      <c r="EC54" s="958"/>
      <c r="ED54" s="958"/>
      <c r="EE54" s="958"/>
      <c r="EF54" s="958"/>
      <c r="EG54" s="958"/>
      <c r="EH54" s="958"/>
      <c r="EI54" s="958"/>
      <c r="EJ54" s="958"/>
      <c r="EK54" s="958"/>
      <c r="EL54" s="958"/>
      <c r="EM54" s="958"/>
      <c r="EN54" s="958"/>
      <c r="EO54" s="958"/>
      <c r="EP54" s="958"/>
      <c r="EQ54" s="958"/>
      <c r="ER54" s="958"/>
      <c r="ES54" s="958"/>
      <c r="ET54" s="958"/>
      <c r="EU54" s="958"/>
      <c r="EV54" s="958"/>
      <c r="EW54" s="958"/>
      <c r="EX54" s="958"/>
      <c r="EY54" s="958"/>
      <c r="EZ54" s="958"/>
      <c r="FA54" s="958"/>
      <c r="FB54" s="958"/>
      <c r="FC54" s="958"/>
      <c r="FD54" s="958"/>
      <c r="FE54" s="958"/>
      <c r="FF54" s="958"/>
      <c r="FG54" s="958"/>
      <c r="FH54" s="958"/>
      <c r="FI54" s="958"/>
      <c r="FJ54" s="958"/>
      <c r="FK54" s="958"/>
      <c r="FL54" s="958"/>
      <c r="FM54" s="958"/>
      <c r="FN54" s="958"/>
      <c r="FO54" s="958"/>
      <c r="FP54" s="958"/>
      <c r="FQ54" s="958"/>
      <c r="FR54" s="958"/>
      <c r="FS54" s="958"/>
      <c r="FT54" s="958"/>
      <c r="FU54" s="958"/>
      <c r="FV54" s="958"/>
      <c r="FW54" s="958"/>
      <c r="FX54" s="958"/>
      <c r="FY54" s="958"/>
      <c r="FZ54" s="958"/>
      <c r="GA54" s="958"/>
      <c r="GB54" s="958"/>
      <c r="GC54" s="958"/>
      <c r="GD54" s="958"/>
      <c r="GE54" s="958"/>
      <c r="GF54" s="958"/>
      <c r="GG54" s="958"/>
      <c r="GH54" s="958"/>
      <c r="GI54" s="958"/>
      <c r="GJ54" s="958"/>
      <c r="GK54" s="958"/>
      <c r="GL54" s="958"/>
      <c r="GM54" s="958"/>
      <c r="GN54" s="958"/>
      <c r="GO54" s="958"/>
      <c r="GP54" s="958"/>
      <c r="GQ54" s="958"/>
      <c r="GR54" s="958"/>
      <c r="GS54" s="958"/>
      <c r="GT54" s="958"/>
      <c r="GU54" s="958"/>
      <c r="GV54" s="958"/>
      <c r="GW54" s="958"/>
      <c r="GX54" s="958"/>
      <c r="GY54" s="958"/>
      <c r="GZ54" s="958"/>
      <c r="HA54" s="958"/>
      <c r="HB54" s="958"/>
      <c r="HC54" s="958"/>
      <c r="HD54" s="958"/>
      <c r="HE54" s="958"/>
      <c r="HF54" s="958"/>
      <c r="HG54" s="958"/>
      <c r="HH54" s="958"/>
      <c r="HI54" s="958"/>
      <c r="HJ54" s="958"/>
      <c r="HK54" s="958"/>
      <c r="HL54" s="958"/>
      <c r="HM54" s="958"/>
      <c r="HN54" s="958"/>
      <c r="HO54" s="958"/>
      <c r="HP54" s="958"/>
      <c r="HQ54" s="958"/>
      <c r="HR54" s="958"/>
      <c r="HS54" s="958"/>
      <c r="HT54" s="958"/>
      <c r="HU54" s="958"/>
      <c r="HV54" s="958"/>
      <c r="HW54" s="958"/>
      <c r="HX54" s="958"/>
      <c r="HY54" s="958"/>
      <c r="HZ54" s="958"/>
      <c r="IA54" s="958"/>
      <c r="IB54" s="958"/>
      <c r="IC54" s="958"/>
      <c r="ID54" s="958"/>
      <c r="IE54" s="958"/>
      <c r="IF54" s="958"/>
      <c r="IG54" s="958"/>
      <c r="IH54" s="958"/>
      <c r="II54" s="958"/>
      <c r="IJ54" s="958"/>
      <c r="IK54" s="958"/>
      <c r="IL54" s="958"/>
      <c r="IM54" s="958"/>
      <c r="IN54" s="958"/>
      <c r="IO54" s="958"/>
      <c r="IP54" s="958"/>
      <c r="IQ54" s="958"/>
      <c r="IR54" s="958"/>
      <c r="IS54" s="958"/>
      <c r="IT54" s="958"/>
      <c r="IU54" s="958"/>
      <c r="IV54" s="958"/>
    </row>
    <row r="55" spans="1:256" ht="10.5" customHeight="1">
      <c r="A55" s="1018"/>
      <c r="B55" s="944"/>
      <c r="C55" s="1019"/>
      <c r="D55" s="1019"/>
      <c r="E55" s="1019"/>
      <c r="F55" s="1019"/>
      <c r="G55" s="1014"/>
      <c r="H55" s="1015"/>
      <c r="I55" s="1016"/>
      <c r="J55" s="1016"/>
      <c r="K55" s="1017"/>
      <c r="L55" s="1017"/>
      <c r="M55" s="1017"/>
      <c r="N55" s="1017"/>
      <c r="O55" s="958"/>
      <c r="P55" s="958"/>
      <c r="Q55" s="958"/>
      <c r="R55" s="958"/>
      <c r="S55" s="958"/>
      <c r="T55" s="958"/>
      <c r="U55" s="958"/>
      <c r="V55" s="958"/>
      <c r="W55" s="958"/>
      <c r="X55" s="958"/>
      <c r="Y55" s="958"/>
      <c r="Z55" s="958"/>
      <c r="AA55" s="958"/>
      <c r="AB55" s="958"/>
      <c r="AC55" s="958"/>
      <c r="AD55" s="958"/>
      <c r="AE55" s="958"/>
      <c r="AF55" s="958"/>
      <c r="AG55" s="958"/>
      <c r="AH55" s="958"/>
      <c r="AI55" s="958"/>
      <c r="AJ55" s="958"/>
      <c r="AK55" s="958"/>
      <c r="AL55" s="958"/>
      <c r="AM55" s="958"/>
      <c r="AN55" s="958"/>
      <c r="AO55" s="958"/>
      <c r="AP55" s="958"/>
      <c r="AQ55" s="958"/>
      <c r="AR55" s="958"/>
      <c r="AS55" s="958"/>
      <c r="AT55" s="958"/>
      <c r="AU55" s="958"/>
      <c r="AV55" s="958"/>
      <c r="AW55" s="958"/>
      <c r="AX55" s="958"/>
      <c r="AY55" s="958"/>
      <c r="AZ55" s="958"/>
      <c r="BA55" s="958"/>
      <c r="BB55" s="958"/>
      <c r="BC55" s="958"/>
      <c r="BD55" s="958"/>
      <c r="BE55" s="958"/>
      <c r="BF55" s="958"/>
      <c r="BG55" s="958"/>
      <c r="BH55" s="958"/>
      <c r="BI55" s="958"/>
      <c r="BJ55" s="958"/>
      <c r="BK55" s="958"/>
      <c r="BL55" s="958"/>
      <c r="BM55" s="958"/>
      <c r="BN55" s="958"/>
      <c r="BO55" s="958"/>
      <c r="BP55" s="958"/>
      <c r="BQ55" s="958"/>
      <c r="BR55" s="958"/>
      <c r="BS55" s="958"/>
      <c r="BT55" s="958"/>
      <c r="BU55" s="958"/>
      <c r="BV55" s="958"/>
      <c r="BW55" s="958"/>
      <c r="BX55" s="958"/>
      <c r="BY55" s="958"/>
      <c r="BZ55" s="958"/>
      <c r="CA55" s="958"/>
      <c r="CB55" s="958"/>
      <c r="CC55" s="958"/>
      <c r="CD55" s="958"/>
      <c r="CE55" s="958"/>
      <c r="CF55" s="958"/>
      <c r="CG55" s="958"/>
      <c r="CH55" s="958"/>
      <c r="CI55" s="958"/>
      <c r="CJ55" s="958"/>
      <c r="CK55" s="958"/>
      <c r="CL55" s="958"/>
      <c r="CM55" s="958"/>
      <c r="CN55" s="958"/>
      <c r="CO55" s="958"/>
      <c r="CP55" s="958"/>
      <c r="CQ55" s="958"/>
      <c r="CR55" s="958"/>
      <c r="CS55" s="958"/>
      <c r="CT55" s="958"/>
      <c r="CU55" s="958"/>
      <c r="CV55" s="958"/>
      <c r="CW55" s="958"/>
      <c r="CX55" s="958"/>
      <c r="CY55" s="958"/>
      <c r="CZ55" s="958"/>
      <c r="DA55" s="958"/>
      <c r="DB55" s="958"/>
      <c r="DC55" s="958"/>
      <c r="DD55" s="958"/>
      <c r="DE55" s="958"/>
      <c r="DF55" s="958"/>
      <c r="DG55" s="958"/>
      <c r="DH55" s="958"/>
      <c r="DI55" s="958"/>
      <c r="DJ55" s="958"/>
      <c r="DK55" s="958"/>
      <c r="DL55" s="958"/>
      <c r="DM55" s="958"/>
      <c r="DN55" s="958"/>
      <c r="DO55" s="958"/>
      <c r="DP55" s="958"/>
      <c r="DQ55" s="958"/>
      <c r="DR55" s="958"/>
      <c r="DS55" s="958"/>
      <c r="DT55" s="958"/>
      <c r="DU55" s="958"/>
      <c r="DV55" s="958"/>
      <c r="DW55" s="958"/>
      <c r="DX55" s="958"/>
      <c r="DY55" s="958"/>
      <c r="DZ55" s="958"/>
      <c r="EA55" s="958"/>
      <c r="EB55" s="958"/>
      <c r="EC55" s="958"/>
      <c r="ED55" s="958"/>
      <c r="EE55" s="958"/>
      <c r="EF55" s="958"/>
      <c r="EG55" s="958"/>
      <c r="EH55" s="958"/>
      <c r="EI55" s="958"/>
      <c r="EJ55" s="958"/>
      <c r="EK55" s="958"/>
      <c r="EL55" s="958"/>
      <c r="EM55" s="958"/>
      <c r="EN55" s="958"/>
      <c r="EO55" s="958"/>
      <c r="EP55" s="958"/>
      <c r="EQ55" s="958"/>
      <c r="ER55" s="958"/>
      <c r="ES55" s="958"/>
      <c r="ET55" s="958"/>
      <c r="EU55" s="958"/>
      <c r="EV55" s="958"/>
      <c r="EW55" s="958"/>
      <c r="EX55" s="958"/>
      <c r="EY55" s="958"/>
      <c r="EZ55" s="958"/>
      <c r="FA55" s="958"/>
      <c r="FB55" s="958"/>
      <c r="FC55" s="958"/>
      <c r="FD55" s="958"/>
      <c r="FE55" s="958"/>
      <c r="FF55" s="958"/>
      <c r="FG55" s="958"/>
      <c r="FH55" s="958"/>
      <c r="FI55" s="958"/>
      <c r="FJ55" s="958"/>
      <c r="FK55" s="958"/>
      <c r="FL55" s="958"/>
      <c r="FM55" s="958"/>
      <c r="FN55" s="958"/>
      <c r="FO55" s="958"/>
      <c r="FP55" s="958"/>
      <c r="FQ55" s="958"/>
      <c r="FR55" s="958"/>
      <c r="FS55" s="958"/>
      <c r="FT55" s="958"/>
      <c r="FU55" s="958"/>
      <c r="FV55" s="958"/>
      <c r="FW55" s="958"/>
      <c r="FX55" s="958"/>
      <c r="FY55" s="958"/>
      <c r="FZ55" s="958"/>
      <c r="GA55" s="958"/>
      <c r="GB55" s="958"/>
      <c r="GC55" s="958"/>
      <c r="GD55" s="958"/>
      <c r="GE55" s="958"/>
      <c r="GF55" s="958"/>
      <c r="GG55" s="958"/>
      <c r="GH55" s="958"/>
      <c r="GI55" s="958"/>
      <c r="GJ55" s="958"/>
      <c r="GK55" s="958"/>
      <c r="GL55" s="958"/>
      <c r="GM55" s="958"/>
      <c r="GN55" s="958"/>
      <c r="GO55" s="958"/>
      <c r="GP55" s="958"/>
      <c r="GQ55" s="958"/>
      <c r="GR55" s="958"/>
      <c r="GS55" s="958"/>
      <c r="GT55" s="958"/>
      <c r="GU55" s="958"/>
      <c r="GV55" s="958"/>
      <c r="GW55" s="958"/>
      <c r="GX55" s="958"/>
      <c r="GY55" s="958"/>
      <c r="GZ55" s="958"/>
      <c r="HA55" s="958"/>
      <c r="HB55" s="958"/>
      <c r="HC55" s="958"/>
      <c r="HD55" s="958"/>
      <c r="HE55" s="958"/>
      <c r="HF55" s="958"/>
      <c r="HG55" s="958"/>
      <c r="HH55" s="958"/>
      <c r="HI55" s="958"/>
      <c r="HJ55" s="958"/>
      <c r="HK55" s="958"/>
      <c r="HL55" s="958"/>
      <c r="HM55" s="958"/>
      <c r="HN55" s="958"/>
      <c r="HO55" s="958"/>
      <c r="HP55" s="958"/>
      <c r="HQ55" s="958"/>
      <c r="HR55" s="958"/>
      <c r="HS55" s="958"/>
      <c r="HT55" s="958"/>
      <c r="HU55" s="958"/>
      <c r="HV55" s="958"/>
      <c r="HW55" s="958"/>
      <c r="HX55" s="958"/>
      <c r="HY55" s="958"/>
      <c r="HZ55" s="958"/>
      <c r="IA55" s="958"/>
      <c r="IB55" s="958"/>
      <c r="IC55" s="958"/>
      <c r="ID55" s="958"/>
      <c r="IE55" s="958"/>
      <c r="IF55" s="958"/>
      <c r="IG55" s="958"/>
      <c r="IH55" s="958"/>
      <c r="II55" s="958"/>
      <c r="IJ55" s="958"/>
      <c r="IK55" s="958"/>
      <c r="IL55" s="958"/>
      <c r="IM55" s="958"/>
      <c r="IN55" s="958"/>
      <c r="IO55" s="958"/>
      <c r="IP55" s="958"/>
      <c r="IQ55" s="958"/>
      <c r="IR55" s="958"/>
      <c r="IS55" s="958"/>
      <c r="IT55" s="958"/>
      <c r="IU55" s="958"/>
      <c r="IV55" s="958"/>
    </row>
    <row r="56" spans="1:256" ht="10.5" customHeight="1">
      <c r="A56" s="1018"/>
      <c r="B56" s="944"/>
      <c r="C56" s="1019"/>
      <c r="D56" s="1019"/>
      <c r="E56" s="1019"/>
      <c r="F56" s="1019"/>
      <c r="G56" s="1014"/>
      <c r="H56" s="1015"/>
      <c r="I56" s="1016"/>
      <c r="J56" s="1016"/>
      <c r="K56" s="1017"/>
      <c r="L56" s="1017"/>
      <c r="M56" s="1017"/>
      <c r="N56" s="1017"/>
      <c r="O56" s="958"/>
      <c r="P56" s="958"/>
      <c r="Q56" s="958"/>
      <c r="R56" s="958"/>
      <c r="S56" s="958"/>
      <c r="T56" s="958"/>
      <c r="U56" s="958"/>
      <c r="V56" s="958"/>
      <c r="W56" s="958"/>
      <c r="X56" s="958"/>
      <c r="Y56" s="958"/>
      <c r="Z56" s="958"/>
      <c r="AA56" s="958"/>
      <c r="AB56" s="958"/>
      <c r="AC56" s="958"/>
      <c r="AD56" s="958"/>
      <c r="AE56" s="958"/>
      <c r="AF56" s="958"/>
      <c r="AG56" s="958"/>
      <c r="AH56" s="958"/>
      <c r="AI56" s="958"/>
      <c r="AJ56" s="958"/>
      <c r="AK56" s="958"/>
      <c r="AL56" s="958"/>
      <c r="AM56" s="958"/>
      <c r="AN56" s="958"/>
      <c r="AO56" s="958"/>
      <c r="AP56" s="958"/>
      <c r="AQ56" s="958"/>
      <c r="AR56" s="958"/>
      <c r="AS56" s="958"/>
      <c r="AT56" s="958"/>
      <c r="AU56" s="958"/>
      <c r="AV56" s="958"/>
      <c r="AW56" s="958"/>
      <c r="AX56" s="958"/>
      <c r="AY56" s="958"/>
      <c r="AZ56" s="958"/>
      <c r="BA56" s="958"/>
      <c r="BB56" s="958"/>
      <c r="BC56" s="958"/>
      <c r="BD56" s="958"/>
      <c r="BE56" s="958"/>
      <c r="BF56" s="958"/>
      <c r="BG56" s="958"/>
      <c r="BH56" s="958"/>
      <c r="BI56" s="958"/>
      <c r="BJ56" s="958"/>
      <c r="BK56" s="958"/>
      <c r="BL56" s="958"/>
      <c r="BM56" s="958"/>
      <c r="BN56" s="958"/>
      <c r="BO56" s="958"/>
      <c r="BP56" s="958"/>
      <c r="BQ56" s="958"/>
      <c r="BR56" s="958"/>
      <c r="BS56" s="958"/>
      <c r="BT56" s="958"/>
      <c r="BU56" s="958"/>
      <c r="BV56" s="958"/>
      <c r="BW56" s="958"/>
      <c r="BX56" s="958"/>
      <c r="BY56" s="958"/>
      <c r="BZ56" s="958"/>
      <c r="CA56" s="958"/>
      <c r="CB56" s="958"/>
      <c r="CC56" s="958"/>
      <c r="CD56" s="958"/>
      <c r="CE56" s="958"/>
      <c r="CF56" s="958"/>
      <c r="CG56" s="958"/>
      <c r="CH56" s="958"/>
      <c r="CI56" s="958"/>
      <c r="CJ56" s="958"/>
      <c r="CK56" s="958"/>
      <c r="CL56" s="958"/>
      <c r="CM56" s="958"/>
      <c r="CN56" s="958"/>
      <c r="CO56" s="958"/>
      <c r="CP56" s="958"/>
      <c r="CQ56" s="958"/>
      <c r="CR56" s="958"/>
      <c r="CS56" s="958"/>
      <c r="CT56" s="958"/>
      <c r="CU56" s="958"/>
      <c r="CV56" s="958"/>
      <c r="CW56" s="958"/>
      <c r="CX56" s="958"/>
      <c r="CY56" s="958"/>
      <c r="CZ56" s="958"/>
      <c r="DA56" s="958"/>
      <c r="DB56" s="958"/>
      <c r="DC56" s="958"/>
      <c r="DD56" s="958"/>
      <c r="DE56" s="958"/>
      <c r="DF56" s="958"/>
      <c r="DG56" s="958"/>
      <c r="DH56" s="958"/>
      <c r="DI56" s="958"/>
      <c r="DJ56" s="958"/>
      <c r="DK56" s="958"/>
      <c r="DL56" s="958"/>
      <c r="DM56" s="958"/>
      <c r="DN56" s="958"/>
      <c r="DO56" s="958"/>
      <c r="DP56" s="958"/>
      <c r="DQ56" s="958"/>
      <c r="DR56" s="958"/>
      <c r="DS56" s="958"/>
      <c r="DT56" s="958"/>
      <c r="DU56" s="958"/>
      <c r="DV56" s="958"/>
      <c r="DW56" s="958"/>
      <c r="DX56" s="958"/>
      <c r="DY56" s="958"/>
      <c r="DZ56" s="958"/>
      <c r="EA56" s="958"/>
      <c r="EB56" s="958"/>
      <c r="EC56" s="958"/>
      <c r="ED56" s="958"/>
      <c r="EE56" s="958"/>
      <c r="EF56" s="958"/>
      <c r="EG56" s="958"/>
      <c r="EH56" s="958"/>
      <c r="EI56" s="958"/>
      <c r="EJ56" s="958"/>
      <c r="EK56" s="958"/>
      <c r="EL56" s="958"/>
      <c r="EM56" s="958"/>
      <c r="EN56" s="958"/>
      <c r="EO56" s="958"/>
      <c r="EP56" s="958"/>
      <c r="EQ56" s="958"/>
      <c r="ER56" s="958"/>
      <c r="ES56" s="958"/>
      <c r="ET56" s="958"/>
      <c r="EU56" s="958"/>
      <c r="EV56" s="958"/>
      <c r="EW56" s="958"/>
      <c r="EX56" s="958"/>
      <c r="EY56" s="958"/>
      <c r="EZ56" s="958"/>
      <c r="FA56" s="958"/>
      <c r="FB56" s="958"/>
      <c r="FC56" s="958"/>
      <c r="FD56" s="958"/>
      <c r="FE56" s="958"/>
      <c r="FF56" s="958"/>
      <c r="FG56" s="958"/>
      <c r="FH56" s="958"/>
      <c r="FI56" s="958"/>
      <c r="FJ56" s="958"/>
      <c r="FK56" s="958"/>
      <c r="FL56" s="958"/>
      <c r="FM56" s="958"/>
      <c r="FN56" s="958"/>
      <c r="FO56" s="958"/>
      <c r="FP56" s="958"/>
      <c r="FQ56" s="958"/>
      <c r="FR56" s="958"/>
      <c r="FS56" s="958"/>
      <c r="FT56" s="958"/>
      <c r="FU56" s="958"/>
      <c r="FV56" s="958"/>
      <c r="FW56" s="958"/>
      <c r="FX56" s="958"/>
      <c r="FY56" s="958"/>
      <c r="FZ56" s="958"/>
      <c r="GA56" s="958"/>
      <c r="GB56" s="958"/>
      <c r="GC56" s="958"/>
      <c r="GD56" s="958"/>
      <c r="GE56" s="958"/>
      <c r="GF56" s="958"/>
      <c r="GG56" s="958"/>
      <c r="GH56" s="958"/>
      <c r="GI56" s="958"/>
      <c r="GJ56" s="958"/>
      <c r="GK56" s="958"/>
      <c r="GL56" s="958"/>
      <c r="GM56" s="958"/>
      <c r="GN56" s="958"/>
      <c r="GO56" s="958"/>
      <c r="GP56" s="958"/>
      <c r="GQ56" s="958"/>
      <c r="GR56" s="958"/>
      <c r="GS56" s="958"/>
      <c r="GT56" s="958"/>
      <c r="GU56" s="958"/>
      <c r="GV56" s="958"/>
      <c r="GW56" s="958"/>
      <c r="GX56" s="958"/>
      <c r="GY56" s="958"/>
      <c r="GZ56" s="958"/>
      <c r="HA56" s="958"/>
      <c r="HB56" s="958"/>
      <c r="HC56" s="958"/>
      <c r="HD56" s="958"/>
      <c r="HE56" s="958"/>
      <c r="HF56" s="958"/>
      <c r="HG56" s="958"/>
      <c r="HH56" s="958"/>
      <c r="HI56" s="958"/>
      <c r="HJ56" s="958"/>
      <c r="HK56" s="958"/>
      <c r="HL56" s="958"/>
      <c r="HM56" s="958"/>
      <c r="HN56" s="958"/>
      <c r="HO56" s="958"/>
      <c r="HP56" s="958"/>
      <c r="HQ56" s="958"/>
      <c r="HR56" s="958"/>
      <c r="HS56" s="958"/>
      <c r="HT56" s="958"/>
      <c r="HU56" s="958"/>
      <c r="HV56" s="958"/>
      <c r="HW56" s="958"/>
      <c r="HX56" s="958"/>
      <c r="HY56" s="958"/>
      <c r="HZ56" s="958"/>
      <c r="IA56" s="958"/>
      <c r="IB56" s="958"/>
      <c r="IC56" s="958"/>
      <c r="ID56" s="958"/>
      <c r="IE56" s="958"/>
      <c r="IF56" s="958"/>
      <c r="IG56" s="958"/>
      <c r="IH56" s="958"/>
      <c r="II56" s="958"/>
      <c r="IJ56" s="958"/>
      <c r="IK56" s="958"/>
      <c r="IL56" s="958"/>
      <c r="IM56" s="958"/>
      <c r="IN56" s="958"/>
      <c r="IO56" s="958"/>
      <c r="IP56" s="958"/>
      <c r="IQ56" s="958"/>
      <c r="IR56" s="958"/>
      <c r="IS56" s="958"/>
      <c r="IT56" s="958"/>
      <c r="IU56" s="958"/>
      <c r="IV56" s="958"/>
    </row>
    <row r="57" spans="1:256" ht="10.5" customHeight="1">
      <c r="A57" s="1018"/>
      <c r="B57" s="944"/>
      <c r="C57" s="1019"/>
      <c r="D57" s="1019"/>
      <c r="E57" s="1019"/>
      <c r="F57" s="1019"/>
      <c r="G57" s="1014"/>
      <c r="H57" s="1015"/>
      <c r="I57" s="1016"/>
      <c r="J57" s="1016"/>
      <c r="K57" s="1017"/>
      <c r="L57" s="1017"/>
      <c r="M57" s="1017"/>
      <c r="N57" s="1017"/>
      <c r="O57" s="958"/>
      <c r="P57" s="958"/>
      <c r="Q57" s="958"/>
      <c r="R57" s="958"/>
      <c r="S57" s="958"/>
      <c r="T57" s="958"/>
      <c r="U57" s="958"/>
      <c r="V57" s="958"/>
      <c r="W57" s="958"/>
      <c r="X57" s="958"/>
      <c r="Y57" s="958"/>
      <c r="Z57" s="958"/>
      <c r="AA57" s="958"/>
      <c r="AB57" s="958"/>
      <c r="AC57" s="958"/>
      <c r="AD57" s="958"/>
      <c r="AE57" s="958"/>
      <c r="AF57" s="958"/>
      <c r="AG57" s="958"/>
      <c r="AH57" s="958"/>
      <c r="AI57" s="958"/>
      <c r="AJ57" s="958"/>
      <c r="AK57" s="958"/>
      <c r="AL57" s="958"/>
      <c r="AM57" s="958"/>
      <c r="AN57" s="958"/>
      <c r="AO57" s="958"/>
      <c r="AP57" s="958"/>
      <c r="AQ57" s="958"/>
      <c r="AR57" s="958"/>
      <c r="AS57" s="958"/>
      <c r="AT57" s="958"/>
      <c r="AU57" s="958"/>
      <c r="AV57" s="958"/>
      <c r="AW57" s="958"/>
      <c r="AX57" s="958"/>
      <c r="AY57" s="958"/>
      <c r="AZ57" s="958"/>
      <c r="BA57" s="958"/>
      <c r="BB57" s="958"/>
      <c r="BC57" s="958"/>
      <c r="BD57" s="958"/>
      <c r="BE57" s="958"/>
      <c r="BF57" s="958"/>
      <c r="BG57" s="958"/>
      <c r="BH57" s="958"/>
      <c r="BI57" s="958"/>
      <c r="BJ57" s="958"/>
      <c r="BK57" s="958"/>
      <c r="BL57" s="958"/>
      <c r="BM57" s="958"/>
      <c r="BN57" s="958"/>
      <c r="BO57" s="958"/>
      <c r="BP57" s="958"/>
      <c r="BQ57" s="958"/>
      <c r="BR57" s="958"/>
      <c r="BS57" s="958"/>
      <c r="BT57" s="958"/>
      <c r="BU57" s="958"/>
      <c r="BV57" s="958"/>
      <c r="BW57" s="958"/>
      <c r="BX57" s="958"/>
      <c r="BY57" s="958"/>
      <c r="BZ57" s="958"/>
      <c r="CA57" s="958"/>
      <c r="CB57" s="958"/>
      <c r="CC57" s="958"/>
      <c r="CD57" s="958"/>
      <c r="CE57" s="958"/>
      <c r="CF57" s="958"/>
      <c r="CG57" s="958"/>
      <c r="CH57" s="958"/>
      <c r="CI57" s="958"/>
      <c r="CJ57" s="958"/>
      <c r="CK57" s="958"/>
      <c r="CL57" s="958"/>
      <c r="CM57" s="958"/>
      <c r="CN57" s="958"/>
      <c r="CO57" s="958"/>
      <c r="CP57" s="958"/>
      <c r="CQ57" s="958"/>
      <c r="CR57" s="958"/>
      <c r="CS57" s="958"/>
      <c r="CT57" s="958"/>
      <c r="CU57" s="958"/>
      <c r="CV57" s="958"/>
      <c r="CW57" s="958"/>
      <c r="CX57" s="958"/>
      <c r="CY57" s="958"/>
      <c r="CZ57" s="958"/>
      <c r="DA57" s="958"/>
      <c r="DB57" s="958"/>
      <c r="DC57" s="958"/>
      <c r="DD57" s="958"/>
      <c r="DE57" s="958"/>
      <c r="DF57" s="958"/>
      <c r="DG57" s="958"/>
      <c r="DH57" s="958"/>
      <c r="DI57" s="958"/>
      <c r="DJ57" s="958"/>
      <c r="DK57" s="958"/>
      <c r="DL57" s="958"/>
      <c r="DM57" s="958"/>
      <c r="DN57" s="958"/>
      <c r="DO57" s="958"/>
      <c r="DP57" s="958"/>
      <c r="DQ57" s="958"/>
      <c r="DR57" s="958"/>
      <c r="DS57" s="958"/>
      <c r="DT57" s="958"/>
      <c r="DU57" s="958"/>
      <c r="DV57" s="958"/>
      <c r="DW57" s="958"/>
      <c r="DX57" s="958"/>
      <c r="DY57" s="958"/>
      <c r="DZ57" s="958"/>
      <c r="EA57" s="958"/>
      <c r="EB57" s="958"/>
      <c r="EC57" s="958"/>
      <c r="ED57" s="958"/>
      <c r="EE57" s="958"/>
      <c r="EF57" s="958"/>
      <c r="EG57" s="958"/>
      <c r="EH57" s="958"/>
      <c r="EI57" s="958"/>
      <c r="EJ57" s="958"/>
      <c r="EK57" s="958"/>
      <c r="EL57" s="958"/>
      <c r="EM57" s="958"/>
      <c r="EN57" s="958"/>
      <c r="EO57" s="958"/>
      <c r="EP57" s="958"/>
      <c r="EQ57" s="958"/>
      <c r="ER57" s="958"/>
      <c r="ES57" s="958"/>
      <c r="ET57" s="958"/>
      <c r="EU57" s="958"/>
      <c r="EV57" s="958"/>
      <c r="EW57" s="958"/>
      <c r="EX57" s="958"/>
      <c r="EY57" s="958"/>
      <c r="EZ57" s="958"/>
      <c r="FA57" s="958"/>
      <c r="FB57" s="958"/>
      <c r="FC57" s="958"/>
      <c r="FD57" s="958"/>
      <c r="FE57" s="958"/>
      <c r="FF57" s="958"/>
      <c r="FG57" s="958"/>
      <c r="FH57" s="958"/>
      <c r="FI57" s="958"/>
      <c r="FJ57" s="958"/>
      <c r="FK57" s="958"/>
      <c r="FL57" s="958"/>
      <c r="FM57" s="958"/>
      <c r="FN57" s="958"/>
      <c r="FO57" s="958"/>
      <c r="FP57" s="958"/>
      <c r="FQ57" s="958"/>
      <c r="FR57" s="958"/>
      <c r="FS57" s="958"/>
      <c r="FT57" s="958"/>
      <c r="FU57" s="958"/>
      <c r="FV57" s="958"/>
      <c r="FW57" s="958"/>
      <c r="FX57" s="958"/>
      <c r="FY57" s="958"/>
      <c r="FZ57" s="958"/>
      <c r="GA57" s="958"/>
      <c r="GB57" s="958"/>
      <c r="GC57" s="958"/>
      <c r="GD57" s="958"/>
      <c r="GE57" s="958"/>
      <c r="GF57" s="958"/>
      <c r="GG57" s="958"/>
      <c r="GH57" s="958"/>
      <c r="GI57" s="958"/>
      <c r="GJ57" s="958"/>
      <c r="GK57" s="958"/>
      <c r="GL57" s="958"/>
      <c r="GM57" s="958"/>
      <c r="GN57" s="958"/>
      <c r="GO57" s="958"/>
      <c r="GP57" s="958"/>
      <c r="GQ57" s="958"/>
      <c r="GR57" s="958"/>
      <c r="GS57" s="958"/>
      <c r="GT57" s="958"/>
      <c r="GU57" s="958"/>
      <c r="GV57" s="958"/>
      <c r="GW57" s="958"/>
      <c r="GX57" s="958"/>
      <c r="GY57" s="958"/>
      <c r="GZ57" s="958"/>
      <c r="HA57" s="958"/>
      <c r="HB57" s="958"/>
      <c r="HC57" s="958"/>
      <c r="HD57" s="958"/>
      <c r="HE57" s="958"/>
      <c r="HF57" s="958"/>
      <c r="HG57" s="958"/>
      <c r="HH57" s="958"/>
      <c r="HI57" s="958"/>
      <c r="HJ57" s="958"/>
      <c r="HK57" s="958"/>
      <c r="HL57" s="958"/>
      <c r="HM57" s="958"/>
      <c r="HN57" s="958"/>
      <c r="HO57" s="958"/>
      <c r="HP57" s="958"/>
      <c r="HQ57" s="958"/>
      <c r="HR57" s="958"/>
      <c r="HS57" s="958"/>
      <c r="HT57" s="958"/>
      <c r="HU57" s="958"/>
      <c r="HV57" s="958"/>
      <c r="HW57" s="958"/>
      <c r="HX57" s="958"/>
      <c r="HY57" s="958"/>
      <c r="HZ57" s="958"/>
      <c r="IA57" s="958"/>
      <c r="IB57" s="958"/>
      <c r="IC57" s="958"/>
      <c r="ID57" s="958"/>
      <c r="IE57" s="958"/>
      <c r="IF57" s="958"/>
      <c r="IG57" s="958"/>
      <c r="IH57" s="958"/>
      <c r="II57" s="958"/>
      <c r="IJ57" s="958"/>
      <c r="IK57" s="958"/>
      <c r="IL57" s="958"/>
      <c r="IM57" s="958"/>
      <c r="IN57" s="958"/>
      <c r="IO57" s="958"/>
      <c r="IP57" s="958"/>
      <c r="IQ57" s="958"/>
      <c r="IR57" s="958"/>
      <c r="IS57" s="958"/>
      <c r="IT57" s="958"/>
      <c r="IU57" s="958"/>
      <c r="IV57" s="958"/>
    </row>
    <row r="58" spans="1:256" ht="10.5" customHeight="1">
      <c r="A58" s="1018"/>
      <c r="B58" s="944"/>
      <c r="C58" s="1019"/>
      <c r="D58" s="1019"/>
      <c r="E58" s="1019"/>
      <c r="F58" s="1019"/>
      <c r="G58" s="1014"/>
      <c r="H58" s="1015"/>
      <c r="I58" s="1016"/>
      <c r="J58" s="1016"/>
      <c r="K58" s="1017"/>
      <c r="L58" s="1017"/>
      <c r="M58" s="1017"/>
      <c r="N58" s="1017"/>
      <c r="O58" s="958"/>
      <c r="P58" s="958"/>
      <c r="Q58" s="958"/>
      <c r="R58" s="958"/>
      <c r="S58" s="958"/>
      <c r="T58" s="958"/>
      <c r="U58" s="958"/>
      <c r="V58" s="958"/>
      <c r="W58" s="958"/>
      <c r="X58" s="958"/>
      <c r="Y58" s="958"/>
      <c r="Z58" s="958"/>
      <c r="AA58" s="958"/>
      <c r="AB58" s="958"/>
      <c r="AC58" s="958"/>
      <c r="AD58" s="958"/>
      <c r="AE58" s="958"/>
      <c r="AF58" s="958"/>
      <c r="AG58" s="958"/>
      <c r="AH58" s="958"/>
      <c r="AI58" s="958"/>
      <c r="AJ58" s="958"/>
      <c r="AK58" s="958"/>
      <c r="AL58" s="958"/>
      <c r="AM58" s="958"/>
      <c r="AN58" s="958"/>
      <c r="AO58" s="958"/>
      <c r="AP58" s="958"/>
      <c r="AQ58" s="958"/>
      <c r="AR58" s="958"/>
      <c r="AS58" s="958"/>
      <c r="AT58" s="958"/>
      <c r="AU58" s="958"/>
      <c r="AV58" s="958"/>
      <c r="AW58" s="958"/>
      <c r="AX58" s="958"/>
      <c r="AY58" s="958"/>
      <c r="AZ58" s="958"/>
      <c r="BA58" s="958"/>
      <c r="BB58" s="958"/>
      <c r="BC58" s="958"/>
      <c r="BD58" s="958"/>
      <c r="BE58" s="958"/>
      <c r="BF58" s="958"/>
      <c r="BG58" s="958"/>
      <c r="BH58" s="958"/>
      <c r="BI58" s="958"/>
      <c r="BJ58" s="958"/>
      <c r="BK58" s="958"/>
      <c r="BL58" s="958"/>
      <c r="BM58" s="958"/>
      <c r="BN58" s="958"/>
      <c r="BO58" s="958"/>
      <c r="BP58" s="958"/>
      <c r="BQ58" s="958"/>
      <c r="BR58" s="958"/>
      <c r="BS58" s="958"/>
      <c r="BT58" s="958"/>
      <c r="BU58" s="958"/>
      <c r="BV58" s="958"/>
      <c r="BW58" s="958"/>
      <c r="BX58" s="958"/>
      <c r="BY58" s="958"/>
      <c r="BZ58" s="958"/>
      <c r="CA58" s="958"/>
      <c r="CB58" s="958"/>
      <c r="CC58" s="958"/>
      <c r="CD58" s="958"/>
      <c r="CE58" s="958"/>
      <c r="CF58" s="958"/>
      <c r="CG58" s="958"/>
      <c r="CH58" s="958"/>
      <c r="CI58" s="958"/>
      <c r="CJ58" s="958"/>
      <c r="CK58" s="958"/>
      <c r="CL58" s="958"/>
      <c r="CM58" s="958"/>
      <c r="CN58" s="958"/>
      <c r="CO58" s="958"/>
      <c r="CP58" s="958"/>
      <c r="CQ58" s="958"/>
      <c r="CR58" s="958"/>
      <c r="CS58" s="958"/>
      <c r="CT58" s="958"/>
      <c r="CU58" s="958"/>
      <c r="CV58" s="958"/>
      <c r="CW58" s="958"/>
      <c r="CX58" s="958"/>
      <c r="CY58" s="958"/>
      <c r="CZ58" s="958"/>
      <c r="DA58" s="958"/>
      <c r="DB58" s="958"/>
      <c r="DC58" s="958"/>
      <c r="DD58" s="958"/>
      <c r="DE58" s="958"/>
      <c r="DF58" s="958"/>
      <c r="DG58" s="958"/>
      <c r="DH58" s="958"/>
      <c r="DI58" s="958"/>
      <c r="DJ58" s="958"/>
      <c r="DK58" s="958"/>
      <c r="DL58" s="958"/>
      <c r="DM58" s="958"/>
      <c r="DN58" s="958"/>
      <c r="DO58" s="958"/>
      <c r="DP58" s="958"/>
      <c r="DQ58" s="958"/>
      <c r="DR58" s="958"/>
      <c r="DS58" s="958"/>
      <c r="DT58" s="958"/>
      <c r="DU58" s="958"/>
      <c r="DV58" s="958"/>
      <c r="DW58" s="958"/>
      <c r="DX58" s="958"/>
      <c r="DY58" s="958"/>
      <c r="DZ58" s="958"/>
      <c r="EA58" s="958"/>
      <c r="EB58" s="958"/>
      <c r="EC58" s="958"/>
      <c r="ED58" s="958"/>
      <c r="EE58" s="958"/>
      <c r="EF58" s="958"/>
      <c r="EG58" s="958"/>
      <c r="EH58" s="958"/>
      <c r="EI58" s="958"/>
      <c r="EJ58" s="958"/>
      <c r="EK58" s="958"/>
      <c r="EL58" s="958"/>
      <c r="EM58" s="958"/>
      <c r="EN58" s="958"/>
      <c r="EO58" s="958"/>
      <c r="EP58" s="958"/>
      <c r="EQ58" s="958"/>
      <c r="ER58" s="958"/>
      <c r="ES58" s="958"/>
      <c r="ET58" s="958"/>
      <c r="EU58" s="958"/>
      <c r="EV58" s="958"/>
      <c r="EW58" s="958"/>
      <c r="EX58" s="958"/>
      <c r="EY58" s="958"/>
      <c r="EZ58" s="958"/>
      <c r="FA58" s="958"/>
      <c r="FB58" s="958"/>
      <c r="FC58" s="958"/>
      <c r="FD58" s="958"/>
      <c r="FE58" s="958"/>
      <c r="FF58" s="958"/>
      <c r="FG58" s="958"/>
      <c r="FH58" s="958"/>
      <c r="FI58" s="958"/>
      <c r="FJ58" s="958"/>
      <c r="FK58" s="958"/>
      <c r="FL58" s="958"/>
      <c r="FM58" s="958"/>
      <c r="FN58" s="958"/>
      <c r="FO58" s="958"/>
      <c r="FP58" s="958"/>
      <c r="FQ58" s="958"/>
      <c r="FR58" s="958"/>
      <c r="FS58" s="958"/>
      <c r="FT58" s="958"/>
      <c r="FU58" s="958"/>
      <c r="FV58" s="958"/>
      <c r="FW58" s="958"/>
      <c r="FX58" s="958"/>
      <c r="FY58" s="958"/>
      <c r="FZ58" s="958"/>
      <c r="GA58" s="958"/>
      <c r="GB58" s="958"/>
      <c r="GC58" s="958"/>
      <c r="GD58" s="958"/>
      <c r="GE58" s="958"/>
      <c r="GF58" s="958"/>
      <c r="GG58" s="958"/>
      <c r="GH58" s="958"/>
      <c r="GI58" s="958"/>
      <c r="GJ58" s="958"/>
      <c r="GK58" s="958"/>
      <c r="GL58" s="958"/>
      <c r="GM58" s="958"/>
      <c r="GN58" s="958"/>
      <c r="GO58" s="958"/>
      <c r="GP58" s="958"/>
      <c r="GQ58" s="958"/>
      <c r="GR58" s="958"/>
      <c r="GS58" s="958"/>
      <c r="GT58" s="958"/>
      <c r="GU58" s="958"/>
      <c r="GV58" s="958"/>
      <c r="GW58" s="958"/>
      <c r="GX58" s="958"/>
      <c r="GY58" s="958"/>
      <c r="GZ58" s="958"/>
      <c r="HA58" s="958"/>
      <c r="HB58" s="958"/>
      <c r="HC58" s="958"/>
      <c r="HD58" s="958"/>
      <c r="HE58" s="958"/>
      <c r="HF58" s="958"/>
      <c r="HG58" s="958"/>
      <c r="HH58" s="958"/>
      <c r="HI58" s="958"/>
      <c r="HJ58" s="958"/>
      <c r="HK58" s="958"/>
      <c r="HL58" s="958"/>
      <c r="HM58" s="958"/>
      <c r="HN58" s="958"/>
      <c r="HO58" s="958"/>
      <c r="HP58" s="958"/>
      <c r="HQ58" s="958"/>
      <c r="HR58" s="958"/>
      <c r="HS58" s="958"/>
      <c r="HT58" s="958"/>
      <c r="HU58" s="958"/>
      <c r="HV58" s="958"/>
      <c r="HW58" s="958"/>
      <c r="HX58" s="958"/>
      <c r="HY58" s="958"/>
      <c r="HZ58" s="958"/>
      <c r="IA58" s="958"/>
      <c r="IB58" s="958"/>
      <c r="IC58" s="958"/>
      <c r="ID58" s="958"/>
      <c r="IE58" s="958"/>
      <c r="IF58" s="958"/>
      <c r="IG58" s="958"/>
      <c r="IH58" s="958"/>
      <c r="II58" s="958"/>
      <c r="IJ58" s="958"/>
      <c r="IK58" s="958"/>
      <c r="IL58" s="958"/>
      <c r="IM58" s="958"/>
      <c r="IN58" s="958"/>
      <c r="IO58" s="958"/>
      <c r="IP58" s="958"/>
      <c r="IQ58" s="958"/>
      <c r="IR58" s="958"/>
      <c r="IS58" s="958"/>
      <c r="IT58" s="958"/>
      <c r="IU58" s="958"/>
      <c r="IV58" s="958"/>
    </row>
    <row r="59" spans="1:256" ht="10.5" customHeight="1">
      <c r="A59" s="1018"/>
      <c r="B59" s="944"/>
      <c r="C59" s="1019"/>
      <c r="D59" s="1019"/>
      <c r="E59" s="1019"/>
      <c r="F59" s="1019"/>
      <c r="G59" s="1014"/>
      <c r="H59" s="1015"/>
      <c r="I59" s="1016"/>
      <c r="J59" s="1016"/>
      <c r="K59" s="1017"/>
      <c r="L59" s="1017"/>
      <c r="M59" s="1017"/>
      <c r="N59" s="1017"/>
      <c r="O59" s="958"/>
      <c r="P59" s="958"/>
      <c r="Q59" s="958"/>
      <c r="R59" s="958"/>
      <c r="S59" s="958"/>
      <c r="T59" s="958"/>
      <c r="U59" s="958"/>
      <c r="V59" s="958"/>
      <c r="W59" s="958"/>
      <c r="X59" s="958"/>
      <c r="Y59" s="958"/>
      <c r="Z59" s="958"/>
      <c r="AA59" s="958"/>
      <c r="AB59" s="958"/>
      <c r="AC59" s="958"/>
      <c r="AD59" s="958"/>
      <c r="AE59" s="958"/>
      <c r="AF59" s="958"/>
      <c r="AG59" s="958"/>
      <c r="AH59" s="958"/>
      <c r="AI59" s="958"/>
      <c r="AJ59" s="958"/>
      <c r="AK59" s="958"/>
      <c r="AL59" s="958"/>
      <c r="AM59" s="958"/>
      <c r="AN59" s="958"/>
      <c r="AO59" s="958"/>
      <c r="AP59" s="958"/>
      <c r="AQ59" s="958"/>
      <c r="AR59" s="958"/>
      <c r="AS59" s="958"/>
      <c r="AT59" s="958"/>
      <c r="AU59" s="958"/>
      <c r="AV59" s="958"/>
      <c r="AW59" s="958"/>
      <c r="AX59" s="958"/>
      <c r="AY59" s="958"/>
      <c r="AZ59" s="958"/>
      <c r="BA59" s="958"/>
      <c r="BB59" s="958"/>
      <c r="BC59" s="958"/>
      <c r="BD59" s="958"/>
      <c r="BE59" s="958"/>
      <c r="BF59" s="958"/>
      <c r="BG59" s="958"/>
      <c r="BH59" s="958"/>
      <c r="BI59" s="958"/>
      <c r="BJ59" s="958"/>
      <c r="BK59" s="958"/>
      <c r="BL59" s="958"/>
      <c r="BM59" s="958"/>
      <c r="BN59" s="958"/>
      <c r="BO59" s="958"/>
      <c r="BP59" s="958"/>
      <c r="BQ59" s="958"/>
      <c r="BR59" s="958"/>
      <c r="BS59" s="958"/>
      <c r="BT59" s="958"/>
      <c r="BU59" s="958"/>
      <c r="BV59" s="958"/>
      <c r="BW59" s="958"/>
      <c r="BX59" s="958"/>
      <c r="BY59" s="958"/>
      <c r="BZ59" s="958"/>
      <c r="CA59" s="958"/>
      <c r="CB59" s="958"/>
      <c r="CC59" s="958"/>
      <c r="CD59" s="958"/>
      <c r="CE59" s="958"/>
      <c r="CF59" s="958"/>
      <c r="CG59" s="958"/>
      <c r="CH59" s="958"/>
      <c r="CI59" s="958"/>
      <c r="CJ59" s="958"/>
      <c r="CK59" s="958"/>
      <c r="CL59" s="958"/>
      <c r="CM59" s="958"/>
      <c r="CN59" s="958"/>
      <c r="CO59" s="958"/>
      <c r="CP59" s="958"/>
      <c r="CQ59" s="958"/>
      <c r="CR59" s="958"/>
      <c r="CS59" s="958"/>
      <c r="CT59" s="958"/>
      <c r="CU59" s="958"/>
      <c r="CV59" s="958"/>
      <c r="CW59" s="958"/>
      <c r="CX59" s="958"/>
      <c r="CY59" s="958"/>
      <c r="CZ59" s="958"/>
      <c r="DA59" s="958"/>
      <c r="DB59" s="958"/>
      <c r="DC59" s="958"/>
      <c r="DD59" s="958"/>
      <c r="DE59" s="958"/>
      <c r="DF59" s="958"/>
      <c r="DG59" s="958"/>
      <c r="DH59" s="958"/>
      <c r="DI59" s="958"/>
      <c r="DJ59" s="958"/>
      <c r="DK59" s="958"/>
      <c r="DL59" s="958"/>
      <c r="DM59" s="958"/>
      <c r="DN59" s="958"/>
      <c r="DO59" s="958"/>
      <c r="DP59" s="958"/>
      <c r="DQ59" s="958"/>
      <c r="DR59" s="958"/>
      <c r="DS59" s="958"/>
      <c r="DT59" s="958"/>
      <c r="DU59" s="958"/>
      <c r="DV59" s="958"/>
      <c r="DW59" s="958"/>
      <c r="DX59" s="958"/>
      <c r="DY59" s="958"/>
      <c r="DZ59" s="958"/>
      <c r="EA59" s="958"/>
      <c r="EB59" s="958"/>
      <c r="EC59" s="958"/>
      <c r="ED59" s="958"/>
      <c r="EE59" s="958"/>
      <c r="EF59" s="958"/>
      <c r="EG59" s="958"/>
      <c r="EH59" s="958"/>
      <c r="EI59" s="958"/>
      <c r="EJ59" s="958"/>
      <c r="EK59" s="958"/>
      <c r="EL59" s="958"/>
      <c r="EM59" s="958"/>
      <c r="EN59" s="958"/>
      <c r="EO59" s="958"/>
      <c r="EP59" s="958"/>
      <c r="EQ59" s="958"/>
      <c r="ER59" s="958"/>
      <c r="ES59" s="958"/>
      <c r="ET59" s="958"/>
      <c r="EU59" s="958"/>
      <c r="EV59" s="958"/>
      <c r="EW59" s="958"/>
      <c r="EX59" s="958"/>
      <c r="EY59" s="958"/>
      <c r="EZ59" s="958"/>
      <c r="FA59" s="958"/>
      <c r="FB59" s="958"/>
      <c r="FC59" s="958"/>
      <c r="FD59" s="958"/>
      <c r="FE59" s="958"/>
      <c r="FF59" s="958"/>
      <c r="FG59" s="958"/>
      <c r="FH59" s="958"/>
      <c r="FI59" s="958"/>
      <c r="FJ59" s="958"/>
      <c r="FK59" s="958"/>
      <c r="FL59" s="958"/>
      <c r="FM59" s="958"/>
      <c r="FN59" s="958"/>
      <c r="FO59" s="958"/>
      <c r="FP59" s="958"/>
      <c r="FQ59" s="958"/>
      <c r="FR59" s="958"/>
      <c r="FS59" s="958"/>
      <c r="FT59" s="958"/>
      <c r="FU59" s="958"/>
      <c r="FV59" s="958"/>
      <c r="FW59" s="958"/>
      <c r="FX59" s="958"/>
      <c r="FY59" s="958"/>
      <c r="FZ59" s="958"/>
      <c r="GA59" s="958"/>
      <c r="GB59" s="958"/>
      <c r="GC59" s="958"/>
      <c r="GD59" s="958"/>
      <c r="GE59" s="958"/>
      <c r="GF59" s="958"/>
      <c r="GG59" s="958"/>
      <c r="GH59" s="958"/>
      <c r="GI59" s="958"/>
      <c r="GJ59" s="958"/>
      <c r="GK59" s="958"/>
      <c r="GL59" s="958"/>
      <c r="GM59" s="958"/>
      <c r="GN59" s="958"/>
      <c r="GO59" s="958"/>
      <c r="GP59" s="958"/>
      <c r="GQ59" s="958"/>
      <c r="GR59" s="958"/>
      <c r="GS59" s="958"/>
      <c r="GT59" s="958"/>
      <c r="GU59" s="958"/>
      <c r="GV59" s="958"/>
      <c r="GW59" s="958"/>
      <c r="GX59" s="958"/>
      <c r="GY59" s="958"/>
      <c r="GZ59" s="958"/>
      <c r="HA59" s="958"/>
      <c r="HB59" s="958"/>
      <c r="HC59" s="958"/>
      <c r="HD59" s="958"/>
      <c r="HE59" s="958"/>
      <c r="HF59" s="958"/>
      <c r="HG59" s="958"/>
      <c r="HH59" s="958"/>
      <c r="HI59" s="958"/>
      <c r="HJ59" s="958"/>
      <c r="HK59" s="958"/>
      <c r="HL59" s="958"/>
      <c r="HM59" s="958"/>
      <c r="HN59" s="958"/>
      <c r="HO59" s="958"/>
      <c r="HP59" s="958"/>
      <c r="HQ59" s="958"/>
      <c r="HR59" s="958"/>
      <c r="HS59" s="958"/>
      <c r="HT59" s="958"/>
      <c r="HU59" s="958"/>
      <c r="HV59" s="958"/>
      <c r="HW59" s="958"/>
      <c r="HX59" s="958"/>
      <c r="HY59" s="958"/>
      <c r="HZ59" s="958"/>
      <c r="IA59" s="958"/>
      <c r="IB59" s="958"/>
      <c r="IC59" s="958"/>
      <c r="ID59" s="958"/>
      <c r="IE59" s="958"/>
      <c r="IF59" s="958"/>
      <c r="IG59" s="958"/>
      <c r="IH59" s="958"/>
      <c r="II59" s="958"/>
      <c r="IJ59" s="958"/>
      <c r="IK59" s="958"/>
      <c r="IL59" s="958"/>
      <c r="IM59" s="958"/>
      <c r="IN59" s="958"/>
      <c r="IO59" s="958"/>
      <c r="IP59" s="958"/>
      <c r="IQ59" s="958"/>
      <c r="IR59" s="958"/>
      <c r="IS59" s="958"/>
      <c r="IT59" s="958"/>
      <c r="IU59" s="958"/>
      <c r="IV59" s="958"/>
    </row>
    <row r="60" spans="1:256" ht="10.5" customHeight="1">
      <c r="A60" s="1018"/>
      <c r="B60" s="944"/>
      <c r="C60" s="1019"/>
      <c r="D60" s="1019"/>
      <c r="E60" s="1019"/>
      <c r="F60" s="1019"/>
      <c r="G60" s="1014"/>
      <c r="H60" s="1015"/>
      <c r="I60" s="1016"/>
      <c r="J60" s="1016"/>
      <c r="K60" s="1017"/>
      <c r="L60" s="1017"/>
      <c r="M60" s="1017"/>
      <c r="N60" s="1017"/>
      <c r="O60" s="958"/>
      <c r="P60" s="958"/>
      <c r="Q60" s="958"/>
      <c r="R60" s="958"/>
      <c r="S60" s="958"/>
      <c r="T60" s="958"/>
      <c r="U60" s="958"/>
      <c r="V60" s="958"/>
      <c r="W60" s="958"/>
      <c r="X60" s="958"/>
      <c r="Y60" s="958"/>
      <c r="Z60" s="958"/>
      <c r="AA60" s="958"/>
      <c r="AB60" s="958"/>
      <c r="AC60" s="958"/>
      <c r="AD60" s="958"/>
      <c r="AE60" s="958"/>
      <c r="AF60" s="958"/>
      <c r="AG60" s="958"/>
      <c r="AH60" s="958"/>
      <c r="AI60" s="958"/>
      <c r="AJ60" s="958"/>
      <c r="AK60" s="958"/>
      <c r="AL60" s="958"/>
      <c r="AM60" s="958"/>
      <c r="AN60" s="958"/>
      <c r="AO60" s="958"/>
      <c r="AP60" s="958"/>
      <c r="AQ60" s="958"/>
      <c r="AR60" s="958"/>
      <c r="AS60" s="958"/>
      <c r="AT60" s="958"/>
      <c r="AU60" s="958"/>
      <c r="AV60" s="958"/>
      <c r="AW60" s="958"/>
      <c r="AX60" s="958"/>
      <c r="AY60" s="958"/>
      <c r="AZ60" s="958"/>
      <c r="BA60" s="958"/>
      <c r="BB60" s="958"/>
      <c r="BC60" s="958"/>
      <c r="BD60" s="958"/>
      <c r="BE60" s="958"/>
      <c r="BF60" s="958"/>
      <c r="BG60" s="958"/>
      <c r="BH60" s="958"/>
      <c r="BI60" s="958"/>
      <c r="BJ60" s="958"/>
      <c r="BK60" s="958"/>
      <c r="BL60" s="958"/>
      <c r="BM60" s="958"/>
      <c r="BN60" s="958"/>
      <c r="BO60" s="958"/>
      <c r="BP60" s="958"/>
      <c r="BQ60" s="958"/>
      <c r="BR60" s="958"/>
      <c r="BS60" s="958"/>
      <c r="BT60" s="958"/>
      <c r="BU60" s="958"/>
      <c r="BV60" s="958"/>
      <c r="BW60" s="958"/>
      <c r="BX60" s="958"/>
      <c r="BY60" s="958"/>
      <c r="BZ60" s="958"/>
      <c r="CA60" s="958"/>
      <c r="CB60" s="958"/>
      <c r="CC60" s="958"/>
      <c r="CD60" s="958"/>
      <c r="CE60" s="958"/>
      <c r="CF60" s="958"/>
      <c r="CG60" s="958"/>
      <c r="CH60" s="958"/>
      <c r="CI60" s="958"/>
      <c r="CJ60" s="958"/>
      <c r="CK60" s="958"/>
      <c r="CL60" s="958"/>
      <c r="CM60" s="958"/>
      <c r="CN60" s="958"/>
      <c r="CO60" s="958"/>
      <c r="CP60" s="958"/>
      <c r="CQ60" s="958"/>
      <c r="CR60" s="958"/>
      <c r="CS60" s="958"/>
      <c r="CT60" s="958"/>
      <c r="CU60" s="958"/>
      <c r="CV60" s="958"/>
      <c r="CW60" s="958"/>
      <c r="CX60" s="958"/>
      <c r="CY60" s="958"/>
      <c r="CZ60" s="958"/>
      <c r="DA60" s="958"/>
      <c r="DB60" s="958"/>
      <c r="DC60" s="958"/>
      <c r="DD60" s="958"/>
      <c r="DE60" s="958"/>
      <c r="DF60" s="958"/>
      <c r="DG60" s="958"/>
      <c r="DH60" s="958"/>
      <c r="DI60" s="958"/>
      <c r="DJ60" s="958"/>
      <c r="DK60" s="958"/>
      <c r="DL60" s="958"/>
      <c r="DM60" s="958"/>
      <c r="DN60" s="958"/>
      <c r="DO60" s="958"/>
      <c r="DP60" s="958"/>
      <c r="DQ60" s="958"/>
      <c r="DR60" s="958"/>
      <c r="DS60" s="958"/>
      <c r="DT60" s="958"/>
      <c r="DU60" s="958"/>
      <c r="DV60" s="958"/>
      <c r="DW60" s="958"/>
      <c r="DX60" s="958"/>
      <c r="DY60" s="958"/>
      <c r="DZ60" s="958"/>
      <c r="EA60" s="958"/>
      <c r="EB60" s="958"/>
      <c r="EC60" s="958"/>
      <c r="ED60" s="958"/>
      <c r="EE60" s="958"/>
      <c r="EF60" s="958"/>
      <c r="EG60" s="958"/>
      <c r="EH60" s="958"/>
      <c r="EI60" s="958"/>
      <c r="EJ60" s="958"/>
      <c r="EK60" s="958"/>
      <c r="EL60" s="958"/>
      <c r="EM60" s="958"/>
      <c r="EN60" s="958"/>
      <c r="EO60" s="958"/>
      <c r="EP60" s="958"/>
      <c r="EQ60" s="958"/>
      <c r="ER60" s="958"/>
      <c r="ES60" s="958"/>
      <c r="ET60" s="958"/>
      <c r="EU60" s="958"/>
      <c r="EV60" s="958"/>
      <c r="EW60" s="958"/>
      <c r="EX60" s="958"/>
      <c r="EY60" s="958"/>
      <c r="EZ60" s="958"/>
      <c r="FA60" s="958"/>
      <c r="FB60" s="958"/>
      <c r="FC60" s="958"/>
      <c r="FD60" s="958"/>
      <c r="FE60" s="958"/>
      <c r="FF60" s="958"/>
      <c r="FG60" s="958"/>
      <c r="FH60" s="958"/>
      <c r="FI60" s="958"/>
      <c r="FJ60" s="958"/>
      <c r="FK60" s="958"/>
      <c r="FL60" s="958"/>
      <c r="FM60" s="958"/>
      <c r="FN60" s="958"/>
      <c r="FO60" s="958"/>
      <c r="FP60" s="958"/>
      <c r="FQ60" s="958"/>
      <c r="FR60" s="958"/>
      <c r="FS60" s="958"/>
      <c r="FT60" s="958"/>
      <c r="FU60" s="958"/>
      <c r="FV60" s="958"/>
      <c r="FW60" s="958"/>
      <c r="FX60" s="958"/>
      <c r="FY60" s="958"/>
      <c r="FZ60" s="958"/>
      <c r="GA60" s="958"/>
      <c r="GB60" s="958"/>
      <c r="GC60" s="958"/>
      <c r="GD60" s="958"/>
      <c r="GE60" s="958"/>
      <c r="GF60" s="958"/>
      <c r="GG60" s="958"/>
      <c r="GH60" s="958"/>
      <c r="GI60" s="958"/>
      <c r="GJ60" s="958"/>
      <c r="GK60" s="958"/>
      <c r="GL60" s="958"/>
      <c r="GM60" s="958"/>
      <c r="GN60" s="958"/>
      <c r="GO60" s="958"/>
      <c r="GP60" s="958"/>
      <c r="GQ60" s="958"/>
      <c r="GR60" s="958"/>
      <c r="GS60" s="958"/>
      <c r="GT60" s="958"/>
      <c r="GU60" s="958"/>
      <c r="GV60" s="958"/>
      <c r="GW60" s="958"/>
      <c r="GX60" s="958"/>
      <c r="GY60" s="958"/>
      <c r="GZ60" s="958"/>
      <c r="HA60" s="958"/>
      <c r="HB60" s="958"/>
      <c r="HC60" s="958"/>
      <c r="HD60" s="958"/>
      <c r="HE60" s="958"/>
      <c r="HF60" s="958"/>
      <c r="HG60" s="958"/>
      <c r="HH60" s="958"/>
      <c r="HI60" s="958"/>
      <c r="HJ60" s="958"/>
      <c r="HK60" s="958"/>
      <c r="HL60" s="958"/>
      <c r="HM60" s="958"/>
      <c r="HN60" s="958"/>
      <c r="HO60" s="958"/>
      <c r="HP60" s="958"/>
      <c r="HQ60" s="958"/>
      <c r="HR60" s="958"/>
      <c r="HS60" s="958"/>
      <c r="HT60" s="958"/>
      <c r="HU60" s="958"/>
      <c r="HV60" s="958"/>
      <c r="HW60" s="958"/>
      <c r="HX60" s="958"/>
      <c r="HY60" s="958"/>
      <c r="HZ60" s="958"/>
      <c r="IA60" s="958"/>
      <c r="IB60" s="958"/>
      <c r="IC60" s="958"/>
      <c r="ID60" s="958"/>
      <c r="IE60" s="958"/>
      <c r="IF60" s="958"/>
      <c r="IG60" s="958"/>
      <c r="IH60" s="958"/>
      <c r="II60" s="958"/>
      <c r="IJ60" s="958"/>
      <c r="IK60" s="958"/>
      <c r="IL60" s="958"/>
      <c r="IM60" s="958"/>
      <c r="IN60" s="958"/>
      <c r="IO60" s="958"/>
      <c r="IP60" s="958"/>
      <c r="IQ60" s="958"/>
      <c r="IR60" s="958"/>
      <c r="IS60" s="958"/>
      <c r="IT60" s="958"/>
      <c r="IU60" s="958"/>
      <c r="IV60" s="958"/>
    </row>
    <row r="61" spans="1:256" ht="10.5" customHeight="1">
      <c r="A61" s="1018"/>
      <c r="B61" s="944"/>
      <c r="C61" s="1019"/>
      <c r="D61" s="1019"/>
      <c r="E61" s="1019"/>
      <c r="F61" s="1019"/>
      <c r="G61" s="1014"/>
      <c r="H61" s="1015"/>
      <c r="I61" s="1016"/>
      <c r="J61" s="1016"/>
      <c r="K61" s="1017"/>
      <c r="L61" s="1017"/>
      <c r="M61" s="1017"/>
      <c r="N61" s="1017"/>
      <c r="O61" s="958"/>
      <c r="P61" s="958"/>
      <c r="Q61" s="958"/>
      <c r="R61" s="958"/>
      <c r="S61" s="958"/>
      <c r="T61" s="958"/>
      <c r="U61" s="958"/>
      <c r="V61" s="958"/>
      <c r="W61" s="958"/>
      <c r="X61" s="958"/>
      <c r="Y61" s="958"/>
      <c r="Z61" s="958"/>
      <c r="AA61" s="958"/>
      <c r="AB61" s="958"/>
      <c r="AC61" s="958"/>
      <c r="AD61" s="958"/>
      <c r="AE61" s="958"/>
      <c r="AF61" s="958"/>
      <c r="AG61" s="958"/>
      <c r="AH61" s="958"/>
      <c r="AI61" s="958"/>
      <c r="AJ61" s="958"/>
      <c r="AK61" s="958"/>
      <c r="AL61" s="958"/>
      <c r="AM61" s="958"/>
      <c r="AN61" s="958"/>
      <c r="AO61" s="958"/>
      <c r="AP61" s="958"/>
      <c r="AQ61" s="958"/>
      <c r="AR61" s="958"/>
      <c r="AS61" s="958"/>
      <c r="AT61" s="958"/>
      <c r="AU61" s="958"/>
      <c r="AV61" s="958"/>
      <c r="AW61" s="958"/>
      <c r="AX61" s="958"/>
      <c r="AY61" s="958"/>
      <c r="AZ61" s="958"/>
      <c r="BA61" s="958"/>
      <c r="BB61" s="958"/>
      <c r="BC61" s="958"/>
      <c r="BD61" s="958"/>
      <c r="BE61" s="958"/>
      <c r="BF61" s="958"/>
      <c r="BG61" s="958"/>
      <c r="BH61" s="958"/>
      <c r="BI61" s="958"/>
      <c r="BJ61" s="958"/>
      <c r="BK61" s="958"/>
      <c r="BL61" s="958"/>
      <c r="BM61" s="958"/>
      <c r="BN61" s="958"/>
      <c r="BO61" s="958"/>
      <c r="BP61" s="958"/>
      <c r="BQ61" s="958"/>
      <c r="BR61" s="958"/>
      <c r="BS61" s="958"/>
      <c r="BT61" s="958"/>
      <c r="BU61" s="958"/>
      <c r="BV61" s="958"/>
      <c r="BW61" s="958"/>
      <c r="BX61" s="958"/>
      <c r="BY61" s="958"/>
      <c r="BZ61" s="958"/>
      <c r="CA61" s="958"/>
      <c r="CB61" s="958"/>
      <c r="CC61" s="958"/>
      <c r="CD61" s="958"/>
      <c r="CE61" s="958"/>
      <c r="CF61" s="958"/>
      <c r="CG61" s="958"/>
      <c r="CH61" s="958"/>
      <c r="CI61" s="958"/>
      <c r="CJ61" s="958"/>
      <c r="CK61" s="958"/>
      <c r="CL61" s="958"/>
      <c r="CM61" s="958"/>
      <c r="CN61" s="958"/>
      <c r="CO61" s="958"/>
      <c r="CP61" s="958"/>
      <c r="CQ61" s="958"/>
      <c r="CR61" s="958"/>
      <c r="CS61" s="958"/>
      <c r="CT61" s="958"/>
      <c r="CU61" s="958"/>
      <c r="CV61" s="958"/>
      <c r="CW61" s="958"/>
      <c r="CX61" s="958"/>
      <c r="CY61" s="958"/>
      <c r="CZ61" s="958"/>
      <c r="DA61" s="958"/>
      <c r="DB61" s="958"/>
      <c r="DC61" s="958"/>
      <c r="DD61" s="958"/>
      <c r="DE61" s="958"/>
      <c r="DF61" s="958"/>
      <c r="DG61" s="958"/>
      <c r="DH61" s="958"/>
      <c r="DI61" s="958"/>
      <c r="DJ61" s="958"/>
      <c r="DK61" s="958"/>
      <c r="DL61" s="958"/>
      <c r="DM61" s="958"/>
      <c r="DN61" s="958"/>
      <c r="DO61" s="958"/>
      <c r="DP61" s="958"/>
      <c r="DQ61" s="958"/>
      <c r="DR61" s="958"/>
      <c r="DS61" s="958"/>
      <c r="DT61" s="958"/>
      <c r="DU61" s="958"/>
      <c r="DV61" s="958"/>
      <c r="DW61" s="958"/>
      <c r="DX61" s="958"/>
      <c r="DY61" s="958"/>
      <c r="DZ61" s="958"/>
      <c r="EA61" s="958"/>
      <c r="EB61" s="958"/>
      <c r="EC61" s="958"/>
      <c r="ED61" s="958"/>
      <c r="EE61" s="958"/>
      <c r="EF61" s="958"/>
      <c r="EG61" s="958"/>
      <c r="EH61" s="958"/>
      <c r="EI61" s="958"/>
      <c r="EJ61" s="958"/>
      <c r="EK61" s="958"/>
      <c r="EL61" s="958"/>
      <c r="EM61" s="958"/>
      <c r="EN61" s="958"/>
      <c r="EO61" s="958"/>
      <c r="EP61" s="958"/>
      <c r="EQ61" s="958"/>
      <c r="ER61" s="958"/>
      <c r="ES61" s="958"/>
      <c r="ET61" s="958"/>
      <c r="EU61" s="958"/>
      <c r="EV61" s="958"/>
      <c r="EW61" s="958"/>
      <c r="EX61" s="958"/>
      <c r="EY61" s="958"/>
      <c r="EZ61" s="958"/>
      <c r="FA61" s="958"/>
      <c r="FB61" s="958"/>
      <c r="FC61" s="958"/>
      <c r="FD61" s="958"/>
      <c r="FE61" s="958"/>
      <c r="FF61" s="958"/>
      <c r="FG61" s="958"/>
      <c r="FH61" s="958"/>
      <c r="FI61" s="958"/>
      <c r="FJ61" s="958"/>
      <c r="FK61" s="958"/>
      <c r="FL61" s="958"/>
      <c r="FM61" s="958"/>
      <c r="FN61" s="958"/>
      <c r="FO61" s="958"/>
      <c r="FP61" s="958"/>
      <c r="FQ61" s="958"/>
      <c r="FR61" s="958"/>
      <c r="FS61" s="958"/>
      <c r="FT61" s="958"/>
      <c r="FU61" s="958"/>
      <c r="FV61" s="958"/>
      <c r="FW61" s="958"/>
      <c r="FX61" s="958"/>
      <c r="FY61" s="958"/>
      <c r="FZ61" s="958"/>
      <c r="GA61" s="958"/>
      <c r="GB61" s="958"/>
      <c r="GC61" s="958"/>
      <c r="GD61" s="958"/>
      <c r="GE61" s="958"/>
      <c r="GF61" s="958"/>
      <c r="GG61" s="958"/>
      <c r="GH61" s="958"/>
      <c r="GI61" s="958"/>
      <c r="GJ61" s="958"/>
      <c r="GK61" s="958"/>
      <c r="GL61" s="958"/>
      <c r="GM61" s="958"/>
      <c r="GN61" s="958"/>
      <c r="GO61" s="958"/>
      <c r="GP61" s="958"/>
      <c r="GQ61" s="958"/>
      <c r="GR61" s="958"/>
      <c r="GS61" s="958"/>
      <c r="GT61" s="958"/>
      <c r="GU61" s="958"/>
      <c r="GV61" s="958"/>
      <c r="GW61" s="958"/>
      <c r="GX61" s="958"/>
      <c r="GY61" s="958"/>
      <c r="GZ61" s="958"/>
      <c r="HA61" s="958"/>
      <c r="HB61" s="958"/>
      <c r="HC61" s="958"/>
      <c r="HD61" s="958"/>
      <c r="HE61" s="958"/>
      <c r="HF61" s="958"/>
      <c r="HG61" s="958"/>
      <c r="HH61" s="958"/>
      <c r="HI61" s="958"/>
      <c r="HJ61" s="958"/>
      <c r="HK61" s="958"/>
      <c r="HL61" s="958"/>
      <c r="HM61" s="958"/>
      <c r="HN61" s="958"/>
      <c r="HO61" s="958"/>
      <c r="HP61" s="958"/>
      <c r="HQ61" s="958"/>
      <c r="HR61" s="958"/>
      <c r="HS61" s="958"/>
      <c r="HT61" s="958"/>
      <c r="HU61" s="958"/>
      <c r="HV61" s="958"/>
      <c r="HW61" s="958"/>
      <c r="HX61" s="958"/>
      <c r="HY61" s="958"/>
      <c r="HZ61" s="958"/>
      <c r="IA61" s="958"/>
      <c r="IB61" s="958"/>
      <c r="IC61" s="958"/>
      <c r="ID61" s="958"/>
      <c r="IE61" s="958"/>
      <c r="IF61" s="958"/>
      <c r="IG61" s="958"/>
      <c r="IH61" s="958"/>
      <c r="II61" s="958"/>
      <c r="IJ61" s="958"/>
      <c r="IK61" s="958"/>
      <c r="IL61" s="958"/>
      <c r="IM61" s="958"/>
      <c r="IN61" s="958"/>
      <c r="IO61" s="958"/>
      <c r="IP61" s="958"/>
      <c r="IQ61" s="958"/>
      <c r="IR61" s="958"/>
      <c r="IS61" s="958"/>
      <c r="IT61" s="958"/>
      <c r="IU61" s="958"/>
      <c r="IV61" s="958"/>
    </row>
    <row r="62" spans="1:256" ht="12" customHeight="1">
      <c r="A62" s="1018"/>
      <c r="B62" s="944"/>
      <c r="C62" s="1019"/>
      <c r="D62" s="1019"/>
      <c r="E62" s="1019"/>
      <c r="F62" s="1019"/>
      <c r="G62" s="1014"/>
      <c r="H62" s="1015"/>
      <c r="I62" s="1016"/>
      <c r="J62" s="1016"/>
      <c r="K62" s="1017"/>
      <c r="L62" s="1017"/>
      <c r="M62" s="1017"/>
      <c r="N62" s="1017"/>
      <c r="O62" s="958"/>
      <c r="P62" s="958"/>
      <c r="Q62" s="958"/>
      <c r="R62" s="958"/>
      <c r="S62" s="958"/>
      <c r="T62" s="958"/>
      <c r="U62" s="958"/>
      <c r="V62" s="958"/>
      <c r="W62" s="958"/>
      <c r="X62" s="958"/>
      <c r="Y62" s="958"/>
      <c r="Z62" s="958"/>
      <c r="AA62" s="958"/>
      <c r="AB62" s="958"/>
      <c r="AC62" s="958"/>
      <c r="AD62" s="958"/>
      <c r="AE62" s="958"/>
      <c r="AF62" s="958"/>
      <c r="AG62" s="958"/>
      <c r="AH62" s="958"/>
      <c r="AI62" s="958"/>
      <c r="AJ62" s="958"/>
      <c r="AK62" s="958"/>
      <c r="AL62" s="958"/>
      <c r="AM62" s="958"/>
      <c r="AN62" s="958"/>
      <c r="AO62" s="958"/>
      <c r="AP62" s="958"/>
      <c r="AQ62" s="958"/>
      <c r="AR62" s="958"/>
      <c r="AS62" s="958"/>
      <c r="AT62" s="958"/>
      <c r="AU62" s="958"/>
      <c r="AV62" s="958"/>
      <c r="AW62" s="958"/>
      <c r="AX62" s="958"/>
      <c r="AY62" s="958"/>
      <c r="AZ62" s="958"/>
      <c r="BA62" s="958"/>
      <c r="BB62" s="958"/>
      <c r="BC62" s="958"/>
      <c r="BD62" s="958"/>
      <c r="BE62" s="958"/>
      <c r="BF62" s="958"/>
      <c r="BG62" s="958"/>
      <c r="BH62" s="958"/>
      <c r="BI62" s="958"/>
      <c r="BJ62" s="958"/>
      <c r="BK62" s="958"/>
      <c r="BL62" s="958"/>
      <c r="BM62" s="958"/>
      <c r="BN62" s="958"/>
      <c r="BO62" s="958"/>
      <c r="BP62" s="958"/>
      <c r="BQ62" s="958"/>
      <c r="BR62" s="958"/>
      <c r="BS62" s="958"/>
      <c r="BT62" s="958"/>
      <c r="BU62" s="958"/>
      <c r="BV62" s="958"/>
      <c r="BW62" s="958"/>
      <c r="BX62" s="958"/>
      <c r="BY62" s="958"/>
      <c r="BZ62" s="958"/>
      <c r="CA62" s="958"/>
      <c r="CB62" s="958"/>
      <c r="CC62" s="958"/>
      <c r="CD62" s="958"/>
      <c r="CE62" s="958"/>
      <c r="CF62" s="958"/>
      <c r="CG62" s="958"/>
      <c r="CH62" s="958"/>
      <c r="CI62" s="958"/>
      <c r="CJ62" s="958"/>
      <c r="CK62" s="958"/>
      <c r="CL62" s="958"/>
      <c r="CM62" s="958"/>
      <c r="CN62" s="958"/>
      <c r="CO62" s="958"/>
      <c r="CP62" s="958"/>
      <c r="CQ62" s="958"/>
      <c r="CR62" s="958"/>
      <c r="CS62" s="958"/>
      <c r="CT62" s="958"/>
      <c r="CU62" s="958"/>
      <c r="CV62" s="958"/>
      <c r="CW62" s="958"/>
      <c r="CX62" s="958"/>
      <c r="CY62" s="958"/>
      <c r="CZ62" s="958"/>
      <c r="DA62" s="958"/>
      <c r="DB62" s="958"/>
      <c r="DC62" s="958"/>
      <c r="DD62" s="958"/>
      <c r="DE62" s="958"/>
      <c r="DF62" s="958"/>
      <c r="DG62" s="958"/>
      <c r="DH62" s="958"/>
      <c r="DI62" s="958"/>
      <c r="DJ62" s="958"/>
      <c r="DK62" s="958"/>
      <c r="DL62" s="958"/>
      <c r="DM62" s="958"/>
      <c r="DN62" s="958"/>
      <c r="DO62" s="958"/>
      <c r="DP62" s="958"/>
      <c r="DQ62" s="958"/>
      <c r="DR62" s="958"/>
      <c r="DS62" s="958"/>
      <c r="DT62" s="958"/>
      <c r="DU62" s="958"/>
      <c r="DV62" s="958"/>
      <c r="DW62" s="958"/>
      <c r="DX62" s="958"/>
      <c r="DY62" s="958"/>
      <c r="DZ62" s="958"/>
      <c r="EA62" s="958"/>
      <c r="EB62" s="958"/>
      <c r="EC62" s="958"/>
      <c r="ED62" s="958"/>
      <c r="EE62" s="958"/>
      <c r="EF62" s="958"/>
      <c r="EG62" s="958"/>
      <c r="EH62" s="958"/>
      <c r="EI62" s="958"/>
      <c r="EJ62" s="958"/>
      <c r="EK62" s="958"/>
      <c r="EL62" s="958"/>
      <c r="EM62" s="958"/>
      <c r="EN62" s="958"/>
      <c r="EO62" s="958"/>
      <c r="EP62" s="958"/>
      <c r="EQ62" s="958"/>
      <c r="ER62" s="958"/>
      <c r="ES62" s="958"/>
      <c r="ET62" s="958"/>
      <c r="EU62" s="958"/>
      <c r="EV62" s="958"/>
      <c r="EW62" s="958"/>
      <c r="EX62" s="958"/>
      <c r="EY62" s="958"/>
      <c r="EZ62" s="958"/>
      <c r="FA62" s="958"/>
      <c r="FB62" s="958"/>
      <c r="FC62" s="958"/>
      <c r="FD62" s="958"/>
      <c r="FE62" s="958"/>
      <c r="FF62" s="958"/>
      <c r="FG62" s="958"/>
      <c r="FH62" s="958"/>
      <c r="FI62" s="958"/>
      <c r="FJ62" s="958"/>
      <c r="FK62" s="958"/>
      <c r="FL62" s="958"/>
      <c r="FM62" s="958"/>
      <c r="FN62" s="958"/>
      <c r="FO62" s="958"/>
      <c r="FP62" s="958"/>
      <c r="FQ62" s="958"/>
      <c r="FR62" s="958"/>
      <c r="FS62" s="958"/>
      <c r="FT62" s="958"/>
      <c r="FU62" s="958"/>
      <c r="FV62" s="958"/>
      <c r="FW62" s="958"/>
      <c r="FX62" s="958"/>
      <c r="FY62" s="958"/>
      <c r="FZ62" s="958"/>
      <c r="GA62" s="958"/>
      <c r="GB62" s="958"/>
      <c r="GC62" s="958"/>
      <c r="GD62" s="958"/>
      <c r="GE62" s="958"/>
      <c r="GF62" s="958"/>
      <c r="GG62" s="958"/>
      <c r="GH62" s="958"/>
      <c r="GI62" s="958"/>
      <c r="GJ62" s="958"/>
      <c r="GK62" s="958"/>
      <c r="GL62" s="958"/>
      <c r="GM62" s="958"/>
      <c r="GN62" s="958"/>
      <c r="GO62" s="958"/>
      <c r="GP62" s="958"/>
      <c r="GQ62" s="958"/>
      <c r="GR62" s="958"/>
      <c r="GS62" s="958"/>
      <c r="GT62" s="958"/>
      <c r="GU62" s="958"/>
      <c r="GV62" s="958"/>
      <c r="GW62" s="958"/>
      <c r="GX62" s="958"/>
      <c r="GY62" s="958"/>
      <c r="GZ62" s="958"/>
      <c r="HA62" s="958"/>
      <c r="HB62" s="958"/>
      <c r="HC62" s="958"/>
      <c r="HD62" s="958"/>
      <c r="HE62" s="958"/>
      <c r="HF62" s="958"/>
      <c r="HG62" s="958"/>
      <c r="HH62" s="958"/>
      <c r="HI62" s="958"/>
      <c r="HJ62" s="958"/>
      <c r="HK62" s="958"/>
      <c r="HL62" s="958"/>
      <c r="HM62" s="958"/>
      <c r="HN62" s="958"/>
      <c r="HO62" s="958"/>
      <c r="HP62" s="958"/>
      <c r="HQ62" s="958"/>
      <c r="HR62" s="958"/>
      <c r="HS62" s="958"/>
      <c r="HT62" s="958"/>
      <c r="HU62" s="958"/>
      <c r="HV62" s="958"/>
      <c r="HW62" s="958"/>
      <c r="HX62" s="958"/>
      <c r="HY62" s="958"/>
      <c r="HZ62" s="958"/>
      <c r="IA62" s="958"/>
      <c r="IB62" s="958"/>
      <c r="IC62" s="958"/>
      <c r="ID62" s="958"/>
      <c r="IE62" s="958"/>
      <c r="IF62" s="958"/>
      <c r="IG62" s="958"/>
      <c r="IH62" s="958"/>
      <c r="II62" s="958"/>
      <c r="IJ62" s="958"/>
      <c r="IK62" s="958"/>
      <c r="IL62" s="958"/>
      <c r="IM62" s="958"/>
      <c r="IN62" s="958"/>
      <c r="IO62" s="958"/>
      <c r="IP62" s="958"/>
      <c r="IQ62" s="958"/>
      <c r="IR62" s="958"/>
      <c r="IS62" s="958"/>
      <c r="IT62" s="958"/>
      <c r="IU62" s="958"/>
      <c r="IV62" s="958"/>
    </row>
    <row r="63" spans="1:256" ht="9.75" customHeight="1">
      <c r="C63" s="1022"/>
      <c r="D63" s="1022"/>
      <c r="E63" s="1022"/>
      <c r="F63" s="1022"/>
      <c r="G63" s="1014"/>
      <c r="H63" s="1015"/>
      <c r="I63" s="1016"/>
      <c r="J63" s="1016"/>
      <c r="K63" s="1017"/>
      <c r="L63" s="1017"/>
      <c r="M63" s="1017"/>
      <c r="N63" s="1017"/>
      <c r="O63" s="958"/>
      <c r="P63" s="958"/>
      <c r="Q63" s="958"/>
      <c r="R63" s="958"/>
      <c r="S63" s="958"/>
      <c r="T63" s="958"/>
      <c r="U63" s="958"/>
      <c r="V63" s="958"/>
      <c r="W63" s="958"/>
      <c r="X63" s="958"/>
      <c r="Y63" s="958"/>
      <c r="Z63" s="958"/>
      <c r="AA63" s="958"/>
      <c r="AB63" s="958"/>
      <c r="AC63" s="958"/>
      <c r="AD63" s="958"/>
      <c r="AE63" s="958"/>
      <c r="AF63" s="958"/>
      <c r="AG63" s="958"/>
      <c r="AH63" s="958"/>
      <c r="AI63" s="958"/>
      <c r="AJ63" s="958"/>
      <c r="AK63" s="958"/>
      <c r="AL63" s="958"/>
      <c r="AM63" s="958"/>
      <c r="AN63" s="958"/>
      <c r="AO63" s="958"/>
      <c r="AP63" s="958"/>
      <c r="AQ63" s="958"/>
      <c r="AR63" s="958"/>
      <c r="AS63" s="958"/>
      <c r="AT63" s="958"/>
      <c r="AU63" s="958"/>
      <c r="AV63" s="958"/>
      <c r="AW63" s="958"/>
      <c r="AX63" s="958"/>
      <c r="AY63" s="958"/>
      <c r="AZ63" s="958"/>
      <c r="BA63" s="958"/>
      <c r="BB63" s="958"/>
      <c r="BC63" s="958"/>
      <c r="BD63" s="958"/>
      <c r="BE63" s="958"/>
      <c r="BF63" s="958"/>
      <c r="BG63" s="958"/>
      <c r="BH63" s="958"/>
      <c r="BI63" s="958"/>
      <c r="BJ63" s="958"/>
      <c r="BK63" s="958"/>
      <c r="BL63" s="958"/>
      <c r="BM63" s="958"/>
      <c r="BN63" s="958"/>
      <c r="BO63" s="958"/>
      <c r="BP63" s="958"/>
      <c r="BQ63" s="958"/>
      <c r="BR63" s="958"/>
      <c r="BS63" s="958"/>
      <c r="BT63" s="958"/>
      <c r="BU63" s="958"/>
      <c r="BV63" s="958"/>
      <c r="BW63" s="958"/>
      <c r="BX63" s="958"/>
      <c r="BY63" s="958"/>
      <c r="BZ63" s="958"/>
      <c r="CA63" s="958"/>
      <c r="CB63" s="958"/>
      <c r="CC63" s="958"/>
      <c r="CD63" s="958"/>
      <c r="CE63" s="958"/>
      <c r="CF63" s="958"/>
      <c r="CG63" s="958"/>
      <c r="CH63" s="958"/>
      <c r="CI63" s="958"/>
      <c r="CJ63" s="958"/>
      <c r="CK63" s="958"/>
      <c r="CL63" s="958"/>
      <c r="CM63" s="958"/>
      <c r="CN63" s="958"/>
      <c r="CO63" s="958"/>
      <c r="CP63" s="958"/>
      <c r="CQ63" s="958"/>
      <c r="CR63" s="958"/>
      <c r="CS63" s="958"/>
      <c r="CT63" s="958"/>
      <c r="CU63" s="958"/>
      <c r="CV63" s="958"/>
      <c r="CW63" s="958"/>
      <c r="CX63" s="958"/>
      <c r="CY63" s="958"/>
      <c r="CZ63" s="958"/>
      <c r="DA63" s="958"/>
      <c r="DB63" s="958"/>
      <c r="DC63" s="958"/>
      <c r="DD63" s="958"/>
      <c r="DE63" s="958"/>
      <c r="DF63" s="958"/>
      <c r="DG63" s="958"/>
      <c r="DH63" s="958"/>
      <c r="DI63" s="958"/>
      <c r="DJ63" s="958"/>
      <c r="DK63" s="958"/>
      <c r="DL63" s="958"/>
      <c r="DM63" s="958"/>
      <c r="DN63" s="958"/>
      <c r="DO63" s="958"/>
      <c r="DP63" s="958"/>
      <c r="DQ63" s="958"/>
      <c r="DR63" s="958"/>
      <c r="DS63" s="958"/>
      <c r="DT63" s="958"/>
      <c r="DU63" s="958"/>
      <c r="DV63" s="958"/>
      <c r="DW63" s="958"/>
      <c r="DX63" s="958"/>
      <c r="DY63" s="958"/>
      <c r="DZ63" s="958"/>
      <c r="EA63" s="958"/>
      <c r="EB63" s="958"/>
      <c r="EC63" s="958"/>
      <c r="ED63" s="958"/>
      <c r="EE63" s="958"/>
      <c r="EF63" s="958"/>
      <c r="EG63" s="958"/>
      <c r="EH63" s="958"/>
      <c r="EI63" s="958"/>
      <c r="EJ63" s="958"/>
      <c r="EK63" s="958"/>
      <c r="EL63" s="958"/>
      <c r="EM63" s="958"/>
      <c r="EN63" s="958"/>
      <c r="EO63" s="958"/>
      <c r="EP63" s="958"/>
      <c r="EQ63" s="958"/>
      <c r="ER63" s="958"/>
      <c r="ES63" s="958"/>
      <c r="ET63" s="958"/>
      <c r="EU63" s="958"/>
      <c r="EV63" s="958"/>
      <c r="EW63" s="958"/>
      <c r="EX63" s="958"/>
      <c r="EY63" s="958"/>
      <c r="EZ63" s="958"/>
      <c r="FA63" s="958"/>
      <c r="FB63" s="958"/>
      <c r="FC63" s="958"/>
      <c r="FD63" s="958"/>
      <c r="FE63" s="958"/>
      <c r="FF63" s="958"/>
      <c r="FG63" s="958"/>
      <c r="FH63" s="958"/>
      <c r="FI63" s="958"/>
      <c r="FJ63" s="958"/>
      <c r="FK63" s="958"/>
      <c r="FL63" s="958"/>
      <c r="FM63" s="958"/>
      <c r="FN63" s="958"/>
      <c r="FO63" s="958"/>
      <c r="FP63" s="958"/>
      <c r="FQ63" s="958"/>
      <c r="FR63" s="958"/>
      <c r="FS63" s="958"/>
      <c r="FT63" s="958"/>
      <c r="FU63" s="958"/>
      <c r="FV63" s="958"/>
      <c r="FW63" s="958"/>
      <c r="FX63" s="958"/>
      <c r="FY63" s="958"/>
      <c r="FZ63" s="958"/>
      <c r="GA63" s="958"/>
      <c r="GB63" s="958"/>
      <c r="GC63" s="958"/>
      <c r="GD63" s="958"/>
      <c r="GE63" s="958"/>
      <c r="GF63" s="958"/>
      <c r="GG63" s="958"/>
      <c r="GH63" s="958"/>
      <c r="GI63" s="958"/>
      <c r="GJ63" s="958"/>
      <c r="GK63" s="958"/>
      <c r="GL63" s="958"/>
      <c r="GM63" s="958"/>
      <c r="GN63" s="958"/>
      <c r="GO63" s="958"/>
      <c r="GP63" s="958"/>
      <c r="GQ63" s="958"/>
      <c r="GR63" s="958"/>
      <c r="GS63" s="958"/>
      <c r="GT63" s="958"/>
      <c r="GU63" s="958"/>
      <c r="GV63" s="958"/>
      <c r="GW63" s="958"/>
      <c r="GX63" s="958"/>
      <c r="GY63" s="958"/>
      <c r="GZ63" s="958"/>
      <c r="HA63" s="958"/>
      <c r="HB63" s="958"/>
      <c r="HC63" s="958"/>
      <c r="HD63" s="958"/>
      <c r="HE63" s="958"/>
      <c r="HF63" s="958"/>
      <c r="HG63" s="958"/>
      <c r="HH63" s="958"/>
      <c r="HI63" s="958"/>
      <c r="HJ63" s="958"/>
      <c r="HK63" s="958"/>
      <c r="HL63" s="958"/>
      <c r="HM63" s="958"/>
      <c r="HN63" s="958"/>
      <c r="HO63" s="958"/>
      <c r="HP63" s="958"/>
      <c r="HQ63" s="958"/>
      <c r="HR63" s="958"/>
      <c r="HS63" s="958"/>
      <c r="HT63" s="958"/>
      <c r="HU63" s="958"/>
      <c r="HV63" s="958"/>
      <c r="HW63" s="958"/>
      <c r="HX63" s="958"/>
      <c r="HY63" s="958"/>
      <c r="HZ63" s="958"/>
      <c r="IA63" s="958"/>
      <c r="IB63" s="958"/>
      <c r="IC63" s="958"/>
      <c r="ID63" s="958"/>
      <c r="IE63" s="958"/>
      <c r="IF63" s="958"/>
      <c r="IG63" s="958"/>
      <c r="IH63" s="958"/>
      <c r="II63" s="958"/>
      <c r="IJ63" s="958"/>
      <c r="IK63" s="958"/>
      <c r="IL63" s="958"/>
      <c r="IM63" s="958"/>
      <c r="IN63" s="958"/>
      <c r="IO63" s="958"/>
      <c r="IP63" s="958"/>
      <c r="IQ63" s="958"/>
      <c r="IR63" s="958"/>
      <c r="IS63" s="958"/>
      <c r="IT63" s="958"/>
      <c r="IU63" s="958"/>
      <c r="IV63" s="958"/>
    </row>
    <row r="64" spans="1:256" ht="6" customHeight="1">
      <c r="C64" s="1022"/>
      <c r="D64" s="1022"/>
      <c r="E64" s="1022"/>
      <c r="F64" s="1022"/>
      <c r="G64" s="1014"/>
      <c r="H64" s="1015"/>
      <c r="I64" s="1016"/>
      <c r="J64" s="1016"/>
      <c r="K64" s="1023"/>
      <c r="L64" s="1023"/>
      <c r="M64" s="1023"/>
      <c r="N64" s="1023"/>
      <c r="O64" s="958"/>
      <c r="P64" s="958"/>
      <c r="Q64" s="958"/>
      <c r="R64" s="958"/>
      <c r="S64" s="958"/>
      <c r="T64" s="958"/>
      <c r="U64" s="958"/>
      <c r="V64" s="958"/>
      <c r="W64" s="958"/>
      <c r="X64" s="958"/>
      <c r="Y64" s="958"/>
      <c r="Z64" s="958"/>
      <c r="AA64" s="958"/>
      <c r="AB64" s="958"/>
      <c r="AC64" s="958"/>
      <c r="AD64" s="958"/>
      <c r="AE64" s="958"/>
      <c r="AF64" s="958"/>
      <c r="AG64" s="958"/>
      <c r="AH64" s="958"/>
      <c r="AI64" s="958"/>
      <c r="AJ64" s="958"/>
      <c r="AK64" s="958"/>
      <c r="AL64" s="958"/>
      <c r="AM64" s="958"/>
      <c r="AN64" s="958"/>
      <c r="AO64" s="958"/>
      <c r="AP64" s="958"/>
      <c r="AQ64" s="958"/>
      <c r="AR64" s="958"/>
      <c r="AS64" s="958"/>
      <c r="AT64" s="958"/>
      <c r="AU64" s="958"/>
      <c r="AV64" s="958"/>
      <c r="AW64" s="958"/>
      <c r="AX64" s="958"/>
      <c r="AY64" s="958"/>
      <c r="AZ64" s="958"/>
      <c r="BA64" s="958"/>
      <c r="BB64" s="958"/>
      <c r="BC64" s="958"/>
      <c r="BD64" s="958"/>
      <c r="BE64" s="958"/>
      <c r="BF64" s="958"/>
      <c r="BG64" s="958"/>
      <c r="BH64" s="958"/>
      <c r="BI64" s="958"/>
      <c r="BJ64" s="958"/>
      <c r="BK64" s="958"/>
      <c r="BL64" s="958"/>
      <c r="BM64" s="958"/>
      <c r="BN64" s="958"/>
      <c r="BO64" s="958"/>
      <c r="BP64" s="958"/>
      <c r="BQ64" s="958"/>
      <c r="BR64" s="958"/>
      <c r="BS64" s="958"/>
      <c r="BT64" s="958"/>
      <c r="BU64" s="958"/>
      <c r="BV64" s="958"/>
      <c r="BW64" s="958"/>
      <c r="BX64" s="958"/>
      <c r="BY64" s="958"/>
      <c r="BZ64" s="958"/>
      <c r="CA64" s="958"/>
      <c r="CB64" s="958"/>
      <c r="CC64" s="958"/>
      <c r="CD64" s="958"/>
      <c r="CE64" s="958"/>
      <c r="CF64" s="958"/>
      <c r="CG64" s="958"/>
      <c r="CH64" s="958"/>
      <c r="CI64" s="958"/>
      <c r="CJ64" s="958"/>
      <c r="CK64" s="958"/>
      <c r="CL64" s="958"/>
      <c r="CM64" s="958"/>
      <c r="CN64" s="958"/>
      <c r="CO64" s="958"/>
      <c r="CP64" s="958"/>
      <c r="CQ64" s="958"/>
      <c r="CR64" s="958"/>
      <c r="CS64" s="958"/>
      <c r="CT64" s="958"/>
      <c r="CU64" s="958"/>
      <c r="CV64" s="958"/>
      <c r="CW64" s="958"/>
      <c r="CX64" s="958"/>
      <c r="CY64" s="958"/>
      <c r="CZ64" s="958"/>
      <c r="DA64" s="958"/>
      <c r="DB64" s="958"/>
      <c r="DC64" s="958"/>
      <c r="DD64" s="958"/>
      <c r="DE64" s="958"/>
      <c r="DF64" s="958"/>
      <c r="DG64" s="958"/>
      <c r="DH64" s="958"/>
      <c r="DI64" s="958"/>
      <c r="DJ64" s="958"/>
      <c r="DK64" s="958"/>
      <c r="DL64" s="958"/>
      <c r="DM64" s="958"/>
      <c r="DN64" s="958"/>
      <c r="DO64" s="958"/>
      <c r="DP64" s="958"/>
      <c r="DQ64" s="958"/>
      <c r="DR64" s="958"/>
      <c r="DS64" s="958"/>
      <c r="DT64" s="958"/>
      <c r="DU64" s="958"/>
      <c r="DV64" s="958"/>
      <c r="DW64" s="958"/>
      <c r="DX64" s="958"/>
      <c r="DY64" s="958"/>
      <c r="DZ64" s="958"/>
      <c r="EA64" s="958"/>
      <c r="EB64" s="958"/>
      <c r="EC64" s="958"/>
      <c r="ED64" s="958"/>
      <c r="EE64" s="958"/>
      <c r="EF64" s="958"/>
      <c r="EG64" s="958"/>
      <c r="EH64" s="958"/>
      <c r="EI64" s="958"/>
      <c r="EJ64" s="958"/>
      <c r="EK64" s="958"/>
      <c r="EL64" s="958"/>
      <c r="EM64" s="958"/>
      <c r="EN64" s="958"/>
      <c r="EO64" s="958"/>
      <c r="EP64" s="958"/>
      <c r="EQ64" s="958"/>
      <c r="ER64" s="958"/>
      <c r="ES64" s="958"/>
      <c r="ET64" s="958"/>
      <c r="EU64" s="958"/>
      <c r="EV64" s="958"/>
      <c r="EW64" s="958"/>
      <c r="EX64" s="958"/>
      <c r="EY64" s="958"/>
      <c r="EZ64" s="958"/>
      <c r="FA64" s="958"/>
      <c r="FB64" s="958"/>
      <c r="FC64" s="958"/>
      <c r="FD64" s="958"/>
      <c r="FE64" s="958"/>
      <c r="FF64" s="958"/>
      <c r="FG64" s="958"/>
      <c r="FH64" s="958"/>
      <c r="FI64" s="958"/>
      <c r="FJ64" s="958"/>
      <c r="FK64" s="958"/>
      <c r="FL64" s="958"/>
      <c r="FM64" s="958"/>
      <c r="FN64" s="958"/>
      <c r="FO64" s="958"/>
      <c r="FP64" s="958"/>
      <c r="FQ64" s="958"/>
      <c r="FR64" s="958"/>
      <c r="FS64" s="958"/>
      <c r="FT64" s="958"/>
      <c r="FU64" s="958"/>
      <c r="FV64" s="958"/>
      <c r="FW64" s="958"/>
      <c r="FX64" s="958"/>
      <c r="FY64" s="958"/>
      <c r="FZ64" s="958"/>
      <c r="GA64" s="958"/>
      <c r="GB64" s="958"/>
      <c r="GC64" s="958"/>
      <c r="GD64" s="958"/>
      <c r="GE64" s="958"/>
      <c r="GF64" s="958"/>
      <c r="GG64" s="958"/>
      <c r="GH64" s="958"/>
      <c r="GI64" s="958"/>
      <c r="GJ64" s="958"/>
      <c r="GK64" s="958"/>
      <c r="GL64" s="958"/>
      <c r="GM64" s="958"/>
      <c r="GN64" s="958"/>
      <c r="GO64" s="958"/>
      <c r="GP64" s="958"/>
      <c r="GQ64" s="958"/>
      <c r="GR64" s="958"/>
      <c r="GS64" s="958"/>
      <c r="GT64" s="958"/>
      <c r="GU64" s="958"/>
      <c r="GV64" s="958"/>
      <c r="GW64" s="958"/>
      <c r="GX64" s="958"/>
      <c r="GY64" s="958"/>
      <c r="GZ64" s="958"/>
      <c r="HA64" s="958"/>
      <c r="HB64" s="958"/>
      <c r="HC64" s="958"/>
      <c r="HD64" s="958"/>
      <c r="HE64" s="958"/>
      <c r="HF64" s="958"/>
      <c r="HG64" s="958"/>
      <c r="HH64" s="958"/>
      <c r="HI64" s="958"/>
      <c r="HJ64" s="958"/>
      <c r="HK64" s="958"/>
      <c r="HL64" s="958"/>
      <c r="HM64" s="958"/>
      <c r="HN64" s="958"/>
      <c r="HO64" s="958"/>
      <c r="HP64" s="958"/>
      <c r="HQ64" s="958"/>
      <c r="HR64" s="958"/>
      <c r="HS64" s="958"/>
      <c r="HT64" s="958"/>
      <c r="HU64" s="958"/>
      <c r="HV64" s="958"/>
      <c r="HW64" s="958"/>
      <c r="HX64" s="958"/>
      <c r="HY64" s="958"/>
      <c r="HZ64" s="958"/>
      <c r="IA64" s="958"/>
      <c r="IB64" s="958"/>
      <c r="IC64" s="958"/>
      <c r="ID64" s="958"/>
      <c r="IE64" s="958"/>
      <c r="IF64" s="958"/>
      <c r="IG64" s="958"/>
      <c r="IH64" s="958"/>
      <c r="II64" s="958"/>
      <c r="IJ64" s="958"/>
      <c r="IK64" s="958"/>
      <c r="IL64" s="958"/>
      <c r="IM64" s="958"/>
      <c r="IN64" s="958"/>
      <c r="IO64" s="958"/>
      <c r="IP64" s="958"/>
      <c r="IQ64" s="958"/>
      <c r="IR64" s="958"/>
      <c r="IS64" s="958"/>
      <c r="IT64" s="958"/>
      <c r="IU64" s="958"/>
      <c r="IV64" s="958"/>
    </row>
    <row r="65" spans="1:256" ht="27" customHeight="1">
      <c r="A65" s="934" t="s">
        <v>834</v>
      </c>
      <c r="B65" s="935"/>
      <c r="C65" s="935"/>
      <c r="D65" s="935"/>
      <c r="E65" s="935"/>
      <c r="F65" s="935"/>
      <c r="G65" s="1016"/>
      <c r="H65" s="1016"/>
      <c r="I65" s="1016"/>
      <c r="J65" s="1016"/>
      <c r="K65" s="1023"/>
      <c r="L65" s="1023"/>
      <c r="M65" s="1023"/>
      <c r="N65" s="1023"/>
      <c r="O65" s="958"/>
      <c r="P65" s="958"/>
      <c r="Q65" s="958"/>
      <c r="R65" s="958"/>
      <c r="S65" s="958"/>
      <c r="T65" s="958"/>
      <c r="U65" s="958"/>
      <c r="V65" s="958"/>
      <c r="W65" s="958"/>
      <c r="X65" s="958"/>
      <c r="Y65" s="958"/>
      <c r="Z65" s="958"/>
      <c r="AA65" s="958"/>
      <c r="AB65" s="958"/>
      <c r="AC65" s="958"/>
      <c r="AD65" s="958"/>
      <c r="AE65" s="958"/>
      <c r="AF65" s="958"/>
      <c r="AG65" s="958"/>
      <c r="AH65" s="958"/>
      <c r="AI65" s="958"/>
      <c r="AJ65" s="958"/>
      <c r="AK65" s="958"/>
      <c r="AL65" s="958"/>
      <c r="AM65" s="958"/>
      <c r="AN65" s="958"/>
      <c r="AO65" s="958"/>
      <c r="AP65" s="958"/>
      <c r="AQ65" s="958"/>
      <c r="AR65" s="958"/>
      <c r="AS65" s="958"/>
      <c r="AT65" s="958"/>
      <c r="AU65" s="958"/>
      <c r="AV65" s="958"/>
      <c r="AW65" s="958"/>
      <c r="AX65" s="958"/>
      <c r="AY65" s="958"/>
      <c r="AZ65" s="958"/>
      <c r="BA65" s="958"/>
      <c r="BB65" s="958"/>
      <c r="BC65" s="958"/>
      <c r="BD65" s="958"/>
      <c r="BE65" s="958"/>
      <c r="BF65" s="958"/>
      <c r="BG65" s="958"/>
      <c r="BH65" s="958"/>
      <c r="BI65" s="958"/>
      <c r="BJ65" s="958"/>
      <c r="BK65" s="958"/>
      <c r="BL65" s="958"/>
      <c r="BM65" s="958"/>
      <c r="BN65" s="958"/>
      <c r="BO65" s="958"/>
      <c r="BP65" s="958"/>
      <c r="BQ65" s="958"/>
      <c r="BR65" s="958"/>
      <c r="BS65" s="958"/>
      <c r="BT65" s="958"/>
      <c r="BU65" s="958"/>
      <c r="BV65" s="958"/>
      <c r="BW65" s="958"/>
      <c r="BX65" s="958"/>
      <c r="BY65" s="958"/>
      <c r="BZ65" s="958"/>
      <c r="CA65" s="958"/>
      <c r="CB65" s="958"/>
      <c r="CC65" s="958"/>
      <c r="CD65" s="958"/>
      <c r="CE65" s="958"/>
      <c r="CF65" s="958"/>
      <c r="CG65" s="958"/>
      <c r="CH65" s="958"/>
      <c r="CI65" s="958"/>
      <c r="CJ65" s="958"/>
      <c r="CK65" s="958"/>
      <c r="CL65" s="958"/>
      <c r="CM65" s="958"/>
      <c r="CN65" s="958"/>
      <c r="CO65" s="958"/>
      <c r="CP65" s="958"/>
      <c r="CQ65" s="958"/>
      <c r="CR65" s="958"/>
      <c r="CS65" s="958"/>
      <c r="CT65" s="958"/>
      <c r="CU65" s="958"/>
      <c r="CV65" s="958"/>
      <c r="CW65" s="958"/>
      <c r="CX65" s="958"/>
      <c r="CY65" s="958"/>
      <c r="CZ65" s="958"/>
      <c r="DA65" s="958"/>
      <c r="DB65" s="958"/>
      <c r="DC65" s="958"/>
      <c r="DD65" s="958"/>
      <c r="DE65" s="958"/>
      <c r="DF65" s="958"/>
      <c r="DG65" s="958"/>
      <c r="DH65" s="958"/>
      <c r="DI65" s="958"/>
      <c r="DJ65" s="958"/>
      <c r="DK65" s="958"/>
      <c r="DL65" s="958"/>
      <c r="DM65" s="958"/>
      <c r="DN65" s="958"/>
      <c r="DO65" s="958"/>
      <c r="DP65" s="958"/>
      <c r="DQ65" s="958"/>
      <c r="DR65" s="958"/>
      <c r="DS65" s="958"/>
      <c r="DT65" s="958"/>
      <c r="DU65" s="958"/>
      <c r="DV65" s="958"/>
      <c r="DW65" s="958"/>
      <c r="DX65" s="958"/>
      <c r="DY65" s="958"/>
      <c r="DZ65" s="958"/>
      <c r="EA65" s="958"/>
      <c r="EB65" s="958"/>
      <c r="EC65" s="958"/>
      <c r="ED65" s="958"/>
      <c r="EE65" s="958"/>
      <c r="EF65" s="958"/>
      <c r="EG65" s="958"/>
      <c r="EH65" s="958"/>
      <c r="EI65" s="958"/>
      <c r="EJ65" s="958"/>
      <c r="EK65" s="958"/>
      <c r="EL65" s="958"/>
      <c r="EM65" s="958"/>
      <c r="EN65" s="958"/>
      <c r="EO65" s="958"/>
      <c r="EP65" s="958"/>
      <c r="EQ65" s="958"/>
      <c r="ER65" s="958"/>
      <c r="ES65" s="958"/>
      <c r="ET65" s="958"/>
      <c r="EU65" s="958"/>
      <c r="EV65" s="958"/>
      <c r="EW65" s="958"/>
      <c r="EX65" s="958"/>
      <c r="EY65" s="958"/>
      <c r="EZ65" s="958"/>
      <c r="FA65" s="958"/>
      <c r="FB65" s="958"/>
      <c r="FC65" s="958"/>
      <c r="FD65" s="958"/>
      <c r="FE65" s="958"/>
      <c r="FF65" s="958"/>
      <c r="FG65" s="958"/>
      <c r="FH65" s="958"/>
      <c r="FI65" s="958"/>
      <c r="FJ65" s="958"/>
      <c r="FK65" s="958"/>
      <c r="FL65" s="958"/>
      <c r="FM65" s="958"/>
      <c r="FN65" s="958"/>
      <c r="FO65" s="958"/>
      <c r="FP65" s="958"/>
      <c r="FQ65" s="958"/>
      <c r="FR65" s="958"/>
      <c r="FS65" s="958"/>
      <c r="FT65" s="958"/>
      <c r="FU65" s="958"/>
      <c r="FV65" s="958"/>
      <c r="FW65" s="958"/>
      <c r="FX65" s="958"/>
      <c r="FY65" s="958"/>
      <c r="FZ65" s="958"/>
      <c r="GA65" s="958"/>
      <c r="GB65" s="958"/>
      <c r="GC65" s="958"/>
      <c r="GD65" s="958"/>
      <c r="GE65" s="958"/>
      <c r="GF65" s="958"/>
      <c r="GG65" s="958"/>
      <c r="GH65" s="958"/>
      <c r="GI65" s="958"/>
      <c r="GJ65" s="958"/>
      <c r="GK65" s="958"/>
      <c r="GL65" s="958"/>
      <c r="GM65" s="958"/>
      <c r="GN65" s="958"/>
      <c r="GO65" s="958"/>
      <c r="GP65" s="958"/>
      <c r="GQ65" s="958"/>
      <c r="GR65" s="958"/>
      <c r="GS65" s="958"/>
      <c r="GT65" s="958"/>
      <c r="GU65" s="958"/>
      <c r="GV65" s="958"/>
      <c r="GW65" s="958"/>
      <c r="GX65" s="958"/>
      <c r="GY65" s="958"/>
      <c r="GZ65" s="958"/>
      <c r="HA65" s="958"/>
      <c r="HB65" s="958"/>
      <c r="HC65" s="958"/>
      <c r="HD65" s="958"/>
      <c r="HE65" s="958"/>
      <c r="HF65" s="958"/>
      <c r="HG65" s="958"/>
      <c r="HH65" s="958"/>
      <c r="HI65" s="958"/>
      <c r="HJ65" s="958"/>
      <c r="HK65" s="958"/>
      <c r="HL65" s="958"/>
      <c r="HM65" s="958"/>
      <c r="HN65" s="958"/>
      <c r="HO65" s="958"/>
      <c r="HP65" s="958"/>
      <c r="HQ65" s="958"/>
      <c r="HR65" s="958"/>
      <c r="HS65" s="958"/>
      <c r="HT65" s="958"/>
      <c r="HU65" s="958"/>
      <c r="HV65" s="958"/>
      <c r="HW65" s="958"/>
      <c r="HX65" s="958"/>
      <c r="HY65" s="958"/>
      <c r="HZ65" s="958"/>
      <c r="IA65" s="958"/>
      <c r="IB65" s="958"/>
      <c r="IC65" s="958"/>
      <c r="ID65" s="958"/>
      <c r="IE65" s="958"/>
      <c r="IF65" s="958"/>
      <c r="IG65" s="958"/>
      <c r="IH65" s="958"/>
      <c r="II65" s="958"/>
      <c r="IJ65" s="958"/>
      <c r="IK65" s="958"/>
      <c r="IL65" s="958"/>
      <c r="IM65" s="958"/>
      <c r="IN65" s="958"/>
      <c r="IO65" s="958"/>
      <c r="IP65" s="958"/>
      <c r="IQ65" s="958"/>
      <c r="IR65" s="958"/>
      <c r="IS65" s="958"/>
      <c r="IT65" s="958"/>
      <c r="IU65" s="958"/>
      <c r="IV65" s="958"/>
    </row>
    <row r="66" spans="1:256" ht="22.5" customHeight="1">
      <c r="A66" s="934" t="s">
        <v>867</v>
      </c>
      <c r="B66" s="935"/>
      <c r="C66" s="935"/>
      <c r="D66" s="935"/>
      <c r="E66" s="935"/>
      <c r="F66" s="941"/>
      <c r="G66" s="1016"/>
      <c r="H66" s="1016"/>
      <c r="I66" s="1016"/>
      <c r="J66" s="1014"/>
      <c r="K66" s="1023"/>
      <c r="L66" s="1023"/>
      <c r="M66" s="1023"/>
      <c r="N66" s="1023"/>
      <c r="O66" s="958"/>
      <c r="P66" s="958"/>
      <c r="Q66" s="958"/>
      <c r="R66" s="958"/>
      <c r="S66" s="958"/>
      <c r="T66" s="958"/>
      <c r="U66" s="958"/>
      <c r="V66" s="958"/>
      <c r="W66" s="958"/>
      <c r="X66" s="958"/>
      <c r="Y66" s="958"/>
      <c r="Z66" s="958"/>
      <c r="AA66" s="958"/>
      <c r="AB66" s="958"/>
      <c r="AC66" s="958"/>
      <c r="AD66" s="958"/>
      <c r="AE66" s="958"/>
      <c r="AF66" s="958"/>
      <c r="AG66" s="958"/>
      <c r="AH66" s="958"/>
      <c r="AI66" s="958"/>
      <c r="AJ66" s="958"/>
      <c r="AK66" s="958"/>
      <c r="AL66" s="958"/>
      <c r="AM66" s="958"/>
      <c r="AN66" s="958"/>
      <c r="AO66" s="958"/>
      <c r="AP66" s="958"/>
      <c r="AQ66" s="958"/>
      <c r="AR66" s="958"/>
      <c r="AS66" s="958"/>
      <c r="AT66" s="958"/>
      <c r="AU66" s="958"/>
      <c r="AV66" s="958"/>
      <c r="AW66" s="958"/>
      <c r="AX66" s="958"/>
      <c r="AY66" s="958"/>
      <c r="AZ66" s="958"/>
      <c r="BA66" s="958"/>
      <c r="BB66" s="958"/>
      <c r="BC66" s="958"/>
      <c r="BD66" s="958"/>
      <c r="BE66" s="958"/>
      <c r="BF66" s="958"/>
      <c r="BG66" s="958"/>
      <c r="BH66" s="958"/>
      <c r="BI66" s="958"/>
      <c r="BJ66" s="958"/>
      <c r="BK66" s="958"/>
      <c r="BL66" s="958"/>
      <c r="BM66" s="958"/>
      <c r="BN66" s="958"/>
      <c r="BO66" s="958"/>
      <c r="BP66" s="958"/>
      <c r="BQ66" s="958"/>
      <c r="BR66" s="958"/>
      <c r="BS66" s="958"/>
      <c r="BT66" s="958"/>
      <c r="BU66" s="958"/>
      <c r="BV66" s="958"/>
      <c r="BW66" s="958"/>
      <c r="BX66" s="958"/>
      <c r="BY66" s="958"/>
      <c r="BZ66" s="958"/>
      <c r="CA66" s="958"/>
      <c r="CB66" s="958"/>
      <c r="CC66" s="958"/>
      <c r="CD66" s="958"/>
      <c r="CE66" s="958"/>
      <c r="CF66" s="958"/>
      <c r="CG66" s="958"/>
      <c r="CH66" s="958"/>
      <c r="CI66" s="958"/>
      <c r="CJ66" s="958"/>
      <c r="CK66" s="958"/>
      <c r="CL66" s="958"/>
      <c r="CM66" s="958"/>
      <c r="CN66" s="958"/>
      <c r="CO66" s="958"/>
      <c r="CP66" s="958"/>
      <c r="CQ66" s="958"/>
      <c r="CR66" s="958"/>
      <c r="CS66" s="958"/>
      <c r="CT66" s="958"/>
      <c r="CU66" s="958"/>
      <c r="CV66" s="958"/>
      <c r="CW66" s="958"/>
      <c r="CX66" s="958"/>
      <c r="CY66" s="958"/>
      <c r="CZ66" s="958"/>
      <c r="DA66" s="958"/>
      <c r="DB66" s="958"/>
      <c r="DC66" s="958"/>
      <c r="DD66" s="958"/>
      <c r="DE66" s="958"/>
      <c r="DF66" s="958"/>
      <c r="DG66" s="958"/>
      <c r="DH66" s="958"/>
      <c r="DI66" s="958"/>
      <c r="DJ66" s="958"/>
      <c r="DK66" s="958"/>
      <c r="DL66" s="958"/>
      <c r="DM66" s="958"/>
      <c r="DN66" s="958"/>
      <c r="DO66" s="958"/>
      <c r="DP66" s="958"/>
      <c r="DQ66" s="958"/>
      <c r="DR66" s="958"/>
      <c r="DS66" s="958"/>
      <c r="DT66" s="958"/>
      <c r="DU66" s="958"/>
      <c r="DV66" s="958"/>
      <c r="DW66" s="958"/>
      <c r="DX66" s="958"/>
      <c r="DY66" s="958"/>
      <c r="DZ66" s="958"/>
      <c r="EA66" s="958"/>
      <c r="EB66" s="958"/>
      <c r="EC66" s="958"/>
      <c r="ED66" s="958"/>
      <c r="EE66" s="958"/>
      <c r="EF66" s="958"/>
      <c r="EG66" s="958"/>
      <c r="EH66" s="958"/>
      <c r="EI66" s="958"/>
      <c r="EJ66" s="958"/>
      <c r="EK66" s="958"/>
      <c r="EL66" s="958"/>
      <c r="EM66" s="958"/>
      <c r="EN66" s="958"/>
      <c r="EO66" s="958"/>
      <c r="EP66" s="958"/>
      <c r="EQ66" s="958"/>
      <c r="ER66" s="958"/>
      <c r="ES66" s="958"/>
      <c r="ET66" s="958"/>
      <c r="EU66" s="958"/>
      <c r="EV66" s="958"/>
      <c r="EW66" s="958"/>
      <c r="EX66" s="958"/>
      <c r="EY66" s="958"/>
      <c r="EZ66" s="958"/>
      <c r="FA66" s="958"/>
      <c r="FB66" s="958"/>
      <c r="FC66" s="958"/>
      <c r="FD66" s="958"/>
      <c r="FE66" s="958"/>
      <c r="FF66" s="958"/>
      <c r="FG66" s="958"/>
      <c r="FH66" s="958"/>
      <c r="FI66" s="958"/>
      <c r="FJ66" s="958"/>
      <c r="FK66" s="958"/>
      <c r="FL66" s="958"/>
      <c r="FM66" s="958"/>
      <c r="FN66" s="958"/>
      <c r="FO66" s="958"/>
      <c r="FP66" s="958"/>
      <c r="FQ66" s="958"/>
      <c r="FR66" s="958"/>
      <c r="FS66" s="958"/>
      <c r="FT66" s="958"/>
      <c r="FU66" s="958"/>
      <c r="FV66" s="958"/>
      <c r="FW66" s="958"/>
      <c r="FX66" s="958"/>
      <c r="FY66" s="958"/>
      <c r="FZ66" s="958"/>
      <c r="GA66" s="958"/>
      <c r="GB66" s="958"/>
      <c r="GC66" s="958"/>
      <c r="GD66" s="958"/>
      <c r="GE66" s="958"/>
      <c r="GF66" s="958"/>
      <c r="GG66" s="958"/>
      <c r="GH66" s="958"/>
      <c r="GI66" s="958"/>
      <c r="GJ66" s="958"/>
      <c r="GK66" s="958"/>
      <c r="GL66" s="958"/>
      <c r="GM66" s="958"/>
      <c r="GN66" s="958"/>
      <c r="GO66" s="958"/>
      <c r="GP66" s="958"/>
      <c r="GQ66" s="958"/>
      <c r="GR66" s="958"/>
      <c r="GS66" s="958"/>
      <c r="GT66" s="958"/>
      <c r="GU66" s="958"/>
      <c r="GV66" s="958"/>
      <c r="GW66" s="958"/>
      <c r="GX66" s="958"/>
      <c r="GY66" s="958"/>
      <c r="GZ66" s="958"/>
      <c r="HA66" s="958"/>
      <c r="HB66" s="958"/>
      <c r="HC66" s="958"/>
      <c r="HD66" s="958"/>
      <c r="HE66" s="958"/>
      <c r="HF66" s="958"/>
      <c r="HG66" s="958"/>
      <c r="HH66" s="958"/>
      <c r="HI66" s="958"/>
      <c r="HJ66" s="958"/>
      <c r="HK66" s="958"/>
      <c r="HL66" s="958"/>
      <c r="HM66" s="958"/>
      <c r="HN66" s="958"/>
      <c r="HO66" s="958"/>
      <c r="HP66" s="958"/>
      <c r="HQ66" s="958"/>
      <c r="HR66" s="958"/>
      <c r="HS66" s="958"/>
      <c r="HT66" s="958"/>
      <c r="HU66" s="958"/>
      <c r="HV66" s="958"/>
      <c r="HW66" s="958"/>
      <c r="HX66" s="958"/>
      <c r="HY66" s="958"/>
      <c r="HZ66" s="958"/>
      <c r="IA66" s="958"/>
      <c r="IB66" s="958"/>
      <c r="IC66" s="958"/>
      <c r="ID66" s="958"/>
      <c r="IE66" s="958"/>
      <c r="IF66" s="958"/>
      <c r="IG66" s="958"/>
      <c r="IH66" s="958"/>
      <c r="II66" s="958"/>
      <c r="IJ66" s="958"/>
      <c r="IK66" s="958"/>
      <c r="IL66" s="958"/>
      <c r="IM66" s="958"/>
      <c r="IN66" s="958"/>
      <c r="IO66" s="958"/>
      <c r="IP66" s="958"/>
      <c r="IQ66" s="958"/>
      <c r="IR66" s="958"/>
      <c r="IS66" s="958"/>
      <c r="IT66" s="958"/>
      <c r="IU66" s="958"/>
      <c r="IV66" s="958"/>
    </row>
    <row r="67" spans="1:256" ht="22.5" customHeight="1">
      <c r="A67" s="934" t="s">
        <v>868</v>
      </c>
      <c r="B67" s="935"/>
      <c r="C67" s="935"/>
      <c r="D67" s="935"/>
      <c r="E67" s="935"/>
      <c r="F67" s="941"/>
      <c r="G67" s="1016"/>
      <c r="H67" s="1016"/>
      <c r="I67" s="1016"/>
      <c r="J67" s="1014"/>
      <c r="K67" s="1023"/>
      <c r="L67" s="1023"/>
      <c r="M67" s="1023"/>
      <c r="N67" s="1023"/>
      <c r="O67" s="958"/>
      <c r="P67" s="958"/>
      <c r="Q67" s="958"/>
      <c r="R67" s="958"/>
      <c r="S67" s="958"/>
      <c r="T67" s="958"/>
      <c r="U67" s="958"/>
      <c r="V67" s="958"/>
      <c r="W67" s="958"/>
      <c r="X67" s="958"/>
      <c r="Y67" s="958"/>
      <c r="Z67" s="958"/>
      <c r="AA67" s="958"/>
      <c r="AB67" s="958"/>
      <c r="AC67" s="958"/>
      <c r="AD67" s="958"/>
      <c r="AE67" s="958"/>
      <c r="AF67" s="958"/>
      <c r="AG67" s="958"/>
      <c r="AH67" s="958"/>
      <c r="AI67" s="958"/>
      <c r="AJ67" s="958"/>
      <c r="AK67" s="958"/>
      <c r="AL67" s="958"/>
      <c r="AM67" s="958"/>
      <c r="AN67" s="958"/>
      <c r="AO67" s="958"/>
      <c r="AP67" s="958"/>
      <c r="AQ67" s="958"/>
      <c r="AR67" s="958"/>
      <c r="AS67" s="958"/>
      <c r="AT67" s="958"/>
      <c r="AU67" s="958"/>
      <c r="AV67" s="958"/>
      <c r="AW67" s="958"/>
      <c r="AX67" s="958"/>
      <c r="AY67" s="958"/>
      <c r="AZ67" s="958"/>
      <c r="BA67" s="958"/>
      <c r="BB67" s="958"/>
      <c r="BC67" s="958"/>
      <c r="BD67" s="958"/>
      <c r="BE67" s="958"/>
      <c r="BF67" s="958"/>
      <c r="BG67" s="958"/>
      <c r="BH67" s="958"/>
      <c r="BI67" s="958"/>
      <c r="BJ67" s="958"/>
      <c r="BK67" s="958"/>
      <c r="BL67" s="958"/>
      <c r="BM67" s="958"/>
      <c r="BN67" s="958"/>
      <c r="BO67" s="958"/>
      <c r="BP67" s="958"/>
      <c r="BQ67" s="958"/>
      <c r="BR67" s="958"/>
      <c r="BS67" s="958"/>
      <c r="BT67" s="958"/>
      <c r="BU67" s="958"/>
      <c r="BV67" s="958"/>
      <c r="BW67" s="958"/>
      <c r="BX67" s="958"/>
      <c r="BY67" s="958"/>
      <c r="BZ67" s="958"/>
      <c r="CA67" s="958"/>
      <c r="CB67" s="958"/>
      <c r="CC67" s="958"/>
      <c r="CD67" s="958"/>
      <c r="CE67" s="958"/>
      <c r="CF67" s="958"/>
      <c r="CG67" s="958"/>
      <c r="CH67" s="958"/>
      <c r="CI67" s="958"/>
      <c r="CJ67" s="958"/>
      <c r="CK67" s="958"/>
      <c r="CL67" s="958"/>
      <c r="CM67" s="958"/>
      <c r="CN67" s="958"/>
      <c r="CO67" s="958"/>
      <c r="CP67" s="958"/>
      <c r="CQ67" s="958"/>
      <c r="CR67" s="958"/>
      <c r="CS67" s="958"/>
      <c r="CT67" s="958"/>
      <c r="CU67" s="958"/>
      <c r="CV67" s="958"/>
      <c r="CW67" s="958"/>
      <c r="CX67" s="958"/>
      <c r="CY67" s="958"/>
      <c r="CZ67" s="958"/>
      <c r="DA67" s="958"/>
      <c r="DB67" s="958"/>
      <c r="DC67" s="958"/>
      <c r="DD67" s="958"/>
      <c r="DE67" s="958"/>
      <c r="DF67" s="958"/>
      <c r="DG67" s="958"/>
      <c r="DH67" s="958"/>
      <c r="DI67" s="958"/>
      <c r="DJ67" s="958"/>
      <c r="DK67" s="958"/>
      <c r="DL67" s="958"/>
      <c r="DM67" s="958"/>
      <c r="DN67" s="958"/>
      <c r="DO67" s="958"/>
      <c r="DP67" s="958"/>
      <c r="DQ67" s="958"/>
      <c r="DR67" s="958"/>
      <c r="DS67" s="958"/>
      <c r="DT67" s="958"/>
      <c r="DU67" s="958"/>
      <c r="DV67" s="958"/>
      <c r="DW67" s="958"/>
      <c r="DX67" s="958"/>
      <c r="DY67" s="958"/>
      <c r="DZ67" s="958"/>
      <c r="EA67" s="958"/>
      <c r="EB67" s="958"/>
      <c r="EC67" s="958"/>
      <c r="ED67" s="958"/>
      <c r="EE67" s="958"/>
      <c r="EF67" s="958"/>
      <c r="EG67" s="958"/>
      <c r="EH67" s="958"/>
      <c r="EI67" s="958"/>
      <c r="EJ67" s="958"/>
      <c r="EK67" s="958"/>
      <c r="EL67" s="958"/>
      <c r="EM67" s="958"/>
      <c r="EN67" s="958"/>
      <c r="EO67" s="958"/>
      <c r="EP67" s="958"/>
      <c r="EQ67" s="958"/>
      <c r="ER67" s="958"/>
      <c r="ES67" s="958"/>
      <c r="ET67" s="958"/>
      <c r="EU67" s="958"/>
      <c r="EV67" s="958"/>
      <c r="EW67" s="958"/>
      <c r="EX67" s="958"/>
      <c r="EY67" s="958"/>
      <c r="EZ67" s="958"/>
      <c r="FA67" s="958"/>
      <c r="FB67" s="958"/>
      <c r="FC67" s="958"/>
      <c r="FD67" s="958"/>
      <c r="FE67" s="958"/>
      <c r="FF67" s="958"/>
      <c r="FG67" s="958"/>
      <c r="FH67" s="958"/>
      <c r="FI67" s="958"/>
      <c r="FJ67" s="958"/>
      <c r="FK67" s="958"/>
      <c r="FL67" s="958"/>
      <c r="FM67" s="958"/>
      <c r="FN67" s="958"/>
      <c r="FO67" s="958"/>
      <c r="FP67" s="958"/>
      <c r="FQ67" s="958"/>
      <c r="FR67" s="958"/>
      <c r="FS67" s="958"/>
      <c r="FT67" s="958"/>
      <c r="FU67" s="958"/>
      <c r="FV67" s="958"/>
      <c r="FW67" s="958"/>
      <c r="FX67" s="958"/>
      <c r="FY67" s="958"/>
      <c r="FZ67" s="958"/>
      <c r="GA67" s="958"/>
      <c r="GB67" s="958"/>
      <c r="GC67" s="958"/>
      <c r="GD67" s="958"/>
      <c r="GE67" s="958"/>
      <c r="GF67" s="958"/>
      <c r="GG67" s="958"/>
      <c r="GH67" s="958"/>
      <c r="GI67" s="958"/>
      <c r="GJ67" s="958"/>
      <c r="GK67" s="958"/>
      <c r="GL67" s="958"/>
      <c r="GM67" s="958"/>
      <c r="GN67" s="958"/>
      <c r="GO67" s="958"/>
      <c r="GP67" s="958"/>
      <c r="GQ67" s="958"/>
      <c r="GR67" s="958"/>
      <c r="GS67" s="958"/>
      <c r="GT67" s="958"/>
      <c r="GU67" s="958"/>
      <c r="GV67" s="958"/>
      <c r="GW67" s="958"/>
      <c r="GX67" s="958"/>
      <c r="GY67" s="958"/>
      <c r="GZ67" s="958"/>
      <c r="HA67" s="958"/>
      <c r="HB67" s="958"/>
      <c r="HC67" s="958"/>
      <c r="HD67" s="958"/>
      <c r="HE67" s="958"/>
      <c r="HF67" s="958"/>
      <c r="HG67" s="958"/>
      <c r="HH67" s="958"/>
      <c r="HI67" s="958"/>
      <c r="HJ67" s="958"/>
      <c r="HK67" s="958"/>
      <c r="HL67" s="958"/>
      <c r="HM67" s="958"/>
      <c r="HN67" s="958"/>
      <c r="HO67" s="958"/>
      <c r="HP67" s="958"/>
      <c r="HQ67" s="958"/>
      <c r="HR67" s="958"/>
      <c r="HS67" s="958"/>
      <c r="HT67" s="958"/>
      <c r="HU67" s="958"/>
      <c r="HV67" s="958"/>
      <c r="HW67" s="958"/>
      <c r="HX67" s="958"/>
      <c r="HY67" s="958"/>
      <c r="HZ67" s="958"/>
      <c r="IA67" s="958"/>
      <c r="IB67" s="958"/>
      <c r="IC67" s="958"/>
      <c r="ID67" s="958"/>
      <c r="IE67" s="958"/>
      <c r="IF67" s="958"/>
      <c r="IG67" s="958"/>
      <c r="IH67" s="958"/>
      <c r="II67" s="958"/>
      <c r="IJ67" s="958"/>
      <c r="IK67" s="958"/>
      <c r="IL67" s="958"/>
      <c r="IM67" s="958"/>
      <c r="IN67" s="958"/>
      <c r="IO67" s="958"/>
      <c r="IP67" s="958"/>
      <c r="IQ67" s="958"/>
      <c r="IR67" s="958"/>
      <c r="IS67" s="958"/>
      <c r="IT67" s="958"/>
      <c r="IU67" s="958"/>
      <c r="IV67" s="958"/>
    </row>
    <row r="68" spans="1:256" ht="12.75" customHeight="1">
      <c r="A68" s="944"/>
      <c r="B68" s="944"/>
      <c r="C68" s="944"/>
      <c r="D68" s="951"/>
      <c r="E68" s="946"/>
      <c r="F68" s="947"/>
      <c r="G68" s="1021"/>
      <c r="H68" s="949"/>
      <c r="I68" s="949"/>
      <c r="K68" s="949"/>
      <c r="M68" s="949"/>
      <c r="N68" s="949" t="s">
        <v>124</v>
      </c>
      <c r="O68" s="958"/>
      <c r="P68" s="958"/>
      <c r="Q68" s="958"/>
      <c r="R68" s="958"/>
      <c r="S68" s="958"/>
      <c r="T68" s="958"/>
      <c r="U68" s="958"/>
      <c r="V68" s="958"/>
      <c r="W68" s="958"/>
      <c r="X68" s="958"/>
      <c r="Y68" s="958"/>
      <c r="Z68" s="958"/>
      <c r="AA68" s="958"/>
      <c r="AB68" s="958"/>
      <c r="AC68" s="958"/>
      <c r="AD68" s="958"/>
      <c r="AE68" s="958"/>
      <c r="AF68" s="958"/>
      <c r="AG68" s="958"/>
      <c r="AH68" s="958"/>
      <c r="AI68" s="958"/>
      <c r="AJ68" s="958"/>
      <c r="AK68" s="958"/>
      <c r="AL68" s="958"/>
      <c r="AM68" s="958"/>
      <c r="AN68" s="958"/>
      <c r="AO68" s="958"/>
      <c r="AP68" s="958"/>
      <c r="AQ68" s="958"/>
      <c r="AR68" s="958"/>
      <c r="AS68" s="958"/>
      <c r="AT68" s="958"/>
      <c r="AU68" s="958"/>
      <c r="AV68" s="958"/>
      <c r="AW68" s="958"/>
      <c r="AX68" s="958"/>
      <c r="AY68" s="958"/>
      <c r="AZ68" s="958"/>
      <c r="BA68" s="958"/>
      <c r="BB68" s="958"/>
      <c r="BC68" s="958"/>
      <c r="BD68" s="958"/>
      <c r="BE68" s="958"/>
      <c r="BF68" s="958"/>
      <c r="BG68" s="958"/>
      <c r="BH68" s="958"/>
      <c r="BI68" s="958"/>
      <c r="BJ68" s="958"/>
      <c r="BK68" s="958"/>
      <c r="BL68" s="958"/>
      <c r="BM68" s="958"/>
      <c r="BN68" s="958"/>
      <c r="BO68" s="958"/>
      <c r="BP68" s="958"/>
      <c r="BQ68" s="958"/>
      <c r="BR68" s="958"/>
      <c r="BS68" s="958"/>
      <c r="BT68" s="958"/>
      <c r="BU68" s="958"/>
      <c r="BV68" s="958"/>
      <c r="BW68" s="958"/>
      <c r="BX68" s="958"/>
      <c r="BY68" s="958"/>
      <c r="BZ68" s="958"/>
      <c r="CA68" s="958"/>
      <c r="CB68" s="958"/>
      <c r="CC68" s="958"/>
      <c r="CD68" s="958"/>
      <c r="CE68" s="958"/>
      <c r="CF68" s="958"/>
      <c r="CG68" s="958"/>
      <c r="CH68" s="958"/>
      <c r="CI68" s="958"/>
      <c r="CJ68" s="958"/>
      <c r="CK68" s="958"/>
      <c r="CL68" s="958"/>
      <c r="CM68" s="958"/>
      <c r="CN68" s="958"/>
      <c r="CO68" s="958"/>
      <c r="CP68" s="958"/>
      <c r="CQ68" s="958"/>
      <c r="CR68" s="958"/>
      <c r="CS68" s="958"/>
      <c r="CT68" s="958"/>
      <c r="CU68" s="958"/>
      <c r="CV68" s="958"/>
      <c r="CW68" s="958"/>
      <c r="CX68" s="958"/>
      <c r="CY68" s="958"/>
      <c r="CZ68" s="958"/>
      <c r="DA68" s="958"/>
      <c r="DB68" s="958"/>
      <c r="DC68" s="958"/>
      <c r="DD68" s="958"/>
      <c r="DE68" s="958"/>
      <c r="DF68" s="958"/>
      <c r="DG68" s="958"/>
      <c r="DH68" s="958"/>
      <c r="DI68" s="958"/>
      <c r="DJ68" s="958"/>
      <c r="DK68" s="958"/>
      <c r="DL68" s="958"/>
      <c r="DM68" s="958"/>
      <c r="DN68" s="958"/>
      <c r="DO68" s="958"/>
      <c r="DP68" s="958"/>
      <c r="DQ68" s="958"/>
      <c r="DR68" s="958"/>
      <c r="DS68" s="958"/>
      <c r="DT68" s="958"/>
      <c r="DU68" s="958"/>
      <c r="DV68" s="958"/>
      <c r="DW68" s="958"/>
      <c r="DX68" s="958"/>
      <c r="DY68" s="958"/>
      <c r="DZ68" s="958"/>
      <c r="EA68" s="958"/>
      <c r="EB68" s="958"/>
      <c r="EC68" s="958"/>
      <c r="ED68" s="958"/>
      <c r="EE68" s="958"/>
      <c r="EF68" s="958"/>
      <c r="EG68" s="958"/>
      <c r="EH68" s="958"/>
      <c r="EI68" s="958"/>
      <c r="EJ68" s="958"/>
      <c r="EK68" s="958"/>
      <c r="EL68" s="958"/>
      <c r="EM68" s="958"/>
      <c r="EN68" s="958"/>
      <c r="EO68" s="958"/>
      <c r="EP68" s="958"/>
      <c r="EQ68" s="958"/>
      <c r="ER68" s="958"/>
      <c r="ES68" s="958"/>
      <c r="ET68" s="958"/>
      <c r="EU68" s="958"/>
      <c r="EV68" s="958"/>
      <c r="EW68" s="958"/>
      <c r="EX68" s="958"/>
      <c r="EY68" s="958"/>
      <c r="EZ68" s="958"/>
      <c r="FA68" s="958"/>
      <c r="FB68" s="958"/>
      <c r="FC68" s="958"/>
      <c r="FD68" s="958"/>
      <c r="FE68" s="958"/>
      <c r="FF68" s="958"/>
      <c r="FG68" s="958"/>
      <c r="FH68" s="958"/>
      <c r="FI68" s="958"/>
      <c r="FJ68" s="958"/>
      <c r="FK68" s="958"/>
      <c r="FL68" s="958"/>
      <c r="FM68" s="958"/>
      <c r="FN68" s="958"/>
      <c r="FO68" s="958"/>
      <c r="FP68" s="958"/>
      <c r="FQ68" s="958"/>
      <c r="FR68" s="958"/>
      <c r="FS68" s="958"/>
      <c r="FT68" s="958"/>
      <c r="FU68" s="958"/>
      <c r="FV68" s="958"/>
      <c r="FW68" s="958"/>
      <c r="FX68" s="958"/>
      <c r="FY68" s="958"/>
      <c r="FZ68" s="958"/>
      <c r="GA68" s="958"/>
      <c r="GB68" s="958"/>
      <c r="GC68" s="958"/>
      <c r="GD68" s="958"/>
      <c r="GE68" s="958"/>
      <c r="GF68" s="958"/>
      <c r="GG68" s="958"/>
      <c r="GH68" s="958"/>
      <c r="GI68" s="958"/>
      <c r="GJ68" s="958"/>
      <c r="GK68" s="958"/>
      <c r="GL68" s="958"/>
      <c r="GM68" s="958"/>
      <c r="GN68" s="958"/>
      <c r="GO68" s="958"/>
      <c r="GP68" s="958"/>
      <c r="GQ68" s="958"/>
      <c r="GR68" s="958"/>
      <c r="GS68" s="958"/>
      <c r="GT68" s="958"/>
      <c r="GU68" s="958"/>
      <c r="GV68" s="958"/>
      <c r="GW68" s="958"/>
      <c r="GX68" s="958"/>
      <c r="GY68" s="958"/>
      <c r="GZ68" s="958"/>
      <c r="HA68" s="958"/>
      <c r="HB68" s="958"/>
      <c r="HC68" s="958"/>
      <c r="HD68" s="958"/>
      <c r="HE68" s="958"/>
      <c r="HF68" s="958"/>
      <c r="HG68" s="958"/>
      <c r="HH68" s="958"/>
      <c r="HI68" s="958"/>
      <c r="HJ68" s="958"/>
      <c r="HK68" s="958"/>
      <c r="HL68" s="958"/>
      <c r="HM68" s="958"/>
      <c r="HN68" s="958"/>
      <c r="HO68" s="958"/>
      <c r="HP68" s="958"/>
      <c r="HQ68" s="958"/>
      <c r="HR68" s="958"/>
      <c r="HS68" s="958"/>
      <c r="HT68" s="958"/>
      <c r="HU68" s="958"/>
      <c r="HV68" s="958"/>
      <c r="HW68" s="958"/>
      <c r="HX68" s="958"/>
      <c r="HY68" s="958"/>
      <c r="HZ68" s="958"/>
      <c r="IA68" s="958"/>
      <c r="IB68" s="958"/>
      <c r="IC68" s="958"/>
      <c r="ID68" s="958"/>
      <c r="IE68" s="958"/>
      <c r="IF68" s="958"/>
      <c r="IG68" s="958"/>
      <c r="IH68" s="958"/>
      <c r="II68" s="958"/>
      <c r="IJ68" s="958"/>
      <c r="IK68" s="958"/>
      <c r="IL68" s="958"/>
      <c r="IM68" s="958"/>
      <c r="IN68" s="958"/>
      <c r="IO68" s="958"/>
      <c r="IP68" s="958"/>
      <c r="IQ68" s="958"/>
      <c r="IR68" s="958"/>
      <c r="IS68" s="958"/>
      <c r="IT68" s="958"/>
      <c r="IU68" s="958"/>
      <c r="IV68" s="958"/>
    </row>
    <row r="69" spans="1:256" ht="11.25" customHeight="1" thickBot="1">
      <c r="A69" s="944"/>
      <c r="B69" s="944"/>
      <c r="C69" s="944"/>
      <c r="D69" s="951"/>
      <c r="E69" s="946"/>
      <c r="F69" s="947"/>
      <c r="G69" s="1025"/>
      <c r="H69" s="953"/>
      <c r="I69" s="953"/>
      <c r="K69" s="953"/>
      <c r="M69" s="954"/>
      <c r="N69" s="954" t="s">
        <v>837</v>
      </c>
      <c r="O69" s="958"/>
      <c r="P69" s="958"/>
      <c r="Q69" s="958"/>
      <c r="R69" s="958"/>
      <c r="S69" s="958"/>
      <c r="T69" s="958"/>
      <c r="U69" s="958"/>
      <c r="V69" s="958"/>
      <c r="W69" s="958"/>
      <c r="X69" s="958"/>
      <c r="Y69" s="958"/>
      <c r="Z69" s="958"/>
      <c r="AA69" s="958"/>
      <c r="AB69" s="958"/>
      <c r="AC69" s="958"/>
      <c r="AD69" s="958"/>
      <c r="AE69" s="958"/>
      <c r="AF69" s="958"/>
      <c r="AG69" s="958"/>
      <c r="AH69" s="958"/>
      <c r="AI69" s="958"/>
      <c r="AJ69" s="958"/>
      <c r="AK69" s="958"/>
      <c r="AL69" s="958"/>
      <c r="AM69" s="958"/>
      <c r="AN69" s="958"/>
      <c r="AO69" s="958"/>
      <c r="AP69" s="958"/>
      <c r="AQ69" s="958"/>
      <c r="AR69" s="958"/>
      <c r="AS69" s="958"/>
      <c r="AT69" s="958"/>
      <c r="AU69" s="958"/>
      <c r="AV69" s="958"/>
      <c r="AW69" s="958"/>
      <c r="AX69" s="958"/>
      <c r="AY69" s="958"/>
      <c r="AZ69" s="958"/>
      <c r="BA69" s="958"/>
      <c r="BB69" s="958"/>
      <c r="BC69" s="958"/>
      <c r="BD69" s="958"/>
      <c r="BE69" s="958"/>
      <c r="BF69" s="958"/>
      <c r="BG69" s="958"/>
      <c r="BH69" s="958"/>
      <c r="BI69" s="958"/>
      <c r="BJ69" s="958"/>
      <c r="BK69" s="958"/>
      <c r="BL69" s="958"/>
      <c r="BM69" s="958"/>
      <c r="BN69" s="958"/>
      <c r="BO69" s="958"/>
      <c r="BP69" s="958"/>
      <c r="BQ69" s="958"/>
      <c r="BR69" s="958"/>
      <c r="BS69" s="958"/>
      <c r="BT69" s="958"/>
      <c r="BU69" s="958"/>
      <c r="BV69" s="958"/>
      <c r="BW69" s="958"/>
      <c r="BX69" s="958"/>
      <c r="BY69" s="958"/>
      <c r="BZ69" s="958"/>
      <c r="CA69" s="958"/>
      <c r="CB69" s="958"/>
      <c r="CC69" s="958"/>
      <c r="CD69" s="958"/>
      <c r="CE69" s="958"/>
      <c r="CF69" s="958"/>
      <c r="CG69" s="958"/>
      <c r="CH69" s="958"/>
      <c r="CI69" s="958"/>
      <c r="CJ69" s="958"/>
      <c r="CK69" s="958"/>
      <c r="CL69" s="958"/>
      <c r="CM69" s="958"/>
      <c r="CN69" s="958"/>
      <c r="CO69" s="958"/>
      <c r="CP69" s="958"/>
      <c r="CQ69" s="958"/>
      <c r="CR69" s="958"/>
      <c r="CS69" s="958"/>
      <c r="CT69" s="958"/>
      <c r="CU69" s="958"/>
      <c r="CV69" s="958"/>
      <c r="CW69" s="958"/>
      <c r="CX69" s="958"/>
      <c r="CY69" s="958"/>
      <c r="CZ69" s="958"/>
      <c r="DA69" s="958"/>
      <c r="DB69" s="958"/>
      <c r="DC69" s="958"/>
      <c r="DD69" s="958"/>
      <c r="DE69" s="958"/>
      <c r="DF69" s="958"/>
      <c r="DG69" s="958"/>
      <c r="DH69" s="958"/>
      <c r="DI69" s="958"/>
      <c r="DJ69" s="958"/>
      <c r="DK69" s="958"/>
      <c r="DL69" s="958"/>
      <c r="DM69" s="958"/>
      <c r="DN69" s="958"/>
      <c r="DO69" s="958"/>
      <c r="DP69" s="958"/>
      <c r="DQ69" s="958"/>
      <c r="DR69" s="958"/>
      <c r="DS69" s="958"/>
      <c r="DT69" s="958"/>
      <c r="DU69" s="958"/>
      <c r="DV69" s="958"/>
      <c r="DW69" s="958"/>
      <c r="DX69" s="958"/>
      <c r="DY69" s="958"/>
      <c r="DZ69" s="958"/>
      <c r="EA69" s="958"/>
      <c r="EB69" s="958"/>
      <c r="EC69" s="958"/>
      <c r="ED69" s="958"/>
      <c r="EE69" s="958"/>
      <c r="EF69" s="958"/>
      <c r="EG69" s="958"/>
      <c r="EH69" s="958"/>
      <c r="EI69" s="958"/>
      <c r="EJ69" s="958"/>
      <c r="EK69" s="958"/>
      <c r="EL69" s="958"/>
      <c r="EM69" s="958"/>
      <c r="EN69" s="958"/>
      <c r="EO69" s="958"/>
      <c r="EP69" s="958"/>
      <c r="EQ69" s="958"/>
      <c r="ER69" s="958"/>
      <c r="ES69" s="958"/>
      <c r="ET69" s="958"/>
      <c r="EU69" s="958"/>
      <c r="EV69" s="958"/>
      <c r="EW69" s="958"/>
      <c r="EX69" s="958"/>
      <c r="EY69" s="958"/>
      <c r="EZ69" s="958"/>
      <c r="FA69" s="958"/>
      <c r="FB69" s="958"/>
      <c r="FC69" s="958"/>
      <c r="FD69" s="958"/>
      <c r="FE69" s="958"/>
      <c r="FF69" s="958"/>
      <c r="FG69" s="958"/>
      <c r="FH69" s="958"/>
      <c r="FI69" s="958"/>
      <c r="FJ69" s="958"/>
      <c r="FK69" s="958"/>
      <c r="FL69" s="958"/>
      <c r="FM69" s="958"/>
      <c r="FN69" s="958"/>
      <c r="FO69" s="958"/>
      <c r="FP69" s="958"/>
      <c r="FQ69" s="958"/>
      <c r="FR69" s="958"/>
      <c r="FS69" s="958"/>
      <c r="FT69" s="958"/>
      <c r="FU69" s="958"/>
      <c r="FV69" s="958"/>
      <c r="FW69" s="958"/>
      <c r="FX69" s="958"/>
      <c r="FY69" s="958"/>
      <c r="FZ69" s="958"/>
      <c r="GA69" s="958"/>
      <c r="GB69" s="958"/>
      <c r="GC69" s="958"/>
      <c r="GD69" s="958"/>
      <c r="GE69" s="958"/>
      <c r="GF69" s="958"/>
      <c r="GG69" s="958"/>
      <c r="GH69" s="958"/>
      <c r="GI69" s="958"/>
      <c r="GJ69" s="958"/>
      <c r="GK69" s="958"/>
      <c r="GL69" s="958"/>
      <c r="GM69" s="958"/>
      <c r="GN69" s="958"/>
      <c r="GO69" s="958"/>
      <c r="GP69" s="958"/>
      <c r="GQ69" s="958"/>
      <c r="GR69" s="958"/>
      <c r="GS69" s="958"/>
      <c r="GT69" s="958"/>
      <c r="GU69" s="958"/>
      <c r="GV69" s="958"/>
      <c r="GW69" s="958"/>
      <c r="GX69" s="958"/>
      <c r="GY69" s="958"/>
      <c r="GZ69" s="958"/>
      <c r="HA69" s="958"/>
      <c r="HB69" s="958"/>
      <c r="HC69" s="958"/>
      <c r="HD69" s="958"/>
      <c r="HE69" s="958"/>
      <c r="HF69" s="958"/>
      <c r="HG69" s="958"/>
      <c r="HH69" s="958"/>
      <c r="HI69" s="958"/>
      <c r="HJ69" s="958"/>
      <c r="HK69" s="958"/>
      <c r="HL69" s="958"/>
      <c r="HM69" s="958"/>
      <c r="HN69" s="958"/>
      <c r="HO69" s="958"/>
      <c r="HP69" s="958"/>
      <c r="HQ69" s="958"/>
      <c r="HR69" s="958"/>
      <c r="HS69" s="958"/>
      <c r="HT69" s="958"/>
      <c r="HU69" s="958"/>
      <c r="HV69" s="958"/>
      <c r="HW69" s="958"/>
      <c r="HX69" s="958"/>
      <c r="HY69" s="958"/>
      <c r="HZ69" s="958"/>
      <c r="IA69" s="958"/>
      <c r="IB69" s="958"/>
      <c r="IC69" s="958"/>
      <c r="ID69" s="958"/>
      <c r="IE69" s="958"/>
      <c r="IF69" s="958"/>
      <c r="IG69" s="958"/>
      <c r="IH69" s="958"/>
      <c r="II69" s="958"/>
      <c r="IJ69" s="958"/>
      <c r="IK69" s="958"/>
      <c r="IL69" s="958"/>
      <c r="IM69" s="958"/>
      <c r="IN69" s="958"/>
      <c r="IO69" s="958"/>
      <c r="IP69" s="958"/>
      <c r="IQ69" s="958"/>
      <c r="IR69" s="958"/>
      <c r="IS69" s="958"/>
      <c r="IT69" s="958"/>
      <c r="IU69" s="958"/>
      <c r="IV69" s="958"/>
    </row>
    <row r="70" spans="1:256" s="1027" customFormat="1" ht="13.5" customHeight="1" thickTop="1">
      <c r="A70" s="955"/>
      <c r="B70" s="956">
        <v>1996</v>
      </c>
      <c r="C70" s="956">
        <v>1997</v>
      </c>
      <c r="D70" s="956">
        <v>1998</v>
      </c>
      <c r="E70" s="956">
        <v>1999</v>
      </c>
      <c r="F70" s="956">
        <v>2000</v>
      </c>
      <c r="G70" s="956">
        <v>2001</v>
      </c>
      <c r="H70" s="956">
        <v>2002</v>
      </c>
      <c r="I70" s="956">
        <v>2003</v>
      </c>
      <c r="J70" s="956">
        <v>2004</v>
      </c>
      <c r="K70" s="956">
        <v>2005</v>
      </c>
      <c r="L70" s="956">
        <v>2006</v>
      </c>
      <c r="M70" s="957">
        <v>2007</v>
      </c>
      <c r="N70" s="957">
        <v>2008</v>
      </c>
      <c r="O70" s="1026"/>
      <c r="P70" s="1026"/>
      <c r="Q70" s="1026"/>
      <c r="R70" s="1026"/>
      <c r="S70" s="1026"/>
      <c r="T70" s="1026"/>
      <c r="U70" s="1026"/>
      <c r="V70" s="1026"/>
      <c r="W70" s="1026"/>
      <c r="X70" s="1026"/>
      <c r="Y70" s="1026"/>
      <c r="Z70" s="1026"/>
      <c r="AA70" s="1026"/>
      <c r="AB70" s="1026"/>
      <c r="AC70" s="1026"/>
      <c r="AD70" s="1026"/>
      <c r="AE70" s="1026"/>
      <c r="AF70" s="1026"/>
      <c r="AG70" s="1026"/>
      <c r="AH70" s="1026"/>
      <c r="AI70" s="1026"/>
      <c r="AJ70" s="1026"/>
      <c r="AK70" s="1026"/>
      <c r="AL70" s="1026"/>
      <c r="AM70" s="1026"/>
      <c r="AN70" s="1026"/>
      <c r="AO70" s="1026"/>
      <c r="AP70" s="1026"/>
      <c r="AQ70" s="1026"/>
      <c r="AR70" s="1026"/>
      <c r="AS70" s="1026"/>
      <c r="AT70" s="1026"/>
      <c r="AU70" s="1026"/>
      <c r="AV70" s="1026"/>
      <c r="AW70" s="1026"/>
      <c r="AX70" s="1026"/>
      <c r="AY70" s="1026"/>
      <c r="AZ70" s="1026"/>
      <c r="BA70" s="1026"/>
      <c r="BB70" s="1026"/>
      <c r="BC70" s="1026"/>
      <c r="BD70" s="1026"/>
      <c r="BE70" s="1026"/>
      <c r="BF70" s="1026"/>
      <c r="BG70" s="1026"/>
      <c r="BH70" s="1026"/>
      <c r="BI70" s="1026"/>
      <c r="BJ70" s="1026"/>
      <c r="BK70" s="1026"/>
      <c r="BL70" s="1026"/>
      <c r="BM70" s="1026"/>
      <c r="BN70" s="1026"/>
      <c r="BO70" s="1026"/>
      <c r="BP70" s="1026"/>
      <c r="BQ70" s="1026"/>
      <c r="BR70" s="1026"/>
      <c r="BS70" s="1026"/>
      <c r="BT70" s="1026"/>
      <c r="BU70" s="1026"/>
      <c r="BV70" s="1026"/>
      <c r="BW70" s="1026"/>
      <c r="BX70" s="1026"/>
      <c r="BY70" s="1026"/>
      <c r="BZ70" s="1026"/>
      <c r="CA70" s="1026"/>
      <c r="CB70" s="1026"/>
      <c r="CC70" s="1026"/>
      <c r="CD70" s="1026"/>
      <c r="CE70" s="1026"/>
      <c r="CF70" s="1026"/>
      <c r="CG70" s="1026"/>
      <c r="CH70" s="1026"/>
      <c r="CI70" s="1026"/>
      <c r="CJ70" s="1026"/>
      <c r="CK70" s="1026"/>
      <c r="CL70" s="1026"/>
      <c r="CM70" s="1026"/>
      <c r="CN70" s="1026"/>
      <c r="CO70" s="1026"/>
      <c r="CP70" s="1026"/>
      <c r="CQ70" s="1026"/>
      <c r="CR70" s="1026"/>
      <c r="CS70" s="1026"/>
      <c r="CT70" s="1026"/>
      <c r="CU70" s="1026"/>
      <c r="CV70" s="1026"/>
      <c r="CW70" s="1026"/>
      <c r="CX70" s="1026"/>
      <c r="CY70" s="1026"/>
      <c r="CZ70" s="1026"/>
      <c r="DA70" s="1026"/>
      <c r="DB70" s="1026"/>
      <c r="DC70" s="1026"/>
      <c r="DD70" s="1026"/>
      <c r="DE70" s="1026"/>
      <c r="DF70" s="1026"/>
      <c r="DG70" s="1026"/>
      <c r="DH70" s="1026"/>
      <c r="DI70" s="1026"/>
      <c r="DJ70" s="1026"/>
      <c r="DK70" s="1026"/>
      <c r="DL70" s="1026"/>
      <c r="DM70" s="1026"/>
      <c r="DN70" s="1026"/>
      <c r="DO70" s="1026"/>
      <c r="DP70" s="1026"/>
      <c r="DQ70" s="1026"/>
      <c r="DR70" s="1026"/>
      <c r="DS70" s="1026"/>
      <c r="DT70" s="1026"/>
      <c r="DU70" s="1026"/>
      <c r="DV70" s="1026"/>
      <c r="DW70" s="1026"/>
      <c r="DX70" s="1026"/>
      <c r="DY70" s="1026"/>
      <c r="DZ70" s="1026"/>
      <c r="EA70" s="1026"/>
      <c r="EB70" s="1026"/>
      <c r="EC70" s="1026"/>
      <c r="ED70" s="1026"/>
      <c r="EE70" s="1026"/>
      <c r="EF70" s="1026"/>
      <c r="EG70" s="1026"/>
      <c r="EH70" s="1026"/>
      <c r="EI70" s="1026"/>
      <c r="EJ70" s="1026"/>
      <c r="EK70" s="1026"/>
      <c r="EL70" s="1026"/>
      <c r="EM70" s="1026"/>
      <c r="EN70" s="1026"/>
      <c r="EO70" s="1026"/>
      <c r="EP70" s="1026"/>
      <c r="EQ70" s="1026"/>
      <c r="ER70" s="1026"/>
      <c r="ES70" s="1026"/>
      <c r="ET70" s="1026"/>
      <c r="EU70" s="1026"/>
      <c r="EV70" s="1026"/>
      <c r="EW70" s="1026"/>
      <c r="EX70" s="1026"/>
      <c r="EY70" s="1026"/>
      <c r="EZ70" s="1026"/>
      <c r="FA70" s="1026"/>
      <c r="FB70" s="1026"/>
      <c r="FC70" s="1026"/>
      <c r="FD70" s="1026"/>
      <c r="FE70" s="1026"/>
      <c r="FF70" s="1026"/>
      <c r="FG70" s="1026"/>
      <c r="FH70" s="1026"/>
      <c r="FI70" s="1026"/>
      <c r="FJ70" s="1026"/>
      <c r="FK70" s="1026"/>
      <c r="FL70" s="1026"/>
      <c r="FM70" s="1026"/>
      <c r="FN70" s="1026"/>
      <c r="FO70" s="1026"/>
      <c r="FP70" s="1026"/>
      <c r="FQ70" s="1026"/>
      <c r="FR70" s="1026"/>
      <c r="FS70" s="1026"/>
      <c r="FT70" s="1026"/>
      <c r="FU70" s="1026"/>
      <c r="FV70" s="1026"/>
      <c r="FW70" s="1026"/>
      <c r="FX70" s="1026"/>
      <c r="FY70" s="1026"/>
      <c r="FZ70" s="1026"/>
      <c r="GA70" s="1026"/>
      <c r="GB70" s="1026"/>
      <c r="GC70" s="1026"/>
      <c r="GD70" s="1026"/>
      <c r="GE70" s="1026"/>
      <c r="GF70" s="1026"/>
      <c r="GG70" s="1026"/>
      <c r="GH70" s="1026"/>
      <c r="GI70" s="1026"/>
      <c r="GJ70" s="1026"/>
      <c r="GK70" s="1026"/>
      <c r="GL70" s="1026"/>
      <c r="GM70" s="1026"/>
      <c r="GN70" s="1026"/>
      <c r="GO70" s="1026"/>
      <c r="GP70" s="1026"/>
      <c r="GQ70" s="1026"/>
      <c r="GR70" s="1026"/>
      <c r="GS70" s="1026"/>
      <c r="GT70" s="1026"/>
      <c r="GU70" s="1026"/>
      <c r="GV70" s="1026"/>
      <c r="GW70" s="1026"/>
      <c r="GX70" s="1026"/>
      <c r="GY70" s="1026"/>
      <c r="GZ70" s="1026"/>
      <c r="HA70" s="1026"/>
      <c r="HB70" s="1026"/>
      <c r="HC70" s="1026"/>
      <c r="HD70" s="1026"/>
      <c r="HE70" s="1026"/>
      <c r="HF70" s="1026"/>
      <c r="HG70" s="1026"/>
      <c r="HH70" s="1026"/>
      <c r="HI70" s="1026"/>
      <c r="HJ70" s="1026"/>
      <c r="HK70" s="1026"/>
      <c r="HL70" s="1026"/>
      <c r="HM70" s="1026"/>
      <c r="HN70" s="1026"/>
      <c r="HO70" s="1026"/>
      <c r="HP70" s="1026"/>
      <c r="HQ70" s="1026"/>
      <c r="HR70" s="1026"/>
      <c r="HS70" s="1026"/>
      <c r="HT70" s="1026"/>
      <c r="HU70" s="1026"/>
      <c r="HV70" s="1026"/>
      <c r="HW70" s="1026"/>
      <c r="HX70" s="1026"/>
      <c r="HY70" s="1026"/>
      <c r="HZ70" s="1026"/>
      <c r="IA70" s="1026"/>
      <c r="IB70" s="1026"/>
      <c r="IC70" s="1026"/>
      <c r="ID70" s="1026"/>
      <c r="IE70" s="1026"/>
      <c r="IF70" s="1026"/>
      <c r="IG70" s="1026"/>
      <c r="IH70" s="1026"/>
      <c r="II70" s="1026"/>
      <c r="IJ70" s="1026"/>
      <c r="IK70" s="1026"/>
      <c r="IL70" s="1026"/>
      <c r="IM70" s="1026"/>
      <c r="IN70" s="1026"/>
      <c r="IO70" s="1026"/>
      <c r="IP70" s="1026"/>
      <c r="IQ70" s="1026"/>
      <c r="IR70" s="1026"/>
      <c r="IS70" s="1026"/>
      <c r="IT70" s="1026"/>
      <c r="IU70" s="1026"/>
      <c r="IV70" s="1026"/>
    </row>
    <row r="71" spans="1:256" s="966" customFormat="1" ht="11.25" customHeight="1">
      <c r="A71" s="959" t="s">
        <v>869</v>
      </c>
      <c r="B71" s="944"/>
      <c r="C71" s="944"/>
      <c r="D71" s="944"/>
      <c r="E71" s="944"/>
      <c r="F71" s="1028"/>
      <c r="G71" s="1028"/>
      <c r="H71" s="1028"/>
      <c r="I71" s="1028"/>
      <c r="J71" s="1028"/>
      <c r="K71" s="1029"/>
      <c r="L71" s="1029"/>
      <c r="M71" s="1030"/>
      <c r="N71" s="1030"/>
      <c r="O71" s="965"/>
      <c r="P71" s="965"/>
      <c r="Q71" s="965"/>
      <c r="R71" s="965"/>
      <c r="S71" s="965"/>
      <c r="T71" s="965"/>
      <c r="U71" s="965"/>
      <c r="V71" s="965"/>
      <c r="W71" s="965"/>
      <c r="X71" s="965"/>
      <c r="Y71" s="965"/>
      <c r="Z71" s="965"/>
      <c r="AA71" s="965"/>
      <c r="AB71" s="965"/>
      <c r="AC71" s="965"/>
      <c r="AD71" s="965"/>
      <c r="AE71" s="965"/>
      <c r="AF71" s="965"/>
      <c r="AG71" s="965"/>
      <c r="AH71" s="965"/>
      <c r="AI71" s="965"/>
      <c r="AJ71" s="965"/>
      <c r="AK71" s="965"/>
      <c r="AL71" s="965"/>
      <c r="AM71" s="965"/>
      <c r="AN71" s="965"/>
      <c r="AO71" s="965"/>
      <c r="AP71" s="965"/>
      <c r="AQ71" s="965"/>
      <c r="AR71" s="965"/>
      <c r="AS71" s="965"/>
      <c r="AT71" s="965"/>
      <c r="AU71" s="965"/>
      <c r="AV71" s="965"/>
      <c r="AW71" s="965"/>
      <c r="AX71" s="965"/>
      <c r="AY71" s="965"/>
      <c r="AZ71" s="965"/>
      <c r="BA71" s="965"/>
      <c r="BB71" s="965"/>
      <c r="BC71" s="965"/>
      <c r="BD71" s="965"/>
      <c r="BE71" s="965"/>
      <c r="BF71" s="965"/>
      <c r="BG71" s="965"/>
      <c r="BH71" s="965"/>
      <c r="BI71" s="965"/>
      <c r="BJ71" s="965"/>
      <c r="BK71" s="965"/>
      <c r="BL71" s="965"/>
      <c r="BM71" s="965"/>
      <c r="BN71" s="965"/>
      <c r="BO71" s="965"/>
      <c r="BP71" s="965"/>
      <c r="BQ71" s="965"/>
      <c r="BR71" s="965"/>
      <c r="BS71" s="965"/>
      <c r="BT71" s="965"/>
      <c r="BU71" s="965"/>
      <c r="BV71" s="965"/>
      <c r="BW71" s="965"/>
      <c r="BX71" s="965"/>
      <c r="BY71" s="965"/>
      <c r="BZ71" s="965"/>
      <c r="CA71" s="965"/>
      <c r="CB71" s="965"/>
      <c r="CC71" s="965"/>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c r="EC71" s="965"/>
      <c r="ED71" s="965"/>
      <c r="EE71" s="965"/>
      <c r="EF71" s="965"/>
      <c r="EG71" s="965"/>
      <c r="EH71" s="965"/>
      <c r="EI71" s="965"/>
      <c r="EJ71" s="965"/>
      <c r="EK71" s="965"/>
      <c r="EL71" s="965"/>
      <c r="EM71" s="965"/>
      <c r="EN71" s="965"/>
      <c r="EO71" s="965"/>
      <c r="EP71" s="965"/>
      <c r="EQ71" s="965"/>
      <c r="ER71" s="965"/>
      <c r="ES71" s="965"/>
      <c r="ET71" s="965"/>
      <c r="EU71" s="965"/>
      <c r="EV71" s="965"/>
      <c r="EW71" s="965"/>
      <c r="EX71" s="965"/>
      <c r="EY71" s="965"/>
      <c r="EZ71" s="965"/>
      <c r="FA71" s="965"/>
      <c r="FB71" s="965"/>
      <c r="FC71" s="965"/>
      <c r="FD71" s="965"/>
      <c r="FE71" s="965"/>
      <c r="FF71" s="965"/>
      <c r="FG71" s="965"/>
      <c r="FH71" s="965"/>
      <c r="FI71" s="965"/>
      <c r="FJ71" s="965"/>
      <c r="FK71" s="965"/>
      <c r="FL71" s="965"/>
      <c r="FM71" s="965"/>
      <c r="FN71" s="965"/>
      <c r="FO71" s="965"/>
      <c r="FP71" s="965"/>
      <c r="FQ71" s="965"/>
      <c r="FR71" s="965"/>
      <c r="FS71" s="965"/>
      <c r="FT71" s="965"/>
      <c r="FU71" s="965"/>
      <c r="FV71" s="965"/>
      <c r="FW71" s="965"/>
      <c r="FX71" s="965"/>
      <c r="FY71" s="965"/>
      <c r="FZ71" s="965"/>
      <c r="GA71" s="965"/>
      <c r="GB71" s="965"/>
      <c r="GC71" s="965"/>
      <c r="GD71" s="965"/>
      <c r="GE71" s="965"/>
      <c r="GF71" s="965"/>
      <c r="GG71" s="965"/>
      <c r="GH71" s="965"/>
      <c r="GI71" s="965"/>
      <c r="GJ71" s="965"/>
      <c r="GK71" s="965"/>
      <c r="GL71" s="965"/>
      <c r="GM71" s="965"/>
      <c r="GN71" s="965"/>
      <c r="GO71" s="965"/>
      <c r="GP71" s="965"/>
      <c r="GQ71" s="965"/>
      <c r="GR71" s="965"/>
      <c r="GS71" s="965"/>
      <c r="GT71" s="965"/>
      <c r="GU71" s="965"/>
      <c r="GV71" s="965"/>
      <c r="GW71" s="965"/>
      <c r="GX71" s="965"/>
      <c r="GY71" s="965"/>
      <c r="GZ71" s="965"/>
      <c r="HA71" s="965"/>
      <c r="HB71" s="965"/>
      <c r="HC71" s="965"/>
      <c r="HD71" s="965"/>
      <c r="HE71" s="965"/>
      <c r="HF71" s="965"/>
      <c r="HG71" s="965"/>
      <c r="HH71" s="965"/>
      <c r="HI71" s="965"/>
      <c r="HJ71" s="965"/>
      <c r="HK71" s="965"/>
      <c r="HL71" s="965"/>
      <c r="HM71" s="965"/>
      <c r="HN71" s="965"/>
      <c r="HO71" s="965"/>
      <c r="HP71" s="965"/>
      <c r="HQ71" s="965"/>
      <c r="HR71" s="965"/>
      <c r="HS71" s="965"/>
      <c r="HT71" s="965"/>
      <c r="HU71" s="965"/>
      <c r="HV71" s="965"/>
      <c r="HW71" s="965"/>
      <c r="HX71" s="965"/>
      <c r="HY71" s="965"/>
      <c r="HZ71" s="965"/>
      <c r="IA71" s="965"/>
      <c r="IB71" s="965"/>
      <c r="IC71" s="965"/>
      <c r="ID71" s="965"/>
      <c r="IE71" s="965"/>
      <c r="IF71" s="965"/>
      <c r="IG71" s="965"/>
      <c r="IH71" s="965"/>
      <c r="II71" s="965"/>
      <c r="IJ71" s="965"/>
      <c r="IK71" s="965"/>
      <c r="IL71" s="965"/>
      <c r="IM71" s="965"/>
      <c r="IN71" s="965"/>
      <c r="IO71" s="965"/>
      <c r="IP71" s="965"/>
      <c r="IQ71" s="965"/>
      <c r="IR71" s="965"/>
      <c r="IS71" s="965"/>
      <c r="IT71" s="965"/>
      <c r="IU71" s="965"/>
      <c r="IV71" s="965"/>
    </row>
    <row r="72" spans="1:256" ht="10.5" customHeight="1">
      <c r="A72" s="944" t="s">
        <v>452</v>
      </c>
      <c r="B72" s="1031">
        <v>94.9</v>
      </c>
      <c r="C72" s="1031">
        <v>83.7</v>
      </c>
      <c r="D72" s="1032">
        <v>82.3</v>
      </c>
      <c r="E72" s="1032">
        <v>73.599999999999994</v>
      </c>
      <c r="F72" s="1032">
        <v>51.6</v>
      </c>
      <c r="G72" s="1032">
        <v>44.9</v>
      </c>
      <c r="H72" s="1032">
        <v>39.700000000000003</v>
      </c>
      <c r="I72" s="1032">
        <v>32</v>
      </c>
      <c r="J72" s="1032">
        <v>25.1</v>
      </c>
      <c r="K72" s="1031">
        <v>24.8</v>
      </c>
      <c r="L72" s="1033">
        <v>53.9</v>
      </c>
      <c r="M72" s="1034">
        <v>40.9</v>
      </c>
      <c r="N72" s="1031">
        <v>27.2</v>
      </c>
      <c r="O72" s="958"/>
      <c r="P72" s="958"/>
      <c r="Q72" s="958"/>
      <c r="R72" s="958"/>
      <c r="S72" s="958"/>
      <c r="T72" s="958"/>
      <c r="U72" s="958"/>
      <c r="V72" s="958"/>
      <c r="W72" s="958"/>
      <c r="X72" s="958"/>
      <c r="Y72" s="958"/>
      <c r="Z72" s="958"/>
      <c r="AA72" s="958"/>
      <c r="AB72" s="958"/>
      <c r="AC72" s="958"/>
      <c r="AD72" s="958"/>
      <c r="AE72" s="958"/>
      <c r="AF72" s="958"/>
      <c r="AG72" s="958"/>
      <c r="AH72" s="958"/>
      <c r="AI72" s="958"/>
      <c r="AJ72" s="958"/>
      <c r="AK72" s="958"/>
      <c r="AL72" s="958"/>
      <c r="AM72" s="958"/>
      <c r="AN72" s="958"/>
      <c r="AO72" s="958"/>
      <c r="AP72" s="958"/>
      <c r="AQ72" s="958"/>
      <c r="AR72" s="958"/>
      <c r="AS72" s="958"/>
      <c r="AT72" s="958"/>
      <c r="AU72" s="958"/>
      <c r="AV72" s="958"/>
      <c r="AW72" s="958"/>
      <c r="AX72" s="958"/>
      <c r="AY72" s="958"/>
      <c r="AZ72" s="958"/>
      <c r="BA72" s="958"/>
      <c r="BB72" s="958"/>
      <c r="BC72" s="958"/>
      <c r="BD72" s="958"/>
      <c r="BE72" s="958"/>
      <c r="BF72" s="958"/>
      <c r="BG72" s="958"/>
      <c r="BH72" s="958"/>
      <c r="BI72" s="958"/>
      <c r="BJ72" s="958"/>
      <c r="BK72" s="958"/>
      <c r="BL72" s="958"/>
      <c r="BM72" s="958"/>
      <c r="BN72" s="958"/>
      <c r="BO72" s="958"/>
      <c r="BP72" s="958"/>
      <c r="BQ72" s="958"/>
      <c r="BR72" s="958"/>
      <c r="BS72" s="958"/>
      <c r="BT72" s="958"/>
      <c r="BU72" s="958"/>
      <c r="BV72" s="958"/>
      <c r="BW72" s="958"/>
      <c r="BX72" s="958"/>
      <c r="BY72" s="958"/>
      <c r="BZ72" s="958"/>
      <c r="CA72" s="958"/>
      <c r="CB72" s="958"/>
      <c r="CC72" s="958"/>
      <c r="CD72" s="958"/>
      <c r="CE72" s="958"/>
      <c r="CF72" s="958"/>
      <c r="CG72" s="958"/>
      <c r="CH72" s="958"/>
      <c r="CI72" s="958"/>
      <c r="CJ72" s="958"/>
      <c r="CK72" s="958"/>
      <c r="CL72" s="958"/>
      <c r="CM72" s="958"/>
      <c r="CN72" s="958"/>
      <c r="CO72" s="958"/>
      <c r="CP72" s="958"/>
      <c r="CQ72" s="958"/>
      <c r="CR72" s="958"/>
      <c r="CS72" s="958"/>
      <c r="CT72" s="958"/>
      <c r="CU72" s="958"/>
      <c r="CV72" s="958"/>
      <c r="CW72" s="958"/>
      <c r="CX72" s="958"/>
      <c r="CY72" s="958"/>
      <c r="CZ72" s="958"/>
      <c r="DA72" s="958"/>
      <c r="DB72" s="958"/>
      <c r="DC72" s="958"/>
      <c r="DD72" s="958"/>
      <c r="DE72" s="958"/>
      <c r="DF72" s="958"/>
      <c r="DG72" s="958"/>
      <c r="DH72" s="958"/>
      <c r="DI72" s="958"/>
      <c r="DJ72" s="958"/>
      <c r="DK72" s="958"/>
      <c r="DL72" s="958"/>
      <c r="DM72" s="958"/>
      <c r="DN72" s="958"/>
      <c r="DO72" s="958"/>
      <c r="DP72" s="958"/>
      <c r="DQ72" s="958"/>
      <c r="DR72" s="958"/>
      <c r="DS72" s="958"/>
      <c r="DT72" s="958"/>
      <c r="DU72" s="958"/>
      <c r="DV72" s="958"/>
      <c r="DW72" s="958"/>
      <c r="DX72" s="958"/>
      <c r="DY72" s="958"/>
      <c r="DZ72" s="958"/>
      <c r="EA72" s="958"/>
      <c r="EB72" s="958"/>
      <c r="EC72" s="958"/>
      <c r="ED72" s="958"/>
      <c r="EE72" s="958"/>
      <c r="EF72" s="958"/>
      <c r="EG72" s="958"/>
      <c r="EH72" s="958"/>
      <c r="EI72" s="958"/>
      <c r="EJ72" s="958"/>
      <c r="EK72" s="958"/>
      <c r="EL72" s="958"/>
      <c r="EM72" s="958"/>
      <c r="EN72" s="958"/>
      <c r="EO72" s="958"/>
      <c r="EP72" s="958"/>
      <c r="EQ72" s="958"/>
      <c r="ER72" s="958"/>
      <c r="ES72" s="958"/>
      <c r="ET72" s="958"/>
      <c r="EU72" s="958"/>
      <c r="EV72" s="958"/>
      <c r="EW72" s="958"/>
      <c r="EX72" s="958"/>
      <c r="EY72" s="958"/>
      <c r="EZ72" s="958"/>
      <c r="FA72" s="958"/>
      <c r="FB72" s="958"/>
      <c r="FC72" s="958"/>
      <c r="FD72" s="958"/>
      <c r="FE72" s="958"/>
      <c r="FF72" s="958"/>
      <c r="FG72" s="958"/>
      <c r="FH72" s="958"/>
      <c r="FI72" s="958"/>
      <c r="FJ72" s="958"/>
      <c r="FK72" s="958"/>
      <c r="FL72" s="958"/>
      <c r="FM72" s="958"/>
      <c r="FN72" s="958"/>
      <c r="FO72" s="958"/>
      <c r="FP72" s="958"/>
      <c r="FQ72" s="958"/>
      <c r="FR72" s="958"/>
      <c r="FS72" s="958"/>
      <c r="FT72" s="958"/>
      <c r="FU72" s="958"/>
      <c r="FV72" s="958"/>
      <c r="FW72" s="958"/>
      <c r="FX72" s="958"/>
      <c r="FY72" s="958"/>
      <c r="FZ72" s="958"/>
      <c r="GA72" s="958"/>
      <c r="GB72" s="958"/>
      <c r="GC72" s="958"/>
      <c r="GD72" s="958"/>
      <c r="GE72" s="958"/>
      <c r="GF72" s="958"/>
      <c r="GG72" s="958"/>
      <c r="GH72" s="958"/>
      <c r="GI72" s="958"/>
      <c r="GJ72" s="958"/>
      <c r="GK72" s="958"/>
      <c r="GL72" s="958"/>
      <c r="GM72" s="958"/>
      <c r="GN72" s="958"/>
      <c r="GO72" s="958"/>
      <c r="GP72" s="958"/>
      <c r="GQ72" s="958"/>
      <c r="GR72" s="958"/>
      <c r="GS72" s="958"/>
      <c r="GT72" s="958"/>
      <c r="GU72" s="958"/>
      <c r="GV72" s="958"/>
      <c r="GW72" s="958"/>
      <c r="GX72" s="958"/>
      <c r="GY72" s="958"/>
      <c r="GZ72" s="958"/>
      <c r="HA72" s="958"/>
      <c r="HB72" s="958"/>
      <c r="HC72" s="958"/>
      <c r="HD72" s="958"/>
      <c r="HE72" s="958"/>
      <c r="HF72" s="958"/>
      <c r="HG72" s="958"/>
      <c r="HH72" s="958"/>
      <c r="HI72" s="958"/>
      <c r="HJ72" s="958"/>
      <c r="HK72" s="958"/>
      <c r="HL72" s="958"/>
      <c r="HM72" s="958"/>
      <c r="HN72" s="958"/>
      <c r="HO72" s="958"/>
      <c r="HP72" s="958"/>
      <c r="HQ72" s="958"/>
      <c r="HR72" s="958"/>
      <c r="HS72" s="958"/>
      <c r="HT72" s="958"/>
      <c r="HU72" s="958"/>
      <c r="HV72" s="958"/>
      <c r="HW72" s="958"/>
      <c r="HX72" s="958"/>
      <c r="HY72" s="958"/>
      <c r="HZ72" s="958"/>
      <c r="IA72" s="958"/>
      <c r="IB72" s="958"/>
      <c r="IC72" s="958"/>
      <c r="ID72" s="958"/>
      <c r="IE72" s="958"/>
      <c r="IF72" s="958"/>
      <c r="IG72" s="958"/>
      <c r="IH72" s="958"/>
      <c r="II72" s="958"/>
      <c r="IJ72" s="958"/>
      <c r="IK72" s="958"/>
      <c r="IL72" s="958"/>
      <c r="IM72" s="958"/>
      <c r="IN72" s="958"/>
      <c r="IO72" s="958"/>
      <c r="IP72" s="958"/>
      <c r="IQ72" s="958"/>
      <c r="IR72" s="958"/>
      <c r="IS72" s="958"/>
      <c r="IT72" s="958"/>
      <c r="IU72" s="958"/>
      <c r="IV72" s="958"/>
    </row>
    <row r="73" spans="1:256" ht="10.5" customHeight="1">
      <c r="A73" s="944" t="s">
        <v>841</v>
      </c>
      <c r="B73" s="1031">
        <v>313.8</v>
      </c>
      <c r="C73" s="1031">
        <v>422.5</v>
      </c>
      <c r="D73" s="1032">
        <v>429.6</v>
      </c>
      <c r="E73" s="1032">
        <v>497.5</v>
      </c>
      <c r="F73" s="1032">
        <v>629.20000000000005</v>
      </c>
      <c r="G73" s="1032">
        <v>578.29999999999995</v>
      </c>
      <c r="H73" s="1032">
        <v>624.29999999999995</v>
      </c>
      <c r="I73" s="1032">
        <v>841.9</v>
      </c>
      <c r="J73" s="1032">
        <v>887.4</v>
      </c>
      <c r="K73" s="1031">
        <v>826.5</v>
      </c>
      <c r="L73" s="1034">
        <v>781</v>
      </c>
      <c r="M73" s="1034">
        <v>826.9</v>
      </c>
      <c r="N73" s="1031">
        <v>833.9</v>
      </c>
      <c r="O73" s="958"/>
      <c r="P73" s="958"/>
      <c r="Q73" s="958"/>
      <c r="R73" s="958"/>
      <c r="S73" s="958"/>
      <c r="T73" s="958"/>
      <c r="U73" s="958"/>
      <c r="V73" s="958"/>
      <c r="W73" s="958"/>
      <c r="X73" s="958"/>
      <c r="Y73" s="958"/>
      <c r="Z73" s="958"/>
      <c r="AA73" s="958"/>
      <c r="AB73" s="958"/>
      <c r="AC73" s="958"/>
      <c r="AD73" s="958"/>
      <c r="AE73" s="958"/>
      <c r="AF73" s="958"/>
      <c r="AG73" s="958"/>
      <c r="AH73" s="958"/>
      <c r="AI73" s="958"/>
      <c r="AJ73" s="958"/>
      <c r="AK73" s="958"/>
      <c r="AL73" s="958"/>
      <c r="AM73" s="958"/>
      <c r="AN73" s="958"/>
      <c r="AO73" s="958"/>
      <c r="AP73" s="958"/>
      <c r="AQ73" s="958"/>
      <c r="AR73" s="958"/>
      <c r="AS73" s="958"/>
      <c r="AT73" s="958"/>
      <c r="AU73" s="958"/>
      <c r="AV73" s="958"/>
      <c r="AW73" s="958"/>
      <c r="AX73" s="958"/>
      <c r="AY73" s="958"/>
      <c r="AZ73" s="958"/>
      <c r="BA73" s="958"/>
      <c r="BB73" s="958"/>
      <c r="BC73" s="958"/>
      <c r="BD73" s="958"/>
      <c r="BE73" s="958"/>
      <c r="BF73" s="958"/>
      <c r="BG73" s="958"/>
      <c r="BH73" s="958"/>
      <c r="BI73" s="958"/>
      <c r="BJ73" s="958"/>
      <c r="BK73" s="958"/>
      <c r="BL73" s="958"/>
      <c r="BM73" s="958"/>
      <c r="BN73" s="958"/>
      <c r="BO73" s="958"/>
      <c r="BP73" s="958"/>
      <c r="BQ73" s="958"/>
      <c r="BR73" s="958"/>
      <c r="BS73" s="958"/>
      <c r="BT73" s="958"/>
      <c r="BU73" s="958"/>
      <c r="BV73" s="958"/>
      <c r="BW73" s="958"/>
      <c r="BX73" s="958"/>
      <c r="BY73" s="958"/>
      <c r="BZ73" s="958"/>
      <c r="CA73" s="958"/>
      <c r="CB73" s="958"/>
      <c r="CC73" s="958"/>
      <c r="CD73" s="958"/>
      <c r="CE73" s="958"/>
      <c r="CF73" s="958"/>
      <c r="CG73" s="958"/>
      <c r="CH73" s="958"/>
      <c r="CI73" s="958"/>
      <c r="CJ73" s="958"/>
      <c r="CK73" s="958"/>
      <c r="CL73" s="958"/>
      <c r="CM73" s="958"/>
      <c r="CN73" s="958"/>
      <c r="CO73" s="958"/>
      <c r="CP73" s="958"/>
      <c r="CQ73" s="958"/>
      <c r="CR73" s="958"/>
      <c r="CS73" s="958"/>
      <c r="CT73" s="958"/>
      <c r="CU73" s="958"/>
      <c r="CV73" s="958"/>
      <c r="CW73" s="958"/>
      <c r="CX73" s="958"/>
      <c r="CY73" s="958"/>
      <c r="CZ73" s="958"/>
      <c r="DA73" s="958"/>
      <c r="DB73" s="958"/>
      <c r="DC73" s="958"/>
      <c r="DD73" s="958"/>
      <c r="DE73" s="958"/>
      <c r="DF73" s="958"/>
      <c r="DG73" s="958"/>
      <c r="DH73" s="958"/>
      <c r="DI73" s="958"/>
      <c r="DJ73" s="958"/>
      <c r="DK73" s="958"/>
      <c r="DL73" s="958"/>
      <c r="DM73" s="958"/>
      <c r="DN73" s="958"/>
      <c r="DO73" s="958"/>
      <c r="DP73" s="958"/>
      <c r="DQ73" s="958"/>
      <c r="DR73" s="958"/>
      <c r="DS73" s="958"/>
      <c r="DT73" s="958"/>
      <c r="DU73" s="958"/>
      <c r="DV73" s="958"/>
      <c r="DW73" s="958"/>
      <c r="DX73" s="958"/>
      <c r="DY73" s="958"/>
      <c r="DZ73" s="958"/>
      <c r="EA73" s="958"/>
      <c r="EB73" s="958"/>
      <c r="EC73" s="958"/>
      <c r="ED73" s="958"/>
      <c r="EE73" s="958"/>
      <c r="EF73" s="958"/>
      <c r="EG73" s="958"/>
      <c r="EH73" s="958"/>
      <c r="EI73" s="958"/>
      <c r="EJ73" s="958"/>
      <c r="EK73" s="958"/>
      <c r="EL73" s="958"/>
      <c r="EM73" s="958"/>
      <c r="EN73" s="958"/>
      <c r="EO73" s="958"/>
      <c r="EP73" s="958"/>
      <c r="EQ73" s="958"/>
      <c r="ER73" s="958"/>
      <c r="ES73" s="958"/>
      <c r="ET73" s="958"/>
      <c r="EU73" s="958"/>
      <c r="EV73" s="958"/>
      <c r="EW73" s="958"/>
      <c r="EX73" s="958"/>
      <c r="EY73" s="958"/>
      <c r="EZ73" s="958"/>
      <c r="FA73" s="958"/>
      <c r="FB73" s="958"/>
      <c r="FC73" s="958"/>
      <c r="FD73" s="958"/>
      <c r="FE73" s="958"/>
      <c r="FF73" s="958"/>
      <c r="FG73" s="958"/>
      <c r="FH73" s="958"/>
      <c r="FI73" s="958"/>
      <c r="FJ73" s="958"/>
      <c r="FK73" s="958"/>
      <c r="FL73" s="958"/>
      <c r="FM73" s="958"/>
      <c r="FN73" s="958"/>
      <c r="FO73" s="958"/>
      <c r="FP73" s="958"/>
      <c r="FQ73" s="958"/>
      <c r="FR73" s="958"/>
      <c r="FS73" s="958"/>
      <c r="FT73" s="958"/>
      <c r="FU73" s="958"/>
      <c r="FV73" s="958"/>
      <c r="FW73" s="958"/>
      <c r="FX73" s="958"/>
      <c r="FY73" s="958"/>
      <c r="FZ73" s="958"/>
      <c r="GA73" s="958"/>
      <c r="GB73" s="958"/>
      <c r="GC73" s="958"/>
      <c r="GD73" s="958"/>
      <c r="GE73" s="958"/>
      <c r="GF73" s="958"/>
      <c r="GG73" s="958"/>
      <c r="GH73" s="958"/>
      <c r="GI73" s="958"/>
      <c r="GJ73" s="958"/>
      <c r="GK73" s="958"/>
      <c r="GL73" s="958"/>
      <c r="GM73" s="958"/>
      <c r="GN73" s="958"/>
      <c r="GO73" s="958"/>
      <c r="GP73" s="958"/>
      <c r="GQ73" s="958"/>
      <c r="GR73" s="958"/>
      <c r="GS73" s="958"/>
      <c r="GT73" s="958"/>
      <c r="GU73" s="958"/>
      <c r="GV73" s="958"/>
      <c r="GW73" s="958"/>
      <c r="GX73" s="958"/>
      <c r="GY73" s="958"/>
      <c r="GZ73" s="958"/>
      <c r="HA73" s="958"/>
      <c r="HB73" s="958"/>
      <c r="HC73" s="958"/>
      <c r="HD73" s="958"/>
      <c r="HE73" s="958"/>
      <c r="HF73" s="958"/>
      <c r="HG73" s="958"/>
      <c r="HH73" s="958"/>
      <c r="HI73" s="958"/>
      <c r="HJ73" s="958"/>
      <c r="HK73" s="958"/>
      <c r="HL73" s="958"/>
      <c r="HM73" s="958"/>
      <c r="HN73" s="958"/>
      <c r="HO73" s="958"/>
      <c r="HP73" s="958"/>
      <c r="HQ73" s="958"/>
      <c r="HR73" s="958"/>
      <c r="HS73" s="958"/>
      <c r="HT73" s="958"/>
      <c r="HU73" s="958"/>
      <c r="HV73" s="958"/>
      <c r="HW73" s="958"/>
      <c r="HX73" s="958"/>
      <c r="HY73" s="958"/>
      <c r="HZ73" s="958"/>
      <c r="IA73" s="958"/>
      <c r="IB73" s="958"/>
      <c r="IC73" s="958"/>
      <c r="ID73" s="958"/>
      <c r="IE73" s="958"/>
      <c r="IF73" s="958"/>
      <c r="IG73" s="958"/>
      <c r="IH73" s="958"/>
      <c r="II73" s="958"/>
      <c r="IJ73" s="958"/>
      <c r="IK73" s="958"/>
      <c r="IL73" s="958"/>
      <c r="IM73" s="958"/>
      <c r="IN73" s="958"/>
      <c r="IO73" s="958"/>
      <c r="IP73" s="958"/>
      <c r="IQ73" s="958"/>
      <c r="IR73" s="958"/>
      <c r="IS73" s="958"/>
      <c r="IT73" s="958"/>
      <c r="IU73" s="958"/>
      <c r="IV73" s="958"/>
    </row>
    <row r="74" spans="1:256" ht="10.5" customHeight="1">
      <c r="A74" s="944" t="s">
        <v>842</v>
      </c>
      <c r="B74" s="1031">
        <v>11.3</v>
      </c>
      <c r="C74" s="1031">
        <v>11.5</v>
      </c>
      <c r="D74" s="1032">
        <v>10</v>
      </c>
      <c r="E74" s="1032">
        <v>14.5</v>
      </c>
      <c r="F74" s="1032">
        <v>11.9</v>
      </c>
      <c r="G74" s="1032">
        <v>12.3</v>
      </c>
      <c r="H74" s="1032">
        <v>9.1999999999999993</v>
      </c>
      <c r="I74" s="1032">
        <v>6.96</v>
      </c>
      <c r="J74" s="1032">
        <v>7.2</v>
      </c>
      <c r="K74" s="1031">
        <v>11.2</v>
      </c>
      <c r="L74" s="1033">
        <v>7.1</v>
      </c>
      <c r="M74" s="1035">
        <v>1.5</v>
      </c>
      <c r="N74" s="1031">
        <v>1</v>
      </c>
      <c r="O74" s="958"/>
      <c r="P74" s="958"/>
      <c r="Q74" s="958"/>
      <c r="R74" s="958"/>
      <c r="S74" s="958"/>
      <c r="T74" s="958"/>
      <c r="U74" s="958"/>
      <c r="V74" s="958"/>
      <c r="W74" s="958"/>
      <c r="X74" s="958"/>
      <c r="Y74" s="958"/>
      <c r="Z74" s="958"/>
      <c r="AA74" s="958"/>
      <c r="AB74" s="958"/>
      <c r="AC74" s="958"/>
      <c r="AD74" s="958"/>
      <c r="AE74" s="958"/>
      <c r="AF74" s="958"/>
      <c r="AG74" s="958"/>
      <c r="AH74" s="958"/>
      <c r="AI74" s="958"/>
      <c r="AJ74" s="958"/>
      <c r="AK74" s="958"/>
      <c r="AL74" s="958"/>
      <c r="AM74" s="958"/>
      <c r="AN74" s="958"/>
      <c r="AO74" s="958"/>
      <c r="AP74" s="958"/>
      <c r="AQ74" s="958"/>
      <c r="AR74" s="958"/>
      <c r="AS74" s="958"/>
      <c r="AT74" s="958"/>
      <c r="AU74" s="958"/>
      <c r="AV74" s="958"/>
      <c r="AW74" s="958"/>
      <c r="AX74" s="958"/>
      <c r="AY74" s="958"/>
      <c r="AZ74" s="958"/>
      <c r="BA74" s="958"/>
      <c r="BB74" s="958"/>
      <c r="BC74" s="958"/>
      <c r="BD74" s="958"/>
      <c r="BE74" s="958"/>
      <c r="BF74" s="958"/>
      <c r="BG74" s="958"/>
      <c r="BH74" s="958"/>
      <c r="BI74" s="958"/>
      <c r="BJ74" s="958"/>
      <c r="BK74" s="958"/>
      <c r="BL74" s="958"/>
      <c r="BM74" s="958"/>
      <c r="BN74" s="958"/>
      <c r="BO74" s="958"/>
      <c r="BP74" s="958"/>
      <c r="BQ74" s="958"/>
      <c r="BR74" s="958"/>
      <c r="BS74" s="958"/>
      <c r="BT74" s="958"/>
      <c r="BU74" s="958"/>
      <c r="BV74" s="958"/>
      <c r="BW74" s="958"/>
      <c r="BX74" s="958"/>
      <c r="BY74" s="958"/>
      <c r="BZ74" s="958"/>
      <c r="CA74" s="958"/>
      <c r="CB74" s="958"/>
      <c r="CC74" s="958"/>
      <c r="CD74" s="958"/>
      <c r="CE74" s="958"/>
      <c r="CF74" s="958"/>
      <c r="CG74" s="958"/>
      <c r="CH74" s="958"/>
      <c r="CI74" s="958"/>
      <c r="CJ74" s="958"/>
      <c r="CK74" s="958"/>
      <c r="CL74" s="958"/>
      <c r="CM74" s="958"/>
      <c r="CN74" s="958"/>
      <c r="CO74" s="958"/>
      <c r="CP74" s="958"/>
      <c r="CQ74" s="958"/>
      <c r="CR74" s="958"/>
      <c r="CS74" s="958"/>
      <c r="CT74" s="958"/>
      <c r="CU74" s="958"/>
      <c r="CV74" s="958"/>
      <c r="CW74" s="958"/>
      <c r="CX74" s="958"/>
      <c r="CY74" s="958"/>
      <c r="CZ74" s="958"/>
      <c r="DA74" s="958"/>
      <c r="DB74" s="958"/>
      <c r="DC74" s="958"/>
      <c r="DD74" s="958"/>
      <c r="DE74" s="958"/>
      <c r="DF74" s="958"/>
      <c r="DG74" s="958"/>
      <c r="DH74" s="958"/>
      <c r="DI74" s="958"/>
      <c r="DJ74" s="958"/>
      <c r="DK74" s="958"/>
      <c r="DL74" s="958"/>
      <c r="DM74" s="958"/>
      <c r="DN74" s="958"/>
      <c r="DO74" s="958"/>
      <c r="DP74" s="958"/>
      <c r="DQ74" s="958"/>
      <c r="DR74" s="958"/>
      <c r="DS74" s="958"/>
      <c r="DT74" s="958"/>
      <c r="DU74" s="958"/>
      <c r="DV74" s="958"/>
      <c r="DW74" s="958"/>
      <c r="DX74" s="958"/>
      <c r="DY74" s="958"/>
      <c r="DZ74" s="958"/>
      <c r="EA74" s="958"/>
      <c r="EB74" s="958"/>
      <c r="EC74" s="958"/>
      <c r="ED74" s="958"/>
      <c r="EE74" s="958"/>
      <c r="EF74" s="958"/>
      <c r="EG74" s="958"/>
      <c r="EH74" s="958"/>
      <c r="EI74" s="958"/>
      <c r="EJ74" s="958"/>
      <c r="EK74" s="958"/>
      <c r="EL74" s="958"/>
      <c r="EM74" s="958"/>
      <c r="EN74" s="958"/>
      <c r="EO74" s="958"/>
      <c r="EP74" s="958"/>
      <c r="EQ74" s="958"/>
      <c r="ER74" s="958"/>
      <c r="ES74" s="958"/>
      <c r="ET74" s="958"/>
      <c r="EU74" s="958"/>
      <c r="EV74" s="958"/>
      <c r="EW74" s="958"/>
      <c r="EX74" s="958"/>
      <c r="EY74" s="958"/>
      <c r="EZ74" s="958"/>
      <c r="FA74" s="958"/>
      <c r="FB74" s="958"/>
      <c r="FC74" s="958"/>
      <c r="FD74" s="958"/>
      <c r="FE74" s="958"/>
      <c r="FF74" s="958"/>
      <c r="FG74" s="958"/>
      <c r="FH74" s="958"/>
      <c r="FI74" s="958"/>
      <c r="FJ74" s="958"/>
      <c r="FK74" s="958"/>
      <c r="FL74" s="958"/>
      <c r="FM74" s="958"/>
      <c r="FN74" s="958"/>
      <c r="FO74" s="958"/>
      <c r="FP74" s="958"/>
      <c r="FQ74" s="958"/>
      <c r="FR74" s="958"/>
      <c r="FS74" s="958"/>
      <c r="FT74" s="958"/>
      <c r="FU74" s="958"/>
      <c r="FV74" s="958"/>
      <c r="FW74" s="958"/>
      <c r="FX74" s="958"/>
      <c r="FY74" s="958"/>
      <c r="FZ74" s="958"/>
      <c r="GA74" s="958"/>
      <c r="GB74" s="958"/>
      <c r="GC74" s="958"/>
      <c r="GD74" s="958"/>
      <c r="GE74" s="958"/>
      <c r="GF74" s="958"/>
      <c r="GG74" s="958"/>
      <c r="GH74" s="958"/>
      <c r="GI74" s="958"/>
      <c r="GJ74" s="958"/>
      <c r="GK74" s="958"/>
      <c r="GL74" s="958"/>
      <c r="GM74" s="958"/>
      <c r="GN74" s="958"/>
      <c r="GO74" s="958"/>
      <c r="GP74" s="958"/>
      <c r="GQ74" s="958"/>
      <c r="GR74" s="958"/>
      <c r="GS74" s="958"/>
      <c r="GT74" s="958"/>
      <c r="GU74" s="958"/>
      <c r="GV74" s="958"/>
      <c r="GW74" s="958"/>
      <c r="GX74" s="958"/>
      <c r="GY74" s="958"/>
      <c r="GZ74" s="958"/>
      <c r="HA74" s="958"/>
      <c r="HB74" s="958"/>
      <c r="HC74" s="958"/>
      <c r="HD74" s="958"/>
      <c r="HE74" s="958"/>
      <c r="HF74" s="958"/>
      <c r="HG74" s="958"/>
      <c r="HH74" s="958"/>
      <c r="HI74" s="958"/>
      <c r="HJ74" s="958"/>
      <c r="HK74" s="958"/>
      <c r="HL74" s="958"/>
      <c r="HM74" s="958"/>
      <c r="HN74" s="958"/>
      <c r="HO74" s="958"/>
      <c r="HP74" s="958"/>
      <c r="HQ74" s="958"/>
      <c r="HR74" s="958"/>
      <c r="HS74" s="958"/>
      <c r="HT74" s="958"/>
      <c r="HU74" s="958"/>
      <c r="HV74" s="958"/>
      <c r="HW74" s="958"/>
      <c r="HX74" s="958"/>
      <c r="HY74" s="958"/>
      <c r="HZ74" s="958"/>
      <c r="IA74" s="958"/>
      <c r="IB74" s="958"/>
      <c r="IC74" s="958"/>
      <c r="ID74" s="958"/>
      <c r="IE74" s="958"/>
      <c r="IF74" s="958"/>
      <c r="IG74" s="958"/>
      <c r="IH74" s="958"/>
      <c r="II74" s="958"/>
      <c r="IJ74" s="958"/>
      <c r="IK74" s="958"/>
      <c r="IL74" s="958"/>
      <c r="IM74" s="958"/>
      <c r="IN74" s="958"/>
      <c r="IO74" s="958"/>
      <c r="IP74" s="958"/>
      <c r="IQ74" s="958"/>
      <c r="IR74" s="958"/>
      <c r="IS74" s="958"/>
      <c r="IT74" s="958"/>
      <c r="IU74" s="958"/>
      <c r="IV74" s="958"/>
    </row>
    <row r="75" spans="1:256" ht="10.5" customHeight="1">
      <c r="A75" s="993" t="s">
        <v>843</v>
      </c>
      <c r="B75" s="983">
        <v>0</v>
      </c>
      <c r="C75" s="983">
        <v>0</v>
      </c>
      <c r="D75" s="1036">
        <v>0</v>
      </c>
      <c r="E75" s="983">
        <v>0</v>
      </c>
      <c r="F75" s="983">
        <v>8.6</v>
      </c>
      <c r="G75" s="983">
        <v>0</v>
      </c>
      <c r="H75" s="983">
        <v>0</v>
      </c>
      <c r="I75" s="983">
        <v>0</v>
      </c>
      <c r="J75" s="983">
        <v>5.4</v>
      </c>
      <c r="K75" s="983">
        <v>6.8</v>
      </c>
      <c r="L75" s="984">
        <v>8</v>
      </c>
      <c r="M75" s="984">
        <v>7.2</v>
      </c>
      <c r="N75" s="983">
        <v>4.7</v>
      </c>
      <c r="O75" s="958"/>
      <c r="P75" s="958"/>
      <c r="Q75" s="958"/>
      <c r="R75" s="958"/>
      <c r="S75" s="958"/>
      <c r="T75" s="958"/>
      <c r="U75" s="958"/>
      <c r="V75" s="958"/>
      <c r="W75" s="958"/>
      <c r="X75" s="958"/>
      <c r="Y75" s="958"/>
      <c r="Z75" s="958"/>
      <c r="AA75" s="958"/>
      <c r="AB75" s="958"/>
      <c r="AC75" s="958"/>
      <c r="AD75" s="958"/>
      <c r="AE75" s="958"/>
      <c r="AF75" s="958"/>
      <c r="AG75" s="958"/>
      <c r="AH75" s="958"/>
      <c r="AI75" s="958"/>
      <c r="AJ75" s="958"/>
      <c r="AK75" s="958"/>
      <c r="AL75" s="958"/>
      <c r="AM75" s="958"/>
      <c r="AN75" s="958"/>
      <c r="AO75" s="958"/>
      <c r="AP75" s="958"/>
      <c r="AQ75" s="958"/>
      <c r="AR75" s="958"/>
      <c r="AS75" s="958"/>
      <c r="AT75" s="958"/>
      <c r="AU75" s="958"/>
      <c r="AV75" s="958"/>
      <c r="AW75" s="958"/>
      <c r="AX75" s="958"/>
      <c r="AY75" s="958"/>
      <c r="AZ75" s="958"/>
      <c r="BA75" s="958"/>
      <c r="BB75" s="958"/>
      <c r="BC75" s="958"/>
      <c r="BD75" s="958"/>
      <c r="BE75" s="958"/>
      <c r="BF75" s="958"/>
      <c r="BG75" s="958"/>
      <c r="BH75" s="958"/>
      <c r="BI75" s="958"/>
      <c r="BJ75" s="958"/>
      <c r="BK75" s="958"/>
      <c r="BL75" s="958"/>
      <c r="BM75" s="958"/>
      <c r="BN75" s="958"/>
      <c r="BO75" s="958"/>
      <c r="BP75" s="958"/>
      <c r="BQ75" s="958"/>
      <c r="BR75" s="958"/>
      <c r="BS75" s="958"/>
      <c r="BT75" s="958"/>
      <c r="BU75" s="958"/>
      <c r="BV75" s="958"/>
      <c r="BW75" s="958"/>
      <c r="BX75" s="958"/>
      <c r="BY75" s="958"/>
      <c r="BZ75" s="958"/>
      <c r="CA75" s="958"/>
      <c r="CB75" s="958"/>
      <c r="CC75" s="958"/>
      <c r="CD75" s="958"/>
      <c r="CE75" s="958"/>
      <c r="CF75" s="958"/>
      <c r="CG75" s="958"/>
      <c r="CH75" s="958"/>
      <c r="CI75" s="958"/>
      <c r="CJ75" s="958"/>
      <c r="CK75" s="958"/>
      <c r="CL75" s="958"/>
      <c r="CM75" s="958"/>
      <c r="CN75" s="958"/>
      <c r="CO75" s="958"/>
      <c r="CP75" s="958"/>
      <c r="CQ75" s="958"/>
      <c r="CR75" s="958"/>
      <c r="CS75" s="958"/>
      <c r="CT75" s="958"/>
      <c r="CU75" s="958"/>
      <c r="CV75" s="958"/>
      <c r="CW75" s="958"/>
      <c r="CX75" s="958"/>
      <c r="CY75" s="958"/>
      <c r="CZ75" s="958"/>
      <c r="DA75" s="958"/>
      <c r="DB75" s="958"/>
      <c r="DC75" s="958"/>
      <c r="DD75" s="958"/>
      <c r="DE75" s="958"/>
      <c r="DF75" s="958"/>
      <c r="DG75" s="958"/>
      <c r="DH75" s="958"/>
      <c r="DI75" s="958"/>
      <c r="DJ75" s="958"/>
      <c r="DK75" s="958"/>
      <c r="DL75" s="958"/>
      <c r="DM75" s="958"/>
      <c r="DN75" s="958"/>
      <c r="DO75" s="958"/>
      <c r="DP75" s="958"/>
      <c r="DQ75" s="958"/>
      <c r="DR75" s="958"/>
      <c r="DS75" s="958"/>
      <c r="DT75" s="958"/>
      <c r="DU75" s="958"/>
      <c r="DV75" s="958"/>
      <c r="DW75" s="958"/>
      <c r="DX75" s="958"/>
      <c r="DY75" s="958"/>
      <c r="DZ75" s="958"/>
      <c r="EA75" s="958"/>
      <c r="EB75" s="958"/>
      <c r="EC75" s="958"/>
      <c r="ED75" s="958"/>
      <c r="EE75" s="958"/>
      <c r="EF75" s="958"/>
      <c r="EG75" s="958"/>
      <c r="EH75" s="958"/>
      <c r="EI75" s="958"/>
      <c r="EJ75" s="958"/>
      <c r="EK75" s="958"/>
      <c r="EL75" s="958"/>
      <c r="EM75" s="958"/>
      <c r="EN75" s="958"/>
      <c r="EO75" s="958"/>
      <c r="EP75" s="958"/>
      <c r="EQ75" s="958"/>
      <c r="ER75" s="958"/>
      <c r="ES75" s="958"/>
      <c r="ET75" s="958"/>
      <c r="EU75" s="958"/>
      <c r="EV75" s="958"/>
      <c r="EW75" s="958"/>
      <c r="EX75" s="958"/>
      <c r="EY75" s="958"/>
      <c r="EZ75" s="958"/>
      <c r="FA75" s="958"/>
      <c r="FB75" s="958"/>
      <c r="FC75" s="958"/>
      <c r="FD75" s="958"/>
      <c r="FE75" s="958"/>
      <c r="FF75" s="958"/>
      <c r="FG75" s="958"/>
      <c r="FH75" s="958"/>
      <c r="FI75" s="958"/>
      <c r="FJ75" s="958"/>
      <c r="FK75" s="958"/>
      <c r="FL75" s="958"/>
      <c r="FM75" s="958"/>
      <c r="FN75" s="958"/>
      <c r="FO75" s="958"/>
      <c r="FP75" s="958"/>
      <c r="FQ75" s="958"/>
      <c r="FR75" s="958"/>
      <c r="FS75" s="958"/>
      <c r="FT75" s="958"/>
      <c r="FU75" s="958"/>
      <c r="FV75" s="958"/>
      <c r="FW75" s="958"/>
      <c r="FX75" s="958"/>
      <c r="FY75" s="958"/>
      <c r="FZ75" s="958"/>
      <c r="GA75" s="958"/>
      <c r="GB75" s="958"/>
      <c r="GC75" s="958"/>
      <c r="GD75" s="958"/>
      <c r="GE75" s="958"/>
      <c r="GF75" s="958"/>
      <c r="GG75" s="958"/>
      <c r="GH75" s="958"/>
      <c r="GI75" s="958"/>
      <c r="GJ75" s="958"/>
      <c r="GK75" s="958"/>
      <c r="GL75" s="958"/>
      <c r="GM75" s="958"/>
      <c r="GN75" s="958"/>
      <c r="GO75" s="958"/>
      <c r="GP75" s="958"/>
      <c r="GQ75" s="958"/>
      <c r="GR75" s="958"/>
      <c r="GS75" s="958"/>
      <c r="GT75" s="958"/>
      <c r="GU75" s="958"/>
      <c r="GV75" s="958"/>
      <c r="GW75" s="958"/>
      <c r="GX75" s="958"/>
      <c r="GY75" s="958"/>
      <c r="GZ75" s="958"/>
      <c r="HA75" s="958"/>
      <c r="HB75" s="958"/>
      <c r="HC75" s="958"/>
      <c r="HD75" s="958"/>
      <c r="HE75" s="958"/>
      <c r="HF75" s="958"/>
      <c r="HG75" s="958"/>
      <c r="HH75" s="958"/>
      <c r="HI75" s="958"/>
      <c r="HJ75" s="958"/>
      <c r="HK75" s="958"/>
      <c r="HL75" s="958"/>
      <c r="HM75" s="958"/>
      <c r="HN75" s="958"/>
      <c r="HO75" s="958"/>
      <c r="HP75" s="958"/>
      <c r="HQ75" s="958"/>
      <c r="HR75" s="958"/>
      <c r="HS75" s="958"/>
      <c r="HT75" s="958"/>
      <c r="HU75" s="958"/>
      <c r="HV75" s="958"/>
      <c r="HW75" s="958"/>
      <c r="HX75" s="958"/>
      <c r="HY75" s="958"/>
      <c r="HZ75" s="958"/>
      <c r="IA75" s="958"/>
      <c r="IB75" s="958"/>
      <c r="IC75" s="958"/>
      <c r="ID75" s="958"/>
      <c r="IE75" s="958"/>
      <c r="IF75" s="958"/>
      <c r="IG75" s="958"/>
      <c r="IH75" s="958"/>
      <c r="II75" s="958"/>
      <c r="IJ75" s="958"/>
      <c r="IK75" s="958"/>
      <c r="IL75" s="958"/>
      <c r="IM75" s="958"/>
      <c r="IN75" s="958"/>
      <c r="IO75" s="958"/>
      <c r="IP75" s="958"/>
      <c r="IQ75" s="958"/>
      <c r="IR75" s="958"/>
      <c r="IS75" s="958"/>
      <c r="IT75" s="958"/>
      <c r="IU75" s="958"/>
      <c r="IV75" s="958"/>
    </row>
    <row r="76" spans="1:256" ht="13" thickBot="1">
      <c r="A76" s="1037" t="s">
        <v>844</v>
      </c>
      <c r="B76" s="1038">
        <v>419.9</v>
      </c>
      <c r="C76" s="1038">
        <v>517.70000000000005</v>
      </c>
      <c r="D76" s="1039">
        <v>522</v>
      </c>
      <c r="E76" s="1039">
        <v>585.70000000000005</v>
      </c>
      <c r="F76" s="1039">
        <v>701.3</v>
      </c>
      <c r="G76" s="1039">
        <v>635.5</v>
      </c>
      <c r="H76" s="1039">
        <v>673.2</v>
      </c>
      <c r="I76" s="1039">
        <v>881.4</v>
      </c>
      <c r="J76" s="1039">
        <v>925.1</v>
      </c>
      <c r="K76" s="1039">
        <v>869.3</v>
      </c>
      <c r="L76" s="1040">
        <v>849.9</v>
      </c>
      <c r="M76" s="1040">
        <v>876.5</v>
      </c>
      <c r="N76" s="1039">
        <v>866.8</v>
      </c>
      <c r="O76" s="958"/>
      <c r="P76" s="958"/>
      <c r="Q76" s="958"/>
      <c r="R76" s="958"/>
      <c r="S76" s="958"/>
      <c r="T76" s="958"/>
      <c r="U76" s="958"/>
      <c r="V76" s="958"/>
      <c r="W76" s="958"/>
      <c r="X76" s="958"/>
      <c r="Y76" s="958"/>
      <c r="Z76" s="958"/>
      <c r="AA76" s="958"/>
      <c r="AB76" s="958"/>
      <c r="AC76" s="958"/>
      <c r="AD76" s="958"/>
      <c r="AE76" s="958"/>
      <c r="AF76" s="958"/>
      <c r="AG76" s="958"/>
      <c r="AH76" s="958"/>
      <c r="AI76" s="958"/>
      <c r="AJ76" s="958"/>
      <c r="AK76" s="958"/>
      <c r="AL76" s="958"/>
      <c r="AM76" s="958"/>
      <c r="AN76" s="958"/>
      <c r="AO76" s="958"/>
      <c r="AP76" s="958"/>
      <c r="AQ76" s="958"/>
      <c r="AR76" s="958"/>
      <c r="AS76" s="958"/>
      <c r="AT76" s="958"/>
      <c r="AU76" s="958"/>
      <c r="AV76" s="958"/>
      <c r="AW76" s="958"/>
      <c r="AX76" s="958"/>
      <c r="AY76" s="958"/>
      <c r="AZ76" s="958"/>
      <c r="BA76" s="958"/>
      <c r="BB76" s="958"/>
      <c r="BC76" s="958"/>
      <c r="BD76" s="958"/>
      <c r="BE76" s="958"/>
      <c r="BF76" s="958"/>
      <c r="BG76" s="958"/>
      <c r="BH76" s="958"/>
      <c r="BI76" s="958"/>
      <c r="BJ76" s="958"/>
      <c r="BK76" s="958"/>
      <c r="BL76" s="958"/>
      <c r="BM76" s="958"/>
      <c r="BN76" s="958"/>
      <c r="BO76" s="958"/>
      <c r="BP76" s="958"/>
      <c r="BQ76" s="958"/>
      <c r="BR76" s="958"/>
      <c r="BS76" s="958"/>
      <c r="BT76" s="958"/>
      <c r="BU76" s="958"/>
      <c r="BV76" s="958"/>
      <c r="BW76" s="958"/>
      <c r="BX76" s="958"/>
      <c r="BY76" s="958"/>
      <c r="BZ76" s="958"/>
      <c r="CA76" s="958"/>
      <c r="CB76" s="958"/>
      <c r="CC76" s="958"/>
      <c r="CD76" s="958"/>
      <c r="CE76" s="958"/>
      <c r="CF76" s="958"/>
      <c r="CG76" s="958"/>
      <c r="CH76" s="958"/>
      <c r="CI76" s="958"/>
      <c r="CJ76" s="958"/>
      <c r="CK76" s="958"/>
      <c r="CL76" s="958"/>
      <c r="CM76" s="958"/>
      <c r="CN76" s="958"/>
      <c r="CO76" s="958"/>
      <c r="CP76" s="958"/>
      <c r="CQ76" s="958"/>
      <c r="CR76" s="958"/>
      <c r="CS76" s="958"/>
      <c r="CT76" s="958"/>
      <c r="CU76" s="958"/>
      <c r="CV76" s="958"/>
      <c r="CW76" s="958"/>
      <c r="CX76" s="958"/>
      <c r="CY76" s="958"/>
      <c r="CZ76" s="958"/>
      <c r="DA76" s="958"/>
      <c r="DB76" s="958"/>
      <c r="DC76" s="958"/>
      <c r="DD76" s="958"/>
      <c r="DE76" s="958"/>
      <c r="DF76" s="958"/>
      <c r="DG76" s="958"/>
      <c r="DH76" s="958"/>
      <c r="DI76" s="958"/>
      <c r="DJ76" s="958"/>
      <c r="DK76" s="958"/>
      <c r="DL76" s="958"/>
      <c r="DM76" s="958"/>
      <c r="DN76" s="958"/>
      <c r="DO76" s="958"/>
      <c r="DP76" s="958"/>
      <c r="DQ76" s="958"/>
      <c r="DR76" s="958"/>
      <c r="DS76" s="958"/>
      <c r="DT76" s="958"/>
      <c r="DU76" s="958"/>
      <c r="DV76" s="958"/>
      <c r="DW76" s="958"/>
      <c r="DX76" s="958"/>
      <c r="DY76" s="958"/>
      <c r="DZ76" s="958"/>
      <c r="EA76" s="958"/>
      <c r="EB76" s="958"/>
      <c r="EC76" s="958"/>
      <c r="ED76" s="958"/>
      <c r="EE76" s="958"/>
      <c r="EF76" s="958"/>
      <c r="EG76" s="958"/>
      <c r="EH76" s="958"/>
      <c r="EI76" s="958"/>
      <c r="EJ76" s="958"/>
      <c r="EK76" s="958"/>
      <c r="EL76" s="958"/>
      <c r="EM76" s="958"/>
      <c r="EN76" s="958"/>
      <c r="EO76" s="958"/>
      <c r="EP76" s="958"/>
      <c r="EQ76" s="958"/>
      <c r="ER76" s="958"/>
      <c r="ES76" s="958"/>
      <c r="ET76" s="958"/>
      <c r="EU76" s="958"/>
      <c r="EV76" s="958"/>
      <c r="EW76" s="958"/>
      <c r="EX76" s="958"/>
      <c r="EY76" s="958"/>
      <c r="EZ76" s="958"/>
      <c r="FA76" s="958"/>
      <c r="FB76" s="958"/>
      <c r="FC76" s="958"/>
      <c r="FD76" s="958"/>
      <c r="FE76" s="958"/>
      <c r="FF76" s="958"/>
      <c r="FG76" s="958"/>
      <c r="FH76" s="958"/>
      <c r="FI76" s="958"/>
      <c r="FJ76" s="958"/>
      <c r="FK76" s="958"/>
      <c r="FL76" s="958"/>
      <c r="FM76" s="958"/>
      <c r="FN76" s="958"/>
      <c r="FO76" s="958"/>
      <c r="FP76" s="958"/>
      <c r="FQ76" s="958"/>
      <c r="FR76" s="958"/>
      <c r="FS76" s="958"/>
      <c r="FT76" s="958"/>
      <c r="FU76" s="958"/>
      <c r="FV76" s="958"/>
      <c r="FW76" s="958"/>
      <c r="FX76" s="958"/>
      <c r="FY76" s="958"/>
      <c r="FZ76" s="958"/>
      <c r="GA76" s="958"/>
      <c r="GB76" s="958"/>
      <c r="GC76" s="958"/>
      <c r="GD76" s="958"/>
      <c r="GE76" s="958"/>
      <c r="GF76" s="958"/>
      <c r="GG76" s="958"/>
      <c r="GH76" s="958"/>
      <c r="GI76" s="958"/>
      <c r="GJ76" s="958"/>
      <c r="GK76" s="958"/>
      <c r="GL76" s="958"/>
      <c r="GM76" s="958"/>
      <c r="GN76" s="958"/>
      <c r="GO76" s="958"/>
      <c r="GP76" s="958"/>
      <c r="GQ76" s="958"/>
      <c r="GR76" s="958"/>
      <c r="GS76" s="958"/>
      <c r="GT76" s="958"/>
      <c r="GU76" s="958"/>
      <c r="GV76" s="958"/>
      <c r="GW76" s="958"/>
      <c r="GX76" s="958"/>
      <c r="GY76" s="958"/>
      <c r="GZ76" s="958"/>
      <c r="HA76" s="958"/>
      <c r="HB76" s="958"/>
      <c r="HC76" s="958"/>
      <c r="HD76" s="958"/>
      <c r="HE76" s="958"/>
      <c r="HF76" s="958"/>
      <c r="HG76" s="958"/>
      <c r="HH76" s="958"/>
      <c r="HI76" s="958"/>
      <c r="HJ76" s="958"/>
      <c r="HK76" s="958"/>
      <c r="HL76" s="958"/>
      <c r="HM76" s="958"/>
      <c r="HN76" s="958"/>
      <c r="HO76" s="958"/>
      <c r="HP76" s="958"/>
      <c r="HQ76" s="958"/>
      <c r="HR76" s="958"/>
      <c r="HS76" s="958"/>
      <c r="HT76" s="958"/>
      <c r="HU76" s="958"/>
      <c r="HV76" s="958"/>
      <c r="HW76" s="958"/>
      <c r="HX76" s="958"/>
      <c r="HY76" s="958"/>
      <c r="HZ76" s="958"/>
      <c r="IA76" s="958"/>
      <c r="IB76" s="958"/>
      <c r="IC76" s="958"/>
      <c r="ID76" s="958"/>
      <c r="IE76" s="958"/>
      <c r="IF76" s="958"/>
      <c r="IG76" s="958"/>
      <c r="IH76" s="958"/>
      <c r="II76" s="958"/>
      <c r="IJ76" s="958"/>
      <c r="IK76" s="958"/>
      <c r="IL76" s="958"/>
      <c r="IM76" s="958"/>
      <c r="IN76" s="958"/>
      <c r="IO76" s="958"/>
      <c r="IP76" s="958"/>
      <c r="IQ76" s="958"/>
      <c r="IR76" s="958"/>
      <c r="IS76" s="958"/>
      <c r="IT76" s="958"/>
      <c r="IU76" s="958"/>
      <c r="IV76" s="958"/>
    </row>
    <row r="77" spans="1:256" ht="13" thickTop="1">
      <c r="A77" s="1041" t="s">
        <v>870</v>
      </c>
      <c r="B77" s="1042">
        <v>175.6</v>
      </c>
      <c r="C77" s="1042">
        <v>227</v>
      </c>
      <c r="D77" s="1043">
        <v>228.5</v>
      </c>
      <c r="E77" s="1043">
        <v>266.8</v>
      </c>
      <c r="F77" s="1043">
        <v>337</v>
      </c>
      <c r="G77" s="1043">
        <v>296.3</v>
      </c>
      <c r="H77" s="1043">
        <v>318.89999999999998</v>
      </c>
      <c r="I77" s="1043">
        <v>410.5</v>
      </c>
      <c r="J77" s="1043">
        <v>438.5</v>
      </c>
      <c r="K77" s="1043">
        <v>408.3</v>
      </c>
      <c r="L77" s="1044">
        <v>377.9</v>
      </c>
      <c r="M77" s="1045">
        <v>386.3</v>
      </c>
      <c r="N77" s="1043">
        <v>403.7</v>
      </c>
      <c r="O77" s="958"/>
      <c r="P77" s="958"/>
      <c r="Q77" s="958"/>
      <c r="R77" s="958"/>
      <c r="S77" s="958"/>
      <c r="T77" s="958"/>
      <c r="U77" s="958"/>
      <c r="V77" s="958"/>
      <c r="W77" s="958"/>
      <c r="X77" s="958"/>
      <c r="Y77" s="958"/>
      <c r="Z77" s="958"/>
      <c r="AA77" s="958"/>
      <c r="AB77" s="958"/>
      <c r="AC77" s="958"/>
      <c r="AD77" s="958"/>
      <c r="AE77" s="958"/>
      <c r="AF77" s="958"/>
      <c r="AG77" s="958"/>
      <c r="AH77" s="958"/>
      <c r="AI77" s="958"/>
      <c r="AJ77" s="958"/>
      <c r="AK77" s="958"/>
      <c r="AL77" s="958"/>
      <c r="AM77" s="958"/>
      <c r="AN77" s="958"/>
      <c r="AO77" s="958"/>
      <c r="AP77" s="958"/>
      <c r="AQ77" s="958"/>
      <c r="AR77" s="958"/>
      <c r="AS77" s="958"/>
      <c r="AT77" s="958"/>
      <c r="AU77" s="958"/>
      <c r="AV77" s="958"/>
      <c r="AW77" s="958"/>
      <c r="AX77" s="958"/>
      <c r="AY77" s="958"/>
      <c r="AZ77" s="958"/>
      <c r="BA77" s="958"/>
      <c r="BB77" s="958"/>
      <c r="BC77" s="958"/>
      <c r="BD77" s="958"/>
      <c r="BE77" s="958"/>
      <c r="BF77" s="958"/>
      <c r="BG77" s="958"/>
      <c r="BH77" s="958"/>
      <c r="BI77" s="958"/>
      <c r="BJ77" s="958"/>
      <c r="BK77" s="958"/>
      <c r="BL77" s="958"/>
      <c r="BM77" s="958"/>
      <c r="BN77" s="958"/>
      <c r="BO77" s="958"/>
      <c r="BP77" s="958"/>
      <c r="BQ77" s="958"/>
      <c r="BR77" s="958"/>
      <c r="BS77" s="958"/>
      <c r="BT77" s="958"/>
      <c r="BU77" s="958"/>
      <c r="BV77" s="958"/>
      <c r="BW77" s="958"/>
      <c r="BX77" s="958"/>
      <c r="BY77" s="958"/>
      <c r="BZ77" s="958"/>
      <c r="CA77" s="958"/>
      <c r="CB77" s="958"/>
      <c r="CC77" s="958"/>
      <c r="CD77" s="958"/>
      <c r="CE77" s="958"/>
      <c r="CF77" s="958"/>
      <c r="CG77" s="958"/>
      <c r="CH77" s="958"/>
      <c r="CI77" s="958"/>
      <c r="CJ77" s="958"/>
      <c r="CK77" s="958"/>
      <c r="CL77" s="958"/>
      <c r="CM77" s="958"/>
      <c r="CN77" s="958"/>
      <c r="CO77" s="958"/>
      <c r="CP77" s="958"/>
      <c r="CQ77" s="958"/>
      <c r="CR77" s="958"/>
      <c r="CS77" s="958"/>
      <c r="CT77" s="958"/>
      <c r="CU77" s="958"/>
      <c r="CV77" s="958"/>
      <c r="CW77" s="958"/>
      <c r="CX77" s="958"/>
      <c r="CY77" s="958"/>
      <c r="CZ77" s="958"/>
      <c r="DA77" s="958"/>
      <c r="DB77" s="958"/>
      <c r="DC77" s="958"/>
      <c r="DD77" s="958"/>
      <c r="DE77" s="958"/>
      <c r="DF77" s="958"/>
      <c r="DG77" s="958"/>
      <c r="DH77" s="958"/>
      <c r="DI77" s="958"/>
      <c r="DJ77" s="958"/>
      <c r="DK77" s="958"/>
      <c r="DL77" s="958"/>
      <c r="DM77" s="958"/>
      <c r="DN77" s="958"/>
      <c r="DO77" s="958"/>
      <c r="DP77" s="958"/>
      <c r="DQ77" s="958"/>
      <c r="DR77" s="958"/>
      <c r="DS77" s="958"/>
      <c r="DT77" s="958"/>
      <c r="DU77" s="958"/>
      <c r="DV77" s="958"/>
      <c r="DW77" s="958"/>
      <c r="DX77" s="958"/>
      <c r="DY77" s="958"/>
      <c r="DZ77" s="958"/>
      <c r="EA77" s="958"/>
      <c r="EB77" s="958"/>
      <c r="EC77" s="958"/>
      <c r="ED77" s="958"/>
      <c r="EE77" s="958"/>
      <c r="EF77" s="958"/>
      <c r="EG77" s="958"/>
      <c r="EH77" s="958"/>
      <c r="EI77" s="958"/>
      <c r="EJ77" s="958"/>
      <c r="EK77" s="958"/>
      <c r="EL77" s="958"/>
      <c r="EM77" s="958"/>
      <c r="EN77" s="958"/>
      <c r="EO77" s="958"/>
      <c r="EP77" s="958"/>
      <c r="EQ77" s="958"/>
      <c r="ER77" s="958"/>
      <c r="ES77" s="958"/>
      <c r="ET77" s="958"/>
      <c r="EU77" s="958"/>
      <c r="EV77" s="958"/>
      <c r="EW77" s="958"/>
      <c r="EX77" s="958"/>
      <c r="EY77" s="958"/>
      <c r="EZ77" s="958"/>
      <c r="FA77" s="958"/>
      <c r="FB77" s="958"/>
      <c r="FC77" s="958"/>
      <c r="FD77" s="958"/>
      <c r="FE77" s="958"/>
      <c r="FF77" s="958"/>
      <c r="FG77" s="958"/>
      <c r="FH77" s="958"/>
      <c r="FI77" s="958"/>
      <c r="FJ77" s="958"/>
      <c r="FK77" s="958"/>
      <c r="FL77" s="958"/>
      <c r="FM77" s="958"/>
      <c r="FN77" s="958"/>
      <c r="FO77" s="958"/>
      <c r="FP77" s="958"/>
      <c r="FQ77" s="958"/>
      <c r="FR77" s="958"/>
      <c r="FS77" s="958"/>
      <c r="FT77" s="958"/>
      <c r="FU77" s="958"/>
      <c r="FV77" s="958"/>
      <c r="FW77" s="958"/>
      <c r="FX77" s="958"/>
      <c r="FY77" s="958"/>
      <c r="FZ77" s="958"/>
      <c r="GA77" s="958"/>
      <c r="GB77" s="958"/>
      <c r="GC77" s="958"/>
      <c r="GD77" s="958"/>
      <c r="GE77" s="958"/>
      <c r="GF77" s="958"/>
      <c r="GG77" s="958"/>
      <c r="GH77" s="958"/>
      <c r="GI77" s="958"/>
      <c r="GJ77" s="958"/>
      <c r="GK77" s="958"/>
      <c r="GL77" s="958"/>
      <c r="GM77" s="958"/>
      <c r="GN77" s="958"/>
      <c r="GO77" s="958"/>
      <c r="GP77" s="958"/>
      <c r="GQ77" s="958"/>
      <c r="GR77" s="958"/>
      <c r="GS77" s="958"/>
      <c r="GT77" s="958"/>
      <c r="GU77" s="958"/>
      <c r="GV77" s="958"/>
      <c r="GW77" s="958"/>
      <c r="GX77" s="958"/>
      <c r="GY77" s="958"/>
      <c r="GZ77" s="958"/>
      <c r="HA77" s="958"/>
      <c r="HB77" s="958"/>
      <c r="HC77" s="958"/>
      <c r="HD77" s="958"/>
      <c r="HE77" s="958"/>
      <c r="HF77" s="958"/>
      <c r="HG77" s="958"/>
      <c r="HH77" s="958"/>
      <c r="HI77" s="958"/>
      <c r="HJ77" s="958"/>
      <c r="HK77" s="958"/>
      <c r="HL77" s="958"/>
      <c r="HM77" s="958"/>
      <c r="HN77" s="958"/>
      <c r="HO77" s="958"/>
      <c r="HP77" s="958"/>
      <c r="HQ77" s="958"/>
      <c r="HR77" s="958"/>
      <c r="HS77" s="958"/>
      <c r="HT77" s="958"/>
      <c r="HU77" s="958"/>
      <c r="HV77" s="958"/>
      <c r="HW77" s="958"/>
      <c r="HX77" s="958"/>
      <c r="HY77" s="958"/>
      <c r="HZ77" s="958"/>
      <c r="IA77" s="958"/>
      <c r="IB77" s="958"/>
      <c r="IC77" s="958"/>
      <c r="ID77" s="958"/>
      <c r="IE77" s="958"/>
      <c r="IF77" s="958"/>
      <c r="IG77" s="958"/>
      <c r="IH77" s="958"/>
      <c r="II77" s="958"/>
      <c r="IJ77" s="958"/>
      <c r="IK77" s="958"/>
      <c r="IL77" s="958"/>
      <c r="IM77" s="958"/>
      <c r="IN77" s="958"/>
      <c r="IO77" s="958"/>
      <c r="IP77" s="958"/>
      <c r="IQ77" s="958"/>
      <c r="IR77" s="958"/>
      <c r="IS77" s="958"/>
      <c r="IT77" s="958"/>
      <c r="IU77" s="958"/>
      <c r="IV77" s="958"/>
    </row>
    <row r="78" spans="1:256">
      <c r="A78" s="1001" t="s">
        <v>871</v>
      </c>
      <c r="B78" s="982">
        <v>2042</v>
      </c>
      <c r="C78" s="982">
        <v>2640</v>
      </c>
      <c r="D78" s="983">
        <v>2658</v>
      </c>
      <c r="E78" s="983">
        <v>3103</v>
      </c>
      <c r="F78" s="983">
        <v>3920</v>
      </c>
      <c r="G78" s="983">
        <v>3445.7</v>
      </c>
      <c r="H78" s="983">
        <v>3708.4</v>
      </c>
      <c r="I78" s="983">
        <v>4773.6000000000004</v>
      </c>
      <c r="J78" s="983">
        <v>5100.2</v>
      </c>
      <c r="K78" s="983">
        <v>4749</v>
      </c>
      <c r="L78" s="984">
        <v>4394.6000000000004</v>
      </c>
      <c r="M78" s="994">
        <v>4492.3999999999996</v>
      </c>
      <c r="N78" s="983">
        <v>4695.1000000000004</v>
      </c>
      <c r="O78" s="958"/>
      <c r="P78" s="958"/>
      <c r="Q78" s="958"/>
      <c r="R78" s="958"/>
      <c r="S78" s="958"/>
      <c r="T78" s="958"/>
      <c r="U78" s="958"/>
      <c r="V78" s="958"/>
      <c r="W78" s="958"/>
      <c r="X78" s="958"/>
      <c r="Y78" s="958"/>
      <c r="Z78" s="958"/>
      <c r="AA78" s="958"/>
      <c r="AB78" s="958"/>
      <c r="AC78" s="958"/>
      <c r="AD78" s="958"/>
      <c r="AE78" s="958"/>
      <c r="AF78" s="958"/>
      <c r="AG78" s="958"/>
      <c r="AH78" s="958"/>
      <c r="AI78" s="958"/>
      <c r="AJ78" s="958"/>
      <c r="AK78" s="958"/>
      <c r="AL78" s="958"/>
      <c r="AM78" s="958"/>
      <c r="AN78" s="958"/>
      <c r="AO78" s="958"/>
      <c r="AP78" s="958"/>
      <c r="AQ78" s="958"/>
      <c r="AR78" s="958"/>
      <c r="AS78" s="958"/>
      <c r="AT78" s="958"/>
      <c r="AU78" s="958"/>
      <c r="AV78" s="958"/>
      <c r="AW78" s="958"/>
      <c r="AX78" s="958"/>
      <c r="AY78" s="958"/>
      <c r="AZ78" s="958"/>
      <c r="BA78" s="958"/>
      <c r="BB78" s="958"/>
      <c r="BC78" s="958"/>
      <c r="BD78" s="958"/>
      <c r="BE78" s="958"/>
      <c r="BF78" s="958"/>
      <c r="BG78" s="958"/>
      <c r="BH78" s="958"/>
      <c r="BI78" s="958"/>
      <c r="BJ78" s="958"/>
      <c r="BK78" s="958"/>
      <c r="BL78" s="958"/>
      <c r="BM78" s="958"/>
      <c r="BN78" s="958"/>
      <c r="BO78" s="958"/>
      <c r="BP78" s="958"/>
      <c r="BQ78" s="958"/>
      <c r="BR78" s="958"/>
      <c r="BS78" s="958"/>
      <c r="BT78" s="958"/>
      <c r="BU78" s="958"/>
      <c r="BV78" s="958"/>
      <c r="BW78" s="958"/>
      <c r="BX78" s="958"/>
      <c r="BY78" s="958"/>
      <c r="BZ78" s="958"/>
      <c r="CA78" s="958"/>
      <c r="CB78" s="958"/>
      <c r="CC78" s="958"/>
      <c r="CD78" s="958"/>
      <c r="CE78" s="958"/>
      <c r="CF78" s="958"/>
      <c r="CG78" s="958"/>
      <c r="CH78" s="958"/>
      <c r="CI78" s="958"/>
      <c r="CJ78" s="958"/>
      <c r="CK78" s="958"/>
      <c r="CL78" s="958"/>
      <c r="CM78" s="958"/>
      <c r="CN78" s="958"/>
      <c r="CO78" s="958"/>
      <c r="CP78" s="958"/>
      <c r="CQ78" s="958"/>
      <c r="CR78" s="958"/>
      <c r="CS78" s="958"/>
      <c r="CT78" s="958"/>
      <c r="CU78" s="958"/>
      <c r="CV78" s="958"/>
      <c r="CW78" s="958"/>
      <c r="CX78" s="958"/>
      <c r="CY78" s="958"/>
      <c r="CZ78" s="958"/>
      <c r="DA78" s="958"/>
      <c r="DB78" s="958"/>
      <c r="DC78" s="958"/>
      <c r="DD78" s="958"/>
      <c r="DE78" s="958"/>
      <c r="DF78" s="958"/>
      <c r="DG78" s="958"/>
      <c r="DH78" s="958"/>
      <c r="DI78" s="958"/>
      <c r="DJ78" s="958"/>
      <c r="DK78" s="958"/>
      <c r="DL78" s="958"/>
      <c r="DM78" s="958"/>
      <c r="DN78" s="958"/>
      <c r="DO78" s="958"/>
      <c r="DP78" s="958"/>
      <c r="DQ78" s="958"/>
      <c r="DR78" s="958"/>
      <c r="DS78" s="958"/>
      <c r="DT78" s="958"/>
      <c r="DU78" s="958"/>
      <c r="DV78" s="958"/>
      <c r="DW78" s="958"/>
      <c r="DX78" s="958"/>
      <c r="DY78" s="958"/>
      <c r="DZ78" s="958"/>
      <c r="EA78" s="958"/>
      <c r="EB78" s="958"/>
      <c r="EC78" s="958"/>
      <c r="ED78" s="958"/>
      <c r="EE78" s="958"/>
      <c r="EF78" s="958"/>
      <c r="EG78" s="958"/>
      <c r="EH78" s="958"/>
      <c r="EI78" s="958"/>
      <c r="EJ78" s="958"/>
      <c r="EK78" s="958"/>
      <c r="EL78" s="958"/>
      <c r="EM78" s="958"/>
      <c r="EN78" s="958"/>
      <c r="EO78" s="958"/>
      <c r="EP78" s="958"/>
      <c r="EQ78" s="958"/>
      <c r="ER78" s="958"/>
      <c r="ES78" s="958"/>
      <c r="ET78" s="958"/>
      <c r="EU78" s="958"/>
      <c r="EV78" s="958"/>
      <c r="EW78" s="958"/>
      <c r="EX78" s="958"/>
      <c r="EY78" s="958"/>
      <c r="EZ78" s="958"/>
      <c r="FA78" s="958"/>
      <c r="FB78" s="958"/>
      <c r="FC78" s="958"/>
      <c r="FD78" s="958"/>
      <c r="FE78" s="958"/>
      <c r="FF78" s="958"/>
      <c r="FG78" s="958"/>
      <c r="FH78" s="958"/>
      <c r="FI78" s="958"/>
      <c r="FJ78" s="958"/>
      <c r="FK78" s="958"/>
      <c r="FL78" s="958"/>
      <c r="FM78" s="958"/>
      <c r="FN78" s="958"/>
      <c r="FO78" s="958"/>
      <c r="FP78" s="958"/>
      <c r="FQ78" s="958"/>
      <c r="FR78" s="958"/>
      <c r="FS78" s="958"/>
      <c r="FT78" s="958"/>
      <c r="FU78" s="958"/>
      <c r="FV78" s="958"/>
      <c r="FW78" s="958"/>
      <c r="FX78" s="958"/>
      <c r="FY78" s="958"/>
      <c r="FZ78" s="958"/>
      <c r="GA78" s="958"/>
      <c r="GB78" s="958"/>
      <c r="GC78" s="958"/>
      <c r="GD78" s="958"/>
      <c r="GE78" s="958"/>
      <c r="GF78" s="958"/>
      <c r="GG78" s="958"/>
      <c r="GH78" s="958"/>
      <c r="GI78" s="958"/>
      <c r="GJ78" s="958"/>
      <c r="GK78" s="958"/>
      <c r="GL78" s="958"/>
      <c r="GM78" s="958"/>
      <c r="GN78" s="958"/>
      <c r="GO78" s="958"/>
      <c r="GP78" s="958"/>
      <c r="GQ78" s="958"/>
      <c r="GR78" s="958"/>
      <c r="GS78" s="958"/>
      <c r="GT78" s="958"/>
      <c r="GU78" s="958"/>
      <c r="GV78" s="958"/>
      <c r="GW78" s="958"/>
      <c r="GX78" s="958"/>
      <c r="GY78" s="958"/>
      <c r="GZ78" s="958"/>
      <c r="HA78" s="958"/>
      <c r="HB78" s="958"/>
      <c r="HC78" s="958"/>
      <c r="HD78" s="958"/>
      <c r="HE78" s="958"/>
      <c r="HF78" s="958"/>
      <c r="HG78" s="958"/>
      <c r="HH78" s="958"/>
      <c r="HI78" s="958"/>
      <c r="HJ78" s="958"/>
      <c r="HK78" s="958"/>
      <c r="HL78" s="958"/>
      <c r="HM78" s="958"/>
      <c r="HN78" s="958"/>
      <c r="HO78" s="958"/>
      <c r="HP78" s="958"/>
      <c r="HQ78" s="958"/>
      <c r="HR78" s="958"/>
      <c r="HS78" s="958"/>
      <c r="HT78" s="958"/>
      <c r="HU78" s="958"/>
      <c r="HV78" s="958"/>
      <c r="HW78" s="958"/>
      <c r="HX78" s="958"/>
      <c r="HY78" s="958"/>
      <c r="HZ78" s="958"/>
      <c r="IA78" s="958"/>
      <c r="IB78" s="958"/>
      <c r="IC78" s="958"/>
      <c r="ID78" s="958"/>
      <c r="IE78" s="958"/>
      <c r="IF78" s="958"/>
      <c r="IG78" s="958"/>
      <c r="IH78" s="958"/>
      <c r="II78" s="958"/>
      <c r="IJ78" s="958"/>
      <c r="IK78" s="958"/>
      <c r="IL78" s="958"/>
      <c r="IM78" s="958"/>
      <c r="IN78" s="958"/>
      <c r="IO78" s="958"/>
      <c r="IP78" s="958"/>
      <c r="IQ78" s="958"/>
      <c r="IR78" s="958"/>
      <c r="IS78" s="958"/>
      <c r="IT78" s="958"/>
      <c r="IU78" s="958"/>
      <c r="IV78" s="958"/>
    </row>
    <row r="79" spans="1:256">
      <c r="A79" s="1046" t="s">
        <v>872</v>
      </c>
      <c r="B79" s="1047">
        <v>162.30000000000001</v>
      </c>
      <c r="C79" s="1047">
        <v>211.7</v>
      </c>
      <c r="D79" s="1048">
        <v>211</v>
      </c>
      <c r="E79" s="1048">
        <v>238.5</v>
      </c>
      <c r="F79" s="1048">
        <v>258.2</v>
      </c>
      <c r="G79" s="1048">
        <v>225.3</v>
      </c>
      <c r="H79" s="1048">
        <v>209.6</v>
      </c>
      <c r="I79" s="1048">
        <v>271.60000000000002</v>
      </c>
      <c r="J79" s="1048">
        <v>314</v>
      </c>
      <c r="K79" s="1048">
        <v>300.10000000000002</v>
      </c>
      <c r="L79" s="1049">
        <v>279</v>
      </c>
      <c r="M79" s="1049">
        <v>333.7</v>
      </c>
      <c r="N79" s="1048">
        <v>296.60000000000002</v>
      </c>
      <c r="O79" s="958"/>
      <c r="P79" s="958"/>
      <c r="Q79" s="958"/>
      <c r="R79" s="958"/>
      <c r="S79" s="958"/>
      <c r="T79" s="958"/>
      <c r="U79" s="958"/>
      <c r="V79" s="958"/>
      <c r="W79" s="958"/>
      <c r="X79" s="958"/>
      <c r="Y79" s="958"/>
      <c r="Z79" s="958"/>
      <c r="AA79" s="958"/>
      <c r="AB79" s="958"/>
      <c r="AC79" s="958"/>
      <c r="AD79" s="958"/>
      <c r="AE79" s="958"/>
      <c r="AF79" s="958"/>
      <c r="AG79" s="958"/>
      <c r="AH79" s="958"/>
      <c r="AI79" s="958"/>
      <c r="AJ79" s="958"/>
      <c r="AK79" s="958"/>
      <c r="AL79" s="958"/>
      <c r="AM79" s="958"/>
      <c r="AN79" s="958"/>
      <c r="AO79" s="958"/>
      <c r="AP79" s="958"/>
      <c r="AQ79" s="958"/>
      <c r="AR79" s="958"/>
      <c r="AS79" s="958"/>
      <c r="AT79" s="958"/>
      <c r="AU79" s="958"/>
      <c r="AV79" s="958"/>
      <c r="AW79" s="958"/>
      <c r="AX79" s="958"/>
      <c r="AY79" s="958"/>
      <c r="AZ79" s="958"/>
      <c r="BA79" s="958"/>
      <c r="BB79" s="958"/>
      <c r="BC79" s="958"/>
      <c r="BD79" s="958"/>
      <c r="BE79" s="958"/>
      <c r="BF79" s="958"/>
      <c r="BG79" s="958"/>
      <c r="BH79" s="958"/>
      <c r="BI79" s="958"/>
      <c r="BJ79" s="958"/>
      <c r="BK79" s="958"/>
      <c r="BL79" s="958"/>
      <c r="BM79" s="958"/>
      <c r="BN79" s="958"/>
      <c r="BO79" s="958"/>
      <c r="BP79" s="958"/>
      <c r="BQ79" s="958"/>
      <c r="BR79" s="958"/>
      <c r="BS79" s="958"/>
      <c r="BT79" s="958"/>
      <c r="BU79" s="958"/>
      <c r="BV79" s="958"/>
      <c r="BW79" s="958"/>
      <c r="BX79" s="958"/>
      <c r="BY79" s="958"/>
      <c r="BZ79" s="958"/>
      <c r="CA79" s="958"/>
      <c r="CB79" s="958"/>
      <c r="CC79" s="958"/>
      <c r="CD79" s="958"/>
      <c r="CE79" s="958"/>
      <c r="CF79" s="958"/>
      <c r="CG79" s="958"/>
      <c r="CH79" s="958"/>
      <c r="CI79" s="958"/>
      <c r="CJ79" s="958"/>
      <c r="CK79" s="958"/>
      <c r="CL79" s="958"/>
      <c r="CM79" s="958"/>
      <c r="CN79" s="958"/>
      <c r="CO79" s="958"/>
      <c r="CP79" s="958"/>
      <c r="CQ79" s="958"/>
      <c r="CR79" s="958"/>
      <c r="CS79" s="958"/>
      <c r="CT79" s="958"/>
      <c r="CU79" s="958"/>
      <c r="CV79" s="958"/>
      <c r="CW79" s="958"/>
      <c r="CX79" s="958"/>
      <c r="CY79" s="958"/>
      <c r="CZ79" s="958"/>
      <c r="DA79" s="958"/>
      <c r="DB79" s="958"/>
      <c r="DC79" s="958"/>
      <c r="DD79" s="958"/>
      <c r="DE79" s="958"/>
      <c r="DF79" s="958"/>
      <c r="DG79" s="958"/>
      <c r="DH79" s="958"/>
      <c r="DI79" s="958"/>
      <c r="DJ79" s="958"/>
      <c r="DK79" s="958"/>
      <c r="DL79" s="958"/>
      <c r="DM79" s="958"/>
      <c r="DN79" s="958"/>
      <c r="DO79" s="958"/>
      <c r="DP79" s="958"/>
      <c r="DQ79" s="958"/>
      <c r="DR79" s="958"/>
      <c r="DS79" s="958"/>
      <c r="DT79" s="958"/>
      <c r="DU79" s="958"/>
      <c r="DV79" s="958"/>
      <c r="DW79" s="958"/>
      <c r="DX79" s="958"/>
      <c r="DY79" s="958"/>
      <c r="DZ79" s="958"/>
      <c r="EA79" s="958"/>
      <c r="EB79" s="958"/>
      <c r="EC79" s="958"/>
      <c r="ED79" s="958"/>
      <c r="EE79" s="958"/>
      <c r="EF79" s="958"/>
      <c r="EG79" s="958"/>
      <c r="EH79" s="958"/>
      <c r="EI79" s="958"/>
      <c r="EJ79" s="958"/>
      <c r="EK79" s="958"/>
      <c r="EL79" s="958"/>
      <c r="EM79" s="958"/>
      <c r="EN79" s="958"/>
      <c r="EO79" s="958"/>
      <c r="EP79" s="958"/>
      <c r="EQ79" s="958"/>
      <c r="ER79" s="958"/>
      <c r="ES79" s="958"/>
      <c r="ET79" s="958"/>
      <c r="EU79" s="958"/>
      <c r="EV79" s="958"/>
      <c r="EW79" s="958"/>
      <c r="EX79" s="958"/>
      <c r="EY79" s="958"/>
      <c r="EZ79" s="958"/>
      <c r="FA79" s="958"/>
      <c r="FB79" s="958"/>
      <c r="FC79" s="958"/>
      <c r="FD79" s="958"/>
      <c r="FE79" s="958"/>
      <c r="FF79" s="958"/>
      <c r="FG79" s="958"/>
      <c r="FH79" s="958"/>
      <c r="FI79" s="958"/>
      <c r="FJ79" s="958"/>
      <c r="FK79" s="958"/>
      <c r="FL79" s="958"/>
      <c r="FM79" s="958"/>
      <c r="FN79" s="958"/>
      <c r="FO79" s="958"/>
      <c r="FP79" s="958"/>
      <c r="FQ79" s="958"/>
      <c r="FR79" s="958"/>
      <c r="FS79" s="958"/>
      <c r="FT79" s="958"/>
      <c r="FU79" s="958"/>
      <c r="FV79" s="958"/>
      <c r="FW79" s="958"/>
      <c r="FX79" s="958"/>
      <c r="FY79" s="958"/>
      <c r="FZ79" s="958"/>
      <c r="GA79" s="958"/>
      <c r="GB79" s="958"/>
      <c r="GC79" s="958"/>
      <c r="GD79" s="958"/>
      <c r="GE79" s="958"/>
      <c r="GF79" s="958"/>
      <c r="GG79" s="958"/>
      <c r="GH79" s="958"/>
      <c r="GI79" s="958"/>
      <c r="GJ79" s="958"/>
      <c r="GK79" s="958"/>
      <c r="GL79" s="958"/>
      <c r="GM79" s="958"/>
      <c r="GN79" s="958"/>
      <c r="GO79" s="958"/>
      <c r="GP79" s="958"/>
      <c r="GQ79" s="958"/>
      <c r="GR79" s="958"/>
      <c r="GS79" s="958"/>
      <c r="GT79" s="958"/>
      <c r="GU79" s="958"/>
      <c r="GV79" s="958"/>
      <c r="GW79" s="958"/>
      <c r="GX79" s="958"/>
      <c r="GY79" s="958"/>
      <c r="GZ79" s="958"/>
      <c r="HA79" s="958"/>
      <c r="HB79" s="958"/>
      <c r="HC79" s="958"/>
      <c r="HD79" s="958"/>
      <c r="HE79" s="958"/>
      <c r="HF79" s="958"/>
      <c r="HG79" s="958"/>
      <c r="HH79" s="958"/>
      <c r="HI79" s="958"/>
      <c r="HJ79" s="958"/>
      <c r="HK79" s="958"/>
      <c r="HL79" s="958"/>
      <c r="HM79" s="958"/>
      <c r="HN79" s="958"/>
      <c r="HO79" s="958"/>
      <c r="HP79" s="958"/>
      <c r="HQ79" s="958"/>
      <c r="HR79" s="958"/>
      <c r="HS79" s="958"/>
      <c r="HT79" s="958"/>
      <c r="HU79" s="958"/>
      <c r="HV79" s="958"/>
      <c r="HW79" s="958"/>
      <c r="HX79" s="958"/>
      <c r="HY79" s="958"/>
      <c r="HZ79" s="958"/>
      <c r="IA79" s="958"/>
      <c r="IB79" s="958"/>
      <c r="IC79" s="958"/>
      <c r="ID79" s="958"/>
      <c r="IE79" s="958"/>
      <c r="IF79" s="958"/>
      <c r="IG79" s="958"/>
      <c r="IH79" s="958"/>
      <c r="II79" s="958"/>
      <c r="IJ79" s="958"/>
      <c r="IK79" s="958"/>
      <c r="IL79" s="958"/>
      <c r="IM79" s="958"/>
      <c r="IN79" s="958"/>
      <c r="IO79" s="958"/>
      <c r="IP79" s="958"/>
      <c r="IQ79" s="958"/>
      <c r="IR79" s="958"/>
      <c r="IS79" s="958"/>
      <c r="IT79" s="958"/>
      <c r="IU79" s="958"/>
      <c r="IV79" s="958"/>
    </row>
    <row r="80" spans="1:256" ht="13" thickBot="1">
      <c r="A80" s="986" t="s">
        <v>873</v>
      </c>
      <c r="B80" s="987">
        <v>1888</v>
      </c>
      <c r="C80" s="987">
        <v>2462</v>
      </c>
      <c r="D80" s="988">
        <v>2454</v>
      </c>
      <c r="E80" s="988">
        <v>2774</v>
      </c>
      <c r="F80" s="988">
        <v>3002</v>
      </c>
      <c r="G80" s="988">
        <v>2619.4</v>
      </c>
      <c r="H80" s="988">
        <v>2437.1999999999998</v>
      </c>
      <c r="I80" s="988">
        <v>3159.1</v>
      </c>
      <c r="J80" s="988">
        <v>3652.3</v>
      </c>
      <c r="K80" s="988">
        <v>3490.1</v>
      </c>
      <c r="L80" s="989">
        <v>3244.8</v>
      </c>
      <c r="M80" s="989">
        <v>3880.7</v>
      </c>
      <c r="N80" s="988">
        <v>3449.6</v>
      </c>
      <c r="O80" s="958"/>
      <c r="P80" s="958"/>
      <c r="Q80" s="958"/>
      <c r="R80" s="958"/>
      <c r="S80" s="958"/>
      <c r="T80" s="958"/>
      <c r="U80" s="958"/>
      <c r="V80" s="958"/>
      <c r="W80" s="958"/>
      <c r="X80" s="958"/>
      <c r="Y80" s="958"/>
      <c r="Z80" s="958"/>
      <c r="AA80" s="958"/>
      <c r="AB80" s="958"/>
      <c r="AC80" s="958"/>
      <c r="AD80" s="958"/>
      <c r="AE80" s="958"/>
      <c r="AF80" s="958"/>
      <c r="AG80" s="958"/>
      <c r="AH80" s="958"/>
      <c r="AI80" s="958"/>
      <c r="AJ80" s="958"/>
      <c r="AK80" s="958"/>
      <c r="AL80" s="958"/>
      <c r="AM80" s="958"/>
      <c r="AN80" s="958"/>
      <c r="AO80" s="958"/>
      <c r="AP80" s="958"/>
      <c r="AQ80" s="958"/>
      <c r="AR80" s="958"/>
      <c r="AS80" s="958"/>
      <c r="AT80" s="958"/>
      <c r="AU80" s="958"/>
      <c r="AV80" s="958"/>
      <c r="AW80" s="958"/>
      <c r="AX80" s="958"/>
      <c r="AY80" s="958"/>
      <c r="AZ80" s="958"/>
      <c r="BA80" s="958"/>
      <c r="BB80" s="958"/>
      <c r="BC80" s="958"/>
      <c r="BD80" s="958"/>
      <c r="BE80" s="958"/>
      <c r="BF80" s="958"/>
      <c r="BG80" s="958"/>
      <c r="BH80" s="958"/>
      <c r="BI80" s="958"/>
      <c r="BJ80" s="958"/>
      <c r="BK80" s="958"/>
      <c r="BL80" s="958"/>
      <c r="BM80" s="958"/>
      <c r="BN80" s="958"/>
      <c r="BO80" s="958"/>
      <c r="BP80" s="958"/>
      <c r="BQ80" s="958"/>
      <c r="BR80" s="958"/>
      <c r="BS80" s="958"/>
      <c r="BT80" s="958"/>
      <c r="BU80" s="958"/>
      <c r="BV80" s="958"/>
      <c r="BW80" s="958"/>
      <c r="BX80" s="958"/>
      <c r="BY80" s="958"/>
      <c r="BZ80" s="958"/>
      <c r="CA80" s="958"/>
      <c r="CB80" s="958"/>
      <c r="CC80" s="958"/>
      <c r="CD80" s="958"/>
      <c r="CE80" s="958"/>
      <c r="CF80" s="958"/>
      <c r="CG80" s="958"/>
      <c r="CH80" s="958"/>
      <c r="CI80" s="958"/>
      <c r="CJ80" s="958"/>
      <c r="CK80" s="958"/>
      <c r="CL80" s="958"/>
      <c r="CM80" s="958"/>
      <c r="CN80" s="958"/>
      <c r="CO80" s="958"/>
      <c r="CP80" s="958"/>
      <c r="CQ80" s="958"/>
      <c r="CR80" s="958"/>
      <c r="CS80" s="958"/>
      <c r="CT80" s="958"/>
      <c r="CU80" s="958"/>
      <c r="CV80" s="958"/>
      <c r="CW80" s="958"/>
      <c r="CX80" s="958"/>
      <c r="CY80" s="958"/>
      <c r="CZ80" s="958"/>
      <c r="DA80" s="958"/>
      <c r="DB80" s="958"/>
      <c r="DC80" s="958"/>
      <c r="DD80" s="958"/>
      <c r="DE80" s="958"/>
      <c r="DF80" s="958"/>
      <c r="DG80" s="958"/>
      <c r="DH80" s="958"/>
      <c r="DI80" s="958"/>
      <c r="DJ80" s="958"/>
      <c r="DK80" s="958"/>
      <c r="DL80" s="958"/>
      <c r="DM80" s="958"/>
      <c r="DN80" s="958"/>
      <c r="DO80" s="958"/>
      <c r="DP80" s="958"/>
      <c r="DQ80" s="958"/>
      <c r="DR80" s="958"/>
      <c r="DS80" s="958"/>
      <c r="DT80" s="958"/>
      <c r="DU80" s="958"/>
      <c r="DV80" s="958"/>
      <c r="DW80" s="958"/>
      <c r="DX80" s="958"/>
      <c r="DY80" s="958"/>
      <c r="DZ80" s="958"/>
      <c r="EA80" s="958"/>
      <c r="EB80" s="958"/>
      <c r="EC80" s="958"/>
      <c r="ED80" s="958"/>
      <c r="EE80" s="958"/>
      <c r="EF80" s="958"/>
      <c r="EG80" s="958"/>
      <c r="EH80" s="958"/>
      <c r="EI80" s="958"/>
      <c r="EJ80" s="958"/>
      <c r="EK80" s="958"/>
      <c r="EL80" s="958"/>
      <c r="EM80" s="958"/>
      <c r="EN80" s="958"/>
      <c r="EO80" s="958"/>
      <c r="EP80" s="958"/>
      <c r="EQ80" s="958"/>
      <c r="ER80" s="958"/>
      <c r="ES80" s="958"/>
      <c r="ET80" s="958"/>
      <c r="EU80" s="958"/>
      <c r="EV80" s="958"/>
      <c r="EW80" s="958"/>
      <c r="EX80" s="958"/>
      <c r="EY80" s="958"/>
      <c r="EZ80" s="958"/>
      <c r="FA80" s="958"/>
      <c r="FB80" s="958"/>
      <c r="FC80" s="958"/>
      <c r="FD80" s="958"/>
      <c r="FE80" s="958"/>
      <c r="FF80" s="958"/>
      <c r="FG80" s="958"/>
      <c r="FH80" s="958"/>
      <c r="FI80" s="958"/>
      <c r="FJ80" s="958"/>
      <c r="FK80" s="958"/>
      <c r="FL80" s="958"/>
      <c r="FM80" s="958"/>
      <c r="FN80" s="958"/>
      <c r="FO80" s="958"/>
      <c r="FP80" s="958"/>
      <c r="FQ80" s="958"/>
      <c r="FR80" s="958"/>
      <c r="FS80" s="958"/>
      <c r="FT80" s="958"/>
      <c r="FU80" s="958"/>
      <c r="FV80" s="958"/>
      <c r="FW80" s="958"/>
      <c r="FX80" s="958"/>
      <c r="FY80" s="958"/>
      <c r="FZ80" s="958"/>
      <c r="GA80" s="958"/>
      <c r="GB80" s="958"/>
      <c r="GC80" s="958"/>
      <c r="GD80" s="958"/>
      <c r="GE80" s="958"/>
      <c r="GF80" s="958"/>
      <c r="GG80" s="958"/>
      <c r="GH80" s="958"/>
      <c r="GI80" s="958"/>
      <c r="GJ80" s="958"/>
      <c r="GK80" s="958"/>
      <c r="GL80" s="958"/>
      <c r="GM80" s="958"/>
      <c r="GN80" s="958"/>
      <c r="GO80" s="958"/>
      <c r="GP80" s="958"/>
      <c r="GQ80" s="958"/>
      <c r="GR80" s="958"/>
      <c r="GS80" s="958"/>
      <c r="GT80" s="958"/>
      <c r="GU80" s="958"/>
      <c r="GV80" s="958"/>
      <c r="GW80" s="958"/>
      <c r="GX80" s="958"/>
      <c r="GY80" s="958"/>
      <c r="GZ80" s="958"/>
      <c r="HA80" s="958"/>
      <c r="HB80" s="958"/>
      <c r="HC80" s="958"/>
      <c r="HD80" s="958"/>
      <c r="HE80" s="958"/>
      <c r="HF80" s="958"/>
      <c r="HG80" s="958"/>
      <c r="HH80" s="958"/>
      <c r="HI80" s="958"/>
      <c r="HJ80" s="958"/>
      <c r="HK80" s="958"/>
      <c r="HL80" s="958"/>
      <c r="HM80" s="958"/>
      <c r="HN80" s="958"/>
      <c r="HO80" s="958"/>
      <c r="HP80" s="958"/>
      <c r="HQ80" s="958"/>
      <c r="HR80" s="958"/>
      <c r="HS80" s="958"/>
      <c r="HT80" s="958"/>
      <c r="HU80" s="958"/>
      <c r="HV80" s="958"/>
      <c r="HW80" s="958"/>
      <c r="HX80" s="958"/>
      <c r="HY80" s="958"/>
      <c r="HZ80" s="958"/>
      <c r="IA80" s="958"/>
      <c r="IB80" s="958"/>
      <c r="IC80" s="958"/>
      <c r="ID80" s="958"/>
      <c r="IE80" s="958"/>
      <c r="IF80" s="958"/>
      <c r="IG80" s="958"/>
      <c r="IH80" s="958"/>
      <c r="II80" s="958"/>
      <c r="IJ80" s="958"/>
      <c r="IK80" s="958"/>
      <c r="IL80" s="958"/>
      <c r="IM80" s="958"/>
      <c r="IN80" s="958"/>
      <c r="IO80" s="958"/>
      <c r="IP80" s="958"/>
      <c r="IQ80" s="958"/>
      <c r="IR80" s="958"/>
      <c r="IS80" s="958"/>
      <c r="IT80" s="958"/>
      <c r="IU80" s="958"/>
      <c r="IV80" s="958"/>
    </row>
    <row r="81" spans="1:256" ht="11.25" customHeight="1" thickTop="1">
      <c r="A81" s="959" t="s">
        <v>165</v>
      </c>
      <c r="B81" s="1031"/>
      <c r="C81" s="1031"/>
      <c r="D81" s="1050"/>
      <c r="E81" s="1050"/>
      <c r="F81" s="1050"/>
      <c r="G81" s="1050"/>
      <c r="H81" s="1050"/>
      <c r="I81" s="1050"/>
      <c r="J81" s="1050"/>
      <c r="K81" s="1050"/>
      <c r="L81" s="1050"/>
      <c r="M81" s="1050"/>
      <c r="N81" s="1050"/>
      <c r="O81" s="958"/>
      <c r="P81" s="958"/>
      <c r="Q81" s="958"/>
      <c r="R81" s="958"/>
      <c r="S81" s="958"/>
      <c r="T81" s="958"/>
      <c r="U81" s="958"/>
      <c r="V81" s="958"/>
      <c r="W81" s="958"/>
      <c r="X81" s="958"/>
      <c r="Y81" s="958"/>
      <c r="Z81" s="958"/>
      <c r="AA81" s="958"/>
      <c r="AB81" s="958"/>
      <c r="AC81" s="958"/>
      <c r="AD81" s="958"/>
      <c r="AE81" s="958"/>
      <c r="AF81" s="958"/>
      <c r="AG81" s="958"/>
      <c r="AH81" s="958"/>
      <c r="AI81" s="958"/>
      <c r="AJ81" s="958"/>
      <c r="AK81" s="958"/>
      <c r="AL81" s="958"/>
      <c r="AM81" s="958"/>
      <c r="AN81" s="958"/>
      <c r="AO81" s="958"/>
      <c r="AP81" s="958"/>
      <c r="AQ81" s="958"/>
      <c r="AR81" s="958"/>
      <c r="AS81" s="958"/>
      <c r="AT81" s="958"/>
      <c r="AU81" s="958"/>
      <c r="AV81" s="958"/>
      <c r="AW81" s="958"/>
      <c r="AX81" s="958"/>
      <c r="AY81" s="958"/>
      <c r="AZ81" s="958"/>
      <c r="BA81" s="958"/>
      <c r="BB81" s="958"/>
      <c r="BC81" s="958"/>
      <c r="BD81" s="958"/>
      <c r="BE81" s="958"/>
      <c r="BF81" s="958"/>
      <c r="BG81" s="958"/>
      <c r="BH81" s="958"/>
      <c r="BI81" s="958"/>
      <c r="BJ81" s="958"/>
      <c r="BK81" s="958"/>
      <c r="BL81" s="958"/>
      <c r="BM81" s="958"/>
      <c r="BN81" s="958"/>
      <c r="BO81" s="958"/>
      <c r="BP81" s="958"/>
      <c r="BQ81" s="958"/>
      <c r="BR81" s="958"/>
      <c r="BS81" s="958"/>
      <c r="BT81" s="958"/>
      <c r="BU81" s="958"/>
      <c r="BV81" s="958"/>
      <c r="BW81" s="958"/>
      <c r="BX81" s="958"/>
      <c r="BY81" s="958"/>
      <c r="BZ81" s="958"/>
      <c r="CA81" s="958"/>
      <c r="CB81" s="958"/>
      <c r="CC81" s="958"/>
      <c r="CD81" s="958"/>
      <c r="CE81" s="958"/>
      <c r="CF81" s="958"/>
      <c r="CG81" s="958"/>
      <c r="CH81" s="958"/>
      <c r="CI81" s="958"/>
      <c r="CJ81" s="958"/>
      <c r="CK81" s="958"/>
      <c r="CL81" s="958"/>
      <c r="CM81" s="958"/>
      <c r="CN81" s="958"/>
      <c r="CO81" s="958"/>
      <c r="CP81" s="958"/>
      <c r="CQ81" s="958"/>
      <c r="CR81" s="958"/>
      <c r="CS81" s="958"/>
      <c r="CT81" s="958"/>
      <c r="CU81" s="958"/>
      <c r="CV81" s="958"/>
      <c r="CW81" s="958"/>
      <c r="CX81" s="958"/>
      <c r="CY81" s="958"/>
      <c r="CZ81" s="958"/>
      <c r="DA81" s="958"/>
      <c r="DB81" s="958"/>
      <c r="DC81" s="958"/>
      <c r="DD81" s="958"/>
      <c r="DE81" s="958"/>
      <c r="DF81" s="958"/>
      <c r="DG81" s="958"/>
      <c r="DH81" s="958"/>
      <c r="DI81" s="958"/>
      <c r="DJ81" s="958"/>
      <c r="DK81" s="958"/>
      <c r="DL81" s="958"/>
      <c r="DM81" s="958"/>
      <c r="DN81" s="958"/>
      <c r="DO81" s="958"/>
      <c r="DP81" s="958"/>
      <c r="DQ81" s="958"/>
      <c r="DR81" s="958"/>
      <c r="DS81" s="958"/>
      <c r="DT81" s="958"/>
      <c r="DU81" s="958"/>
      <c r="DV81" s="958"/>
      <c r="DW81" s="958"/>
      <c r="DX81" s="958"/>
      <c r="DY81" s="958"/>
      <c r="DZ81" s="958"/>
      <c r="EA81" s="958"/>
      <c r="EB81" s="958"/>
      <c r="EC81" s="958"/>
      <c r="ED81" s="958"/>
      <c r="EE81" s="958"/>
      <c r="EF81" s="958"/>
      <c r="EG81" s="958"/>
      <c r="EH81" s="958"/>
      <c r="EI81" s="958"/>
      <c r="EJ81" s="958"/>
      <c r="EK81" s="958"/>
      <c r="EL81" s="958"/>
      <c r="EM81" s="958"/>
      <c r="EN81" s="958"/>
      <c r="EO81" s="958"/>
      <c r="EP81" s="958"/>
      <c r="EQ81" s="958"/>
      <c r="ER81" s="958"/>
      <c r="ES81" s="958"/>
      <c r="ET81" s="958"/>
      <c r="EU81" s="958"/>
      <c r="EV81" s="958"/>
      <c r="EW81" s="958"/>
      <c r="EX81" s="958"/>
      <c r="EY81" s="958"/>
      <c r="EZ81" s="958"/>
      <c r="FA81" s="958"/>
      <c r="FB81" s="958"/>
      <c r="FC81" s="958"/>
      <c r="FD81" s="958"/>
      <c r="FE81" s="958"/>
      <c r="FF81" s="958"/>
      <c r="FG81" s="958"/>
      <c r="FH81" s="958"/>
      <c r="FI81" s="958"/>
      <c r="FJ81" s="958"/>
      <c r="FK81" s="958"/>
      <c r="FL81" s="958"/>
      <c r="FM81" s="958"/>
      <c r="FN81" s="958"/>
      <c r="FO81" s="958"/>
      <c r="FP81" s="958"/>
      <c r="FQ81" s="958"/>
      <c r="FR81" s="958"/>
      <c r="FS81" s="958"/>
      <c r="FT81" s="958"/>
      <c r="FU81" s="958"/>
      <c r="FV81" s="958"/>
      <c r="FW81" s="958"/>
      <c r="FX81" s="958"/>
      <c r="FY81" s="958"/>
      <c r="FZ81" s="958"/>
      <c r="GA81" s="958"/>
      <c r="GB81" s="958"/>
      <c r="GC81" s="958"/>
      <c r="GD81" s="958"/>
      <c r="GE81" s="958"/>
      <c r="GF81" s="958"/>
      <c r="GG81" s="958"/>
      <c r="GH81" s="958"/>
      <c r="GI81" s="958"/>
      <c r="GJ81" s="958"/>
      <c r="GK81" s="958"/>
      <c r="GL81" s="958"/>
      <c r="GM81" s="958"/>
      <c r="GN81" s="958"/>
      <c r="GO81" s="958"/>
      <c r="GP81" s="958"/>
      <c r="GQ81" s="958"/>
      <c r="GR81" s="958"/>
      <c r="GS81" s="958"/>
      <c r="GT81" s="958"/>
      <c r="GU81" s="958"/>
      <c r="GV81" s="958"/>
      <c r="GW81" s="958"/>
      <c r="GX81" s="958"/>
      <c r="GY81" s="958"/>
      <c r="GZ81" s="958"/>
      <c r="HA81" s="958"/>
      <c r="HB81" s="958"/>
      <c r="HC81" s="958"/>
      <c r="HD81" s="958"/>
      <c r="HE81" s="958"/>
      <c r="HF81" s="958"/>
      <c r="HG81" s="958"/>
      <c r="HH81" s="958"/>
      <c r="HI81" s="958"/>
      <c r="HJ81" s="958"/>
      <c r="HK81" s="958"/>
      <c r="HL81" s="958"/>
      <c r="HM81" s="958"/>
      <c r="HN81" s="958"/>
      <c r="HO81" s="958"/>
      <c r="HP81" s="958"/>
      <c r="HQ81" s="958"/>
      <c r="HR81" s="958"/>
      <c r="HS81" s="958"/>
      <c r="HT81" s="958"/>
      <c r="HU81" s="958"/>
      <c r="HV81" s="958"/>
      <c r="HW81" s="958"/>
      <c r="HX81" s="958"/>
      <c r="HY81" s="958"/>
      <c r="HZ81" s="958"/>
      <c r="IA81" s="958"/>
      <c r="IB81" s="958"/>
      <c r="IC81" s="958"/>
      <c r="ID81" s="958"/>
      <c r="IE81" s="958"/>
      <c r="IF81" s="958"/>
      <c r="IG81" s="958"/>
      <c r="IH81" s="958"/>
      <c r="II81" s="958"/>
      <c r="IJ81" s="958"/>
      <c r="IK81" s="958"/>
      <c r="IL81" s="958"/>
      <c r="IM81" s="958"/>
      <c r="IN81" s="958"/>
      <c r="IO81" s="958"/>
      <c r="IP81" s="958"/>
      <c r="IQ81" s="958"/>
      <c r="IR81" s="958"/>
      <c r="IS81" s="958"/>
      <c r="IT81" s="958"/>
      <c r="IU81" s="958"/>
      <c r="IV81" s="958"/>
    </row>
    <row r="82" spans="1:256" ht="10.5" customHeight="1">
      <c r="A82" s="944" t="s">
        <v>452</v>
      </c>
      <c r="B82" s="968">
        <v>0</v>
      </c>
      <c r="C82" s="968">
        <v>0</v>
      </c>
      <c r="D82" s="1032">
        <v>22.3</v>
      </c>
      <c r="E82" s="1032">
        <v>21.8</v>
      </c>
      <c r="F82" s="1032">
        <v>23.6</v>
      </c>
      <c r="G82" s="1032">
        <v>19.100000000000001</v>
      </c>
      <c r="H82" s="1032">
        <v>13.6</v>
      </c>
      <c r="I82" s="1032">
        <v>0</v>
      </c>
      <c r="J82" s="1050">
        <v>0</v>
      </c>
      <c r="K82" s="1032">
        <v>0</v>
      </c>
      <c r="L82" s="1033">
        <v>0</v>
      </c>
      <c r="M82" s="1033">
        <v>0</v>
      </c>
      <c r="N82" s="1033">
        <v>0</v>
      </c>
      <c r="O82" s="958"/>
      <c r="P82" s="958"/>
      <c r="Q82" s="958"/>
      <c r="R82" s="958"/>
      <c r="S82" s="958"/>
      <c r="T82" s="958"/>
      <c r="U82" s="958"/>
      <c r="V82" s="958"/>
      <c r="W82" s="958"/>
      <c r="X82" s="958"/>
      <c r="Y82" s="958"/>
      <c r="Z82" s="958"/>
      <c r="AA82" s="958"/>
      <c r="AB82" s="958"/>
      <c r="AC82" s="958"/>
      <c r="AD82" s="958"/>
      <c r="AE82" s="958"/>
      <c r="AF82" s="958"/>
      <c r="AG82" s="958"/>
      <c r="AH82" s="958"/>
      <c r="AI82" s="958"/>
      <c r="AJ82" s="958"/>
      <c r="AK82" s="958"/>
      <c r="AL82" s="958"/>
      <c r="AM82" s="958"/>
      <c r="AN82" s="958"/>
      <c r="AO82" s="958"/>
      <c r="AP82" s="958"/>
      <c r="AQ82" s="958"/>
      <c r="AR82" s="958"/>
      <c r="AS82" s="958"/>
      <c r="AT82" s="958"/>
      <c r="AU82" s="958"/>
      <c r="AV82" s="958"/>
      <c r="AW82" s="958"/>
      <c r="AX82" s="958"/>
      <c r="AY82" s="958"/>
      <c r="AZ82" s="958"/>
      <c r="BA82" s="958"/>
      <c r="BB82" s="958"/>
      <c r="BC82" s="958"/>
      <c r="BD82" s="958"/>
      <c r="BE82" s="958"/>
      <c r="BF82" s="958"/>
      <c r="BG82" s="958"/>
      <c r="BH82" s="958"/>
      <c r="BI82" s="958"/>
      <c r="BJ82" s="958"/>
      <c r="BK82" s="958"/>
      <c r="BL82" s="958"/>
      <c r="BM82" s="958"/>
      <c r="BN82" s="958"/>
      <c r="BO82" s="958"/>
      <c r="BP82" s="958"/>
      <c r="BQ82" s="958"/>
      <c r="BR82" s="958"/>
      <c r="BS82" s="958"/>
      <c r="BT82" s="958"/>
      <c r="BU82" s="958"/>
      <c r="BV82" s="958"/>
      <c r="BW82" s="958"/>
      <c r="BX82" s="958"/>
      <c r="BY82" s="958"/>
      <c r="BZ82" s="958"/>
      <c r="CA82" s="958"/>
      <c r="CB82" s="958"/>
      <c r="CC82" s="958"/>
      <c r="CD82" s="958"/>
      <c r="CE82" s="958"/>
      <c r="CF82" s="958"/>
      <c r="CG82" s="958"/>
      <c r="CH82" s="958"/>
      <c r="CI82" s="958"/>
      <c r="CJ82" s="958"/>
      <c r="CK82" s="958"/>
      <c r="CL82" s="958"/>
      <c r="CM82" s="958"/>
      <c r="CN82" s="958"/>
      <c r="CO82" s="958"/>
      <c r="CP82" s="958"/>
      <c r="CQ82" s="958"/>
      <c r="CR82" s="958"/>
      <c r="CS82" s="958"/>
      <c r="CT82" s="958"/>
      <c r="CU82" s="958"/>
      <c r="CV82" s="958"/>
      <c r="CW82" s="958"/>
      <c r="CX82" s="958"/>
      <c r="CY82" s="958"/>
      <c r="CZ82" s="958"/>
      <c r="DA82" s="958"/>
      <c r="DB82" s="958"/>
      <c r="DC82" s="958"/>
      <c r="DD82" s="958"/>
      <c r="DE82" s="958"/>
      <c r="DF82" s="958"/>
      <c r="DG82" s="958"/>
      <c r="DH82" s="958"/>
      <c r="DI82" s="958"/>
      <c r="DJ82" s="958"/>
      <c r="DK82" s="958"/>
      <c r="DL82" s="958"/>
      <c r="DM82" s="958"/>
      <c r="DN82" s="958"/>
      <c r="DO82" s="958"/>
      <c r="DP82" s="958"/>
      <c r="DQ82" s="958"/>
      <c r="DR82" s="958"/>
      <c r="DS82" s="958"/>
      <c r="DT82" s="958"/>
      <c r="DU82" s="958"/>
      <c r="DV82" s="958"/>
      <c r="DW82" s="958"/>
      <c r="DX82" s="958"/>
      <c r="DY82" s="958"/>
      <c r="DZ82" s="958"/>
      <c r="EA82" s="958"/>
      <c r="EB82" s="958"/>
      <c r="EC82" s="958"/>
      <c r="ED82" s="958"/>
      <c r="EE82" s="958"/>
      <c r="EF82" s="958"/>
      <c r="EG82" s="958"/>
      <c r="EH82" s="958"/>
      <c r="EI82" s="958"/>
      <c r="EJ82" s="958"/>
      <c r="EK82" s="958"/>
      <c r="EL82" s="958"/>
      <c r="EM82" s="958"/>
      <c r="EN82" s="958"/>
      <c r="EO82" s="958"/>
      <c r="EP82" s="958"/>
      <c r="EQ82" s="958"/>
      <c r="ER82" s="958"/>
      <c r="ES82" s="958"/>
      <c r="ET82" s="958"/>
      <c r="EU82" s="958"/>
      <c r="EV82" s="958"/>
      <c r="EW82" s="958"/>
      <c r="EX82" s="958"/>
      <c r="EY82" s="958"/>
      <c r="EZ82" s="958"/>
      <c r="FA82" s="958"/>
      <c r="FB82" s="958"/>
      <c r="FC82" s="958"/>
      <c r="FD82" s="958"/>
      <c r="FE82" s="958"/>
      <c r="FF82" s="958"/>
      <c r="FG82" s="958"/>
      <c r="FH82" s="958"/>
      <c r="FI82" s="958"/>
      <c r="FJ82" s="958"/>
      <c r="FK82" s="958"/>
      <c r="FL82" s="958"/>
      <c r="FM82" s="958"/>
      <c r="FN82" s="958"/>
      <c r="FO82" s="958"/>
      <c r="FP82" s="958"/>
      <c r="FQ82" s="958"/>
      <c r="FR82" s="958"/>
      <c r="FS82" s="958"/>
      <c r="FT82" s="958"/>
      <c r="FU82" s="958"/>
      <c r="FV82" s="958"/>
      <c r="FW82" s="958"/>
      <c r="FX82" s="958"/>
      <c r="FY82" s="958"/>
      <c r="FZ82" s="958"/>
      <c r="GA82" s="958"/>
      <c r="GB82" s="958"/>
      <c r="GC82" s="958"/>
      <c r="GD82" s="958"/>
      <c r="GE82" s="958"/>
      <c r="GF82" s="958"/>
      <c r="GG82" s="958"/>
      <c r="GH82" s="958"/>
      <c r="GI82" s="958"/>
      <c r="GJ82" s="958"/>
      <c r="GK82" s="958"/>
      <c r="GL82" s="958"/>
      <c r="GM82" s="958"/>
      <c r="GN82" s="958"/>
      <c r="GO82" s="958"/>
      <c r="GP82" s="958"/>
      <c r="GQ82" s="958"/>
      <c r="GR82" s="958"/>
      <c r="GS82" s="958"/>
      <c r="GT82" s="958"/>
      <c r="GU82" s="958"/>
      <c r="GV82" s="958"/>
      <c r="GW82" s="958"/>
      <c r="GX82" s="958"/>
      <c r="GY82" s="958"/>
      <c r="GZ82" s="958"/>
      <c r="HA82" s="958"/>
      <c r="HB82" s="958"/>
      <c r="HC82" s="958"/>
      <c r="HD82" s="958"/>
      <c r="HE82" s="958"/>
      <c r="HF82" s="958"/>
      <c r="HG82" s="958"/>
      <c r="HH82" s="958"/>
      <c r="HI82" s="958"/>
      <c r="HJ82" s="958"/>
      <c r="HK82" s="958"/>
      <c r="HL82" s="958"/>
      <c r="HM82" s="958"/>
      <c r="HN82" s="958"/>
      <c r="HO82" s="958"/>
      <c r="HP82" s="958"/>
      <c r="HQ82" s="958"/>
      <c r="HR82" s="958"/>
      <c r="HS82" s="958"/>
      <c r="HT82" s="958"/>
      <c r="HU82" s="958"/>
      <c r="HV82" s="958"/>
      <c r="HW82" s="958"/>
      <c r="HX82" s="958"/>
      <c r="HY82" s="958"/>
      <c r="HZ82" s="958"/>
      <c r="IA82" s="958"/>
      <c r="IB82" s="958"/>
      <c r="IC82" s="958"/>
      <c r="ID82" s="958"/>
      <c r="IE82" s="958"/>
      <c r="IF82" s="958"/>
      <c r="IG82" s="958"/>
      <c r="IH82" s="958"/>
      <c r="II82" s="958"/>
      <c r="IJ82" s="958"/>
      <c r="IK82" s="958"/>
      <c r="IL82" s="958"/>
      <c r="IM82" s="958"/>
      <c r="IN82" s="958"/>
      <c r="IO82" s="958"/>
      <c r="IP82" s="958"/>
      <c r="IQ82" s="958"/>
      <c r="IR82" s="958"/>
      <c r="IS82" s="958"/>
      <c r="IT82" s="958"/>
      <c r="IU82" s="958"/>
      <c r="IV82" s="958"/>
    </row>
    <row r="83" spans="1:256" ht="10.5" customHeight="1">
      <c r="A83" s="944" t="s">
        <v>840</v>
      </c>
      <c r="B83" s="1031">
        <v>7</v>
      </c>
      <c r="C83" s="1031">
        <v>7</v>
      </c>
      <c r="D83" s="1032">
        <v>7</v>
      </c>
      <c r="E83" s="1032">
        <v>7</v>
      </c>
      <c r="F83" s="1032">
        <v>5.2</v>
      </c>
      <c r="G83" s="1032">
        <v>5.2</v>
      </c>
      <c r="H83" s="1032">
        <v>5.2</v>
      </c>
      <c r="I83" s="1032">
        <v>7</v>
      </c>
      <c r="J83" s="1032">
        <v>24.1</v>
      </c>
      <c r="K83" s="1032">
        <v>28</v>
      </c>
      <c r="L83" s="1033">
        <v>25.8</v>
      </c>
      <c r="M83" s="1033">
        <v>24.4</v>
      </c>
      <c r="N83" s="1032">
        <v>26.1</v>
      </c>
      <c r="O83" s="958"/>
      <c r="P83" s="958"/>
      <c r="Q83" s="958"/>
      <c r="R83" s="958"/>
      <c r="S83" s="958"/>
      <c r="T83" s="958"/>
      <c r="U83" s="958"/>
      <c r="V83" s="958"/>
      <c r="W83" s="958"/>
      <c r="X83" s="958"/>
      <c r="Y83" s="958"/>
      <c r="Z83" s="958"/>
      <c r="AA83" s="958"/>
      <c r="AB83" s="958"/>
      <c r="AC83" s="958"/>
      <c r="AD83" s="958"/>
      <c r="AE83" s="958"/>
      <c r="AF83" s="958"/>
      <c r="AG83" s="958"/>
      <c r="AH83" s="958"/>
      <c r="AI83" s="958"/>
      <c r="AJ83" s="958"/>
      <c r="AK83" s="958"/>
      <c r="AL83" s="958"/>
      <c r="AM83" s="958"/>
      <c r="AN83" s="958"/>
      <c r="AO83" s="958"/>
      <c r="AP83" s="958"/>
      <c r="AQ83" s="958"/>
      <c r="AR83" s="958"/>
      <c r="AS83" s="958"/>
      <c r="AT83" s="958"/>
      <c r="AU83" s="958"/>
      <c r="AV83" s="958"/>
      <c r="AW83" s="958"/>
      <c r="AX83" s="958"/>
      <c r="AY83" s="958"/>
      <c r="AZ83" s="958"/>
      <c r="BA83" s="958"/>
      <c r="BB83" s="958"/>
      <c r="BC83" s="958"/>
      <c r="BD83" s="958"/>
      <c r="BE83" s="958"/>
      <c r="BF83" s="958"/>
      <c r="BG83" s="958"/>
      <c r="BH83" s="958"/>
      <c r="BI83" s="958"/>
      <c r="BJ83" s="958"/>
      <c r="BK83" s="958"/>
      <c r="BL83" s="958"/>
      <c r="BM83" s="958"/>
      <c r="BN83" s="958"/>
      <c r="BO83" s="958"/>
      <c r="BP83" s="958"/>
      <c r="BQ83" s="958"/>
      <c r="BR83" s="958"/>
      <c r="BS83" s="958"/>
      <c r="BT83" s="958"/>
      <c r="BU83" s="958"/>
      <c r="BV83" s="958"/>
      <c r="BW83" s="958"/>
      <c r="BX83" s="958"/>
      <c r="BY83" s="958"/>
      <c r="BZ83" s="958"/>
      <c r="CA83" s="958"/>
      <c r="CB83" s="958"/>
      <c r="CC83" s="958"/>
      <c r="CD83" s="958"/>
      <c r="CE83" s="958"/>
      <c r="CF83" s="958"/>
      <c r="CG83" s="958"/>
      <c r="CH83" s="958"/>
      <c r="CI83" s="958"/>
      <c r="CJ83" s="958"/>
      <c r="CK83" s="958"/>
      <c r="CL83" s="958"/>
      <c r="CM83" s="958"/>
      <c r="CN83" s="958"/>
      <c r="CO83" s="958"/>
      <c r="CP83" s="958"/>
      <c r="CQ83" s="958"/>
      <c r="CR83" s="958"/>
      <c r="CS83" s="958"/>
      <c r="CT83" s="958"/>
      <c r="CU83" s="958"/>
      <c r="CV83" s="958"/>
      <c r="CW83" s="958"/>
      <c r="CX83" s="958"/>
      <c r="CY83" s="958"/>
      <c r="CZ83" s="958"/>
      <c r="DA83" s="958"/>
      <c r="DB83" s="958"/>
      <c r="DC83" s="958"/>
      <c r="DD83" s="958"/>
      <c r="DE83" s="958"/>
      <c r="DF83" s="958"/>
      <c r="DG83" s="958"/>
      <c r="DH83" s="958"/>
      <c r="DI83" s="958"/>
      <c r="DJ83" s="958"/>
      <c r="DK83" s="958"/>
      <c r="DL83" s="958"/>
      <c r="DM83" s="958"/>
      <c r="DN83" s="958"/>
      <c r="DO83" s="958"/>
      <c r="DP83" s="958"/>
      <c r="DQ83" s="958"/>
      <c r="DR83" s="958"/>
      <c r="DS83" s="958"/>
      <c r="DT83" s="958"/>
      <c r="DU83" s="958"/>
      <c r="DV83" s="958"/>
      <c r="DW83" s="958"/>
      <c r="DX83" s="958"/>
      <c r="DY83" s="958"/>
      <c r="DZ83" s="958"/>
      <c r="EA83" s="958"/>
      <c r="EB83" s="958"/>
      <c r="EC83" s="958"/>
      <c r="ED83" s="958"/>
      <c r="EE83" s="958"/>
      <c r="EF83" s="958"/>
      <c r="EG83" s="958"/>
      <c r="EH83" s="958"/>
      <c r="EI83" s="958"/>
      <c r="EJ83" s="958"/>
      <c r="EK83" s="958"/>
      <c r="EL83" s="958"/>
      <c r="EM83" s="958"/>
      <c r="EN83" s="958"/>
      <c r="EO83" s="958"/>
      <c r="EP83" s="958"/>
      <c r="EQ83" s="958"/>
      <c r="ER83" s="958"/>
      <c r="ES83" s="958"/>
      <c r="ET83" s="958"/>
      <c r="EU83" s="958"/>
      <c r="EV83" s="958"/>
      <c r="EW83" s="958"/>
      <c r="EX83" s="958"/>
      <c r="EY83" s="958"/>
      <c r="EZ83" s="958"/>
      <c r="FA83" s="958"/>
      <c r="FB83" s="958"/>
      <c r="FC83" s="958"/>
      <c r="FD83" s="958"/>
      <c r="FE83" s="958"/>
      <c r="FF83" s="958"/>
      <c r="FG83" s="958"/>
      <c r="FH83" s="958"/>
      <c r="FI83" s="958"/>
      <c r="FJ83" s="958"/>
      <c r="FK83" s="958"/>
      <c r="FL83" s="958"/>
      <c r="FM83" s="958"/>
      <c r="FN83" s="958"/>
      <c r="FO83" s="958"/>
      <c r="FP83" s="958"/>
      <c r="FQ83" s="958"/>
      <c r="FR83" s="958"/>
      <c r="FS83" s="958"/>
      <c r="FT83" s="958"/>
      <c r="FU83" s="958"/>
      <c r="FV83" s="958"/>
      <c r="FW83" s="958"/>
      <c r="FX83" s="958"/>
      <c r="FY83" s="958"/>
      <c r="FZ83" s="958"/>
      <c r="GA83" s="958"/>
      <c r="GB83" s="958"/>
      <c r="GC83" s="958"/>
      <c r="GD83" s="958"/>
      <c r="GE83" s="958"/>
      <c r="GF83" s="958"/>
      <c r="GG83" s="958"/>
      <c r="GH83" s="958"/>
      <c r="GI83" s="958"/>
      <c r="GJ83" s="958"/>
      <c r="GK83" s="958"/>
      <c r="GL83" s="958"/>
      <c r="GM83" s="958"/>
      <c r="GN83" s="958"/>
      <c r="GO83" s="958"/>
      <c r="GP83" s="958"/>
      <c r="GQ83" s="958"/>
      <c r="GR83" s="958"/>
      <c r="GS83" s="958"/>
      <c r="GT83" s="958"/>
      <c r="GU83" s="958"/>
      <c r="GV83" s="958"/>
      <c r="GW83" s="958"/>
      <c r="GX83" s="958"/>
      <c r="GY83" s="958"/>
      <c r="GZ83" s="958"/>
      <c r="HA83" s="958"/>
      <c r="HB83" s="958"/>
      <c r="HC83" s="958"/>
      <c r="HD83" s="958"/>
      <c r="HE83" s="958"/>
      <c r="HF83" s="958"/>
      <c r="HG83" s="958"/>
      <c r="HH83" s="958"/>
      <c r="HI83" s="958"/>
      <c r="HJ83" s="958"/>
      <c r="HK83" s="958"/>
      <c r="HL83" s="958"/>
      <c r="HM83" s="958"/>
      <c r="HN83" s="958"/>
      <c r="HO83" s="958"/>
      <c r="HP83" s="958"/>
      <c r="HQ83" s="958"/>
      <c r="HR83" s="958"/>
      <c r="HS83" s="958"/>
      <c r="HT83" s="958"/>
      <c r="HU83" s="958"/>
      <c r="HV83" s="958"/>
      <c r="HW83" s="958"/>
      <c r="HX83" s="958"/>
      <c r="HY83" s="958"/>
      <c r="HZ83" s="958"/>
      <c r="IA83" s="958"/>
      <c r="IB83" s="958"/>
      <c r="IC83" s="958"/>
      <c r="ID83" s="958"/>
      <c r="IE83" s="958"/>
      <c r="IF83" s="958"/>
      <c r="IG83" s="958"/>
      <c r="IH83" s="958"/>
      <c r="II83" s="958"/>
      <c r="IJ83" s="958"/>
      <c r="IK83" s="958"/>
      <c r="IL83" s="958"/>
      <c r="IM83" s="958"/>
      <c r="IN83" s="958"/>
      <c r="IO83" s="958"/>
      <c r="IP83" s="958"/>
      <c r="IQ83" s="958"/>
      <c r="IR83" s="958"/>
      <c r="IS83" s="958"/>
      <c r="IT83" s="958"/>
      <c r="IU83" s="958"/>
      <c r="IV83" s="958"/>
    </row>
    <row r="84" spans="1:256" ht="10.5" customHeight="1">
      <c r="A84" s="944" t="s">
        <v>841</v>
      </c>
      <c r="B84" s="1031">
        <v>51.7</v>
      </c>
      <c r="C84" s="1031">
        <v>56.8</v>
      </c>
      <c r="D84" s="1032">
        <v>93.9</v>
      </c>
      <c r="E84" s="1032">
        <v>91.3</v>
      </c>
      <c r="F84" s="1032">
        <v>144.19999999999999</v>
      </c>
      <c r="G84" s="1032">
        <v>112.1</v>
      </c>
      <c r="H84" s="1032">
        <v>153.1</v>
      </c>
      <c r="I84" s="1032">
        <v>201.1</v>
      </c>
      <c r="J84" s="1032">
        <v>180.3</v>
      </c>
      <c r="K84" s="1032">
        <v>84.4</v>
      </c>
      <c r="L84" s="1034">
        <v>109.9</v>
      </c>
      <c r="M84" s="1034">
        <v>146.69999999999999</v>
      </c>
      <c r="N84" s="1032">
        <v>156.19999999999999</v>
      </c>
      <c r="O84" s="958"/>
      <c r="P84" s="958"/>
      <c r="Q84" s="958"/>
      <c r="R84" s="958"/>
      <c r="S84" s="958"/>
      <c r="T84" s="958"/>
      <c r="U84" s="958"/>
      <c r="V84" s="958"/>
      <c r="W84" s="958"/>
      <c r="X84" s="958"/>
      <c r="Y84" s="958"/>
      <c r="Z84" s="958"/>
      <c r="AA84" s="958"/>
      <c r="AB84" s="958"/>
      <c r="AC84" s="958"/>
      <c r="AD84" s="958"/>
      <c r="AE84" s="958"/>
      <c r="AF84" s="958"/>
      <c r="AG84" s="958"/>
      <c r="AH84" s="958"/>
      <c r="AI84" s="958"/>
      <c r="AJ84" s="958"/>
      <c r="AK84" s="958"/>
      <c r="AL84" s="958"/>
      <c r="AM84" s="958"/>
      <c r="AN84" s="958"/>
      <c r="AO84" s="958"/>
      <c r="AP84" s="958"/>
      <c r="AQ84" s="958"/>
      <c r="AR84" s="958"/>
      <c r="AS84" s="958"/>
      <c r="AT84" s="958"/>
      <c r="AU84" s="958"/>
      <c r="AV84" s="958"/>
      <c r="AW84" s="958"/>
      <c r="AX84" s="958"/>
      <c r="AY84" s="958"/>
      <c r="AZ84" s="958"/>
      <c r="BA84" s="958"/>
      <c r="BB84" s="958"/>
      <c r="BC84" s="958"/>
      <c r="BD84" s="958"/>
      <c r="BE84" s="958"/>
      <c r="BF84" s="958"/>
      <c r="BG84" s="958"/>
      <c r="BH84" s="958"/>
      <c r="BI84" s="958"/>
      <c r="BJ84" s="958"/>
      <c r="BK84" s="958"/>
      <c r="BL84" s="958"/>
      <c r="BM84" s="958"/>
      <c r="BN84" s="958"/>
      <c r="BO84" s="958"/>
      <c r="BP84" s="958"/>
      <c r="BQ84" s="958"/>
      <c r="BR84" s="958"/>
      <c r="BS84" s="958"/>
      <c r="BT84" s="958"/>
      <c r="BU84" s="958"/>
      <c r="BV84" s="958"/>
      <c r="BW84" s="958"/>
      <c r="BX84" s="958"/>
      <c r="BY84" s="958"/>
      <c r="BZ84" s="958"/>
      <c r="CA84" s="958"/>
      <c r="CB84" s="958"/>
      <c r="CC84" s="958"/>
      <c r="CD84" s="958"/>
      <c r="CE84" s="958"/>
      <c r="CF84" s="958"/>
      <c r="CG84" s="958"/>
      <c r="CH84" s="958"/>
      <c r="CI84" s="958"/>
      <c r="CJ84" s="958"/>
      <c r="CK84" s="958"/>
      <c r="CL84" s="958"/>
      <c r="CM84" s="958"/>
      <c r="CN84" s="958"/>
      <c r="CO84" s="958"/>
      <c r="CP84" s="958"/>
      <c r="CQ84" s="958"/>
      <c r="CR84" s="958"/>
      <c r="CS84" s="958"/>
      <c r="CT84" s="958"/>
      <c r="CU84" s="958"/>
      <c r="CV84" s="958"/>
      <c r="CW84" s="958"/>
      <c r="CX84" s="958"/>
      <c r="CY84" s="958"/>
      <c r="CZ84" s="958"/>
      <c r="DA84" s="958"/>
      <c r="DB84" s="958"/>
      <c r="DC84" s="958"/>
      <c r="DD84" s="958"/>
      <c r="DE84" s="958"/>
      <c r="DF84" s="958"/>
      <c r="DG84" s="958"/>
      <c r="DH84" s="958"/>
      <c r="DI84" s="958"/>
      <c r="DJ84" s="958"/>
      <c r="DK84" s="958"/>
      <c r="DL84" s="958"/>
      <c r="DM84" s="958"/>
      <c r="DN84" s="958"/>
      <c r="DO84" s="958"/>
      <c r="DP84" s="958"/>
      <c r="DQ84" s="958"/>
      <c r="DR84" s="958"/>
      <c r="DS84" s="958"/>
      <c r="DT84" s="958"/>
      <c r="DU84" s="958"/>
      <c r="DV84" s="958"/>
      <c r="DW84" s="958"/>
      <c r="DX84" s="958"/>
      <c r="DY84" s="958"/>
      <c r="DZ84" s="958"/>
      <c r="EA84" s="958"/>
      <c r="EB84" s="958"/>
      <c r="EC84" s="958"/>
      <c r="ED84" s="958"/>
      <c r="EE84" s="958"/>
      <c r="EF84" s="958"/>
      <c r="EG84" s="958"/>
      <c r="EH84" s="958"/>
      <c r="EI84" s="958"/>
      <c r="EJ84" s="958"/>
      <c r="EK84" s="958"/>
      <c r="EL84" s="958"/>
      <c r="EM84" s="958"/>
      <c r="EN84" s="958"/>
      <c r="EO84" s="958"/>
      <c r="EP84" s="958"/>
      <c r="EQ84" s="958"/>
      <c r="ER84" s="958"/>
      <c r="ES84" s="958"/>
      <c r="ET84" s="958"/>
      <c r="EU84" s="958"/>
      <c r="EV84" s="958"/>
      <c r="EW84" s="958"/>
      <c r="EX84" s="958"/>
      <c r="EY84" s="958"/>
      <c r="EZ84" s="958"/>
      <c r="FA84" s="958"/>
      <c r="FB84" s="958"/>
      <c r="FC84" s="958"/>
      <c r="FD84" s="958"/>
      <c r="FE84" s="958"/>
      <c r="FF84" s="958"/>
      <c r="FG84" s="958"/>
      <c r="FH84" s="958"/>
      <c r="FI84" s="958"/>
      <c r="FJ84" s="958"/>
      <c r="FK84" s="958"/>
      <c r="FL84" s="958"/>
      <c r="FM84" s="958"/>
      <c r="FN84" s="958"/>
      <c r="FO84" s="958"/>
      <c r="FP84" s="958"/>
      <c r="FQ84" s="958"/>
      <c r="FR84" s="958"/>
      <c r="FS84" s="958"/>
      <c r="FT84" s="958"/>
      <c r="FU84" s="958"/>
      <c r="FV84" s="958"/>
      <c r="FW84" s="958"/>
      <c r="FX84" s="958"/>
      <c r="FY84" s="958"/>
      <c r="FZ84" s="958"/>
      <c r="GA84" s="958"/>
      <c r="GB84" s="958"/>
      <c r="GC84" s="958"/>
      <c r="GD84" s="958"/>
      <c r="GE84" s="958"/>
      <c r="GF84" s="958"/>
      <c r="GG84" s="958"/>
      <c r="GH84" s="958"/>
      <c r="GI84" s="958"/>
      <c r="GJ84" s="958"/>
      <c r="GK84" s="958"/>
      <c r="GL84" s="958"/>
      <c r="GM84" s="958"/>
      <c r="GN84" s="958"/>
      <c r="GO84" s="958"/>
      <c r="GP84" s="958"/>
      <c r="GQ84" s="958"/>
      <c r="GR84" s="958"/>
      <c r="GS84" s="958"/>
      <c r="GT84" s="958"/>
      <c r="GU84" s="958"/>
      <c r="GV84" s="958"/>
      <c r="GW84" s="958"/>
      <c r="GX84" s="958"/>
      <c r="GY84" s="958"/>
      <c r="GZ84" s="958"/>
      <c r="HA84" s="958"/>
      <c r="HB84" s="958"/>
      <c r="HC84" s="958"/>
      <c r="HD84" s="958"/>
      <c r="HE84" s="958"/>
      <c r="HF84" s="958"/>
      <c r="HG84" s="958"/>
      <c r="HH84" s="958"/>
      <c r="HI84" s="958"/>
      <c r="HJ84" s="958"/>
      <c r="HK84" s="958"/>
      <c r="HL84" s="958"/>
      <c r="HM84" s="958"/>
      <c r="HN84" s="958"/>
      <c r="HO84" s="958"/>
      <c r="HP84" s="958"/>
      <c r="HQ84" s="958"/>
      <c r="HR84" s="958"/>
      <c r="HS84" s="958"/>
      <c r="HT84" s="958"/>
      <c r="HU84" s="958"/>
      <c r="HV84" s="958"/>
      <c r="HW84" s="958"/>
      <c r="HX84" s="958"/>
      <c r="HY84" s="958"/>
      <c r="HZ84" s="958"/>
      <c r="IA84" s="958"/>
      <c r="IB84" s="958"/>
      <c r="IC84" s="958"/>
      <c r="ID84" s="958"/>
      <c r="IE84" s="958"/>
      <c r="IF84" s="958"/>
      <c r="IG84" s="958"/>
      <c r="IH84" s="958"/>
      <c r="II84" s="958"/>
      <c r="IJ84" s="958"/>
      <c r="IK84" s="958"/>
      <c r="IL84" s="958"/>
      <c r="IM84" s="958"/>
      <c r="IN84" s="958"/>
      <c r="IO84" s="958"/>
      <c r="IP84" s="958"/>
      <c r="IQ84" s="958"/>
      <c r="IR84" s="958"/>
      <c r="IS84" s="958"/>
      <c r="IT84" s="958"/>
      <c r="IU84" s="958"/>
      <c r="IV84" s="958"/>
    </row>
    <row r="85" spans="1:256" ht="10.5" customHeight="1">
      <c r="A85" s="944" t="s">
        <v>842</v>
      </c>
      <c r="B85" s="1031">
        <v>5.9</v>
      </c>
      <c r="C85" s="1031">
        <v>6.2</v>
      </c>
      <c r="D85" s="1032">
        <v>6.4</v>
      </c>
      <c r="E85" s="1032">
        <v>5.7</v>
      </c>
      <c r="F85" s="1032">
        <v>5.2</v>
      </c>
      <c r="G85" s="1032">
        <v>5</v>
      </c>
      <c r="H85" s="1032">
        <v>4.9000000000000004</v>
      </c>
      <c r="I85" s="1032">
        <v>4.3</v>
      </c>
      <c r="J85" s="1032">
        <v>5.8</v>
      </c>
      <c r="K85" s="1032">
        <v>4.9000000000000004</v>
      </c>
      <c r="L85" s="1034">
        <v>3.2</v>
      </c>
      <c r="M85" s="1034">
        <v>4.0999999999999996</v>
      </c>
      <c r="N85" s="1032">
        <v>3.9</v>
      </c>
      <c r="O85" s="958"/>
      <c r="P85" s="958"/>
      <c r="Q85" s="958"/>
      <c r="R85" s="958"/>
      <c r="S85" s="958"/>
      <c r="T85" s="958"/>
      <c r="U85" s="958"/>
      <c r="V85" s="958"/>
      <c r="W85" s="958"/>
      <c r="X85" s="958"/>
      <c r="Y85" s="958"/>
      <c r="Z85" s="958"/>
      <c r="AA85" s="958"/>
      <c r="AB85" s="958"/>
      <c r="AC85" s="958"/>
      <c r="AD85" s="958"/>
      <c r="AE85" s="958"/>
      <c r="AF85" s="958"/>
      <c r="AG85" s="958"/>
      <c r="AH85" s="958"/>
      <c r="AI85" s="958"/>
      <c r="AJ85" s="958"/>
      <c r="AK85" s="958"/>
      <c r="AL85" s="958"/>
      <c r="AM85" s="958"/>
      <c r="AN85" s="958"/>
      <c r="AO85" s="958"/>
      <c r="AP85" s="958"/>
      <c r="AQ85" s="958"/>
      <c r="AR85" s="958"/>
      <c r="AS85" s="958"/>
      <c r="AT85" s="958"/>
      <c r="AU85" s="958"/>
      <c r="AV85" s="958"/>
      <c r="AW85" s="958"/>
      <c r="AX85" s="958"/>
      <c r="AY85" s="958"/>
      <c r="AZ85" s="958"/>
      <c r="BA85" s="958"/>
      <c r="BB85" s="958"/>
      <c r="BC85" s="958"/>
      <c r="BD85" s="958"/>
      <c r="BE85" s="958"/>
      <c r="BF85" s="958"/>
      <c r="BG85" s="958"/>
      <c r="BH85" s="958"/>
      <c r="BI85" s="958"/>
      <c r="BJ85" s="958"/>
      <c r="BK85" s="958"/>
      <c r="BL85" s="958"/>
      <c r="BM85" s="958"/>
      <c r="BN85" s="958"/>
      <c r="BO85" s="958"/>
      <c r="BP85" s="958"/>
      <c r="BQ85" s="958"/>
      <c r="BR85" s="958"/>
      <c r="BS85" s="958"/>
      <c r="BT85" s="958"/>
      <c r="BU85" s="958"/>
      <c r="BV85" s="958"/>
      <c r="BW85" s="958"/>
      <c r="BX85" s="958"/>
      <c r="BY85" s="958"/>
      <c r="BZ85" s="958"/>
      <c r="CA85" s="958"/>
      <c r="CB85" s="958"/>
      <c r="CC85" s="958"/>
      <c r="CD85" s="958"/>
      <c r="CE85" s="958"/>
      <c r="CF85" s="958"/>
      <c r="CG85" s="958"/>
      <c r="CH85" s="958"/>
      <c r="CI85" s="958"/>
      <c r="CJ85" s="958"/>
      <c r="CK85" s="958"/>
      <c r="CL85" s="958"/>
      <c r="CM85" s="958"/>
      <c r="CN85" s="958"/>
      <c r="CO85" s="958"/>
      <c r="CP85" s="958"/>
      <c r="CQ85" s="958"/>
      <c r="CR85" s="958"/>
      <c r="CS85" s="958"/>
      <c r="CT85" s="958"/>
      <c r="CU85" s="958"/>
      <c r="CV85" s="958"/>
      <c r="CW85" s="958"/>
      <c r="CX85" s="958"/>
      <c r="CY85" s="958"/>
      <c r="CZ85" s="958"/>
      <c r="DA85" s="958"/>
      <c r="DB85" s="958"/>
      <c r="DC85" s="958"/>
      <c r="DD85" s="958"/>
      <c r="DE85" s="958"/>
      <c r="DF85" s="958"/>
      <c r="DG85" s="958"/>
      <c r="DH85" s="958"/>
      <c r="DI85" s="958"/>
      <c r="DJ85" s="958"/>
      <c r="DK85" s="958"/>
      <c r="DL85" s="958"/>
      <c r="DM85" s="958"/>
      <c r="DN85" s="958"/>
      <c r="DO85" s="958"/>
      <c r="DP85" s="958"/>
      <c r="DQ85" s="958"/>
      <c r="DR85" s="958"/>
      <c r="DS85" s="958"/>
      <c r="DT85" s="958"/>
      <c r="DU85" s="958"/>
      <c r="DV85" s="958"/>
      <c r="DW85" s="958"/>
      <c r="DX85" s="958"/>
      <c r="DY85" s="958"/>
      <c r="DZ85" s="958"/>
      <c r="EA85" s="958"/>
      <c r="EB85" s="958"/>
      <c r="EC85" s="958"/>
      <c r="ED85" s="958"/>
      <c r="EE85" s="958"/>
      <c r="EF85" s="958"/>
      <c r="EG85" s="958"/>
      <c r="EH85" s="958"/>
      <c r="EI85" s="958"/>
      <c r="EJ85" s="958"/>
      <c r="EK85" s="958"/>
      <c r="EL85" s="958"/>
      <c r="EM85" s="958"/>
      <c r="EN85" s="958"/>
      <c r="EO85" s="958"/>
      <c r="EP85" s="958"/>
      <c r="EQ85" s="958"/>
      <c r="ER85" s="958"/>
      <c r="ES85" s="958"/>
      <c r="ET85" s="958"/>
      <c r="EU85" s="958"/>
      <c r="EV85" s="958"/>
      <c r="EW85" s="958"/>
      <c r="EX85" s="958"/>
      <c r="EY85" s="958"/>
      <c r="EZ85" s="958"/>
      <c r="FA85" s="958"/>
      <c r="FB85" s="958"/>
      <c r="FC85" s="958"/>
      <c r="FD85" s="958"/>
      <c r="FE85" s="958"/>
      <c r="FF85" s="958"/>
      <c r="FG85" s="958"/>
      <c r="FH85" s="958"/>
      <c r="FI85" s="958"/>
      <c r="FJ85" s="958"/>
      <c r="FK85" s="958"/>
      <c r="FL85" s="958"/>
      <c r="FM85" s="958"/>
      <c r="FN85" s="958"/>
      <c r="FO85" s="958"/>
      <c r="FP85" s="958"/>
      <c r="FQ85" s="958"/>
      <c r="FR85" s="958"/>
      <c r="FS85" s="958"/>
      <c r="FT85" s="958"/>
      <c r="FU85" s="958"/>
      <c r="FV85" s="958"/>
      <c r="FW85" s="958"/>
      <c r="FX85" s="958"/>
      <c r="FY85" s="958"/>
      <c r="FZ85" s="958"/>
      <c r="GA85" s="958"/>
      <c r="GB85" s="958"/>
      <c r="GC85" s="958"/>
      <c r="GD85" s="958"/>
      <c r="GE85" s="958"/>
      <c r="GF85" s="958"/>
      <c r="GG85" s="958"/>
      <c r="GH85" s="958"/>
      <c r="GI85" s="958"/>
      <c r="GJ85" s="958"/>
      <c r="GK85" s="958"/>
      <c r="GL85" s="958"/>
      <c r="GM85" s="958"/>
      <c r="GN85" s="958"/>
      <c r="GO85" s="958"/>
      <c r="GP85" s="958"/>
      <c r="GQ85" s="958"/>
      <c r="GR85" s="958"/>
      <c r="GS85" s="958"/>
      <c r="GT85" s="958"/>
      <c r="GU85" s="958"/>
      <c r="GV85" s="958"/>
      <c r="GW85" s="958"/>
      <c r="GX85" s="958"/>
      <c r="GY85" s="958"/>
      <c r="GZ85" s="958"/>
      <c r="HA85" s="958"/>
      <c r="HB85" s="958"/>
      <c r="HC85" s="958"/>
      <c r="HD85" s="958"/>
      <c r="HE85" s="958"/>
      <c r="HF85" s="958"/>
      <c r="HG85" s="958"/>
      <c r="HH85" s="958"/>
      <c r="HI85" s="958"/>
      <c r="HJ85" s="958"/>
      <c r="HK85" s="958"/>
      <c r="HL85" s="958"/>
      <c r="HM85" s="958"/>
      <c r="HN85" s="958"/>
      <c r="HO85" s="958"/>
      <c r="HP85" s="958"/>
      <c r="HQ85" s="958"/>
      <c r="HR85" s="958"/>
      <c r="HS85" s="958"/>
      <c r="HT85" s="958"/>
      <c r="HU85" s="958"/>
      <c r="HV85" s="958"/>
      <c r="HW85" s="958"/>
      <c r="HX85" s="958"/>
      <c r="HY85" s="958"/>
      <c r="HZ85" s="958"/>
      <c r="IA85" s="958"/>
      <c r="IB85" s="958"/>
      <c r="IC85" s="958"/>
      <c r="ID85" s="958"/>
      <c r="IE85" s="958"/>
      <c r="IF85" s="958"/>
      <c r="IG85" s="958"/>
      <c r="IH85" s="958"/>
      <c r="II85" s="958"/>
      <c r="IJ85" s="958"/>
      <c r="IK85" s="958"/>
      <c r="IL85" s="958"/>
      <c r="IM85" s="958"/>
      <c r="IN85" s="958"/>
      <c r="IO85" s="958"/>
      <c r="IP85" s="958"/>
      <c r="IQ85" s="958"/>
      <c r="IR85" s="958"/>
      <c r="IS85" s="958"/>
      <c r="IT85" s="958"/>
      <c r="IU85" s="958"/>
      <c r="IV85" s="958"/>
    </row>
    <row r="86" spans="1:256" ht="10.5" customHeight="1">
      <c r="A86" s="993" t="s">
        <v>843</v>
      </c>
      <c r="B86" s="1051">
        <v>367</v>
      </c>
      <c r="C86" s="1051">
        <v>435</v>
      </c>
      <c r="D86" s="1052">
        <v>515</v>
      </c>
      <c r="E86" s="1052">
        <v>693</v>
      </c>
      <c r="F86" s="1052">
        <v>838</v>
      </c>
      <c r="G86" s="1052">
        <f>941.2+4.3</f>
        <v>945.5</v>
      </c>
      <c r="H86" s="1052">
        <f>999.1+7.3</f>
        <v>1006.4</v>
      </c>
      <c r="I86" s="1052">
        <v>1187</v>
      </c>
      <c r="J86" s="1052">
        <v>1446.4</v>
      </c>
      <c r="K86" s="1052">
        <v>1555.6</v>
      </c>
      <c r="L86" s="1053">
        <v>1600.5</v>
      </c>
      <c r="M86" s="1053">
        <v>1705.8</v>
      </c>
      <c r="N86" s="1052">
        <v>1745.4</v>
      </c>
      <c r="O86" s="958"/>
      <c r="P86" s="958"/>
      <c r="Q86" s="958"/>
      <c r="R86" s="958"/>
      <c r="S86" s="958"/>
      <c r="T86" s="958"/>
      <c r="U86" s="958"/>
      <c r="V86" s="958"/>
      <c r="W86" s="958"/>
      <c r="X86" s="958"/>
      <c r="Y86" s="958"/>
      <c r="Z86" s="958"/>
      <c r="AA86" s="958"/>
      <c r="AB86" s="958"/>
      <c r="AC86" s="958"/>
      <c r="AD86" s="958"/>
      <c r="AE86" s="958"/>
      <c r="AF86" s="958"/>
      <c r="AG86" s="958"/>
      <c r="AH86" s="958"/>
      <c r="AI86" s="958"/>
      <c r="AJ86" s="958"/>
      <c r="AK86" s="958"/>
      <c r="AL86" s="958"/>
      <c r="AM86" s="958"/>
      <c r="AN86" s="958"/>
      <c r="AO86" s="958"/>
      <c r="AP86" s="958"/>
      <c r="AQ86" s="958"/>
      <c r="AR86" s="958"/>
      <c r="AS86" s="958"/>
      <c r="AT86" s="958"/>
      <c r="AU86" s="958"/>
      <c r="AV86" s="958"/>
      <c r="AW86" s="958"/>
      <c r="AX86" s="958"/>
      <c r="AY86" s="958"/>
      <c r="AZ86" s="958"/>
      <c r="BA86" s="958"/>
      <c r="BB86" s="958"/>
      <c r="BC86" s="958"/>
      <c r="BD86" s="958"/>
      <c r="BE86" s="958"/>
      <c r="BF86" s="958"/>
      <c r="BG86" s="958"/>
      <c r="BH86" s="958"/>
      <c r="BI86" s="958"/>
      <c r="BJ86" s="958"/>
      <c r="BK86" s="958"/>
      <c r="BL86" s="958"/>
      <c r="BM86" s="958"/>
      <c r="BN86" s="958"/>
      <c r="BO86" s="958"/>
      <c r="BP86" s="958"/>
      <c r="BQ86" s="958"/>
      <c r="BR86" s="958"/>
      <c r="BS86" s="958"/>
      <c r="BT86" s="958"/>
      <c r="BU86" s="958"/>
      <c r="BV86" s="958"/>
      <c r="BW86" s="958"/>
      <c r="BX86" s="958"/>
      <c r="BY86" s="958"/>
      <c r="BZ86" s="958"/>
      <c r="CA86" s="958"/>
      <c r="CB86" s="958"/>
      <c r="CC86" s="958"/>
      <c r="CD86" s="958"/>
      <c r="CE86" s="958"/>
      <c r="CF86" s="958"/>
      <c r="CG86" s="958"/>
      <c r="CH86" s="958"/>
      <c r="CI86" s="958"/>
      <c r="CJ86" s="958"/>
      <c r="CK86" s="958"/>
      <c r="CL86" s="958"/>
      <c r="CM86" s="958"/>
      <c r="CN86" s="958"/>
      <c r="CO86" s="958"/>
      <c r="CP86" s="958"/>
      <c r="CQ86" s="958"/>
      <c r="CR86" s="958"/>
      <c r="CS86" s="958"/>
      <c r="CT86" s="958"/>
      <c r="CU86" s="958"/>
      <c r="CV86" s="958"/>
      <c r="CW86" s="958"/>
      <c r="CX86" s="958"/>
      <c r="CY86" s="958"/>
      <c r="CZ86" s="958"/>
      <c r="DA86" s="958"/>
      <c r="DB86" s="958"/>
      <c r="DC86" s="958"/>
      <c r="DD86" s="958"/>
      <c r="DE86" s="958"/>
      <c r="DF86" s="958"/>
      <c r="DG86" s="958"/>
      <c r="DH86" s="958"/>
      <c r="DI86" s="958"/>
      <c r="DJ86" s="958"/>
      <c r="DK86" s="958"/>
      <c r="DL86" s="958"/>
      <c r="DM86" s="958"/>
      <c r="DN86" s="958"/>
      <c r="DO86" s="958"/>
      <c r="DP86" s="958"/>
      <c r="DQ86" s="958"/>
      <c r="DR86" s="958"/>
      <c r="DS86" s="958"/>
      <c r="DT86" s="958"/>
      <c r="DU86" s="958"/>
      <c r="DV86" s="958"/>
      <c r="DW86" s="958"/>
      <c r="DX86" s="958"/>
      <c r="DY86" s="958"/>
      <c r="DZ86" s="958"/>
      <c r="EA86" s="958"/>
      <c r="EB86" s="958"/>
      <c r="EC86" s="958"/>
      <c r="ED86" s="958"/>
      <c r="EE86" s="958"/>
      <c r="EF86" s="958"/>
      <c r="EG86" s="958"/>
      <c r="EH86" s="958"/>
      <c r="EI86" s="958"/>
      <c r="EJ86" s="958"/>
      <c r="EK86" s="958"/>
      <c r="EL86" s="958"/>
      <c r="EM86" s="958"/>
      <c r="EN86" s="958"/>
      <c r="EO86" s="958"/>
      <c r="EP86" s="958"/>
      <c r="EQ86" s="958"/>
      <c r="ER86" s="958"/>
      <c r="ES86" s="958"/>
      <c r="ET86" s="958"/>
      <c r="EU86" s="958"/>
      <c r="EV86" s="958"/>
      <c r="EW86" s="958"/>
      <c r="EX86" s="958"/>
      <c r="EY86" s="958"/>
      <c r="EZ86" s="958"/>
      <c r="FA86" s="958"/>
      <c r="FB86" s="958"/>
      <c r="FC86" s="958"/>
      <c r="FD86" s="958"/>
      <c r="FE86" s="958"/>
      <c r="FF86" s="958"/>
      <c r="FG86" s="958"/>
      <c r="FH86" s="958"/>
      <c r="FI86" s="958"/>
      <c r="FJ86" s="958"/>
      <c r="FK86" s="958"/>
      <c r="FL86" s="958"/>
      <c r="FM86" s="958"/>
      <c r="FN86" s="958"/>
      <c r="FO86" s="958"/>
      <c r="FP86" s="958"/>
      <c r="FQ86" s="958"/>
      <c r="FR86" s="958"/>
      <c r="FS86" s="958"/>
      <c r="FT86" s="958"/>
      <c r="FU86" s="958"/>
      <c r="FV86" s="958"/>
      <c r="FW86" s="958"/>
      <c r="FX86" s="958"/>
      <c r="FY86" s="958"/>
      <c r="FZ86" s="958"/>
      <c r="GA86" s="958"/>
      <c r="GB86" s="958"/>
      <c r="GC86" s="958"/>
      <c r="GD86" s="958"/>
      <c r="GE86" s="958"/>
      <c r="GF86" s="958"/>
      <c r="GG86" s="958"/>
      <c r="GH86" s="958"/>
      <c r="GI86" s="958"/>
      <c r="GJ86" s="958"/>
      <c r="GK86" s="958"/>
      <c r="GL86" s="958"/>
      <c r="GM86" s="958"/>
      <c r="GN86" s="958"/>
      <c r="GO86" s="958"/>
      <c r="GP86" s="958"/>
      <c r="GQ86" s="958"/>
      <c r="GR86" s="958"/>
      <c r="GS86" s="958"/>
      <c r="GT86" s="958"/>
      <c r="GU86" s="958"/>
      <c r="GV86" s="958"/>
      <c r="GW86" s="958"/>
      <c r="GX86" s="958"/>
      <c r="GY86" s="958"/>
      <c r="GZ86" s="958"/>
      <c r="HA86" s="958"/>
      <c r="HB86" s="958"/>
      <c r="HC86" s="958"/>
      <c r="HD86" s="958"/>
      <c r="HE86" s="958"/>
      <c r="HF86" s="958"/>
      <c r="HG86" s="958"/>
      <c r="HH86" s="958"/>
      <c r="HI86" s="958"/>
      <c r="HJ86" s="958"/>
      <c r="HK86" s="958"/>
      <c r="HL86" s="958"/>
      <c r="HM86" s="958"/>
      <c r="HN86" s="958"/>
      <c r="HO86" s="958"/>
      <c r="HP86" s="958"/>
      <c r="HQ86" s="958"/>
      <c r="HR86" s="958"/>
      <c r="HS86" s="958"/>
      <c r="HT86" s="958"/>
      <c r="HU86" s="958"/>
      <c r="HV86" s="958"/>
      <c r="HW86" s="958"/>
      <c r="HX86" s="958"/>
      <c r="HY86" s="958"/>
      <c r="HZ86" s="958"/>
      <c r="IA86" s="958"/>
      <c r="IB86" s="958"/>
      <c r="IC86" s="958"/>
      <c r="ID86" s="958"/>
      <c r="IE86" s="958"/>
      <c r="IF86" s="958"/>
      <c r="IG86" s="958"/>
      <c r="IH86" s="958"/>
      <c r="II86" s="958"/>
      <c r="IJ86" s="958"/>
      <c r="IK86" s="958"/>
      <c r="IL86" s="958"/>
      <c r="IM86" s="958"/>
      <c r="IN86" s="958"/>
      <c r="IO86" s="958"/>
      <c r="IP86" s="958"/>
      <c r="IQ86" s="958"/>
      <c r="IR86" s="958"/>
      <c r="IS86" s="958"/>
      <c r="IT86" s="958"/>
      <c r="IU86" s="958"/>
      <c r="IV86" s="958"/>
    </row>
    <row r="87" spans="1:256" ht="13" thickBot="1">
      <c r="A87" s="1037" t="s">
        <v>855</v>
      </c>
      <c r="B87" s="1038">
        <v>431.5</v>
      </c>
      <c r="C87" s="1038">
        <v>505.1</v>
      </c>
      <c r="D87" s="1039">
        <v>644.6</v>
      </c>
      <c r="E87" s="1039">
        <v>818.8</v>
      </c>
      <c r="F87" s="1039">
        <v>1016.2</v>
      </c>
      <c r="G87" s="1039">
        <v>1086.9000000000001</v>
      </c>
      <c r="H87" s="1039">
        <v>1183.2</v>
      </c>
      <c r="I87" s="1039">
        <v>1399.3</v>
      </c>
      <c r="J87" s="1039">
        <v>1656.6</v>
      </c>
      <c r="K87" s="1039">
        <v>1672.9</v>
      </c>
      <c r="L87" s="1040">
        <v>1739.4</v>
      </c>
      <c r="M87" s="1040">
        <v>1881</v>
      </c>
      <c r="N87" s="1039">
        <v>1931.7</v>
      </c>
      <c r="O87" s="958"/>
      <c r="P87" s="958"/>
      <c r="Q87" s="958"/>
      <c r="R87" s="958"/>
      <c r="S87" s="958"/>
      <c r="T87" s="958"/>
      <c r="U87" s="958"/>
      <c r="V87" s="958"/>
      <c r="W87" s="958"/>
      <c r="X87" s="958"/>
      <c r="Y87" s="958"/>
      <c r="Z87" s="958"/>
      <c r="AA87" s="958"/>
      <c r="AB87" s="958"/>
      <c r="AC87" s="958"/>
      <c r="AD87" s="958"/>
      <c r="AE87" s="958"/>
      <c r="AF87" s="958"/>
      <c r="AG87" s="958"/>
      <c r="AH87" s="958"/>
      <c r="AI87" s="958"/>
      <c r="AJ87" s="958"/>
      <c r="AK87" s="958"/>
      <c r="AL87" s="958"/>
      <c r="AM87" s="958"/>
      <c r="AN87" s="958"/>
      <c r="AO87" s="958"/>
      <c r="AP87" s="958"/>
      <c r="AQ87" s="958"/>
      <c r="AR87" s="958"/>
      <c r="AS87" s="958"/>
      <c r="AT87" s="958"/>
      <c r="AU87" s="958"/>
      <c r="AV87" s="958"/>
      <c r="AW87" s="958"/>
      <c r="AX87" s="958"/>
      <c r="AY87" s="958"/>
      <c r="AZ87" s="958"/>
      <c r="BA87" s="958"/>
      <c r="BB87" s="958"/>
      <c r="BC87" s="958"/>
      <c r="BD87" s="958"/>
      <c r="BE87" s="958"/>
      <c r="BF87" s="958"/>
      <c r="BG87" s="958"/>
      <c r="BH87" s="958"/>
      <c r="BI87" s="958"/>
      <c r="BJ87" s="958"/>
      <c r="BK87" s="958"/>
      <c r="BL87" s="958"/>
      <c r="BM87" s="958"/>
      <c r="BN87" s="958"/>
      <c r="BO87" s="958"/>
      <c r="BP87" s="958"/>
      <c r="BQ87" s="958"/>
      <c r="BR87" s="958"/>
      <c r="BS87" s="958"/>
      <c r="BT87" s="958"/>
      <c r="BU87" s="958"/>
      <c r="BV87" s="958"/>
      <c r="BW87" s="958"/>
      <c r="BX87" s="958"/>
      <c r="BY87" s="958"/>
      <c r="BZ87" s="958"/>
      <c r="CA87" s="958"/>
      <c r="CB87" s="958"/>
      <c r="CC87" s="958"/>
      <c r="CD87" s="958"/>
      <c r="CE87" s="958"/>
      <c r="CF87" s="958"/>
      <c r="CG87" s="958"/>
      <c r="CH87" s="958"/>
      <c r="CI87" s="958"/>
      <c r="CJ87" s="958"/>
      <c r="CK87" s="958"/>
      <c r="CL87" s="958"/>
      <c r="CM87" s="958"/>
      <c r="CN87" s="958"/>
      <c r="CO87" s="958"/>
      <c r="CP87" s="958"/>
      <c r="CQ87" s="958"/>
      <c r="CR87" s="958"/>
      <c r="CS87" s="958"/>
      <c r="CT87" s="958"/>
      <c r="CU87" s="958"/>
      <c r="CV87" s="958"/>
      <c r="CW87" s="958"/>
      <c r="CX87" s="958"/>
      <c r="CY87" s="958"/>
      <c r="CZ87" s="958"/>
      <c r="DA87" s="958"/>
      <c r="DB87" s="958"/>
      <c r="DC87" s="958"/>
      <c r="DD87" s="958"/>
      <c r="DE87" s="958"/>
      <c r="DF87" s="958"/>
      <c r="DG87" s="958"/>
      <c r="DH87" s="958"/>
      <c r="DI87" s="958"/>
      <c r="DJ87" s="958"/>
      <c r="DK87" s="958"/>
      <c r="DL87" s="958"/>
      <c r="DM87" s="958"/>
      <c r="DN87" s="958"/>
      <c r="DO87" s="958"/>
      <c r="DP87" s="958"/>
      <c r="DQ87" s="958"/>
      <c r="DR87" s="958"/>
      <c r="DS87" s="958"/>
      <c r="DT87" s="958"/>
      <c r="DU87" s="958"/>
      <c r="DV87" s="958"/>
      <c r="DW87" s="958"/>
      <c r="DX87" s="958"/>
      <c r="DY87" s="958"/>
      <c r="DZ87" s="958"/>
      <c r="EA87" s="958"/>
      <c r="EB87" s="958"/>
      <c r="EC87" s="958"/>
      <c r="ED87" s="958"/>
      <c r="EE87" s="958"/>
      <c r="EF87" s="958"/>
      <c r="EG87" s="958"/>
      <c r="EH87" s="958"/>
      <c r="EI87" s="958"/>
      <c r="EJ87" s="958"/>
      <c r="EK87" s="958"/>
      <c r="EL87" s="958"/>
      <c r="EM87" s="958"/>
      <c r="EN87" s="958"/>
      <c r="EO87" s="958"/>
      <c r="EP87" s="958"/>
      <c r="EQ87" s="958"/>
      <c r="ER87" s="958"/>
      <c r="ES87" s="958"/>
      <c r="ET87" s="958"/>
      <c r="EU87" s="958"/>
      <c r="EV87" s="958"/>
      <c r="EW87" s="958"/>
      <c r="EX87" s="958"/>
      <c r="EY87" s="958"/>
      <c r="EZ87" s="958"/>
      <c r="FA87" s="958"/>
      <c r="FB87" s="958"/>
      <c r="FC87" s="958"/>
      <c r="FD87" s="958"/>
      <c r="FE87" s="958"/>
      <c r="FF87" s="958"/>
      <c r="FG87" s="958"/>
      <c r="FH87" s="958"/>
      <c r="FI87" s="958"/>
      <c r="FJ87" s="958"/>
      <c r="FK87" s="958"/>
      <c r="FL87" s="958"/>
      <c r="FM87" s="958"/>
      <c r="FN87" s="958"/>
      <c r="FO87" s="958"/>
      <c r="FP87" s="958"/>
      <c r="FQ87" s="958"/>
      <c r="FR87" s="958"/>
      <c r="FS87" s="958"/>
      <c r="FT87" s="958"/>
      <c r="FU87" s="958"/>
      <c r="FV87" s="958"/>
      <c r="FW87" s="958"/>
      <c r="FX87" s="958"/>
      <c r="FY87" s="958"/>
      <c r="FZ87" s="958"/>
      <c r="GA87" s="958"/>
      <c r="GB87" s="958"/>
      <c r="GC87" s="958"/>
      <c r="GD87" s="958"/>
      <c r="GE87" s="958"/>
      <c r="GF87" s="958"/>
      <c r="GG87" s="958"/>
      <c r="GH87" s="958"/>
      <c r="GI87" s="958"/>
      <c r="GJ87" s="958"/>
      <c r="GK87" s="958"/>
      <c r="GL87" s="958"/>
      <c r="GM87" s="958"/>
      <c r="GN87" s="958"/>
      <c r="GO87" s="958"/>
      <c r="GP87" s="958"/>
      <c r="GQ87" s="958"/>
      <c r="GR87" s="958"/>
      <c r="GS87" s="958"/>
      <c r="GT87" s="958"/>
      <c r="GU87" s="958"/>
      <c r="GV87" s="958"/>
      <c r="GW87" s="958"/>
      <c r="GX87" s="958"/>
      <c r="GY87" s="958"/>
      <c r="GZ87" s="958"/>
      <c r="HA87" s="958"/>
      <c r="HB87" s="958"/>
      <c r="HC87" s="958"/>
      <c r="HD87" s="958"/>
      <c r="HE87" s="958"/>
      <c r="HF87" s="958"/>
      <c r="HG87" s="958"/>
      <c r="HH87" s="958"/>
      <c r="HI87" s="958"/>
      <c r="HJ87" s="958"/>
      <c r="HK87" s="958"/>
      <c r="HL87" s="958"/>
      <c r="HM87" s="958"/>
      <c r="HN87" s="958"/>
      <c r="HO87" s="958"/>
      <c r="HP87" s="958"/>
      <c r="HQ87" s="958"/>
      <c r="HR87" s="958"/>
      <c r="HS87" s="958"/>
      <c r="HT87" s="958"/>
      <c r="HU87" s="958"/>
      <c r="HV87" s="958"/>
      <c r="HW87" s="958"/>
      <c r="HX87" s="958"/>
      <c r="HY87" s="958"/>
      <c r="HZ87" s="958"/>
      <c r="IA87" s="958"/>
      <c r="IB87" s="958"/>
      <c r="IC87" s="958"/>
      <c r="ID87" s="958"/>
      <c r="IE87" s="958"/>
      <c r="IF87" s="958"/>
      <c r="IG87" s="958"/>
      <c r="IH87" s="958"/>
      <c r="II87" s="958"/>
      <c r="IJ87" s="958"/>
      <c r="IK87" s="958"/>
      <c r="IL87" s="958"/>
      <c r="IM87" s="958"/>
      <c r="IN87" s="958"/>
      <c r="IO87" s="958"/>
      <c r="IP87" s="958"/>
      <c r="IQ87" s="958"/>
      <c r="IR87" s="958"/>
      <c r="IS87" s="958"/>
      <c r="IT87" s="958"/>
      <c r="IU87" s="958"/>
      <c r="IV87" s="958"/>
    </row>
    <row r="88" spans="1:256" ht="13" thickTop="1">
      <c r="A88" s="1000" t="s">
        <v>874</v>
      </c>
      <c r="B88" s="1054">
        <v>70</v>
      </c>
      <c r="C88" s="1054">
        <v>83.5</v>
      </c>
      <c r="D88" s="1055">
        <v>100.2</v>
      </c>
      <c r="E88" s="1055">
        <v>102.3</v>
      </c>
      <c r="F88" s="1055">
        <v>131.30000000000001</v>
      </c>
      <c r="G88" s="1055">
        <v>95.9</v>
      </c>
      <c r="H88" s="1055">
        <v>127.6</v>
      </c>
      <c r="I88" s="1055">
        <v>147.4</v>
      </c>
      <c r="J88" s="1055">
        <v>138.80000000000001</v>
      </c>
      <c r="K88" s="1055">
        <v>93.3</v>
      </c>
      <c r="L88" s="1056">
        <v>106.6</v>
      </c>
      <c r="M88" s="1056">
        <v>133.69999999999999</v>
      </c>
      <c r="N88" s="1055">
        <v>122.5</v>
      </c>
      <c r="O88" s="958"/>
      <c r="P88" s="958"/>
      <c r="Q88" s="958"/>
      <c r="R88" s="958"/>
      <c r="S88" s="958"/>
      <c r="T88" s="958"/>
      <c r="U88" s="958"/>
      <c r="V88" s="958"/>
      <c r="W88" s="958"/>
      <c r="X88" s="958"/>
      <c r="Y88" s="958"/>
      <c r="Z88" s="958"/>
      <c r="AA88" s="958"/>
      <c r="AB88" s="958"/>
      <c r="AC88" s="958"/>
      <c r="AD88" s="958"/>
      <c r="AE88" s="958"/>
      <c r="AF88" s="958"/>
      <c r="AG88" s="958"/>
      <c r="AH88" s="958"/>
      <c r="AI88" s="958"/>
      <c r="AJ88" s="958"/>
      <c r="AK88" s="958"/>
      <c r="AL88" s="958"/>
      <c r="AM88" s="958"/>
      <c r="AN88" s="958"/>
      <c r="AO88" s="958"/>
      <c r="AP88" s="958"/>
      <c r="AQ88" s="958"/>
      <c r="AR88" s="958"/>
      <c r="AS88" s="958"/>
      <c r="AT88" s="958"/>
      <c r="AU88" s="958"/>
      <c r="AV88" s="958"/>
      <c r="AW88" s="958"/>
      <c r="AX88" s="958"/>
      <c r="AY88" s="958"/>
      <c r="AZ88" s="958"/>
      <c r="BA88" s="958"/>
      <c r="BB88" s="958"/>
      <c r="BC88" s="958"/>
      <c r="BD88" s="958"/>
      <c r="BE88" s="958"/>
      <c r="BF88" s="958"/>
      <c r="BG88" s="958"/>
      <c r="BH88" s="958"/>
      <c r="BI88" s="958"/>
      <c r="BJ88" s="958"/>
      <c r="BK88" s="958"/>
      <c r="BL88" s="958"/>
      <c r="BM88" s="958"/>
      <c r="BN88" s="958"/>
      <c r="BO88" s="958"/>
      <c r="BP88" s="958"/>
      <c r="BQ88" s="958"/>
      <c r="BR88" s="958"/>
      <c r="BS88" s="958"/>
      <c r="BT88" s="958"/>
      <c r="BU88" s="958"/>
      <c r="BV88" s="958"/>
      <c r="BW88" s="958"/>
      <c r="BX88" s="958"/>
      <c r="BY88" s="958"/>
      <c r="BZ88" s="958"/>
      <c r="CA88" s="958"/>
      <c r="CB88" s="958"/>
      <c r="CC88" s="958"/>
      <c r="CD88" s="958"/>
      <c r="CE88" s="958"/>
      <c r="CF88" s="958"/>
      <c r="CG88" s="958"/>
      <c r="CH88" s="958"/>
      <c r="CI88" s="958"/>
      <c r="CJ88" s="958"/>
      <c r="CK88" s="958"/>
      <c r="CL88" s="958"/>
      <c r="CM88" s="958"/>
      <c r="CN88" s="958"/>
      <c r="CO88" s="958"/>
      <c r="CP88" s="958"/>
      <c r="CQ88" s="958"/>
      <c r="CR88" s="958"/>
      <c r="CS88" s="958"/>
      <c r="CT88" s="958"/>
      <c r="CU88" s="958"/>
      <c r="CV88" s="958"/>
      <c r="CW88" s="958"/>
      <c r="CX88" s="958"/>
      <c r="CY88" s="958"/>
      <c r="CZ88" s="958"/>
      <c r="DA88" s="958"/>
      <c r="DB88" s="958"/>
      <c r="DC88" s="958"/>
      <c r="DD88" s="958"/>
      <c r="DE88" s="958"/>
      <c r="DF88" s="958"/>
      <c r="DG88" s="958"/>
      <c r="DH88" s="958"/>
      <c r="DI88" s="958"/>
      <c r="DJ88" s="958"/>
      <c r="DK88" s="958"/>
      <c r="DL88" s="958"/>
      <c r="DM88" s="958"/>
      <c r="DN88" s="958"/>
      <c r="DO88" s="958"/>
      <c r="DP88" s="958"/>
      <c r="DQ88" s="958"/>
      <c r="DR88" s="958"/>
      <c r="DS88" s="958"/>
      <c r="DT88" s="958"/>
      <c r="DU88" s="958"/>
      <c r="DV88" s="958"/>
      <c r="DW88" s="958"/>
      <c r="DX88" s="958"/>
      <c r="DY88" s="958"/>
      <c r="DZ88" s="958"/>
      <c r="EA88" s="958"/>
      <c r="EB88" s="958"/>
      <c r="EC88" s="958"/>
      <c r="ED88" s="958"/>
      <c r="EE88" s="958"/>
      <c r="EF88" s="958"/>
      <c r="EG88" s="958"/>
      <c r="EH88" s="958"/>
      <c r="EI88" s="958"/>
      <c r="EJ88" s="958"/>
      <c r="EK88" s="958"/>
      <c r="EL88" s="958"/>
      <c r="EM88" s="958"/>
      <c r="EN88" s="958"/>
      <c r="EO88" s="958"/>
      <c r="EP88" s="958"/>
      <c r="EQ88" s="958"/>
      <c r="ER88" s="958"/>
      <c r="ES88" s="958"/>
      <c r="ET88" s="958"/>
      <c r="EU88" s="958"/>
      <c r="EV88" s="958"/>
      <c r="EW88" s="958"/>
      <c r="EX88" s="958"/>
      <c r="EY88" s="958"/>
      <c r="EZ88" s="958"/>
      <c r="FA88" s="958"/>
      <c r="FB88" s="958"/>
      <c r="FC88" s="958"/>
      <c r="FD88" s="958"/>
      <c r="FE88" s="958"/>
      <c r="FF88" s="958"/>
      <c r="FG88" s="958"/>
      <c r="FH88" s="958"/>
      <c r="FI88" s="958"/>
      <c r="FJ88" s="958"/>
      <c r="FK88" s="958"/>
      <c r="FL88" s="958"/>
      <c r="FM88" s="958"/>
      <c r="FN88" s="958"/>
      <c r="FO88" s="958"/>
      <c r="FP88" s="958"/>
      <c r="FQ88" s="958"/>
      <c r="FR88" s="958"/>
      <c r="FS88" s="958"/>
      <c r="FT88" s="958"/>
      <c r="FU88" s="958"/>
      <c r="FV88" s="958"/>
      <c r="FW88" s="958"/>
      <c r="FX88" s="958"/>
      <c r="FY88" s="958"/>
      <c r="FZ88" s="958"/>
      <c r="GA88" s="958"/>
      <c r="GB88" s="958"/>
      <c r="GC88" s="958"/>
      <c r="GD88" s="958"/>
      <c r="GE88" s="958"/>
      <c r="GF88" s="958"/>
      <c r="GG88" s="958"/>
      <c r="GH88" s="958"/>
      <c r="GI88" s="958"/>
      <c r="GJ88" s="958"/>
      <c r="GK88" s="958"/>
      <c r="GL88" s="958"/>
      <c r="GM88" s="958"/>
      <c r="GN88" s="958"/>
      <c r="GO88" s="958"/>
      <c r="GP88" s="958"/>
      <c r="GQ88" s="958"/>
      <c r="GR88" s="958"/>
      <c r="GS88" s="958"/>
      <c r="GT88" s="958"/>
      <c r="GU88" s="958"/>
      <c r="GV88" s="958"/>
      <c r="GW88" s="958"/>
      <c r="GX88" s="958"/>
      <c r="GY88" s="958"/>
      <c r="GZ88" s="958"/>
      <c r="HA88" s="958"/>
      <c r="HB88" s="958"/>
      <c r="HC88" s="958"/>
      <c r="HD88" s="958"/>
      <c r="HE88" s="958"/>
      <c r="HF88" s="958"/>
      <c r="HG88" s="958"/>
      <c r="HH88" s="958"/>
      <c r="HI88" s="958"/>
      <c r="HJ88" s="958"/>
      <c r="HK88" s="958"/>
      <c r="HL88" s="958"/>
      <c r="HM88" s="958"/>
      <c r="HN88" s="958"/>
      <c r="HO88" s="958"/>
      <c r="HP88" s="958"/>
      <c r="HQ88" s="958"/>
      <c r="HR88" s="958"/>
      <c r="HS88" s="958"/>
      <c r="HT88" s="958"/>
      <c r="HU88" s="958"/>
      <c r="HV88" s="958"/>
      <c r="HW88" s="958"/>
      <c r="HX88" s="958"/>
      <c r="HY88" s="958"/>
      <c r="HZ88" s="958"/>
      <c r="IA88" s="958"/>
      <c r="IB88" s="958"/>
      <c r="IC88" s="958"/>
      <c r="ID88" s="958"/>
      <c r="IE88" s="958"/>
      <c r="IF88" s="958"/>
      <c r="IG88" s="958"/>
      <c r="IH88" s="958"/>
      <c r="II88" s="958"/>
      <c r="IJ88" s="958"/>
      <c r="IK88" s="958"/>
      <c r="IL88" s="958"/>
      <c r="IM88" s="958"/>
      <c r="IN88" s="958"/>
      <c r="IO88" s="958"/>
      <c r="IP88" s="958"/>
      <c r="IQ88" s="958"/>
      <c r="IR88" s="958"/>
      <c r="IS88" s="958"/>
      <c r="IT88" s="958"/>
      <c r="IU88" s="958"/>
      <c r="IV88" s="958"/>
    </row>
    <row r="89" spans="1:256">
      <c r="A89" s="1001" t="s">
        <v>875</v>
      </c>
      <c r="B89" s="982">
        <v>814</v>
      </c>
      <c r="C89" s="982">
        <v>971</v>
      </c>
      <c r="D89" s="983">
        <v>1165</v>
      </c>
      <c r="E89" s="983">
        <v>1189</v>
      </c>
      <c r="F89" s="983">
        <v>1528</v>
      </c>
      <c r="G89" s="983">
        <v>1114.9000000000001</v>
      </c>
      <c r="H89" s="983">
        <v>1484.4</v>
      </c>
      <c r="I89" s="983">
        <v>1714</v>
      </c>
      <c r="J89" s="983">
        <v>1614.1</v>
      </c>
      <c r="K89" s="983">
        <v>1084.9000000000001</v>
      </c>
      <c r="L89" s="994">
        <v>1239.5999999999999</v>
      </c>
      <c r="M89" s="994">
        <v>1555.4</v>
      </c>
      <c r="N89" s="983">
        <v>1424.7</v>
      </c>
      <c r="O89" s="958"/>
      <c r="P89" s="958"/>
      <c r="Q89" s="958"/>
      <c r="R89" s="958"/>
      <c r="S89" s="958"/>
      <c r="T89" s="958"/>
      <c r="U89" s="958"/>
      <c r="V89" s="958"/>
      <c r="W89" s="958"/>
      <c r="X89" s="958"/>
      <c r="Y89" s="958"/>
      <c r="Z89" s="958"/>
      <c r="AA89" s="958"/>
      <c r="AB89" s="958"/>
      <c r="AC89" s="958"/>
      <c r="AD89" s="958"/>
      <c r="AE89" s="958"/>
      <c r="AF89" s="958"/>
      <c r="AG89" s="958"/>
      <c r="AH89" s="958"/>
      <c r="AI89" s="958"/>
      <c r="AJ89" s="958"/>
      <c r="AK89" s="958"/>
      <c r="AL89" s="958"/>
      <c r="AM89" s="958"/>
      <c r="AN89" s="958"/>
      <c r="AO89" s="958"/>
      <c r="AP89" s="958"/>
      <c r="AQ89" s="958"/>
      <c r="AR89" s="958"/>
      <c r="AS89" s="958"/>
      <c r="AT89" s="958"/>
      <c r="AU89" s="958"/>
      <c r="AV89" s="958"/>
      <c r="AW89" s="958"/>
      <c r="AX89" s="958"/>
      <c r="AY89" s="958"/>
      <c r="AZ89" s="958"/>
      <c r="BA89" s="958"/>
      <c r="BB89" s="958"/>
      <c r="BC89" s="958"/>
      <c r="BD89" s="958"/>
      <c r="BE89" s="958"/>
      <c r="BF89" s="958"/>
      <c r="BG89" s="958"/>
      <c r="BH89" s="958"/>
      <c r="BI89" s="958"/>
      <c r="BJ89" s="958"/>
      <c r="BK89" s="958"/>
      <c r="BL89" s="958"/>
      <c r="BM89" s="958"/>
      <c r="BN89" s="958"/>
      <c r="BO89" s="958"/>
      <c r="BP89" s="958"/>
      <c r="BQ89" s="958"/>
      <c r="BR89" s="958"/>
      <c r="BS89" s="958"/>
      <c r="BT89" s="958"/>
      <c r="BU89" s="958"/>
      <c r="BV89" s="958"/>
      <c r="BW89" s="958"/>
      <c r="BX89" s="958"/>
      <c r="BY89" s="958"/>
      <c r="BZ89" s="958"/>
      <c r="CA89" s="958"/>
      <c r="CB89" s="958"/>
      <c r="CC89" s="958"/>
      <c r="CD89" s="958"/>
      <c r="CE89" s="958"/>
      <c r="CF89" s="958"/>
      <c r="CG89" s="958"/>
      <c r="CH89" s="958"/>
      <c r="CI89" s="958"/>
      <c r="CJ89" s="958"/>
      <c r="CK89" s="958"/>
      <c r="CL89" s="958"/>
      <c r="CM89" s="958"/>
      <c r="CN89" s="958"/>
      <c r="CO89" s="958"/>
      <c r="CP89" s="958"/>
      <c r="CQ89" s="958"/>
      <c r="CR89" s="958"/>
      <c r="CS89" s="958"/>
      <c r="CT89" s="958"/>
      <c r="CU89" s="958"/>
      <c r="CV89" s="958"/>
      <c r="CW89" s="958"/>
      <c r="CX89" s="958"/>
      <c r="CY89" s="958"/>
      <c r="CZ89" s="958"/>
      <c r="DA89" s="958"/>
      <c r="DB89" s="958"/>
      <c r="DC89" s="958"/>
      <c r="DD89" s="958"/>
      <c r="DE89" s="958"/>
      <c r="DF89" s="958"/>
      <c r="DG89" s="958"/>
      <c r="DH89" s="958"/>
      <c r="DI89" s="958"/>
      <c r="DJ89" s="958"/>
      <c r="DK89" s="958"/>
      <c r="DL89" s="958"/>
      <c r="DM89" s="958"/>
      <c r="DN89" s="958"/>
      <c r="DO89" s="958"/>
      <c r="DP89" s="958"/>
      <c r="DQ89" s="958"/>
      <c r="DR89" s="958"/>
      <c r="DS89" s="958"/>
      <c r="DT89" s="958"/>
      <c r="DU89" s="958"/>
      <c r="DV89" s="958"/>
      <c r="DW89" s="958"/>
      <c r="DX89" s="958"/>
      <c r="DY89" s="958"/>
      <c r="DZ89" s="958"/>
      <c r="EA89" s="958"/>
      <c r="EB89" s="958"/>
      <c r="EC89" s="958"/>
      <c r="ED89" s="958"/>
      <c r="EE89" s="958"/>
      <c r="EF89" s="958"/>
      <c r="EG89" s="958"/>
      <c r="EH89" s="958"/>
      <c r="EI89" s="958"/>
      <c r="EJ89" s="958"/>
      <c r="EK89" s="958"/>
      <c r="EL89" s="958"/>
      <c r="EM89" s="958"/>
      <c r="EN89" s="958"/>
      <c r="EO89" s="958"/>
      <c r="EP89" s="958"/>
      <c r="EQ89" s="958"/>
      <c r="ER89" s="958"/>
      <c r="ES89" s="958"/>
      <c r="ET89" s="958"/>
      <c r="EU89" s="958"/>
      <c r="EV89" s="958"/>
      <c r="EW89" s="958"/>
      <c r="EX89" s="958"/>
      <c r="EY89" s="958"/>
      <c r="EZ89" s="958"/>
      <c r="FA89" s="958"/>
      <c r="FB89" s="958"/>
      <c r="FC89" s="958"/>
      <c r="FD89" s="958"/>
      <c r="FE89" s="958"/>
      <c r="FF89" s="958"/>
      <c r="FG89" s="958"/>
      <c r="FH89" s="958"/>
      <c r="FI89" s="958"/>
      <c r="FJ89" s="958"/>
      <c r="FK89" s="958"/>
      <c r="FL89" s="958"/>
      <c r="FM89" s="958"/>
      <c r="FN89" s="958"/>
      <c r="FO89" s="958"/>
      <c r="FP89" s="958"/>
      <c r="FQ89" s="958"/>
      <c r="FR89" s="958"/>
      <c r="FS89" s="958"/>
      <c r="FT89" s="958"/>
      <c r="FU89" s="958"/>
      <c r="FV89" s="958"/>
      <c r="FW89" s="958"/>
      <c r="FX89" s="958"/>
      <c r="FY89" s="958"/>
      <c r="FZ89" s="958"/>
      <c r="GA89" s="958"/>
      <c r="GB89" s="958"/>
      <c r="GC89" s="958"/>
      <c r="GD89" s="958"/>
      <c r="GE89" s="958"/>
      <c r="GF89" s="958"/>
      <c r="GG89" s="958"/>
      <c r="GH89" s="958"/>
      <c r="GI89" s="958"/>
      <c r="GJ89" s="958"/>
      <c r="GK89" s="958"/>
      <c r="GL89" s="958"/>
      <c r="GM89" s="958"/>
      <c r="GN89" s="958"/>
      <c r="GO89" s="958"/>
      <c r="GP89" s="958"/>
      <c r="GQ89" s="958"/>
      <c r="GR89" s="958"/>
      <c r="GS89" s="958"/>
      <c r="GT89" s="958"/>
      <c r="GU89" s="958"/>
      <c r="GV89" s="958"/>
      <c r="GW89" s="958"/>
      <c r="GX89" s="958"/>
      <c r="GY89" s="958"/>
      <c r="GZ89" s="958"/>
      <c r="HA89" s="958"/>
      <c r="HB89" s="958"/>
      <c r="HC89" s="958"/>
      <c r="HD89" s="958"/>
      <c r="HE89" s="958"/>
      <c r="HF89" s="958"/>
      <c r="HG89" s="958"/>
      <c r="HH89" s="958"/>
      <c r="HI89" s="958"/>
      <c r="HJ89" s="958"/>
      <c r="HK89" s="958"/>
      <c r="HL89" s="958"/>
      <c r="HM89" s="958"/>
      <c r="HN89" s="958"/>
      <c r="HO89" s="958"/>
      <c r="HP89" s="958"/>
      <c r="HQ89" s="958"/>
      <c r="HR89" s="958"/>
      <c r="HS89" s="958"/>
      <c r="HT89" s="958"/>
      <c r="HU89" s="958"/>
      <c r="HV89" s="958"/>
      <c r="HW89" s="958"/>
      <c r="HX89" s="958"/>
      <c r="HY89" s="958"/>
      <c r="HZ89" s="958"/>
      <c r="IA89" s="958"/>
      <c r="IB89" s="958"/>
      <c r="IC89" s="958"/>
      <c r="ID89" s="958"/>
      <c r="IE89" s="958"/>
      <c r="IF89" s="958"/>
      <c r="IG89" s="958"/>
      <c r="IH89" s="958"/>
      <c r="II89" s="958"/>
      <c r="IJ89" s="958"/>
      <c r="IK89" s="958"/>
      <c r="IL89" s="958"/>
      <c r="IM89" s="958"/>
      <c r="IN89" s="958"/>
      <c r="IO89" s="958"/>
      <c r="IP89" s="958"/>
      <c r="IQ89" s="958"/>
      <c r="IR89" s="958"/>
      <c r="IS89" s="958"/>
      <c r="IT89" s="958"/>
      <c r="IU89" s="958"/>
      <c r="IV89" s="958"/>
    </row>
    <row r="90" spans="1:256">
      <c r="A90" s="1046" t="s">
        <v>876</v>
      </c>
      <c r="B90" s="1057">
        <v>38.299999999999997</v>
      </c>
      <c r="C90" s="1057">
        <v>46.6</v>
      </c>
      <c r="D90" s="1058">
        <v>67</v>
      </c>
      <c r="E90" s="1058">
        <v>66.7</v>
      </c>
      <c r="F90" s="1058">
        <v>93.7</v>
      </c>
      <c r="G90" s="1058">
        <v>52.3</v>
      </c>
      <c r="H90" s="1058">
        <v>79.5</v>
      </c>
      <c r="I90" s="1058">
        <v>93.1</v>
      </c>
      <c r="J90" s="1058">
        <v>82.7</v>
      </c>
      <c r="K90" s="1058">
        <v>73.099999999999994</v>
      </c>
      <c r="L90" s="1059">
        <v>92.4</v>
      </c>
      <c r="M90" s="1059">
        <v>46.9</v>
      </c>
      <c r="N90" s="1058">
        <v>55.8</v>
      </c>
      <c r="O90" s="958"/>
      <c r="P90" s="958"/>
      <c r="Q90" s="958"/>
      <c r="R90" s="958"/>
      <c r="S90" s="958"/>
      <c r="T90" s="958"/>
      <c r="U90" s="958"/>
      <c r="V90" s="958"/>
      <c r="W90" s="958"/>
      <c r="X90" s="958"/>
      <c r="Y90" s="958"/>
      <c r="Z90" s="958"/>
      <c r="AA90" s="958"/>
      <c r="AB90" s="958"/>
      <c r="AC90" s="958"/>
      <c r="AD90" s="958"/>
      <c r="AE90" s="958"/>
      <c r="AF90" s="958"/>
      <c r="AG90" s="958"/>
      <c r="AH90" s="958"/>
      <c r="AI90" s="958"/>
      <c r="AJ90" s="958"/>
      <c r="AK90" s="958"/>
      <c r="AL90" s="958"/>
      <c r="AM90" s="958"/>
      <c r="AN90" s="958"/>
      <c r="AO90" s="958"/>
      <c r="AP90" s="958"/>
      <c r="AQ90" s="958"/>
      <c r="AR90" s="958"/>
      <c r="AS90" s="958"/>
      <c r="AT90" s="958"/>
      <c r="AU90" s="958"/>
      <c r="AV90" s="958"/>
      <c r="AW90" s="958"/>
      <c r="AX90" s="958"/>
      <c r="AY90" s="958"/>
      <c r="AZ90" s="958"/>
      <c r="BA90" s="958"/>
      <c r="BB90" s="958"/>
      <c r="BC90" s="958"/>
      <c r="BD90" s="958"/>
      <c r="BE90" s="958"/>
      <c r="BF90" s="958"/>
      <c r="BG90" s="958"/>
      <c r="BH90" s="958"/>
      <c r="BI90" s="958"/>
      <c r="BJ90" s="958"/>
      <c r="BK90" s="958"/>
      <c r="BL90" s="958"/>
      <c r="BM90" s="958"/>
      <c r="BN90" s="958"/>
      <c r="BO90" s="958"/>
      <c r="BP90" s="958"/>
      <c r="BQ90" s="958"/>
      <c r="BR90" s="958"/>
      <c r="BS90" s="958"/>
      <c r="BT90" s="958"/>
      <c r="BU90" s="958"/>
      <c r="BV90" s="958"/>
      <c r="BW90" s="958"/>
      <c r="BX90" s="958"/>
      <c r="BY90" s="958"/>
      <c r="BZ90" s="958"/>
      <c r="CA90" s="958"/>
      <c r="CB90" s="958"/>
      <c r="CC90" s="958"/>
      <c r="CD90" s="958"/>
      <c r="CE90" s="958"/>
      <c r="CF90" s="958"/>
      <c r="CG90" s="958"/>
      <c r="CH90" s="958"/>
      <c r="CI90" s="958"/>
      <c r="CJ90" s="958"/>
      <c r="CK90" s="958"/>
      <c r="CL90" s="958"/>
      <c r="CM90" s="958"/>
      <c r="CN90" s="958"/>
      <c r="CO90" s="958"/>
      <c r="CP90" s="958"/>
      <c r="CQ90" s="958"/>
      <c r="CR90" s="958"/>
      <c r="CS90" s="958"/>
      <c r="CT90" s="958"/>
      <c r="CU90" s="958"/>
      <c r="CV90" s="958"/>
      <c r="CW90" s="958"/>
      <c r="CX90" s="958"/>
      <c r="CY90" s="958"/>
      <c r="CZ90" s="958"/>
      <c r="DA90" s="958"/>
      <c r="DB90" s="958"/>
      <c r="DC90" s="958"/>
      <c r="DD90" s="958"/>
      <c r="DE90" s="958"/>
      <c r="DF90" s="958"/>
      <c r="DG90" s="958"/>
      <c r="DH90" s="958"/>
      <c r="DI90" s="958"/>
      <c r="DJ90" s="958"/>
      <c r="DK90" s="958"/>
      <c r="DL90" s="958"/>
      <c r="DM90" s="958"/>
      <c r="DN90" s="958"/>
      <c r="DO90" s="958"/>
      <c r="DP90" s="958"/>
      <c r="DQ90" s="958"/>
      <c r="DR90" s="958"/>
      <c r="DS90" s="958"/>
      <c r="DT90" s="958"/>
      <c r="DU90" s="958"/>
      <c r="DV90" s="958"/>
      <c r="DW90" s="958"/>
      <c r="DX90" s="958"/>
      <c r="DY90" s="958"/>
      <c r="DZ90" s="958"/>
      <c r="EA90" s="958"/>
      <c r="EB90" s="958"/>
      <c r="EC90" s="958"/>
      <c r="ED90" s="958"/>
      <c r="EE90" s="958"/>
      <c r="EF90" s="958"/>
      <c r="EG90" s="958"/>
      <c r="EH90" s="958"/>
      <c r="EI90" s="958"/>
      <c r="EJ90" s="958"/>
      <c r="EK90" s="958"/>
      <c r="EL90" s="958"/>
      <c r="EM90" s="958"/>
      <c r="EN90" s="958"/>
      <c r="EO90" s="958"/>
      <c r="EP90" s="958"/>
      <c r="EQ90" s="958"/>
      <c r="ER90" s="958"/>
      <c r="ES90" s="958"/>
      <c r="ET90" s="958"/>
      <c r="EU90" s="958"/>
      <c r="EV90" s="958"/>
      <c r="EW90" s="958"/>
      <c r="EX90" s="958"/>
      <c r="EY90" s="958"/>
      <c r="EZ90" s="958"/>
      <c r="FA90" s="958"/>
      <c r="FB90" s="958"/>
      <c r="FC90" s="958"/>
      <c r="FD90" s="958"/>
      <c r="FE90" s="958"/>
      <c r="FF90" s="958"/>
      <c r="FG90" s="958"/>
      <c r="FH90" s="958"/>
      <c r="FI90" s="958"/>
      <c r="FJ90" s="958"/>
      <c r="FK90" s="958"/>
      <c r="FL90" s="958"/>
      <c r="FM90" s="958"/>
      <c r="FN90" s="958"/>
      <c r="FO90" s="958"/>
      <c r="FP90" s="958"/>
      <c r="FQ90" s="958"/>
      <c r="FR90" s="958"/>
      <c r="FS90" s="958"/>
      <c r="FT90" s="958"/>
      <c r="FU90" s="958"/>
      <c r="FV90" s="958"/>
      <c r="FW90" s="958"/>
      <c r="FX90" s="958"/>
      <c r="FY90" s="958"/>
      <c r="FZ90" s="958"/>
      <c r="GA90" s="958"/>
      <c r="GB90" s="958"/>
      <c r="GC90" s="958"/>
      <c r="GD90" s="958"/>
      <c r="GE90" s="958"/>
      <c r="GF90" s="958"/>
      <c r="GG90" s="958"/>
      <c r="GH90" s="958"/>
      <c r="GI90" s="958"/>
      <c r="GJ90" s="958"/>
      <c r="GK90" s="958"/>
      <c r="GL90" s="958"/>
      <c r="GM90" s="958"/>
      <c r="GN90" s="958"/>
      <c r="GO90" s="958"/>
      <c r="GP90" s="958"/>
      <c r="GQ90" s="958"/>
      <c r="GR90" s="958"/>
      <c r="GS90" s="958"/>
      <c r="GT90" s="958"/>
      <c r="GU90" s="958"/>
      <c r="GV90" s="958"/>
      <c r="GW90" s="958"/>
      <c r="GX90" s="958"/>
      <c r="GY90" s="958"/>
      <c r="GZ90" s="958"/>
      <c r="HA90" s="958"/>
      <c r="HB90" s="958"/>
      <c r="HC90" s="958"/>
      <c r="HD90" s="958"/>
      <c r="HE90" s="958"/>
      <c r="HF90" s="958"/>
      <c r="HG90" s="958"/>
      <c r="HH90" s="958"/>
      <c r="HI90" s="958"/>
      <c r="HJ90" s="958"/>
      <c r="HK90" s="958"/>
      <c r="HL90" s="958"/>
      <c r="HM90" s="958"/>
      <c r="HN90" s="958"/>
      <c r="HO90" s="958"/>
      <c r="HP90" s="958"/>
      <c r="HQ90" s="958"/>
      <c r="HR90" s="958"/>
      <c r="HS90" s="958"/>
      <c r="HT90" s="958"/>
      <c r="HU90" s="958"/>
      <c r="HV90" s="958"/>
      <c r="HW90" s="958"/>
      <c r="HX90" s="958"/>
      <c r="HY90" s="958"/>
      <c r="HZ90" s="958"/>
      <c r="IA90" s="958"/>
      <c r="IB90" s="958"/>
      <c r="IC90" s="958"/>
      <c r="ID90" s="958"/>
      <c r="IE90" s="958"/>
      <c r="IF90" s="958"/>
      <c r="IG90" s="958"/>
      <c r="IH90" s="958"/>
      <c r="II90" s="958"/>
      <c r="IJ90" s="958"/>
      <c r="IK90" s="958"/>
      <c r="IL90" s="958"/>
      <c r="IM90" s="958"/>
      <c r="IN90" s="958"/>
      <c r="IO90" s="958"/>
      <c r="IP90" s="958"/>
      <c r="IQ90" s="958"/>
      <c r="IR90" s="958"/>
      <c r="IS90" s="958"/>
      <c r="IT90" s="958"/>
      <c r="IU90" s="958"/>
      <c r="IV90" s="958"/>
    </row>
    <row r="91" spans="1:256" ht="13.5" customHeight="1" thickBot="1">
      <c r="A91" s="1037" t="s">
        <v>877</v>
      </c>
      <c r="B91" s="987">
        <v>446</v>
      </c>
      <c r="C91" s="987">
        <v>542</v>
      </c>
      <c r="D91" s="988">
        <v>779</v>
      </c>
      <c r="E91" s="988">
        <v>776</v>
      </c>
      <c r="F91" s="988">
        <v>1090</v>
      </c>
      <c r="G91" s="988">
        <v>608.6</v>
      </c>
      <c r="H91" s="988">
        <v>925.1</v>
      </c>
      <c r="I91" s="988">
        <v>1083</v>
      </c>
      <c r="J91" s="988">
        <v>961.5</v>
      </c>
      <c r="K91" s="988">
        <v>850.5</v>
      </c>
      <c r="L91" s="989">
        <v>1074.9000000000001</v>
      </c>
      <c r="M91" s="989">
        <v>545.9</v>
      </c>
      <c r="N91" s="988">
        <v>649.20000000000005</v>
      </c>
      <c r="O91" s="958"/>
      <c r="P91" s="958"/>
      <c r="Q91" s="958"/>
      <c r="R91" s="958"/>
      <c r="S91" s="958"/>
      <c r="T91" s="958"/>
      <c r="U91" s="958"/>
      <c r="V91" s="958"/>
      <c r="W91" s="958"/>
      <c r="X91" s="958"/>
      <c r="Y91" s="958"/>
      <c r="Z91" s="958"/>
      <c r="AA91" s="958"/>
      <c r="AB91" s="958"/>
      <c r="AC91" s="958"/>
      <c r="AD91" s="958"/>
      <c r="AE91" s="958"/>
      <c r="AF91" s="958"/>
      <c r="AG91" s="958"/>
      <c r="AH91" s="958"/>
      <c r="AI91" s="958"/>
      <c r="AJ91" s="958"/>
      <c r="AK91" s="958"/>
      <c r="AL91" s="958"/>
      <c r="AM91" s="958"/>
      <c r="AN91" s="958"/>
      <c r="AO91" s="958"/>
      <c r="AP91" s="958"/>
      <c r="AQ91" s="958"/>
      <c r="AR91" s="958"/>
      <c r="AS91" s="958"/>
      <c r="AT91" s="958"/>
      <c r="AU91" s="958"/>
      <c r="AV91" s="958"/>
      <c r="AW91" s="958"/>
      <c r="AX91" s="958"/>
      <c r="AY91" s="958"/>
      <c r="AZ91" s="958"/>
      <c r="BA91" s="958"/>
      <c r="BB91" s="958"/>
      <c r="BC91" s="958"/>
      <c r="BD91" s="958"/>
      <c r="BE91" s="958"/>
      <c r="BF91" s="958"/>
      <c r="BG91" s="958"/>
      <c r="BH91" s="958"/>
      <c r="BI91" s="958"/>
      <c r="BJ91" s="958"/>
      <c r="BK91" s="958"/>
      <c r="BL91" s="958"/>
      <c r="BM91" s="958"/>
      <c r="BN91" s="958"/>
      <c r="BO91" s="958"/>
      <c r="BP91" s="958"/>
      <c r="BQ91" s="958"/>
      <c r="BR91" s="958"/>
      <c r="BS91" s="958"/>
      <c r="BT91" s="958"/>
      <c r="BU91" s="958"/>
      <c r="BV91" s="958"/>
      <c r="BW91" s="958"/>
      <c r="BX91" s="958"/>
      <c r="BY91" s="958"/>
      <c r="BZ91" s="958"/>
      <c r="CA91" s="958"/>
      <c r="CB91" s="958"/>
      <c r="CC91" s="958"/>
      <c r="CD91" s="958"/>
      <c r="CE91" s="958"/>
      <c r="CF91" s="958"/>
      <c r="CG91" s="958"/>
      <c r="CH91" s="958"/>
      <c r="CI91" s="958"/>
      <c r="CJ91" s="958"/>
      <c r="CK91" s="958"/>
      <c r="CL91" s="958"/>
      <c r="CM91" s="958"/>
      <c r="CN91" s="958"/>
      <c r="CO91" s="958"/>
      <c r="CP91" s="958"/>
      <c r="CQ91" s="958"/>
      <c r="CR91" s="958"/>
      <c r="CS91" s="958"/>
      <c r="CT91" s="958"/>
      <c r="CU91" s="958"/>
      <c r="CV91" s="958"/>
      <c r="CW91" s="958"/>
      <c r="CX91" s="958"/>
      <c r="CY91" s="958"/>
      <c r="CZ91" s="958"/>
      <c r="DA91" s="958"/>
      <c r="DB91" s="958"/>
      <c r="DC91" s="958"/>
      <c r="DD91" s="958"/>
      <c r="DE91" s="958"/>
      <c r="DF91" s="958"/>
      <c r="DG91" s="958"/>
      <c r="DH91" s="958"/>
      <c r="DI91" s="958"/>
      <c r="DJ91" s="958"/>
      <c r="DK91" s="958"/>
      <c r="DL91" s="958"/>
      <c r="DM91" s="958"/>
      <c r="DN91" s="958"/>
      <c r="DO91" s="958"/>
      <c r="DP91" s="958"/>
      <c r="DQ91" s="958"/>
      <c r="DR91" s="958"/>
      <c r="DS91" s="958"/>
      <c r="DT91" s="958"/>
      <c r="DU91" s="958"/>
      <c r="DV91" s="958"/>
      <c r="DW91" s="958"/>
      <c r="DX91" s="958"/>
      <c r="DY91" s="958"/>
      <c r="DZ91" s="958"/>
      <c r="EA91" s="958"/>
      <c r="EB91" s="958"/>
      <c r="EC91" s="958"/>
      <c r="ED91" s="958"/>
      <c r="EE91" s="958"/>
      <c r="EF91" s="958"/>
      <c r="EG91" s="958"/>
      <c r="EH91" s="958"/>
      <c r="EI91" s="958"/>
      <c r="EJ91" s="958"/>
      <c r="EK91" s="958"/>
      <c r="EL91" s="958"/>
      <c r="EM91" s="958"/>
      <c r="EN91" s="958"/>
      <c r="EO91" s="958"/>
      <c r="EP91" s="958"/>
      <c r="EQ91" s="958"/>
      <c r="ER91" s="958"/>
      <c r="ES91" s="958"/>
      <c r="ET91" s="958"/>
      <c r="EU91" s="958"/>
      <c r="EV91" s="958"/>
      <c r="EW91" s="958"/>
      <c r="EX91" s="958"/>
      <c r="EY91" s="958"/>
      <c r="EZ91" s="958"/>
      <c r="FA91" s="958"/>
      <c r="FB91" s="958"/>
      <c r="FC91" s="958"/>
      <c r="FD91" s="958"/>
      <c r="FE91" s="958"/>
      <c r="FF91" s="958"/>
      <c r="FG91" s="958"/>
      <c r="FH91" s="958"/>
      <c r="FI91" s="958"/>
      <c r="FJ91" s="958"/>
      <c r="FK91" s="958"/>
      <c r="FL91" s="958"/>
      <c r="FM91" s="958"/>
      <c r="FN91" s="958"/>
      <c r="FO91" s="958"/>
      <c r="FP91" s="958"/>
      <c r="FQ91" s="958"/>
      <c r="FR91" s="958"/>
      <c r="FS91" s="958"/>
      <c r="FT91" s="958"/>
      <c r="FU91" s="958"/>
      <c r="FV91" s="958"/>
      <c r="FW91" s="958"/>
      <c r="FX91" s="958"/>
      <c r="FY91" s="958"/>
      <c r="FZ91" s="958"/>
      <c r="GA91" s="958"/>
      <c r="GB91" s="958"/>
      <c r="GC91" s="958"/>
      <c r="GD91" s="958"/>
      <c r="GE91" s="958"/>
      <c r="GF91" s="958"/>
      <c r="GG91" s="958"/>
      <c r="GH91" s="958"/>
      <c r="GI91" s="958"/>
      <c r="GJ91" s="958"/>
      <c r="GK91" s="958"/>
      <c r="GL91" s="958"/>
      <c r="GM91" s="958"/>
      <c r="GN91" s="958"/>
      <c r="GO91" s="958"/>
      <c r="GP91" s="958"/>
      <c r="GQ91" s="958"/>
      <c r="GR91" s="958"/>
      <c r="GS91" s="958"/>
      <c r="GT91" s="958"/>
      <c r="GU91" s="958"/>
      <c r="GV91" s="958"/>
      <c r="GW91" s="958"/>
      <c r="GX91" s="958"/>
      <c r="GY91" s="958"/>
      <c r="GZ91" s="958"/>
      <c r="HA91" s="958"/>
      <c r="HB91" s="958"/>
      <c r="HC91" s="958"/>
      <c r="HD91" s="958"/>
      <c r="HE91" s="958"/>
      <c r="HF91" s="958"/>
      <c r="HG91" s="958"/>
      <c r="HH91" s="958"/>
      <c r="HI91" s="958"/>
      <c r="HJ91" s="958"/>
      <c r="HK91" s="958"/>
      <c r="HL91" s="958"/>
      <c r="HM91" s="958"/>
      <c r="HN91" s="958"/>
      <c r="HO91" s="958"/>
      <c r="HP91" s="958"/>
      <c r="HQ91" s="958"/>
      <c r="HR91" s="958"/>
      <c r="HS91" s="958"/>
      <c r="HT91" s="958"/>
      <c r="HU91" s="958"/>
      <c r="HV91" s="958"/>
      <c r="HW91" s="958"/>
      <c r="HX91" s="958"/>
      <c r="HY91" s="958"/>
      <c r="HZ91" s="958"/>
      <c r="IA91" s="958"/>
      <c r="IB91" s="958"/>
      <c r="IC91" s="958"/>
      <c r="ID91" s="958"/>
      <c r="IE91" s="958"/>
      <c r="IF91" s="958"/>
      <c r="IG91" s="958"/>
      <c r="IH91" s="958"/>
      <c r="II91" s="958"/>
      <c r="IJ91" s="958"/>
      <c r="IK91" s="958"/>
      <c r="IL91" s="958"/>
      <c r="IM91" s="958"/>
      <c r="IN91" s="958"/>
      <c r="IO91" s="958"/>
      <c r="IP91" s="958"/>
      <c r="IQ91" s="958"/>
      <c r="IR91" s="958"/>
      <c r="IS91" s="958"/>
      <c r="IT91" s="958"/>
      <c r="IU91" s="958"/>
      <c r="IV91" s="958"/>
    </row>
    <row r="92" spans="1:256" s="966" customFormat="1" ht="12" customHeight="1" thickTop="1">
      <c r="A92" s="1060" t="s">
        <v>132</v>
      </c>
      <c r="B92" s="1031"/>
      <c r="C92" s="1031"/>
      <c r="D92" s="1050"/>
      <c r="E92" s="1050"/>
      <c r="F92" s="1061"/>
      <c r="G92" s="1061"/>
      <c r="H92" s="1061"/>
      <c r="I92" s="1061"/>
      <c r="J92" s="1061"/>
      <c r="K92" s="1061"/>
      <c r="L92" s="1061"/>
      <c r="M92" s="1061"/>
      <c r="N92" s="1061"/>
      <c r="O92" s="965"/>
      <c r="P92" s="965"/>
      <c r="Q92" s="965"/>
      <c r="R92" s="965"/>
      <c r="S92" s="965"/>
      <c r="T92" s="965"/>
      <c r="U92" s="965"/>
      <c r="V92" s="965"/>
      <c r="W92" s="965"/>
      <c r="X92" s="965"/>
      <c r="Y92" s="965"/>
      <c r="Z92" s="965"/>
      <c r="AA92" s="965"/>
      <c r="AB92" s="965"/>
      <c r="AC92" s="965"/>
      <c r="AD92" s="965"/>
      <c r="AE92" s="965"/>
      <c r="AF92" s="965"/>
      <c r="AG92" s="965"/>
      <c r="AH92" s="965"/>
      <c r="AI92" s="965"/>
      <c r="AJ92" s="965"/>
      <c r="AK92" s="965"/>
      <c r="AL92" s="965"/>
      <c r="AM92" s="965"/>
      <c r="AN92" s="965"/>
      <c r="AO92" s="965"/>
      <c r="AP92" s="965"/>
      <c r="AQ92" s="965"/>
      <c r="AR92" s="965"/>
      <c r="AS92" s="965"/>
      <c r="AT92" s="965"/>
      <c r="AU92" s="965"/>
      <c r="AV92" s="965"/>
      <c r="AW92" s="965"/>
      <c r="AX92" s="965"/>
      <c r="AY92" s="965"/>
      <c r="AZ92" s="965"/>
      <c r="BA92" s="965"/>
      <c r="BB92" s="965"/>
      <c r="BC92" s="965"/>
      <c r="BD92" s="965"/>
      <c r="BE92" s="965"/>
      <c r="BF92" s="965"/>
      <c r="BG92" s="965"/>
      <c r="BH92" s="965"/>
      <c r="BI92" s="965"/>
      <c r="BJ92" s="965"/>
      <c r="BK92" s="965"/>
      <c r="BL92" s="965"/>
      <c r="BM92" s="965"/>
      <c r="BN92" s="965"/>
      <c r="BO92" s="965"/>
      <c r="BP92" s="965"/>
      <c r="BQ92" s="965"/>
      <c r="BR92" s="965"/>
      <c r="BS92" s="965"/>
      <c r="BT92" s="965"/>
      <c r="BU92" s="965"/>
      <c r="BV92" s="965"/>
      <c r="BW92" s="965"/>
      <c r="BX92" s="965"/>
      <c r="BY92" s="965"/>
      <c r="BZ92" s="965"/>
      <c r="CA92" s="965"/>
      <c r="CB92" s="965"/>
      <c r="CC92" s="965"/>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c r="EC92" s="965"/>
      <c r="ED92" s="965"/>
      <c r="EE92" s="965"/>
      <c r="EF92" s="965"/>
      <c r="EG92" s="965"/>
      <c r="EH92" s="965"/>
      <c r="EI92" s="965"/>
      <c r="EJ92" s="965"/>
      <c r="EK92" s="965"/>
      <c r="EL92" s="965"/>
      <c r="EM92" s="965"/>
      <c r="EN92" s="965"/>
      <c r="EO92" s="965"/>
      <c r="EP92" s="965"/>
      <c r="EQ92" s="965"/>
      <c r="ER92" s="965"/>
      <c r="ES92" s="965"/>
      <c r="ET92" s="965"/>
      <c r="EU92" s="965"/>
      <c r="EV92" s="965"/>
      <c r="EW92" s="965"/>
      <c r="EX92" s="965"/>
      <c r="EY92" s="965"/>
      <c r="EZ92" s="965"/>
      <c r="FA92" s="965"/>
      <c r="FB92" s="965"/>
      <c r="FC92" s="965"/>
      <c r="FD92" s="965"/>
      <c r="FE92" s="965"/>
      <c r="FF92" s="965"/>
      <c r="FG92" s="965"/>
      <c r="FH92" s="965"/>
      <c r="FI92" s="965"/>
      <c r="FJ92" s="965"/>
      <c r="FK92" s="965"/>
      <c r="FL92" s="965"/>
      <c r="FM92" s="965"/>
      <c r="FN92" s="965"/>
      <c r="FO92" s="965"/>
      <c r="FP92" s="965"/>
      <c r="FQ92" s="965"/>
      <c r="FR92" s="965"/>
      <c r="FS92" s="965"/>
      <c r="FT92" s="965"/>
      <c r="FU92" s="965"/>
      <c r="FV92" s="965"/>
      <c r="FW92" s="965"/>
      <c r="FX92" s="965"/>
      <c r="FY92" s="965"/>
      <c r="FZ92" s="965"/>
      <c r="GA92" s="965"/>
      <c r="GB92" s="965"/>
      <c r="GC92" s="965"/>
      <c r="GD92" s="965"/>
      <c r="GE92" s="965"/>
      <c r="GF92" s="965"/>
      <c r="GG92" s="965"/>
      <c r="GH92" s="965"/>
      <c r="GI92" s="965"/>
      <c r="GJ92" s="965"/>
      <c r="GK92" s="965"/>
      <c r="GL92" s="965"/>
      <c r="GM92" s="965"/>
      <c r="GN92" s="965"/>
      <c r="GO92" s="965"/>
      <c r="GP92" s="965"/>
      <c r="GQ92" s="965"/>
      <c r="GR92" s="965"/>
      <c r="GS92" s="965"/>
      <c r="GT92" s="965"/>
      <c r="GU92" s="965"/>
      <c r="GV92" s="965"/>
      <c r="GW92" s="965"/>
      <c r="GX92" s="965"/>
      <c r="GY92" s="965"/>
      <c r="GZ92" s="965"/>
      <c r="HA92" s="965"/>
      <c r="HB92" s="965"/>
      <c r="HC92" s="965"/>
      <c r="HD92" s="965"/>
      <c r="HE92" s="965"/>
      <c r="HF92" s="965"/>
      <c r="HG92" s="965"/>
      <c r="HH92" s="965"/>
      <c r="HI92" s="965"/>
      <c r="HJ92" s="965"/>
      <c r="HK92" s="965"/>
      <c r="HL92" s="965"/>
      <c r="HM92" s="965"/>
      <c r="HN92" s="965"/>
      <c r="HO92" s="965"/>
      <c r="HP92" s="965"/>
      <c r="HQ92" s="965"/>
      <c r="HR92" s="965"/>
      <c r="HS92" s="965"/>
      <c r="HT92" s="965"/>
      <c r="HU92" s="965"/>
      <c r="HV92" s="965"/>
      <c r="HW92" s="965"/>
      <c r="HX92" s="965"/>
      <c r="HY92" s="965"/>
      <c r="HZ92" s="965"/>
      <c r="IA92" s="965"/>
      <c r="IB92" s="965"/>
      <c r="IC92" s="965"/>
      <c r="ID92" s="965"/>
      <c r="IE92" s="965"/>
      <c r="IF92" s="965"/>
      <c r="IG92" s="965"/>
      <c r="IH92" s="965"/>
      <c r="II92" s="965"/>
      <c r="IJ92" s="965"/>
      <c r="IK92" s="965"/>
      <c r="IL92" s="965"/>
      <c r="IM92" s="965"/>
      <c r="IN92" s="965"/>
      <c r="IO92" s="965"/>
      <c r="IP92" s="965"/>
      <c r="IQ92" s="965"/>
      <c r="IR92" s="965"/>
      <c r="IS92" s="965"/>
      <c r="IT92" s="965"/>
      <c r="IU92" s="965"/>
      <c r="IV92" s="965"/>
    </row>
    <row r="93" spans="1:256" ht="10.5" customHeight="1">
      <c r="A93" s="944" t="s">
        <v>452</v>
      </c>
      <c r="B93" s="1031">
        <v>1226.3</v>
      </c>
      <c r="C93" s="1031">
        <v>1192.5</v>
      </c>
      <c r="D93" s="1032">
        <v>1185</v>
      </c>
      <c r="E93" s="1032">
        <v>971.9</v>
      </c>
      <c r="F93" s="1032">
        <v>877</v>
      </c>
      <c r="G93" s="1032">
        <v>1008.4</v>
      </c>
      <c r="H93" s="1032">
        <v>968.6</v>
      </c>
      <c r="I93" s="1032">
        <v>976.9</v>
      </c>
      <c r="J93" s="1032">
        <v>913.5</v>
      </c>
      <c r="K93" s="1032">
        <v>911.3</v>
      </c>
      <c r="L93" s="1034">
        <v>939.9</v>
      </c>
      <c r="M93" s="1034">
        <v>923.1</v>
      </c>
      <c r="N93" s="1032">
        <v>943.5</v>
      </c>
      <c r="O93" s="958"/>
      <c r="P93" s="958"/>
      <c r="Q93" s="958"/>
      <c r="R93" s="958"/>
      <c r="S93" s="958"/>
      <c r="T93" s="958"/>
      <c r="U93" s="958"/>
      <c r="V93" s="958"/>
      <c r="W93" s="958"/>
      <c r="X93" s="958"/>
      <c r="Y93" s="958"/>
      <c r="Z93" s="958"/>
      <c r="AA93" s="958"/>
      <c r="AB93" s="958"/>
      <c r="AC93" s="958"/>
      <c r="AD93" s="958"/>
      <c r="AE93" s="958"/>
      <c r="AF93" s="958"/>
      <c r="AG93" s="958"/>
      <c r="AH93" s="958"/>
      <c r="AI93" s="958"/>
      <c r="AJ93" s="958"/>
      <c r="AK93" s="958"/>
      <c r="AL93" s="958"/>
      <c r="AM93" s="958"/>
      <c r="AN93" s="958"/>
      <c r="AO93" s="958"/>
      <c r="AP93" s="958"/>
      <c r="AQ93" s="958"/>
      <c r="AR93" s="958"/>
      <c r="AS93" s="958"/>
      <c r="AT93" s="958"/>
      <c r="AU93" s="958"/>
      <c r="AV93" s="958"/>
      <c r="AW93" s="958"/>
      <c r="AX93" s="958"/>
      <c r="AY93" s="958"/>
      <c r="AZ93" s="958"/>
      <c r="BA93" s="958"/>
      <c r="BB93" s="958"/>
      <c r="BC93" s="958"/>
      <c r="BD93" s="958"/>
      <c r="BE93" s="958"/>
      <c r="BF93" s="958"/>
      <c r="BG93" s="958"/>
      <c r="BH93" s="958"/>
      <c r="BI93" s="958"/>
      <c r="BJ93" s="958"/>
      <c r="BK93" s="958"/>
      <c r="BL93" s="958"/>
      <c r="BM93" s="958"/>
      <c r="BN93" s="958"/>
      <c r="BO93" s="958"/>
      <c r="BP93" s="958"/>
      <c r="BQ93" s="958"/>
      <c r="BR93" s="958"/>
      <c r="BS93" s="958"/>
      <c r="BT93" s="958"/>
      <c r="BU93" s="958"/>
      <c r="BV93" s="958"/>
      <c r="BW93" s="958"/>
      <c r="BX93" s="958"/>
      <c r="BY93" s="958"/>
      <c r="BZ93" s="958"/>
      <c r="CA93" s="958"/>
      <c r="CB93" s="958"/>
      <c r="CC93" s="958"/>
      <c r="CD93" s="958"/>
      <c r="CE93" s="958"/>
      <c r="CF93" s="958"/>
      <c r="CG93" s="958"/>
      <c r="CH93" s="958"/>
      <c r="CI93" s="958"/>
      <c r="CJ93" s="958"/>
      <c r="CK93" s="958"/>
      <c r="CL93" s="958"/>
      <c r="CM93" s="958"/>
      <c r="CN93" s="958"/>
      <c r="CO93" s="958"/>
      <c r="CP93" s="958"/>
      <c r="CQ93" s="958"/>
      <c r="CR93" s="958"/>
      <c r="CS93" s="958"/>
      <c r="CT93" s="958"/>
      <c r="CU93" s="958"/>
      <c r="CV93" s="958"/>
      <c r="CW93" s="958"/>
      <c r="CX93" s="958"/>
      <c r="CY93" s="958"/>
      <c r="CZ93" s="958"/>
      <c r="DA93" s="958"/>
      <c r="DB93" s="958"/>
      <c r="DC93" s="958"/>
      <c r="DD93" s="958"/>
      <c r="DE93" s="958"/>
      <c r="DF93" s="958"/>
      <c r="DG93" s="958"/>
      <c r="DH93" s="958"/>
      <c r="DI93" s="958"/>
      <c r="DJ93" s="958"/>
      <c r="DK93" s="958"/>
      <c r="DL93" s="958"/>
      <c r="DM93" s="958"/>
      <c r="DN93" s="958"/>
      <c r="DO93" s="958"/>
      <c r="DP93" s="958"/>
      <c r="DQ93" s="958"/>
      <c r="DR93" s="958"/>
      <c r="DS93" s="958"/>
      <c r="DT93" s="958"/>
      <c r="DU93" s="958"/>
      <c r="DV93" s="958"/>
      <c r="DW93" s="958"/>
      <c r="DX93" s="958"/>
      <c r="DY93" s="958"/>
      <c r="DZ93" s="958"/>
      <c r="EA93" s="958"/>
      <c r="EB93" s="958"/>
      <c r="EC93" s="958"/>
      <c r="ED93" s="958"/>
      <c r="EE93" s="958"/>
      <c r="EF93" s="958"/>
      <c r="EG93" s="958"/>
      <c r="EH93" s="958"/>
      <c r="EI93" s="958"/>
      <c r="EJ93" s="958"/>
      <c r="EK93" s="958"/>
      <c r="EL93" s="958"/>
      <c r="EM93" s="958"/>
      <c r="EN93" s="958"/>
      <c r="EO93" s="958"/>
      <c r="EP93" s="958"/>
      <c r="EQ93" s="958"/>
      <c r="ER93" s="958"/>
      <c r="ES93" s="958"/>
      <c r="ET93" s="958"/>
      <c r="EU93" s="958"/>
      <c r="EV93" s="958"/>
      <c r="EW93" s="958"/>
      <c r="EX93" s="958"/>
      <c r="EY93" s="958"/>
      <c r="EZ93" s="958"/>
      <c r="FA93" s="958"/>
      <c r="FB93" s="958"/>
      <c r="FC93" s="958"/>
      <c r="FD93" s="958"/>
      <c r="FE93" s="958"/>
      <c r="FF93" s="958"/>
      <c r="FG93" s="958"/>
      <c r="FH93" s="958"/>
      <c r="FI93" s="958"/>
      <c r="FJ93" s="958"/>
      <c r="FK93" s="958"/>
      <c r="FL93" s="958"/>
      <c r="FM93" s="958"/>
      <c r="FN93" s="958"/>
      <c r="FO93" s="958"/>
      <c r="FP93" s="958"/>
      <c r="FQ93" s="958"/>
      <c r="FR93" s="958"/>
      <c r="FS93" s="958"/>
      <c r="FT93" s="958"/>
      <c r="FU93" s="958"/>
      <c r="FV93" s="958"/>
      <c r="FW93" s="958"/>
      <c r="FX93" s="958"/>
      <c r="FY93" s="958"/>
      <c r="FZ93" s="958"/>
      <c r="GA93" s="958"/>
      <c r="GB93" s="958"/>
      <c r="GC93" s="958"/>
      <c r="GD93" s="958"/>
      <c r="GE93" s="958"/>
      <c r="GF93" s="958"/>
      <c r="GG93" s="958"/>
      <c r="GH93" s="958"/>
      <c r="GI93" s="958"/>
      <c r="GJ93" s="958"/>
      <c r="GK93" s="958"/>
      <c r="GL93" s="958"/>
      <c r="GM93" s="958"/>
      <c r="GN93" s="958"/>
      <c r="GO93" s="958"/>
      <c r="GP93" s="958"/>
      <c r="GQ93" s="958"/>
      <c r="GR93" s="958"/>
      <c r="GS93" s="958"/>
      <c r="GT93" s="958"/>
      <c r="GU93" s="958"/>
      <c r="GV93" s="958"/>
      <c r="GW93" s="958"/>
      <c r="GX93" s="958"/>
      <c r="GY93" s="958"/>
      <c r="GZ93" s="958"/>
      <c r="HA93" s="958"/>
      <c r="HB93" s="958"/>
      <c r="HC93" s="958"/>
      <c r="HD93" s="958"/>
      <c r="HE93" s="958"/>
      <c r="HF93" s="958"/>
      <c r="HG93" s="958"/>
      <c r="HH93" s="958"/>
      <c r="HI93" s="958"/>
      <c r="HJ93" s="958"/>
      <c r="HK93" s="958"/>
      <c r="HL93" s="958"/>
      <c r="HM93" s="958"/>
      <c r="HN93" s="958"/>
      <c r="HO93" s="958"/>
      <c r="HP93" s="958"/>
      <c r="HQ93" s="958"/>
      <c r="HR93" s="958"/>
      <c r="HS93" s="958"/>
      <c r="HT93" s="958"/>
      <c r="HU93" s="958"/>
      <c r="HV93" s="958"/>
      <c r="HW93" s="958"/>
      <c r="HX93" s="958"/>
      <c r="HY93" s="958"/>
      <c r="HZ93" s="958"/>
      <c r="IA93" s="958"/>
      <c r="IB93" s="958"/>
      <c r="IC93" s="958"/>
      <c r="ID93" s="958"/>
      <c r="IE93" s="958"/>
      <c r="IF93" s="958"/>
      <c r="IG93" s="958"/>
      <c r="IH93" s="958"/>
      <c r="II93" s="958"/>
      <c r="IJ93" s="958"/>
      <c r="IK93" s="958"/>
      <c r="IL93" s="958"/>
      <c r="IM93" s="958"/>
      <c r="IN93" s="958"/>
      <c r="IO93" s="958"/>
      <c r="IP93" s="958"/>
      <c r="IQ93" s="958"/>
      <c r="IR93" s="958"/>
      <c r="IS93" s="958"/>
      <c r="IT93" s="958"/>
      <c r="IU93" s="958"/>
      <c r="IV93" s="958"/>
    </row>
    <row r="94" spans="1:256" ht="10.5" customHeight="1">
      <c r="A94" s="944" t="s">
        <v>839</v>
      </c>
      <c r="B94" s="1031">
        <v>731.9</v>
      </c>
      <c r="C94" s="1031">
        <v>731.9</v>
      </c>
      <c r="D94" s="1032">
        <v>731.9</v>
      </c>
      <c r="E94" s="1032">
        <v>728.7</v>
      </c>
      <c r="F94" s="1032">
        <v>728.2</v>
      </c>
      <c r="G94" s="1032">
        <v>481</v>
      </c>
      <c r="H94" s="1032">
        <v>466.2</v>
      </c>
      <c r="I94" s="1032">
        <v>774.1</v>
      </c>
      <c r="J94" s="1032">
        <v>790.3</v>
      </c>
      <c r="K94" s="1032">
        <v>800.6</v>
      </c>
      <c r="L94" s="1033">
        <v>779.9</v>
      </c>
      <c r="M94" s="1034">
        <v>767.2</v>
      </c>
      <c r="N94" s="1032">
        <v>663.9</v>
      </c>
      <c r="O94" s="958"/>
      <c r="P94" s="958"/>
      <c r="Q94" s="958"/>
      <c r="R94" s="958"/>
      <c r="S94" s="958"/>
      <c r="T94" s="958"/>
      <c r="U94" s="958"/>
      <c r="V94" s="958"/>
      <c r="W94" s="958"/>
      <c r="X94" s="958"/>
      <c r="Y94" s="958"/>
      <c r="Z94" s="958"/>
      <c r="AA94" s="958"/>
      <c r="AB94" s="958"/>
      <c r="AC94" s="958"/>
      <c r="AD94" s="958"/>
      <c r="AE94" s="958"/>
      <c r="AF94" s="958"/>
      <c r="AG94" s="958"/>
      <c r="AH94" s="958"/>
      <c r="AI94" s="958"/>
      <c r="AJ94" s="958"/>
      <c r="AK94" s="958"/>
      <c r="AL94" s="958"/>
      <c r="AM94" s="958"/>
      <c r="AN94" s="958"/>
      <c r="AO94" s="958"/>
      <c r="AP94" s="958"/>
      <c r="AQ94" s="958"/>
      <c r="AR94" s="958"/>
      <c r="AS94" s="958"/>
      <c r="AT94" s="958"/>
      <c r="AU94" s="958"/>
      <c r="AV94" s="958"/>
      <c r="AW94" s="958"/>
      <c r="AX94" s="958"/>
      <c r="AY94" s="958"/>
      <c r="AZ94" s="958"/>
      <c r="BA94" s="958"/>
      <c r="BB94" s="958"/>
      <c r="BC94" s="958"/>
      <c r="BD94" s="958"/>
      <c r="BE94" s="958"/>
      <c r="BF94" s="958"/>
      <c r="BG94" s="958"/>
      <c r="BH94" s="958"/>
      <c r="BI94" s="958"/>
      <c r="BJ94" s="958"/>
      <c r="BK94" s="958"/>
      <c r="BL94" s="958"/>
      <c r="BM94" s="958"/>
      <c r="BN94" s="958"/>
      <c r="BO94" s="958"/>
      <c r="BP94" s="958"/>
      <c r="BQ94" s="958"/>
      <c r="BR94" s="958"/>
      <c r="BS94" s="958"/>
      <c r="BT94" s="958"/>
      <c r="BU94" s="958"/>
      <c r="BV94" s="958"/>
      <c r="BW94" s="958"/>
      <c r="BX94" s="958"/>
      <c r="BY94" s="958"/>
      <c r="BZ94" s="958"/>
      <c r="CA94" s="958"/>
      <c r="CB94" s="958"/>
      <c r="CC94" s="958"/>
      <c r="CD94" s="958"/>
      <c r="CE94" s="958"/>
      <c r="CF94" s="958"/>
      <c r="CG94" s="958"/>
      <c r="CH94" s="958"/>
      <c r="CI94" s="958"/>
      <c r="CJ94" s="958"/>
      <c r="CK94" s="958"/>
      <c r="CL94" s="958"/>
      <c r="CM94" s="958"/>
      <c r="CN94" s="958"/>
      <c r="CO94" s="958"/>
      <c r="CP94" s="958"/>
      <c r="CQ94" s="958"/>
      <c r="CR94" s="958"/>
      <c r="CS94" s="958"/>
      <c r="CT94" s="958"/>
      <c r="CU94" s="958"/>
      <c r="CV94" s="958"/>
      <c r="CW94" s="958"/>
      <c r="CX94" s="958"/>
      <c r="CY94" s="958"/>
      <c r="CZ94" s="958"/>
      <c r="DA94" s="958"/>
      <c r="DB94" s="958"/>
      <c r="DC94" s="958"/>
      <c r="DD94" s="958"/>
      <c r="DE94" s="958"/>
      <c r="DF94" s="958"/>
      <c r="DG94" s="958"/>
      <c r="DH94" s="958"/>
      <c r="DI94" s="958"/>
      <c r="DJ94" s="958"/>
      <c r="DK94" s="958"/>
      <c r="DL94" s="958"/>
      <c r="DM94" s="958"/>
      <c r="DN94" s="958"/>
      <c r="DO94" s="958"/>
      <c r="DP94" s="958"/>
      <c r="DQ94" s="958"/>
      <c r="DR94" s="958"/>
      <c r="DS94" s="958"/>
      <c r="DT94" s="958"/>
      <c r="DU94" s="958"/>
      <c r="DV94" s="958"/>
      <c r="DW94" s="958"/>
      <c r="DX94" s="958"/>
      <c r="DY94" s="958"/>
      <c r="DZ94" s="958"/>
      <c r="EA94" s="958"/>
      <c r="EB94" s="958"/>
      <c r="EC94" s="958"/>
      <c r="ED94" s="958"/>
      <c r="EE94" s="958"/>
      <c r="EF94" s="958"/>
      <c r="EG94" s="958"/>
      <c r="EH94" s="958"/>
      <c r="EI94" s="958"/>
      <c r="EJ94" s="958"/>
      <c r="EK94" s="958"/>
      <c r="EL94" s="958"/>
      <c r="EM94" s="958"/>
      <c r="EN94" s="958"/>
      <c r="EO94" s="958"/>
      <c r="EP94" s="958"/>
      <c r="EQ94" s="958"/>
      <c r="ER94" s="958"/>
      <c r="ES94" s="958"/>
      <c r="ET94" s="958"/>
      <c r="EU94" s="958"/>
      <c r="EV94" s="958"/>
      <c r="EW94" s="958"/>
      <c r="EX94" s="958"/>
      <c r="EY94" s="958"/>
      <c r="EZ94" s="958"/>
      <c r="FA94" s="958"/>
      <c r="FB94" s="958"/>
      <c r="FC94" s="958"/>
      <c r="FD94" s="958"/>
      <c r="FE94" s="958"/>
      <c r="FF94" s="958"/>
      <c r="FG94" s="958"/>
      <c r="FH94" s="958"/>
      <c r="FI94" s="958"/>
      <c r="FJ94" s="958"/>
      <c r="FK94" s="958"/>
      <c r="FL94" s="958"/>
      <c r="FM94" s="958"/>
      <c r="FN94" s="958"/>
      <c r="FO94" s="958"/>
      <c r="FP94" s="958"/>
      <c r="FQ94" s="958"/>
      <c r="FR94" s="958"/>
      <c r="FS94" s="958"/>
      <c r="FT94" s="958"/>
      <c r="FU94" s="958"/>
      <c r="FV94" s="958"/>
      <c r="FW94" s="958"/>
      <c r="FX94" s="958"/>
      <c r="FY94" s="958"/>
      <c r="FZ94" s="958"/>
      <c r="GA94" s="958"/>
      <c r="GB94" s="958"/>
      <c r="GC94" s="958"/>
      <c r="GD94" s="958"/>
      <c r="GE94" s="958"/>
      <c r="GF94" s="958"/>
      <c r="GG94" s="958"/>
      <c r="GH94" s="958"/>
      <c r="GI94" s="958"/>
      <c r="GJ94" s="958"/>
      <c r="GK94" s="958"/>
      <c r="GL94" s="958"/>
      <c r="GM94" s="958"/>
      <c r="GN94" s="958"/>
      <c r="GO94" s="958"/>
      <c r="GP94" s="958"/>
      <c r="GQ94" s="958"/>
      <c r="GR94" s="958"/>
      <c r="GS94" s="958"/>
      <c r="GT94" s="958"/>
      <c r="GU94" s="958"/>
      <c r="GV94" s="958"/>
      <c r="GW94" s="958"/>
      <c r="GX94" s="958"/>
      <c r="GY94" s="958"/>
      <c r="GZ94" s="958"/>
      <c r="HA94" s="958"/>
      <c r="HB94" s="958"/>
      <c r="HC94" s="958"/>
      <c r="HD94" s="958"/>
      <c r="HE94" s="958"/>
      <c r="HF94" s="958"/>
      <c r="HG94" s="958"/>
      <c r="HH94" s="958"/>
      <c r="HI94" s="958"/>
      <c r="HJ94" s="958"/>
      <c r="HK94" s="958"/>
      <c r="HL94" s="958"/>
      <c r="HM94" s="958"/>
      <c r="HN94" s="958"/>
      <c r="HO94" s="958"/>
      <c r="HP94" s="958"/>
      <c r="HQ94" s="958"/>
      <c r="HR94" s="958"/>
      <c r="HS94" s="958"/>
      <c r="HT94" s="958"/>
      <c r="HU94" s="958"/>
      <c r="HV94" s="958"/>
      <c r="HW94" s="958"/>
      <c r="HX94" s="958"/>
      <c r="HY94" s="958"/>
      <c r="HZ94" s="958"/>
      <c r="IA94" s="958"/>
      <c r="IB94" s="958"/>
      <c r="IC94" s="958"/>
      <c r="ID94" s="958"/>
      <c r="IE94" s="958"/>
      <c r="IF94" s="958"/>
      <c r="IG94" s="958"/>
      <c r="IH94" s="958"/>
      <c r="II94" s="958"/>
      <c r="IJ94" s="958"/>
      <c r="IK94" s="958"/>
      <c r="IL94" s="958"/>
      <c r="IM94" s="958"/>
      <c r="IN94" s="958"/>
      <c r="IO94" s="958"/>
      <c r="IP94" s="958"/>
      <c r="IQ94" s="958"/>
      <c r="IR94" s="958"/>
      <c r="IS94" s="958"/>
      <c r="IT94" s="958"/>
      <c r="IU94" s="958"/>
      <c r="IV94" s="958"/>
    </row>
    <row r="95" spans="1:256" ht="10.5" customHeight="1">
      <c r="A95" s="944" t="s">
        <v>840</v>
      </c>
      <c r="B95" s="1031">
        <v>168.8</v>
      </c>
      <c r="C95" s="1031">
        <v>168.8</v>
      </c>
      <c r="D95" s="1032">
        <v>168.8</v>
      </c>
      <c r="E95" s="1032">
        <v>171.9</v>
      </c>
      <c r="F95" s="1032">
        <v>170.8</v>
      </c>
      <c r="G95" s="1032">
        <v>129.5</v>
      </c>
      <c r="H95" s="1032">
        <v>127.8</v>
      </c>
      <c r="I95" s="1032">
        <v>142.80000000000001</v>
      </c>
      <c r="J95" s="1032">
        <v>131.19999999999999</v>
      </c>
      <c r="K95" s="1032">
        <v>189.7</v>
      </c>
      <c r="L95" s="1033">
        <v>187</v>
      </c>
      <c r="M95" s="1034">
        <v>193.7</v>
      </c>
      <c r="N95" s="1032">
        <v>194.5</v>
      </c>
      <c r="O95" s="958"/>
      <c r="P95" s="958"/>
      <c r="Q95" s="958"/>
      <c r="R95" s="958"/>
      <c r="S95" s="958"/>
      <c r="T95" s="958"/>
      <c r="U95" s="958"/>
      <c r="V95" s="958"/>
      <c r="W95" s="958"/>
      <c r="X95" s="958"/>
      <c r="Y95" s="958"/>
      <c r="Z95" s="958"/>
      <c r="AA95" s="958"/>
      <c r="AB95" s="958"/>
      <c r="AC95" s="958"/>
      <c r="AD95" s="958"/>
      <c r="AE95" s="958"/>
      <c r="AF95" s="958"/>
      <c r="AG95" s="958"/>
      <c r="AH95" s="958"/>
      <c r="AI95" s="958"/>
      <c r="AJ95" s="958"/>
      <c r="AK95" s="958"/>
      <c r="AL95" s="958"/>
      <c r="AM95" s="958"/>
      <c r="AN95" s="958"/>
      <c r="AO95" s="958"/>
      <c r="AP95" s="958"/>
      <c r="AQ95" s="958"/>
      <c r="AR95" s="958"/>
      <c r="AS95" s="958"/>
      <c r="AT95" s="958"/>
      <c r="AU95" s="958"/>
      <c r="AV95" s="958"/>
      <c r="AW95" s="958"/>
      <c r="AX95" s="958"/>
      <c r="AY95" s="958"/>
      <c r="AZ95" s="958"/>
      <c r="BA95" s="958"/>
      <c r="BB95" s="958"/>
      <c r="BC95" s="958"/>
      <c r="BD95" s="958"/>
      <c r="BE95" s="958"/>
      <c r="BF95" s="958"/>
      <c r="BG95" s="958"/>
      <c r="BH95" s="958"/>
      <c r="BI95" s="958"/>
      <c r="BJ95" s="958"/>
      <c r="BK95" s="958"/>
      <c r="BL95" s="958"/>
      <c r="BM95" s="958"/>
      <c r="BN95" s="958"/>
      <c r="BO95" s="958"/>
      <c r="BP95" s="958"/>
      <c r="BQ95" s="958"/>
      <c r="BR95" s="958"/>
      <c r="BS95" s="958"/>
      <c r="BT95" s="958"/>
      <c r="BU95" s="958"/>
      <c r="BV95" s="958"/>
      <c r="BW95" s="958"/>
      <c r="BX95" s="958"/>
      <c r="BY95" s="958"/>
      <c r="BZ95" s="958"/>
      <c r="CA95" s="958"/>
      <c r="CB95" s="958"/>
      <c r="CC95" s="958"/>
      <c r="CD95" s="958"/>
      <c r="CE95" s="958"/>
      <c r="CF95" s="958"/>
      <c r="CG95" s="958"/>
      <c r="CH95" s="958"/>
      <c r="CI95" s="958"/>
      <c r="CJ95" s="958"/>
      <c r="CK95" s="958"/>
      <c r="CL95" s="958"/>
      <c r="CM95" s="958"/>
      <c r="CN95" s="958"/>
      <c r="CO95" s="958"/>
      <c r="CP95" s="958"/>
      <c r="CQ95" s="958"/>
      <c r="CR95" s="958"/>
      <c r="CS95" s="958"/>
      <c r="CT95" s="958"/>
      <c r="CU95" s="958"/>
      <c r="CV95" s="958"/>
      <c r="CW95" s="958"/>
      <c r="CX95" s="958"/>
      <c r="CY95" s="958"/>
      <c r="CZ95" s="958"/>
      <c r="DA95" s="958"/>
      <c r="DB95" s="958"/>
      <c r="DC95" s="958"/>
      <c r="DD95" s="958"/>
      <c r="DE95" s="958"/>
      <c r="DF95" s="958"/>
      <c r="DG95" s="958"/>
      <c r="DH95" s="958"/>
      <c r="DI95" s="958"/>
      <c r="DJ95" s="958"/>
      <c r="DK95" s="958"/>
      <c r="DL95" s="958"/>
      <c r="DM95" s="958"/>
      <c r="DN95" s="958"/>
      <c r="DO95" s="958"/>
      <c r="DP95" s="958"/>
      <c r="DQ95" s="958"/>
      <c r="DR95" s="958"/>
      <c r="DS95" s="958"/>
      <c r="DT95" s="958"/>
      <c r="DU95" s="958"/>
      <c r="DV95" s="958"/>
      <c r="DW95" s="958"/>
      <c r="DX95" s="958"/>
      <c r="DY95" s="958"/>
      <c r="DZ95" s="958"/>
      <c r="EA95" s="958"/>
      <c r="EB95" s="958"/>
      <c r="EC95" s="958"/>
      <c r="ED95" s="958"/>
      <c r="EE95" s="958"/>
      <c r="EF95" s="958"/>
      <c r="EG95" s="958"/>
      <c r="EH95" s="958"/>
      <c r="EI95" s="958"/>
      <c r="EJ95" s="958"/>
      <c r="EK95" s="958"/>
      <c r="EL95" s="958"/>
      <c r="EM95" s="958"/>
      <c r="EN95" s="958"/>
      <c r="EO95" s="958"/>
      <c r="EP95" s="958"/>
      <c r="EQ95" s="958"/>
      <c r="ER95" s="958"/>
      <c r="ES95" s="958"/>
      <c r="ET95" s="958"/>
      <c r="EU95" s="958"/>
      <c r="EV95" s="958"/>
      <c r="EW95" s="958"/>
      <c r="EX95" s="958"/>
      <c r="EY95" s="958"/>
      <c r="EZ95" s="958"/>
      <c r="FA95" s="958"/>
      <c r="FB95" s="958"/>
      <c r="FC95" s="958"/>
      <c r="FD95" s="958"/>
      <c r="FE95" s="958"/>
      <c r="FF95" s="958"/>
      <c r="FG95" s="958"/>
      <c r="FH95" s="958"/>
      <c r="FI95" s="958"/>
      <c r="FJ95" s="958"/>
      <c r="FK95" s="958"/>
      <c r="FL95" s="958"/>
      <c r="FM95" s="958"/>
      <c r="FN95" s="958"/>
      <c r="FO95" s="958"/>
      <c r="FP95" s="958"/>
      <c r="FQ95" s="958"/>
      <c r="FR95" s="958"/>
      <c r="FS95" s="958"/>
      <c r="FT95" s="958"/>
      <c r="FU95" s="958"/>
      <c r="FV95" s="958"/>
      <c r="FW95" s="958"/>
      <c r="FX95" s="958"/>
      <c r="FY95" s="958"/>
      <c r="FZ95" s="958"/>
      <c r="GA95" s="958"/>
      <c r="GB95" s="958"/>
      <c r="GC95" s="958"/>
      <c r="GD95" s="958"/>
      <c r="GE95" s="958"/>
      <c r="GF95" s="958"/>
      <c r="GG95" s="958"/>
      <c r="GH95" s="958"/>
      <c r="GI95" s="958"/>
      <c r="GJ95" s="958"/>
      <c r="GK95" s="958"/>
      <c r="GL95" s="958"/>
      <c r="GM95" s="958"/>
      <c r="GN95" s="958"/>
      <c r="GO95" s="958"/>
      <c r="GP95" s="958"/>
      <c r="GQ95" s="958"/>
      <c r="GR95" s="958"/>
      <c r="GS95" s="958"/>
      <c r="GT95" s="958"/>
      <c r="GU95" s="958"/>
      <c r="GV95" s="958"/>
      <c r="GW95" s="958"/>
      <c r="GX95" s="958"/>
      <c r="GY95" s="958"/>
      <c r="GZ95" s="958"/>
      <c r="HA95" s="958"/>
      <c r="HB95" s="958"/>
      <c r="HC95" s="958"/>
      <c r="HD95" s="958"/>
      <c r="HE95" s="958"/>
      <c r="HF95" s="958"/>
      <c r="HG95" s="958"/>
      <c r="HH95" s="958"/>
      <c r="HI95" s="958"/>
      <c r="HJ95" s="958"/>
      <c r="HK95" s="958"/>
      <c r="HL95" s="958"/>
      <c r="HM95" s="958"/>
      <c r="HN95" s="958"/>
      <c r="HO95" s="958"/>
      <c r="HP95" s="958"/>
      <c r="HQ95" s="958"/>
      <c r="HR95" s="958"/>
      <c r="HS95" s="958"/>
      <c r="HT95" s="958"/>
      <c r="HU95" s="958"/>
      <c r="HV95" s="958"/>
      <c r="HW95" s="958"/>
      <c r="HX95" s="958"/>
      <c r="HY95" s="958"/>
      <c r="HZ95" s="958"/>
      <c r="IA95" s="958"/>
      <c r="IB95" s="958"/>
      <c r="IC95" s="958"/>
      <c r="ID95" s="958"/>
      <c r="IE95" s="958"/>
      <c r="IF95" s="958"/>
      <c r="IG95" s="958"/>
      <c r="IH95" s="958"/>
      <c r="II95" s="958"/>
      <c r="IJ95" s="958"/>
      <c r="IK95" s="958"/>
      <c r="IL95" s="958"/>
      <c r="IM95" s="958"/>
      <c r="IN95" s="958"/>
      <c r="IO95" s="958"/>
      <c r="IP95" s="958"/>
      <c r="IQ95" s="958"/>
      <c r="IR95" s="958"/>
      <c r="IS95" s="958"/>
      <c r="IT95" s="958"/>
      <c r="IU95" s="958"/>
      <c r="IV95" s="958"/>
    </row>
    <row r="96" spans="1:256" ht="10.5" customHeight="1">
      <c r="A96" s="944" t="s">
        <v>878</v>
      </c>
      <c r="B96" s="1031">
        <v>1402.9</v>
      </c>
      <c r="C96" s="1031">
        <v>1642.7</v>
      </c>
      <c r="D96" s="1032">
        <v>1807</v>
      </c>
      <c r="E96" s="1032">
        <v>1901.7</v>
      </c>
      <c r="F96" s="1032">
        <v>2408.6</v>
      </c>
      <c r="G96" s="1032">
        <v>1937.8</v>
      </c>
      <c r="H96" s="1032">
        <v>2209.1</v>
      </c>
      <c r="I96" s="1032">
        <v>2457.8000000000002</v>
      </c>
      <c r="J96" s="1032">
        <v>2359.1999999999998</v>
      </c>
      <c r="K96" s="1032">
        <v>2263.4</v>
      </c>
      <c r="L96" s="1034">
        <v>2015.6</v>
      </c>
      <c r="M96" s="1034">
        <v>2182.6</v>
      </c>
      <c r="N96" s="1032">
        <v>2256.5</v>
      </c>
      <c r="O96" s="958"/>
      <c r="P96" s="958"/>
      <c r="Q96" s="958"/>
      <c r="R96" s="958"/>
      <c r="S96" s="958"/>
      <c r="T96" s="958"/>
      <c r="U96" s="958"/>
      <c r="V96" s="958"/>
      <c r="W96" s="958"/>
      <c r="X96" s="958"/>
      <c r="Y96" s="958"/>
      <c r="Z96" s="958"/>
      <c r="AA96" s="958"/>
      <c r="AB96" s="958"/>
      <c r="AC96" s="958"/>
      <c r="AD96" s="958"/>
      <c r="AE96" s="958"/>
      <c r="AF96" s="958"/>
      <c r="AG96" s="958"/>
      <c r="AH96" s="958"/>
      <c r="AI96" s="958"/>
      <c r="AJ96" s="958"/>
      <c r="AK96" s="958"/>
      <c r="AL96" s="958"/>
      <c r="AM96" s="958"/>
      <c r="AN96" s="958"/>
      <c r="AO96" s="958"/>
      <c r="AP96" s="958"/>
      <c r="AQ96" s="958"/>
      <c r="AR96" s="958"/>
      <c r="AS96" s="958"/>
      <c r="AT96" s="958"/>
      <c r="AU96" s="958"/>
      <c r="AV96" s="958"/>
      <c r="AW96" s="958"/>
      <c r="AX96" s="958"/>
      <c r="AY96" s="958"/>
      <c r="AZ96" s="958"/>
      <c r="BA96" s="958"/>
      <c r="BB96" s="958"/>
      <c r="BC96" s="958"/>
      <c r="BD96" s="958"/>
      <c r="BE96" s="958"/>
      <c r="BF96" s="958"/>
      <c r="BG96" s="958"/>
      <c r="BH96" s="958"/>
      <c r="BI96" s="958"/>
      <c r="BJ96" s="958"/>
      <c r="BK96" s="958"/>
      <c r="BL96" s="958"/>
      <c r="BM96" s="958"/>
      <c r="BN96" s="958"/>
      <c r="BO96" s="958"/>
      <c r="BP96" s="958"/>
      <c r="BQ96" s="958"/>
      <c r="BR96" s="958"/>
      <c r="BS96" s="958"/>
      <c r="BT96" s="958"/>
      <c r="BU96" s="958"/>
      <c r="BV96" s="958"/>
      <c r="BW96" s="958"/>
      <c r="BX96" s="958"/>
      <c r="BY96" s="958"/>
      <c r="BZ96" s="958"/>
      <c r="CA96" s="958"/>
      <c r="CB96" s="958"/>
      <c r="CC96" s="958"/>
      <c r="CD96" s="958"/>
      <c r="CE96" s="958"/>
      <c r="CF96" s="958"/>
      <c r="CG96" s="958"/>
      <c r="CH96" s="958"/>
      <c r="CI96" s="958"/>
      <c r="CJ96" s="958"/>
      <c r="CK96" s="958"/>
      <c r="CL96" s="958"/>
      <c r="CM96" s="958"/>
      <c r="CN96" s="958"/>
      <c r="CO96" s="958"/>
      <c r="CP96" s="958"/>
      <c r="CQ96" s="958"/>
      <c r="CR96" s="958"/>
      <c r="CS96" s="958"/>
      <c r="CT96" s="958"/>
      <c r="CU96" s="958"/>
      <c r="CV96" s="958"/>
      <c r="CW96" s="958"/>
      <c r="CX96" s="958"/>
      <c r="CY96" s="958"/>
      <c r="CZ96" s="958"/>
      <c r="DA96" s="958"/>
      <c r="DB96" s="958"/>
      <c r="DC96" s="958"/>
      <c r="DD96" s="958"/>
      <c r="DE96" s="958"/>
      <c r="DF96" s="958"/>
      <c r="DG96" s="958"/>
      <c r="DH96" s="958"/>
      <c r="DI96" s="958"/>
      <c r="DJ96" s="958"/>
      <c r="DK96" s="958"/>
      <c r="DL96" s="958"/>
      <c r="DM96" s="958"/>
      <c r="DN96" s="958"/>
      <c r="DO96" s="958"/>
      <c r="DP96" s="958"/>
      <c r="DQ96" s="958"/>
      <c r="DR96" s="958"/>
      <c r="DS96" s="958"/>
      <c r="DT96" s="958"/>
      <c r="DU96" s="958"/>
      <c r="DV96" s="958"/>
      <c r="DW96" s="958"/>
      <c r="DX96" s="958"/>
      <c r="DY96" s="958"/>
      <c r="DZ96" s="958"/>
      <c r="EA96" s="958"/>
      <c r="EB96" s="958"/>
      <c r="EC96" s="958"/>
      <c r="ED96" s="958"/>
      <c r="EE96" s="958"/>
      <c r="EF96" s="958"/>
      <c r="EG96" s="958"/>
      <c r="EH96" s="958"/>
      <c r="EI96" s="958"/>
      <c r="EJ96" s="958"/>
      <c r="EK96" s="958"/>
      <c r="EL96" s="958"/>
      <c r="EM96" s="958"/>
      <c r="EN96" s="958"/>
      <c r="EO96" s="958"/>
      <c r="EP96" s="958"/>
      <c r="EQ96" s="958"/>
      <c r="ER96" s="958"/>
      <c r="ES96" s="958"/>
      <c r="ET96" s="958"/>
      <c r="EU96" s="958"/>
      <c r="EV96" s="958"/>
      <c r="EW96" s="958"/>
      <c r="EX96" s="958"/>
      <c r="EY96" s="958"/>
      <c r="EZ96" s="958"/>
      <c r="FA96" s="958"/>
      <c r="FB96" s="958"/>
      <c r="FC96" s="958"/>
      <c r="FD96" s="958"/>
      <c r="FE96" s="958"/>
      <c r="FF96" s="958"/>
      <c r="FG96" s="958"/>
      <c r="FH96" s="958"/>
      <c r="FI96" s="958"/>
      <c r="FJ96" s="958"/>
      <c r="FK96" s="958"/>
      <c r="FL96" s="958"/>
      <c r="FM96" s="958"/>
      <c r="FN96" s="958"/>
      <c r="FO96" s="958"/>
      <c r="FP96" s="958"/>
      <c r="FQ96" s="958"/>
      <c r="FR96" s="958"/>
      <c r="FS96" s="958"/>
      <c r="FT96" s="958"/>
      <c r="FU96" s="958"/>
      <c r="FV96" s="958"/>
      <c r="FW96" s="958"/>
      <c r="FX96" s="958"/>
      <c r="FY96" s="958"/>
      <c r="FZ96" s="958"/>
      <c r="GA96" s="958"/>
      <c r="GB96" s="958"/>
      <c r="GC96" s="958"/>
      <c r="GD96" s="958"/>
      <c r="GE96" s="958"/>
      <c r="GF96" s="958"/>
      <c r="GG96" s="958"/>
      <c r="GH96" s="958"/>
      <c r="GI96" s="958"/>
      <c r="GJ96" s="958"/>
      <c r="GK96" s="958"/>
      <c r="GL96" s="958"/>
      <c r="GM96" s="958"/>
      <c r="GN96" s="958"/>
      <c r="GO96" s="958"/>
      <c r="GP96" s="958"/>
      <c r="GQ96" s="958"/>
      <c r="GR96" s="958"/>
      <c r="GS96" s="958"/>
      <c r="GT96" s="958"/>
      <c r="GU96" s="958"/>
      <c r="GV96" s="958"/>
      <c r="GW96" s="958"/>
      <c r="GX96" s="958"/>
      <c r="GY96" s="958"/>
      <c r="GZ96" s="958"/>
      <c r="HA96" s="958"/>
      <c r="HB96" s="958"/>
      <c r="HC96" s="958"/>
      <c r="HD96" s="958"/>
      <c r="HE96" s="958"/>
      <c r="HF96" s="958"/>
      <c r="HG96" s="958"/>
      <c r="HH96" s="958"/>
      <c r="HI96" s="958"/>
      <c r="HJ96" s="958"/>
      <c r="HK96" s="958"/>
      <c r="HL96" s="958"/>
      <c r="HM96" s="958"/>
      <c r="HN96" s="958"/>
      <c r="HO96" s="958"/>
      <c r="HP96" s="958"/>
      <c r="HQ96" s="958"/>
      <c r="HR96" s="958"/>
      <c r="HS96" s="958"/>
      <c r="HT96" s="958"/>
      <c r="HU96" s="958"/>
      <c r="HV96" s="958"/>
      <c r="HW96" s="958"/>
      <c r="HX96" s="958"/>
      <c r="HY96" s="958"/>
      <c r="HZ96" s="958"/>
      <c r="IA96" s="958"/>
      <c r="IB96" s="958"/>
      <c r="IC96" s="958"/>
      <c r="ID96" s="958"/>
      <c r="IE96" s="958"/>
      <c r="IF96" s="958"/>
      <c r="IG96" s="958"/>
      <c r="IH96" s="958"/>
      <c r="II96" s="958"/>
      <c r="IJ96" s="958"/>
      <c r="IK96" s="958"/>
      <c r="IL96" s="958"/>
      <c r="IM96" s="958"/>
      <c r="IN96" s="958"/>
      <c r="IO96" s="958"/>
      <c r="IP96" s="958"/>
      <c r="IQ96" s="958"/>
      <c r="IR96" s="958"/>
      <c r="IS96" s="958"/>
      <c r="IT96" s="958"/>
      <c r="IU96" s="958"/>
      <c r="IV96" s="958"/>
    </row>
    <row r="97" spans="1:256" ht="10.5" customHeight="1">
      <c r="A97" s="944" t="s">
        <v>842</v>
      </c>
      <c r="B97" s="1031">
        <v>239.6</v>
      </c>
      <c r="C97" s="1031">
        <v>212</v>
      </c>
      <c r="D97" s="1032">
        <v>267.7</v>
      </c>
      <c r="E97" s="1032">
        <v>229.4</v>
      </c>
      <c r="F97" s="1032">
        <v>123.2</v>
      </c>
      <c r="G97" s="1032">
        <v>102</v>
      </c>
      <c r="H97" s="1032">
        <v>71.900000000000006</v>
      </c>
      <c r="I97" s="1032">
        <v>43.5</v>
      </c>
      <c r="J97" s="1032">
        <v>111.3</v>
      </c>
      <c r="K97" s="1032">
        <v>69.400000000000006</v>
      </c>
      <c r="L97" s="1034">
        <v>59</v>
      </c>
      <c r="M97" s="1034">
        <v>58</v>
      </c>
      <c r="N97" s="1032">
        <v>69.2</v>
      </c>
      <c r="O97" s="958"/>
      <c r="P97" s="958"/>
      <c r="Q97" s="958"/>
      <c r="R97" s="958"/>
      <c r="S97" s="958"/>
      <c r="T97" s="958"/>
      <c r="U97" s="958"/>
      <c r="V97" s="958"/>
      <c r="W97" s="958"/>
      <c r="X97" s="958"/>
      <c r="Y97" s="958"/>
      <c r="Z97" s="958"/>
      <c r="AA97" s="958"/>
      <c r="AB97" s="958"/>
      <c r="AC97" s="958"/>
      <c r="AD97" s="958"/>
      <c r="AE97" s="958"/>
      <c r="AF97" s="958"/>
      <c r="AG97" s="958"/>
      <c r="AH97" s="958"/>
      <c r="AI97" s="958"/>
      <c r="AJ97" s="958"/>
      <c r="AK97" s="958"/>
      <c r="AL97" s="958"/>
      <c r="AM97" s="958"/>
      <c r="AN97" s="958"/>
      <c r="AO97" s="958"/>
      <c r="AP97" s="958"/>
      <c r="AQ97" s="958"/>
      <c r="AR97" s="958"/>
      <c r="AS97" s="958"/>
      <c r="AT97" s="958"/>
      <c r="AU97" s="958"/>
      <c r="AV97" s="958"/>
      <c r="AW97" s="958"/>
      <c r="AX97" s="958"/>
      <c r="AY97" s="958"/>
      <c r="AZ97" s="958"/>
      <c r="BA97" s="958"/>
      <c r="BB97" s="958"/>
      <c r="BC97" s="958"/>
      <c r="BD97" s="958"/>
      <c r="BE97" s="958"/>
      <c r="BF97" s="958"/>
      <c r="BG97" s="958"/>
      <c r="BH97" s="958"/>
      <c r="BI97" s="958"/>
      <c r="BJ97" s="958"/>
      <c r="BK97" s="958"/>
      <c r="BL97" s="958"/>
      <c r="BM97" s="958"/>
      <c r="BN97" s="958"/>
      <c r="BO97" s="958"/>
      <c r="BP97" s="958"/>
      <c r="BQ97" s="958"/>
      <c r="BR97" s="958"/>
      <c r="BS97" s="958"/>
      <c r="BT97" s="958"/>
      <c r="BU97" s="958"/>
      <c r="BV97" s="958"/>
      <c r="BW97" s="958"/>
      <c r="BX97" s="958"/>
      <c r="BY97" s="958"/>
      <c r="BZ97" s="958"/>
      <c r="CA97" s="958"/>
      <c r="CB97" s="958"/>
      <c r="CC97" s="958"/>
      <c r="CD97" s="958"/>
      <c r="CE97" s="958"/>
      <c r="CF97" s="958"/>
      <c r="CG97" s="958"/>
      <c r="CH97" s="958"/>
      <c r="CI97" s="958"/>
      <c r="CJ97" s="958"/>
      <c r="CK97" s="958"/>
      <c r="CL97" s="958"/>
      <c r="CM97" s="958"/>
      <c r="CN97" s="958"/>
      <c r="CO97" s="958"/>
      <c r="CP97" s="958"/>
      <c r="CQ97" s="958"/>
      <c r="CR97" s="958"/>
      <c r="CS97" s="958"/>
      <c r="CT97" s="958"/>
      <c r="CU97" s="958"/>
      <c r="CV97" s="958"/>
      <c r="CW97" s="958"/>
      <c r="CX97" s="958"/>
      <c r="CY97" s="958"/>
      <c r="CZ97" s="958"/>
      <c r="DA97" s="958"/>
      <c r="DB97" s="958"/>
      <c r="DC97" s="958"/>
      <c r="DD97" s="958"/>
      <c r="DE97" s="958"/>
      <c r="DF97" s="958"/>
      <c r="DG97" s="958"/>
      <c r="DH97" s="958"/>
      <c r="DI97" s="958"/>
      <c r="DJ97" s="958"/>
      <c r="DK97" s="958"/>
      <c r="DL97" s="958"/>
      <c r="DM97" s="958"/>
      <c r="DN97" s="958"/>
      <c r="DO97" s="958"/>
      <c r="DP97" s="958"/>
      <c r="DQ97" s="958"/>
      <c r="DR97" s="958"/>
      <c r="DS97" s="958"/>
      <c r="DT97" s="958"/>
      <c r="DU97" s="958"/>
      <c r="DV97" s="958"/>
      <c r="DW97" s="958"/>
      <c r="DX97" s="958"/>
      <c r="DY97" s="958"/>
      <c r="DZ97" s="958"/>
      <c r="EA97" s="958"/>
      <c r="EB97" s="958"/>
      <c r="EC97" s="958"/>
      <c r="ED97" s="958"/>
      <c r="EE97" s="958"/>
      <c r="EF97" s="958"/>
      <c r="EG97" s="958"/>
      <c r="EH97" s="958"/>
      <c r="EI97" s="958"/>
      <c r="EJ97" s="958"/>
      <c r="EK97" s="958"/>
      <c r="EL97" s="958"/>
      <c r="EM97" s="958"/>
      <c r="EN97" s="958"/>
      <c r="EO97" s="958"/>
      <c r="EP97" s="958"/>
      <c r="EQ97" s="958"/>
      <c r="ER97" s="958"/>
      <c r="ES97" s="958"/>
      <c r="ET97" s="958"/>
      <c r="EU97" s="958"/>
      <c r="EV97" s="958"/>
      <c r="EW97" s="958"/>
      <c r="EX97" s="958"/>
      <c r="EY97" s="958"/>
      <c r="EZ97" s="958"/>
      <c r="FA97" s="958"/>
      <c r="FB97" s="958"/>
      <c r="FC97" s="958"/>
      <c r="FD97" s="958"/>
      <c r="FE97" s="958"/>
      <c r="FF97" s="958"/>
      <c r="FG97" s="958"/>
      <c r="FH97" s="958"/>
      <c r="FI97" s="958"/>
      <c r="FJ97" s="958"/>
      <c r="FK97" s="958"/>
      <c r="FL97" s="958"/>
      <c r="FM97" s="958"/>
      <c r="FN97" s="958"/>
      <c r="FO97" s="958"/>
      <c r="FP97" s="958"/>
      <c r="FQ97" s="958"/>
      <c r="FR97" s="958"/>
      <c r="FS97" s="958"/>
      <c r="FT97" s="958"/>
      <c r="FU97" s="958"/>
      <c r="FV97" s="958"/>
      <c r="FW97" s="958"/>
      <c r="FX97" s="958"/>
      <c r="FY97" s="958"/>
      <c r="FZ97" s="958"/>
      <c r="GA97" s="958"/>
      <c r="GB97" s="958"/>
      <c r="GC97" s="958"/>
      <c r="GD97" s="958"/>
      <c r="GE97" s="958"/>
      <c r="GF97" s="958"/>
      <c r="GG97" s="958"/>
      <c r="GH97" s="958"/>
      <c r="GI97" s="958"/>
      <c r="GJ97" s="958"/>
      <c r="GK97" s="958"/>
      <c r="GL97" s="958"/>
      <c r="GM97" s="958"/>
      <c r="GN97" s="958"/>
      <c r="GO97" s="958"/>
      <c r="GP97" s="958"/>
      <c r="GQ97" s="958"/>
      <c r="GR97" s="958"/>
      <c r="GS97" s="958"/>
      <c r="GT97" s="958"/>
      <c r="GU97" s="958"/>
      <c r="GV97" s="958"/>
      <c r="GW97" s="958"/>
      <c r="GX97" s="958"/>
      <c r="GY97" s="958"/>
      <c r="GZ97" s="958"/>
      <c r="HA97" s="958"/>
      <c r="HB97" s="958"/>
      <c r="HC97" s="958"/>
      <c r="HD97" s="958"/>
      <c r="HE97" s="958"/>
      <c r="HF97" s="958"/>
      <c r="HG97" s="958"/>
      <c r="HH97" s="958"/>
      <c r="HI97" s="958"/>
      <c r="HJ97" s="958"/>
      <c r="HK97" s="958"/>
      <c r="HL97" s="958"/>
      <c r="HM97" s="958"/>
      <c r="HN97" s="958"/>
      <c r="HO97" s="958"/>
      <c r="HP97" s="958"/>
      <c r="HQ97" s="958"/>
      <c r="HR97" s="958"/>
      <c r="HS97" s="958"/>
      <c r="HT97" s="958"/>
      <c r="HU97" s="958"/>
      <c r="HV97" s="958"/>
      <c r="HW97" s="958"/>
      <c r="HX97" s="958"/>
      <c r="HY97" s="958"/>
      <c r="HZ97" s="958"/>
      <c r="IA97" s="958"/>
      <c r="IB97" s="958"/>
      <c r="IC97" s="958"/>
      <c r="ID97" s="958"/>
      <c r="IE97" s="958"/>
      <c r="IF97" s="958"/>
      <c r="IG97" s="958"/>
      <c r="IH97" s="958"/>
      <c r="II97" s="958"/>
      <c r="IJ97" s="958"/>
      <c r="IK97" s="958"/>
      <c r="IL97" s="958"/>
      <c r="IM97" s="958"/>
      <c r="IN97" s="958"/>
      <c r="IO97" s="958"/>
      <c r="IP97" s="958"/>
      <c r="IQ97" s="958"/>
      <c r="IR97" s="958"/>
      <c r="IS97" s="958"/>
      <c r="IT97" s="958"/>
      <c r="IU97" s="958"/>
      <c r="IV97" s="958"/>
    </row>
    <row r="98" spans="1:256" ht="10.5" customHeight="1">
      <c r="A98" s="993" t="s">
        <v>854</v>
      </c>
      <c r="B98" s="1051">
        <v>782.6</v>
      </c>
      <c r="C98" s="1051">
        <v>870.6</v>
      </c>
      <c r="D98" s="1052">
        <v>953.8</v>
      </c>
      <c r="E98" s="1052">
        <v>1129.4000000000001</v>
      </c>
      <c r="F98" s="1052">
        <v>1256.5</v>
      </c>
      <c r="G98" s="1052">
        <f>1264.9+1.3+4.3</f>
        <v>1270.5</v>
      </c>
      <c r="H98" s="1052">
        <f>1357.3+7.3+0.5</f>
        <v>1365.1</v>
      </c>
      <c r="I98" s="1052">
        <v>1586.9</v>
      </c>
      <c r="J98" s="1052">
        <f>1631.7+31.1</f>
        <v>1662.8</v>
      </c>
      <c r="K98" s="1052">
        <v>1770.1</v>
      </c>
      <c r="L98" s="1053">
        <v>1809.8</v>
      </c>
      <c r="M98" s="1053">
        <v>1850</v>
      </c>
      <c r="N98" s="1052">
        <v>1886.8</v>
      </c>
      <c r="O98" s="958"/>
      <c r="P98" s="958"/>
      <c r="Q98" s="958"/>
      <c r="R98" s="958"/>
      <c r="S98" s="958"/>
      <c r="T98" s="958"/>
      <c r="U98" s="958"/>
      <c r="V98" s="958"/>
      <c r="W98" s="958"/>
      <c r="X98" s="958"/>
      <c r="Y98" s="958"/>
      <c r="Z98" s="958"/>
      <c r="AA98" s="958"/>
      <c r="AB98" s="958"/>
      <c r="AC98" s="958"/>
      <c r="AD98" s="958"/>
      <c r="AE98" s="958"/>
      <c r="AF98" s="958"/>
      <c r="AG98" s="958"/>
      <c r="AH98" s="958"/>
      <c r="AI98" s="958"/>
      <c r="AJ98" s="958"/>
      <c r="AK98" s="958"/>
      <c r="AL98" s="958"/>
      <c r="AM98" s="958"/>
      <c r="AN98" s="958"/>
      <c r="AO98" s="958"/>
      <c r="AP98" s="958"/>
      <c r="AQ98" s="958"/>
      <c r="AR98" s="958"/>
      <c r="AS98" s="958"/>
      <c r="AT98" s="958"/>
      <c r="AU98" s="958"/>
      <c r="AV98" s="958"/>
      <c r="AW98" s="958"/>
      <c r="AX98" s="958"/>
      <c r="AY98" s="958"/>
      <c r="AZ98" s="958"/>
      <c r="BA98" s="958"/>
      <c r="BB98" s="958"/>
      <c r="BC98" s="958"/>
      <c r="BD98" s="958"/>
      <c r="BE98" s="958"/>
      <c r="BF98" s="958"/>
      <c r="BG98" s="958"/>
      <c r="BH98" s="958"/>
      <c r="BI98" s="958"/>
      <c r="BJ98" s="958"/>
      <c r="BK98" s="958"/>
      <c r="BL98" s="958"/>
      <c r="BM98" s="958"/>
      <c r="BN98" s="958"/>
      <c r="BO98" s="958"/>
      <c r="BP98" s="958"/>
      <c r="BQ98" s="958"/>
      <c r="BR98" s="958"/>
      <c r="BS98" s="958"/>
      <c r="BT98" s="958"/>
      <c r="BU98" s="958"/>
      <c r="BV98" s="958"/>
      <c r="BW98" s="958"/>
      <c r="BX98" s="958"/>
      <c r="BY98" s="958"/>
      <c r="BZ98" s="958"/>
      <c r="CA98" s="958"/>
      <c r="CB98" s="958"/>
      <c r="CC98" s="958"/>
      <c r="CD98" s="958"/>
      <c r="CE98" s="958"/>
      <c r="CF98" s="958"/>
      <c r="CG98" s="958"/>
      <c r="CH98" s="958"/>
      <c r="CI98" s="958"/>
      <c r="CJ98" s="958"/>
      <c r="CK98" s="958"/>
      <c r="CL98" s="958"/>
      <c r="CM98" s="958"/>
      <c r="CN98" s="958"/>
      <c r="CO98" s="958"/>
      <c r="CP98" s="958"/>
      <c r="CQ98" s="958"/>
      <c r="CR98" s="958"/>
      <c r="CS98" s="958"/>
      <c r="CT98" s="958"/>
      <c r="CU98" s="958"/>
      <c r="CV98" s="958"/>
      <c r="CW98" s="958"/>
      <c r="CX98" s="958"/>
      <c r="CY98" s="958"/>
      <c r="CZ98" s="958"/>
      <c r="DA98" s="958"/>
      <c r="DB98" s="958"/>
      <c r="DC98" s="958"/>
      <c r="DD98" s="958"/>
      <c r="DE98" s="958"/>
      <c r="DF98" s="958"/>
      <c r="DG98" s="958"/>
      <c r="DH98" s="958"/>
      <c r="DI98" s="958"/>
      <c r="DJ98" s="958"/>
      <c r="DK98" s="958"/>
      <c r="DL98" s="958"/>
      <c r="DM98" s="958"/>
      <c r="DN98" s="958"/>
      <c r="DO98" s="958"/>
      <c r="DP98" s="958"/>
      <c r="DQ98" s="958"/>
      <c r="DR98" s="958"/>
      <c r="DS98" s="958"/>
      <c r="DT98" s="958"/>
      <c r="DU98" s="958"/>
      <c r="DV98" s="958"/>
      <c r="DW98" s="958"/>
      <c r="DX98" s="958"/>
      <c r="DY98" s="958"/>
      <c r="DZ98" s="958"/>
      <c r="EA98" s="958"/>
      <c r="EB98" s="958"/>
      <c r="EC98" s="958"/>
      <c r="ED98" s="958"/>
      <c r="EE98" s="958"/>
      <c r="EF98" s="958"/>
      <c r="EG98" s="958"/>
      <c r="EH98" s="958"/>
      <c r="EI98" s="958"/>
      <c r="EJ98" s="958"/>
      <c r="EK98" s="958"/>
      <c r="EL98" s="958"/>
      <c r="EM98" s="958"/>
      <c r="EN98" s="958"/>
      <c r="EO98" s="958"/>
      <c r="EP98" s="958"/>
      <c r="EQ98" s="958"/>
      <c r="ER98" s="958"/>
      <c r="ES98" s="958"/>
      <c r="ET98" s="958"/>
      <c r="EU98" s="958"/>
      <c r="EV98" s="958"/>
      <c r="EW98" s="958"/>
      <c r="EX98" s="958"/>
      <c r="EY98" s="958"/>
      <c r="EZ98" s="958"/>
      <c r="FA98" s="958"/>
      <c r="FB98" s="958"/>
      <c r="FC98" s="958"/>
      <c r="FD98" s="958"/>
      <c r="FE98" s="958"/>
      <c r="FF98" s="958"/>
      <c r="FG98" s="958"/>
      <c r="FH98" s="958"/>
      <c r="FI98" s="958"/>
      <c r="FJ98" s="958"/>
      <c r="FK98" s="958"/>
      <c r="FL98" s="958"/>
      <c r="FM98" s="958"/>
      <c r="FN98" s="958"/>
      <c r="FO98" s="958"/>
      <c r="FP98" s="958"/>
      <c r="FQ98" s="958"/>
      <c r="FR98" s="958"/>
      <c r="FS98" s="958"/>
      <c r="FT98" s="958"/>
      <c r="FU98" s="958"/>
      <c r="FV98" s="958"/>
      <c r="FW98" s="958"/>
      <c r="FX98" s="958"/>
      <c r="FY98" s="958"/>
      <c r="FZ98" s="958"/>
      <c r="GA98" s="958"/>
      <c r="GB98" s="958"/>
      <c r="GC98" s="958"/>
      <c r="GD98" s="958"/>
      <c r="GE98" s="958"/>
      <c r="GF98" s="958"/>
      <c r="GG98" s="958"/>
      <c r="GH98" s="958"/>
      <c r="GI98" s="958"/>
      <c r="GJ98" s="958"/>
      <c r="GK98" s="958"/>
      <c r="GL98" s="958"/>
      <c r="GM98" s="958"/>
      <c r="GN98" s="958"/>
      <c r="GO98" s="958"/>
      <c r="GP98" s="958"/>
      <c r="GQ98" s="958"/>
      <c r="GR98" s="958"/>
      <c r="GS98" s="958"/>
      <c r="GT98" s="958"/>
      <c r="GU98" s="958"/>
      <c r="GV98" s="958"/>
      <c r="GW98" s="958"/>
      <c r="GX98" s="958"/>
      <c r="GY98" s="958"/>
      <c r="GZ98" s="958"/>
      <c r="HA98" s="958"/>
      <c r="HB98" s="958"/>
      <c r="HC98" s="958"/>
      <c r="HD98" s="958"/>
      <c r="HE98" s="958"/>
      <c r="HF98" s="958"/>
      <c r="HG98" s="958"/>
      <c r="HH98" s="958"/>
      <c r="HI98" s="958"/>
      <c r="HJ98" s="958"/>
      <c r="HK98" s="958"/>
      <c r="HL98" s="958"/>
      <c r="HM98" s="958"/>
      <c r="HN98" s="958"/>
      <c r="HO98" s="958"/>
      <c r="HP98" s="958"/>
      <c r="HQ98" s="958"/>
      <c r="HR98" s="958"/>
      <c r="HS98" s="958"/>
      <c r="HT98" s="958"/>
      <c r="HU98" s="958"/>
      <c r="HV98" s="958"/>
      <c r="HW98" s="958"/>
      <c r="HX98" s="958"/>
      <c r="HY98" s="958"/>
      <c r="HZ98" s="958"/>
      <c r="IA98" s="958"/>
      <c r="IB98" s="958"/>
      <c r="IC98" s="958"/>
      <c r="ID98" s="958"/>
      <c r="IE98" s="958"/>
      <c r="IF98" s="958"/>
      <c r="IG98" s="958"/>
      <c r="IH98" s="958"/>
      <c r="II98" s="958"/>
      <c r="IJ98" s="958"/>
      <c r="IK98" s="958"/>
      <c r="IL98" s="958"/>
      <c r="IM98" s="958"/>
      <c r="IN98" s="958"/>
      <c r="IO98" s="958"/>
      <c r="IP98" s="958"/>
      <c r="IQ98" s="958"/>
      <c r="IR98" s="958"/>
      <c r="IS98" s="958"/>
      <c r="IT98" s="958"/>
      <c r="IU98" s="958"/>
      <c r="IV98" s="958"/>
    </row>
    <row r="99" spans="1:256" ht="13" thickBot="1">
      <c r="A99" s="1037" t="s">
        <v>855</v>
      </c>
      <c r="B99" s="1038">
        <v>4552</v>
      </c>
      <c r="C99" s="1038">
        <v>4818.5</v>
      </c>
      <c r="D99" s="1039">
        <v>5114</v>
      </c>
      <c r="E99" s="1039">
        <v>5133</v>
      </c>
      <c r="F99" s="1039">
        <v>5564.4</v>
      </c>
      <c r="G99" s="1039">
        <v>4929.3</v>
      </c>
      <c r="H99" s="1039">
        <v>5208.6000000000004</v>
      </c>
      <c r="I99" s="1039">
        <v>5981.7</v>
      </c>
      <c r="J99" s="1039">
        <v>5968.2</v>
      </c>
      <c r="K99" s="1039">
        <v>6005.2</v>
      </c>
      <c r="L99" s="1040">
        <v>5791.1</v>
      </c>
      <c r="M99" s="1040">
        <v>5974.7</v>
      </c>
      <c r="N99" s="1039">
        <v>6014.4</v>
      </c>
      <c r="O99" s="958"/>
      <c r="P99" s="958"/>
      <c r="Q99" s="958"/>
      <c r="R99" s="958"/>
      <c r="S99" s="958"/>
      <c r="T99" s="958"/>
      <c r="U99" s="958"/>
      <c r="V99" s="958"/>
      <c r="W99" s="958"/>
      <c r="X99" s="958"/>
      <c r="Y99" s="958"/>
      <c r="Z99" s="958"/>
      <c r="AA99" s="958"/>
      <c r="AB99" s="958"/>
      <c r="AC99" s="958"/>
      <c r="AD99" s="958"/>
      <c r="AE99" s="958"/>
      <c r="AF99" s="958"/>
      <c r="AG99" s="958"/>
      <c r="AH99" s="958"/>
      <c r="AI99" s="958"/>
      <c r="AJ99" s="958"/>
      <c r="AK99" s="958"/>
      <c r="AL99" s="958"/>
      <c r="AM99" s="958"/>
      <c r="AN99" s="958"/>
      <c r="AO99" s="958"/>
      <c r="AP99" s="958"/>
      <c r="AQ99" s="958"/>
      <c r="AR99" s="958"/>
      <c r="AS99" s="958"/>
      <c r="AT99" s="958"/>
      <c r="AU99" s="958"/>
      <c r="AV99" s="958"/>
      <c r="AW99" s="958"/>
      <c r="AX99" s="958"/>
      <c r="AY99" s="958"/>
      <c r="AZ99" s="958"/>
      <c r="BA99" s="958"/>
      <c r="BB99" s="958"/>
      <c r="BC99" s="958"/>
      <c r="BD99" s="958"/>
      <c r="BE99" s="958"/>
      <c r="BF99" s="958"/>
      <c r="BG99" s="958"/>
      <c r="BH99" s="958"/>
      <c r="BI99" s="958"/>
      <c r="BJ99" s="958"/>
      <c r="BK99" s="958"/>
      <c r="BL99" s="958"/>
      <c r="BM99" s="958"/>
      <c r="BN99" s="958"/>
      <c r="BO99" s="958"/>
      <c r="BP99" s="958"/>
      <c r="BQ99" s="958"/>
      <c r="BR99" s="958"/>
      <c r="BS99" s="958"/>
      <c r="BT99" s="958"/>
      <c r="BU99" s="958"/>
      <c r="BV99" s="958"/>
      <c r="BW99" s="958"/>
      <c r="BX99" s="958"/>
      <c r="BY99" s="958"/>
      <c r="BZ99" s="958"/>
      <c r="CA99" s="958"/>
      <c r="CB99" s="958"/>
      <c r="CC99" s="958"/>
      <c r="CD99" s="958"/>
      <c r="CE99" s="958"/>
      <c r="CF99" s="958"/>
      <c r="CG99" s="958"/>
      <c r="CH99" s="958"/>
      <c r="CI99" s="958"/>
      <c r="CJ99" s="958"/>
      <c r="CK99" s="958"/>
      <c r="CL99" s="958"/>
      <c r="CM99" s="958"/>
      <c r="CN99" s="958"/>
      <c r="CO99" s="958"/>
      <c r="CP99" s="958"/>
      <c r="CQ99" s="958"/>
      <c r="CR99" s="958"/>
      <c r="CS99" s="958"/>
      <c r="CT99" s="958"/>
      <c r="CU99" s="958"/>
      <c r="CV99" s="958"/>
      <c r="CW99" s="958"/>
      <c r="CX99" s="958"/>
      <c r="CY99" s="958"/>
      <c r="CZ99" s="958"/>
      <c r="DA99" s="958"/>
      <c r="DB99" s="958"/>
      <c r="DC99" s="958"/>
      <c r="DD99" s="958"/>
      <c r="DE99" s="958"/>
      <c r="DF99" s="958"/>
      <c r="DG99" s="958"/>
      <c r="DH99" s="958"/>
      <c r="DI99" s="958"/>
      <c r="DJ99" s="958"/>
      <c r="DK99" s="958"/>
      <c r="DL99" s="958"/>
      <c r="DM99" s="958"/>
      <c r="DN99" s="958"/>
      <c r="DO99" s="958"/>
      <c r="DP99" s="958"/>
      <c r="DQ99" s="958"/>
      <c r="DR99" s="958"/>
      <c r="DS99" s="958"/>
      <c r="DT99" s="958"/>
      <c r="DU99" s="958"/>
      <c r="DV99" s="958"/>
      <c r="DW99" s="958"/>
      <c r="DX99" s="958"/>
      <c r="DY99" s="958"/>
      <c r="DZ99" s="958"/>
      <c r="EA99" s="958"/>
      <c r="EB99" s="958"/>
      <c r="EC99" s="958"/>
      <c r="ED99" s="958"/>
      <c r="EE99" s="958"/>
      <c r="EF99" s="958"/>
      <c r="EG99" s="958"/>
      <c r="EH99" s="958"/>
      <c r="EI99" s="958"/>
      <c r="EJ99" s="958"/>
      <c r="EK99" s="958"/>
      <c r="EL99" s="958"/>
      <c r="EM99" s="958"/>
      <c r="EN99" s="958"/>
      <c r="EO99" s="958"/>
      <c r="EP99" s="958"/>
      <c r="EQ99" s="958"/>
      <c r="ER99" s="958"/>
      <c r="ES99" s="958"/>
      <c r="ET99" s="958"/>
      <c r="EU99" s="958"/>
      <c r="EV99" s="958"/>
      <c r="EW99" s="958"/>
      <c r="EX99" s="958"/>
      <c r="EY99" s="958"/>
      <c r="EZ99" s="958"/>
      <c r="FA99" s="958"/>
      <c r="FB99" s="958"/>
      <c r="FC99" s="958"/>
      <c r="FD99" s="958"/>
      <c r="FE99" s="958"/>
      <c r="FF99" s="958"/>
      <c r="FG99" s="958"/>
      <c r="FH99" s="958"/>
      <c r="FI99" s="958"/>
      <c r="FJ99" s="958"/>
      <c r="FK99" s="958"/>
      <c r="FL99" s="958"/>
      <c r="FM99" s="958"/>
      <c r="FN99" s="958"/>
      <c r="FO99" s="958"/>
      <c r="FP99" s="958"/>
      <c r="FQ99" s="958"/>
      <c r="FR99" s="958"/>
      <c r="FS99" s="958"/>
      <c r="FT99" s="958"/>
      <c r="FU99" s="958"/>
      <c r="FV99" s="958"/>
      <c r="FW99" s="958"/>
      <c r="FX99" s="958"/>
      <c r="FY99" s="958"/>
      <c r="FZ99" s="958"/>
      <c r="GA99" s="958"/>
      <c r="GB99" s="958"/>
      <c r="GC99" s="958"/>
      <c r="GD99" s="958"/>
      <c r="GE99" s="958"/>
      <c r="GF99" s="958"/>
      <c r="GG99" s="958"/>
      <c r="GH99" s="958"/>
      <c r="GI99" s="958"/>
      <c r="GJ99" s="958"/>
      <c r="GK99" s="958"/>
      <c r="GL99" s="958"/>
      <c r="GM99" s="958"/>
      <c r="GN99" s="958"/>
      <c r="GO99" s="958"/>
      <c r="GP99" s="958"/>
      <c r="GQ99" s="958"/>
      <c r="GR99" s="958"/>
      <c r="GS99" s="958"/>
      <c r="GT99" s="958"/>
      <c r="GU99" s="958"/>
      <c r="GV99" s="958"/>
      <c r="GW99" s="958"/>
      <c r="GX99" s="958"/>
      <c r="GY99" s="958"/>
      <c r="GZ99" s="958"/>
      <c r="HA99" s="958"/>
      <c r="HB99" s="958"/>
      <c r="HC99" s="958"/>
      <c r="HD99" s="958"/>
      <c r="HE99" s="958"/>
      <c r="HF99" s="958"/>
      <c r="HG99" s="958"/>
      <c r="HH99" s="958"/>
      <c r="HI99" s="958"/>
      <c r="HJ99" s="958"/>
      <c r="HK99" s="958"/>
      <c r="HL99" s="958"/>
      <c r="HM99" s="958"/>
      <c r="HN99" s="958"/>
      <c r="HO99" s="958"/>
      <c r="HP99" s="958"/>
      <c r="HQ99" s="958"/>
      <c r="HR99" s="958"/>
      <c r="HS99" s="958"/>
      <c r="HT99" s="958"/>
      <c r="HU99" s="958"/>
      <c r="HV99" s="958"/>
      <c r="HW99" s="958"/>
      <c r="HX99" s="958"/>
      <c r="HY99" s="958"/>
      <c r="HZ99" s="958"/>
      <c r="IA99" s="958"/>
      <c r="IB99" s="958"/>
      <c r="IC99" s="958"/>
      <c r="ID99" s="958"/>
      <c r="IE99" s="958"/>
      <c r="IF99" s="958"/>
      <c r="IG99" s="958"/>
      <c r="IH99" s="958"/>
      <c r="II99" s="958"/>
      <c r="IJ99" s="958"/>
      <c r="IK99" s="958"/>
      <c r="IL99" s="958"/>
      <c r="IM99" s="958"/>
      <c r="IN99" s="958"/>
      <c r="IO99" s="958"/>
      <c r="IP99" s="958"/>
      <c r="IQ99" s="958"/>
      <c r="IR99" s="958"/>
      <c r="IS99" s="958"/>
      <c r="IT99" s="958"/>
      <c r="IU99" s="958"/>
      <c r="IV99" s="958"/>
    </row>
    <row r="100" spans="1:256" ht="13" thickTop="1">
      <c r="A100" s="1041" t="s">
        <v>879</v>
      </c>
      <c r="B100" s="1042">
        <v>1461.9</v>
      </c>
      <c r="C100" s="1042">
        <v>1577</v>
      </c>
      <c r="D100" s="1043">
        <v>1666.6</v>
      </c>
      <c r="E100" s="1043">
        <v>1814.4</v>
      </c>
      <c r="F100" s="1043">
        <v>2115.6</v>
      </c>
      <c r="G100" s="1043">
        <v>1856.1</v>
      </c>
      <c r="H100" s="1043">
        <v>1814.6</v>
      </c>
      <c r="I100" s="1043">
        <v>2036.6</v>
      </c>
      <c r="J100" s="1043">
        <v>1990.2</v>
      </c>
      <c r="K100" s="1043">
        <v>2064.4</v>
      </c>
      <c r="L100" s="1045">
        <v>2017.6</v>
      </c>
      <c r="M100" s="1045">
        <v>2015.5</v>
      </c>
      <c r="N100" s="1043">
        <v>2044.5</v>
      </c>
      <c r="O100" s="958"/>
      <c r="P100" s="958"/>
      <c r="Q100" s="958"/>
      <c r="R100" s="958"/>
      <c r="S100" s="958"/>
      <c r="T100" s="958"/>
      <c r="U100" s="958"/>
      <c r="V100" s="958"/>
      <c r="W100" s="958"/>
      <c r="X100" s="958"/>
      <c r="Y100" s="958"/>
      <c r="Z100" s="958"/>
      <c r="AA100" s="958"/>
      <c r="AB100" s="958"/>
      <c r="AC100" s="958"/>
      <c r="AD100" s="958"/>
      <c r="AE100" s="958"/>
      <c r="AF100" s="958"/>
      <c r="AG100" s="958"/>
      <c r="AH100" s="958"/>
      <c r="AI100" s="958"/>
      <c r="AJ100" s="958"/>
      <c r="AK100" s="958"/>
      <c r="AL100" s="958"/>
      <c r="AM100" s="958"/>
      <c r="AN100" s="958"/>
      <c r="AO100" s="958"/>
      <c r="AP100" s="958"/>
      <c r="AQ100" s="958"/>
      <c r="AR100" s="958"/>
      <c r="AS100" s="958"/>
      <c r="AT100" s="958"/>
      <c r="AU100" s="958"/>
      <c r="AV100" s="958"/>
      <c r="AW100" s="958"/>
      <c r="AX100" s="958"/>
      <c r="AY100" s="958"/>
      <c r="AZ100" s="958"/>
      <c r="BA100" s="958"/>
      <c r="BB100" s="958"/>
      <c r="BC100" s="958"/>
      <c r="BD100" s="958"/>
      <c r="BE100" s="958"/>
      <c r="BF100" s="958"/>
      <c r="BG100" s="958"/>
      <c r="BH100" s="958"/>
      <c r="BI100" s="958"/>
      <c r="BJ100" s="958"/>
      <c r="BK100" s="958"/>
      <c r="BL100" s="958"/>
      <c r="BM100" s="958"/>
      <c r="BN100" s="958"/>
      <c r="BO100" s="958"/>
      <c r="BP100" s="958"/>
      <c r="BQ100" s="958"/>
      <c r="BR100" s="958"/>
      <c r="BS100" s="958"/>
      <c r="BT100" s="958"/>
      <c r="BU100" s="958"/>
      <c r="BV100" s="958"/>
      <c r="BW100" s="958"/>
      <c r="BX100" s="958"/>
      <c r="BY100" s="958"/>
      <c r="BZ100" s="958"/>
      <c r="CA100" s="958"/>
      <c r="CB100" s="958"/>
      <c r="CC100" s="958"/>
      <c r="CD100" s="958"/>
      <c r="CE100" s="958"/>
      <c r="CF100" s="958"/>
      <c r="CG100" s="958"/>
      <c r="CH100" s="958"/>
      <c r="CI100" s="958"/>
      <c r="CJ100" s="958"/>
      <c r="CK100" s="958"/>
      <c r="CL100" s="958"/>
      <c r="CM100" s="958"/>
      <c r="CN100" s="958"/>
      <c r="CO100" s="958"/>
      <c r="CP100" s="958"/>
      <c r="CQ100" s="958"/>
      <c r="CR100" s="958"/>
      <c r="CS100" s="958"/>
      <c r="CT100" s="958"/>
      <c r="CU100" s="958"/>
      <c r="CV100" s="958"/>
      <c r="CW100" s="958"/>
      <c r="CX100" s="958"/>
      <c r="CY100" s="958"/>
      <c r="CZ100" s="958"/>
      <c r="DA100" s="958"/>
      <c r="DB100" s="958"/>
      <c r="DC100" s="958"/>
      <c r="DD100" s="958"/>
      <c r="DE100" s="958"/>
      <c r="DF100" s="958"/>
      <c r="DG100" s="958"/>
      <c r="DH100" s="958"/>
      <c r="DI100" s="958"/>
      <c r="DJ100" s="958"/>
      <c r="DK100" s="958"/>
      <c r="DL100" s="958"/>
      <c r="DM100" s="958"/>
      <c r="DN100" s="958"/>
      <c r="DO100" s="958"/>
      <c r="DP100" s="958"/>
      <c r="DQ100" s="958"/>
      <c r="DR100" s="958"/>
      <c r="DS100" s="958"/>
      <c r="DT100" s="958"/>
      <c r="DU100" s="958"/>
      <c r="DV100" s="958"/>
      <c r="DW100" s="958"/>
      <c r="DX100" s="958"/>
      <c r="DY100" s="958"/>
      <c r="DZ100" s="958"/>
      <c r="EA100" s="958"/>
      <c r="EB100" s="958"/>
      <c r="EC100" s="958"/>
      <c r="ED100" s="958"/>
      <c r="EE100" s="958"/>
      <c r="EF100" s="958"/>
      <c r="EG100" s="958"/>
      <c r="EH100" s="958"/>
      <c r="EI100" s="958"/>
      <c r="EJ100" s="958"/>
      <c r="EK100" s="958"/>
      <c r="EL100" s="958"/>
      <c r="EM100" s="958"/>
      <c r="EN100" s="958"/>
      <c r="EO100" s="958"/>
      <c r="EP100" s="958"/>
      <c r="EQ100" s="958"/>
      <c r="ER100" s="958"/>
      <c r="ES100" s="958"/>
      <c r="ET100" s="958"/>
      <c r="EU100" s="958"/>
      <c r="EV100" s="958"/>
      <c r="EW100" s="958"/>
      <c r="EX100" s="958"/>
      <c r="EY100" s="958"/>
      <c r="EZ100" s="958"/>
      <c r="FA100" s="958"/>
      <c r="FB100" s="958"/>
      <c r="FC100" s="958"/>
      <c r="FD100" s="958"/>
      <c r="FE100" s="958"/>
      <c r="FF100" s="958"/>
      <c r="FG100" s="958"/>
      <c r="FH100" s="958"/>
      <c r="FI100" s="958"/>
      <c r="FJ100" s="958"/>
      <c r="FK100" s="958"/>
      <c r="FL100" s="958"/>
      <c r="FM100" s="958"/>
      <c r="FN100" s="958"/>
      <c r="FO100" s="958"/>
      <c r="FP100" s="958"/>
      <c r="FQ100" s="958"/>
      <c r="FR100" s="958"/>
      <c r="FS100" s="958"/>
      <c r="FT100" s="958"/>
      <c r="FU100" s="958"/>
      <c r="FV100" s="958"/>
      <c r="FW100" s="958"/>
      <c r="FX100" s="958"/>
      <c r="FY100" s="958"/>
      <c r="FZ100" s="958"/>
      <c r="GA100" s="958"/>
      <c r="GB100" s="958"/>
      <c r="GC100" s="958"/>
      <c r="GD100" s="958"/>
      <c r="GE100" s="958"/>
      <c r="GF100" s="958"/>
      <c r="GG100" s="958"/>
      <c r="GH100" s="958"/>
      <c r="GI100" s="958"/>
      <c r="GJ100" s="958"/>
      <c r="GK100" s="958"/>
      <c r="GL100" s="958"/>
      <c r="GM100" s="958"/>
      <c r="GN100" s="958"/>
      <c r="GO100" s="958"/>
      <c r="GP100" s="958"/>
      <c r="GQ100" s="958"/>
      <c r="GR100" s="958"/>
      <c r="GS100" s="958"/>
      <c r="GT100" s="958"/>
      <c r="GU100" s="958"/>
      <c r="GV100" s="958"/>
      <c r="GW100" s="958"/>
      <c r="GX100" s="958"/>
      <c r="GY100" s="958"/>
      <c r="GZ100" s="958"/>
      <c r="HA100" s="958"/>
      <c r="HB100" s="958"/>
      <c r="HC100" s="958"/>
      <c r="HD100" s="958"/>
      <c r="HE100" s="958"/>
      <c r="HF100" s="958"/>
      <c r="HG100" s="958"/>
      <c r="HH100" s="958"/>
      <c r="HI100" s="958"/>
      <c r="HJ100" s="958"/>
      <c r="HK100" s="958"/>
      <c r="HL100" s="958"/>
      <c r="HM100" s="958"/>
      <c r="HN100" s="958"/>
      <c r="HO100" s="958"/>
      <c r="HP100" s="958"/>
      <c r="HQ100" s="958"/>
      <c r="HR100" s="958"/>
      <c r="HS100" s="958"/>
      <c r="HT100" s="958"/>
      <c r="HU100" s="958"/>
      <c r="HV100" s="958"/>
      <c r="HW100" s="958"/>
      <c r="HX100" s="958"/>
      <c r="HY100" s="958"/>
      <c r="HZ100" s="958"/>
      <c r="IA100" s="958"/>
      <c r="IB100" s="958"/>
      <c r="IC100" s="958"/>
      <c r="ID100" s="958"/>
      <c r="IE100" s="958"/>
      <c r="IF100" s="958"/>
      <c r="IG100" s="958"/>
      <c r="IH100" s="958"/>
      <c r="II100" s="958"/>
      <c r="IJ100" s="958"/>
      <c r="IK100" s="958"/>
      <c r="IL100" s="958"/>
      <c r="IM100" s="958"/>
      <c r="IN100" s="958"/>
      <c r="IO100" s="958"/>
      <c r="IP100" s="958"/>
      <c r="IQ100" s="958"/>
      <c r="IR100" s="958"/>
      <c r="IS100" s="958"/>
      <c r="IT100" s="958"/>
      <c r="IU100" s="958"/>
      <c r="IV100" s="958"/>
    </row>
    <row r="101" spans="1:256">
      <c r="A101" s="1001" t="s">
        <v>880</v>
      </c>
      <c r="B101" s="982">
        <v>17002</v>
      </c>
      <c r="C101" s="982">
        <v>18340</v>
      </c>
      <c r="D101" s="983">
        <v>19382</v>
      </c>
      <c r="E101" s="983">
        <v>21102</v>
      </c>
      <c r="F101" s="983">
        <v>24604</v>
      </c>
      <c r="G101" s="983">
        <v>21585.9</v>
      </c>
      <c r="H101" s="983">
        <v>21103.5</v>
      </c>
      <c r="I101" s="983">
        <v>23685.200000000001</v>
      </c>
      <c r="J101" s="983">
        <v>23146.5</v>
      </c>
      <c r="K101" s="983">
        <v>24008.799999999999</v>
      </c>
      <c r="L101" s="994">
        <v>23464.6</v>
      </c>
      <c r="M101" s="994">
        <v>23440.7</v>
      </c>
      <c r="N101" s="983">
        <v>23777.599999999999</v>
      </c>
      <c r="O101" s="958"/>
      <c r="P101" s="958"/>
      <c r="Q101" s="958"/>
      <c r="R101" s="958"/>
      <c r="S101" s="958"/>
      <c r="T101" s="958"/>
      <c r="U101" s="958"/>
      <c r="V101" s="958"/>
      <c r="W101" s="958"/>
      <c r="X101" s="958"/>
      <c r="Y101" s="958"/>
      <c r="Z101" s="958"/>
      <c r="AA101" s="958"/>
      <c r="AB101" s="958"/>
      <c r="AC101" s="958"/>
      <c r="AD101" s="958"/>
      <c r="AE101" s="958"/>
      <c r="AF101" s="958"/>
      <c r="AG101" s="958"/>
      <c r="AH101" s="958"/>
      <c r="AI101" s="958"/>
      <c r="AJ101" s="958"/>
      <c r="AK101" s="958"/>
      <c r="AL101" s="958"/>
      <c r="AM101" s="958"/>
      <c r="AN101" s="958"/>
      <c r="AO101" s="958"/>
      <c r="AP101" s="958"/>
      <c r="AQ101" s="958"/>
      <c r="AR101" s="958"/>
      <c r="AS101" s="958"/>
      <c r="AT101" s="958"/>
      <c r="AU101" s="958"/>
      <c r="AV101" s="958"/>
      <c r="AW101" s="958"/>
      <c r="AX101" s="958"/>
      <c r="AY101" s="958"/>
      <c r="AZ101" s="958"/>
      <c r="BA101" s="958"/>
      <c r="BB101" s="958"/>
      <c r="BC101" s="958"/>
      <c r="BD101" s="958"/>
      <c r="BE101" s="958"/>
      <c r="BF101" s="958"/>
      <c r="BG101" s="958"/>
      <c r="BH101" s="958"/>
      <c r="BI101" s="958"/>
      <c r="BJ101" s="958"/>
      <c r="BK101" s="958"/>
      <c r="BL101" s="958"/>
      <c r="BM101" s="958"/>
      <c r="BN101" s="958"/>
      <c r="BO101" s="958"/>
      <c r="BP101" s="958"/>
      <c r="BQ101" s="958"/>
      <c r="BR101" s="958"/>
      <c r="BS101" s="958"/>
      <c r="BT101" s="958"/>
      <c r="BU101" s="958"/>
      <c r="BV101" s="958"/>
      <c r="BW101" s="958"/>
      <c r="BX101" s="958"/>
      <c r="BY101" s="958"/>
      <c r="BZ101" s="958"/>
      <c r="CA101" s="958"/>
      <c r="CB101" s="958"/>
      <c r="CC101" s="958"/>
      <c r="CD101" s="958"/>
      <c r="CE101" s="958"/>
      <c r="CF101" s="958"/>
      <c r="CG101" s="958"/>
      <c r="CH101" s="958"/>
      <c r="CI101" s="958"/>
      <c r="CJ101" s="958"/>
      <c r="CK101" s="958"/>
      <c r="CL101" s="958"/>
      <c r="CM101" s="958"/>
      <c r="CN101" s="958"/>
      <c r="CO101" s="958"/>
      <c r="CP101" s="958"/>
      <c r="CQ101" s="958"/>
      <c r="CR101" s="958"/>
      <c r="CS101" s="958"/>
      <c r="CT101" s="958"/>
      <c r="CU101" s="958"/>
      <c r="CV101" s="958"/>
      <c r="CW101" s="958"/>
      <c r="CX101" s="958"/>
      <c r="CY101" s="958"/>
      <c r="CZ101" s="958"/>
      <c r="DA101" s="958"/>
      <c r="DB101" s="958"/>
      <c r="DC101" s="958"/>
      <c r="DD101" s="958"/>
      <c r="DE101" s="958"/>
      <c r="DF101" s="958"/>
      <c r="DG101" s="958"/>
      <c r="DH101" s="958"/>
      <c r="DI101" s="958"/>
      <c r="DJ101" s="958"/>
      <c r="DK101" s="958"/>
      <c r="DL101" s="958"/>
      <c r="DM101" s="958"/>
      <c r="DN101" s="958"/>
      <c r="DO101" s="958"/>
      <c r="DP101" s="958"/>
      <c r="DQ101" s="958"/>
      <c r="DR101" s="958"/>
      <c r="DS101" s="958"/>
      <c r="DT101" s="958"/>
      <c r="DU101" s="958"/>
      <c r="DV101" s="958"/>
      <c r="DW101" s="958"/>
      <c r="DX101" s="958"/>
      <c r="DY101" s="958"/>
      <c r="DZ101" s="958"/>
      <c r="EA101" s="958"/>
      <c r="EB101" s="958"/>
      <c r="EC101" s="958"/>
      <c r="ED101" s="958"/>
      <c r="EE101" s="958"/>
      <c r="EF101" s="958"/>
      <c r="EG101" s="958"/>
      <c r="EH101" s="958"/>
      <c r="EI101" s="958"/>
      <c r="EJ101" s="958"/>
      <c r="EK101" s="958"/>
      <c r="EL101" s="958"/>
      <c r="EM101" s="958"/>
      <c r="EN101" s="958"/>
      <c r="EO101" s="958"/>
      <c r="EP101" s="958"/>
      <c r="EQ101" s="958"/>
      <c r="ER101" s="958"/>
      <c r="ES101" s="958"/>
      <c r="ET101" s="958"/>
      <c r="EU101" s="958"/>
      <c r="EV101" s="958"/>
      <c r="EW101" s="958"/>
      <c r="EX101" s="958"/>
      <c r="EY101" s="958"/>
      <c r="EZ101" s="958"/>
      <c r="FA101" s="958"/>
      <c r="FB101" s="958"/>
      <c r="FC101" s="958"/>
      <c r="FD101" s="958"/>
      <c r="FE101" s="958"/>
      <c r="FF101" s="958"/>
      <c r="FG101" s="958"/>
      <c r="FH101" s="958"/>
      <c r="FI101" s="958"/>
      <c r="FJ101" s="958"/>
      <c r="FK101" s="958"/>
      <c r="FL101" s="958"/>
      <c r="FM101" s="958"/>
      <c r="FN101" s="958"/>
      <c r="FO101" s="958"/>
      <c r="FP101" s="958"/>
      <c r="FQ101" s="958"/>
      <c r="FR101" s="958"/>
      <c r="FS101" s="958"/>
      <c r="FT101" s="958"/>
      <c r="FU101" s="958"/>
      <c r="FV101" s="958"/>
      <c r="FW101" s="958"/>
      <c r="FX101" s="958"/>
      <c r="FY101" s="958"/>
      <c r="FZ101" s="958"/>
      <c r="GA101" s="958"/>
      <c r="GB101" s="958"/>
      <c r="GC101" s="958"/>
      <c r="GD101" s="958"/>
      <c r="GE101" s="958"/>
      <c r="GF101" s="958"/>
      <c r="GG101" s="958"/>
      <c r="GH101" s="958"/>
      <c r="GI101" s="958"/>
      <c r="GJ101" s="958"/>
      <c r="GK101" s="958"/>
      <c r="GL101" s="958"/>
      <c r="GM101" s="958"/>
      <c r="GN101" s="958"/>
      <c r="GO101" s="958"/>
      <c r="GP101" s="958"/>
      <c r="GQ101" s="958"/>
      <c r="GR101" s="958"/>
      <c r="GS101" s="958"/>
      <c r="GT101" s="958"/>
      <c r="GU101" s="958"/>
      <c r="GV101" s="958"/>
      <c r="GW101" s="958"/>
      <c r="GX101" s="958"/>
      <c r="GY101" s="958"/>
      <c r="GZ101" s="958"/>
      <c r="HA101" s="958"/>
      <c r="HB101" s="958"/>
      <c r="HC101" s="958"/>
      <c r="HD101" s="958"/>
      <c r="HE101" s="958"/>
      <c r="HF101" s="958"/>
      <c r="HG101" s="958"/>
      <c r="HH101" s="958"/>
      <c r="HI101" s="958"/>
      <c r="HJ101" s="958"/>
      <c r="HK101" s="958"/>
      <c r="HL101" s="958"/>
      <c r="HM101" s="958"/>
      <c r="HN101" s="958"/>
      <c r="HO101" s="958"/>
      <c r="HP101" s="958"/>
      <c r="HQ101" s="958"/>
      <c r="HR101" s="958"/>
      <c r="HS101" s="958"/>
      <c r="HT101" s="958"/>
      <c r="HU101" s="958"/>
      <c r="HV101" s="958"/>
      <c r="HW101" s="958"/>
      <c r="HX101" s="958"/>
      <c r="HY101" s="958"/>
      <c r="HZ101" s="958"/>
      <c r="IA101" s="958"/>
      <c r="IB101" s="958"/>
      <c r="IC101" s="958"/>
      <c r="ID101" s="958"/>
      <c r="IE101" s="958"/>
      <c r="IF101" s="958"/>
      <c r="IG101" s="958"/>
      <c r="IH101" s="958"/>
      <c r="II101" s="958"/>
      <c r="IJ101" s="958"/>
      <c r="IK101" s="958"/>
      <c r="IL101" s="958"/>
      <c r="IM101" s="958"/>
      <c r="IN101" s="958"/>
      <c r="IO101" s="958"/>
      <c r="IP101" s="958"/>
      <c r="IQ101" s="958"/>
      <c r="IR101" s="958"/>
      <c r="IS101" s="958"/>
      <c r="IT101" s="958"/>
      <c r="IU101" s="958"/>
      <c r="IV101" s="958"/>
    </row>
    <row r="102" spans="1:256">
      <c r="A102" s="1046" t="s">
        <v>881</v>
      </c>
      <c r="B102" s="1057">
        <v>1153.4000000000001</v>
      </c>
      <c r="C102" s="1057">
        <v>1254.5</v>
      </c>
      <c r="D102" s="1058">
        <v>1331.3</v>
      </c>
      <c r="E102" s="1058">
        <v>1477.5</v>
      </c>
      <c r="F102" s="1058">
        <v>1558.1</v>
      </c>
      <c r="G102" s="1058">
        <v>1327.3</v>
      </c>
      <c r="H102" s="1058">
        <v>1420.8</v>
      </c>
      <c r="I102" s="1058">
        <v>1352.1</v>
      </c>
      <c r="J102" s="1058">
        <v>1549</v>
      </c>
      <c r="K102" s="1058">
        <v>1748.5</v>
      </c>
      <c r="L102" s="1059">
        <v>1547</v>
      </c>
      <c r="M102" s="1059">
        <v>1437.2</v>
      </c>
      <c r="N102" s="1058">
        <v>1372.7</v>
      </c>
      <c r="O102" s="958"/>
      <c r="P102" s="958"/>
      <c r="Q102" s="958"/>
      <c r="R102" s="958"/>
      <c r="S102" s="958"/>
      <c r="T102" s="958"/>
      <c r="U102" s="958"/>
      <c r="V102" s="958"/>
      <c r="W102" s="958"/>
      <c r="X102" s="958"/>
      <c r="Y102" s="958"/>
      <c r="Z102" s="958"/>
      <c r="AA102" s="958"/>
      <c r="AB102" s="958"/>
      <c r="AC102" s="958"/>
      <c r="AD102" s="958"/>
      <c r="AE102" s="958"/>
      <c r="AF102" s="958"/>
      <c r="AG102" s="958"/>
      <c r="AH102" s="958"/>
      <c r="AI102" s="958"/>
      <c r="AJ102" s="958"/>
      <c r="AK102" s="958"/>
      <c r="AL102" s="958"/>
      <c r="AM102" s="958"/>
      <c r="AN102" s="958"/>
      <c r="AO102" s="958"/>
      <c r="AP102" s="958"/>
      <c r="AQ102" s="958"/>
      <c r="AR102" s="958"/>
      <c r="AS102" s="958"/>
      <c r="AT102" s="958"/>
      <c r="AU102" s="958"/>
      <c r="AV102" s="958"/>
      <c r="AW102" s="958"/>
      <c r="AX102" s="958"/>
      <c r="AY102" s="958"/>
      <c r="AZ102" s="958"/>
      <c r="BA102" s="958"/>
      <c r="BB102" s="958"/>
      <c r="BC102" s="958"/>
      <c r="BD102" s="958"/>
      <c r="BE102" s="958"/>
      <c r="BF102" s="958"/>
      <c r="BG102" s="958"/>
      <c r="BH102" s="958"/>
      <c r="BI102" s="958"/>
      <c r="BJ102" s="958"/>
      <c r="BK102" s="958"/>
      <c r="BL102" s="958"/>
      <c r="BM102" s="958"/>
      <c r="BN102" s="958"/>
      <c r="BO102" s="958"/>
      <c r="BP102" s="958"/>
      <c r="BQ102" s="958"/>
      <c r="BR102" s="958"/>
      <c r="BS102" s="958"/>
      <c r="BT102" s="958"/>
      <c r="BU102" s="958"/>
      <c r="BV102" s="958"/>
      <c r="BW102" s="958"/>
      <c r="BX102" s="958"/>
      <c r="BY102" s="958"/>
      <c r="BZ102" s="958"/>
      <c r="CA102" s="958"/>
      <c r="CB102" s="958"/>
      <c r="CC102" s="958"/>
      <c r="CD102" s="958"/>
      <c r="CE102" s="958"/>
      <c r="CF102" s="958"/>
      <c r="CG102" s="958"/>
      <c r="CH102" s="958"/>
      <c r="CI102" s="958"/>
      <c r="CJ102" s="958"/>
      <c r="CK102" s="958"/>
      <c r="CL102" s="958"/>
      <c r="CM102" s="958"/>
      <c r="CN102" s="958"/>
      <c r="CO102" s="958"/>
      <c r="CP102" s="958"/>
      <c r="CQ102" s="958"/>
      <c r="CR102" s="958"/>
      <c r="CS102" s="958"/>
      <c r="CT102" s="958"/>
      <c r="CU102" s="958"/>
      <c r="CV102" s="958"/>
      <c r="CW102" s="958"/>
      <c r="CX102" s="958"/>
      <c r="CY102" s="958"/>
      <c r="CZ102" s="958"/>
      <c r="DA102" s="958"/>
      <c r="DB102" s="958"/>
      <c r="DC102" s="958"/>
      <c r="DD102" s="958"/>
      <c r="DE102" s="958"/>
      <c r="DF102" s="958"/>
      <c r="DG102" s="958"/>
      <c r="DH102" s="958"/>
      <c r="DI102" s="958"/>
      <c r="DJ102" s="958"/>
      <c r="DK102" s="958"/>
      <c r="DL102" s="958"/>
      <c r="DM102" s="958"/>
      <c r="DN102" s="958"/>
      <c r="DO102" s="958"/>
      <c r="DP102" s="958"/>
      <c r="DQ102" s="958"/>
      <c r="DR102" s="958"/>
      <c r="DS102" s="958"/>
      <c r="DT102" s="958"/>
      <c r="DU102" s="958"/>
      <c r="DV102" s="958"/>
      <c r="DW102" s="958"/>
      <c r="DX102" s="958"/>
      <c r="DY102" s="958"/>
      <c r="DZ102" s="958"/>
      <c r="EA102" s="958"/>
      <c r="EB102" s="958"/>
      <c r="EC102" s="958"/>
      <c r="ED102" s="958"/>
      <c r="EE102" s="958"/>
      <c r="EF102" s="958"/>
      <c r="EG102" s="958"/>
      <c r="EH102" s="958"/>
      <c r="EI102" s="958"/>
      <c r="EJ102" s="958"/>
      <c r="EK102" s="958"/>
      <c r="EL102" s="958"/>
      <c r="EM102" s="958"/>
      <c r="EN102" s="958"/>
      <c r="EO102" s="958"/>
      <c r="EP102" s="958"/>
      <c r="EQ102" s="958"/>
      <c r="ER102" s="958"/>
      <c r="ES102" s="958"/>
      <c r="ET102" s="958"/>
      <c r="EU102" s="958"/>
      <c r="EV102" s="958"/>
      <c r="EW102" s="958"/>
      <c r="EX102" s="958"/>
      <c r="EY102" s="958"/>
      <c r="EZ102" s="958"/>
      <c r="FA102" s="958"/>
      <c r="FB102" s="958"/>
      <c r="FC102" s="958"/>
      <c r="FD102" s="958"/>
      <c r="FE102" s="958"/>
      <c r="FF102" s="958"/>
      <c r="FG102" s="958"/>
      <c r="FH102" s="958"/>
      <c r="FI102" s="958"/>
      <c r="FJ102" s="958"/>
      <c r="FK102" s="958"/>
      <c r="FL102" s="958"/>
      <c r="FM102" s="958"/>
      <c r="FN102" s="958"/>
      <c r="FO102" s="958"/>
      <c r="FP102" s="958"/>
      <c r="FQ102" s="958"/>
      <c r="FR102" s="958"/>
      <c r="FS102" s="958"/>
      <c r="FT102" s="958"/>
      <c r="FU102" s="958"/>
      <c r="FV102" s="958"/>
      <c r="FW102" s="958"/>
      <c r="FX102" s="958"/>
      <c r="FY102" s="958"/>
      <c r="FZ102" s="958"/>
      <c r="GA102" s="958"/>
      <c r="GB102" s="958"/>
      <c r="GC102" s="958"/>
      <c r="GD102" s="958"/>
      <c r="GE102" s="958"/>
      <c r="GF102" s="958"/>
      <c r="GG102" s="958"/>
      <c r="GH102" s="958"/>
      <c r="GI102" s="958"/>
      <c r="GJ102" s="958"/>
      <c r="GK102" s="958"/>
      <c r="GL102" s="958"/>
      <c r="GM102" s="958"/>
      <c r="GN102" s="958"/>
      <c r="GO102" s="958"/>
      <c r="GP102" s="958"/>
      <c r="GQ102" s="958"/>
      <c r="GR102" s="958"/>
      <c r="GS102" s="958"/>
      <c r="GT102" s="958"/>
      <c r="GU102" s="958"/>
      <c r="GV102" s="958"/>
      <c r="GW102" s="958"/>
      <c r="GX102" s="958"/>
      <c r="GY102" s="958"/>
      <c r="GZ102" s="958"/>
      <c r="HA102" s="958"/>
      <c r="HB102" s="958"/>
      <c r="HC102" s="958"/>
      <c r="HD102" s="958"/>
      <c r="HE102" s="958"/>
      <c r="HF102" s="958"/>
      <c r="HG102" s="958"/>
      <c r="HH102" s="958"/>
      <c r="HI102" s="958"/>
      <c r="HJ102" s="958"/>
      <c r="HK102" s="958"/>
      <c r="HL102" s="958"/>
      <c r="HM102" s="958"/>
      <c r="HN102" s="958"/>
      <c r="HO102" s="958"/>
      <c r="HP102" s="958"/>
      <c r="HQ102" s="958"/>
      <c r="HR102" s="958"/>
      <c r="HS102" s="958"/>
      <c r="HT102" s="958"/>
      <c r="HU102" s="958"/>
      <c r="HV102" s="958"/>
      <c r="HW102" s="958"/>
      <c r="HX102" s="958"/>
      <c r="HY102" s="958"/>
      <c r="HZ102" s="958"/>
      <c r="IA102" s="958"/>
      <c r="IB102" s="958"/>
      <c r="IC102" s="958"/>
      <c r="ID102" s="958"/>
      <c r="IE102" s="958"/>
      <c r="IF102" s="958"/>
      <c r="IG102" s="958"/>
      <c r="IH102" s="958"/>
      <c r="II102" s="958"/>
      <c r="IJ102" s="958"/>
      <c r="IK102" s="958"/>
      <c r="IL102" s="958"/>
      <c r="IM102" s="958"/>
      <c r="IN102" s="958"/>
      <c r="IO102" s="958"/>
      <c r="IP102" s="958"/>
      <c r="IQ102" s="958"/>
      <c r="IR102" s="958"/>
      <c r="IS102" s="958"/>
      <c r="IT102" s="958"/>
      <c r="IU102" s="958"/>
      <c r="IV102" s="958"/>
    </row>
    <row r="103" spans="1:256" ht="13" thickBot="1">
      <c r="A103" s="1062" t="s">
        <v>850</v>
      </c>
      <c r="B103" s="987">
        <v>13414</v>
      </c>
      <c r="C103" s="987">
        <v>14590</v>
      </c>
      <c r="D103" s="988">
        <v>15483</v>
      </c>
      <c r="E103" s="988">
        <v>17183</v>
      </c>
      <c r="F103" s="988">
        <v>18121</v>
      </c>
      <c r="G103" s="988">
        <v>15435.9</v>
      </c>
      <c r="H103" s="988">
        <v>16523.5</v>
      </c>
      <c r="I103" s="988">
        <v>15724.9</v>
      </c>
      <c r="J103" s="988">
        <v>18015.2</v>
      </c>
      <c r="K103" s="988">
        <v>20335.3</v>
      </c>
      <c r="L103" s="989">
        <v>17991.099999999999</v>
      </c>
      <c r="M103" s="989">
        <v>16714.400000000001</v>
      </c>
      <c r="N103" s="988">
        <v>15964.6</v>
      </c>
      <c r="O103" s="958"/>
      <c r="P103" s="958"/>
      <c r="Q103" s="958"/>
      <c r="R103" s="958"/>
      <c r="S103" s="958"/>
      <c r="T103" s="958"/>
      <c r="U103" s="958"/>
      <c r="V103" s="958"/>
      <c r="W103" s="958"/>
      <c r="X103" s="958"/>
      <c r="Y103" s="958"/>
      <c r="Z103" s="958"/>
      <c r="AA103" s="958"/>
      <c r="AB103" s="958"/>
      <c r="AC103" s="958"/>
      <c r="AD103" s="958"/>
      <c r="AE103" s="958"/>
      <c r="AF103" s="958"/>
      <c r="AG103" s="958"/>
      <c r="AH103" s="958"/>
      <c r="AI103" s="958"/>
      <c r="AJ103" s="958"/>
      <c r="AK103" s="958"/>
      <c r="AL103" s="958"/>
      <c r="AM103" s="958"/>
      <c r="AN103" s="958"/>
      <c r="AO103" s="958"/>
      <c r="AP103" s="958"/>
      <c r="AQ103" s="958"/>
      <c r="AR103" s="958"/>
      <c r="AS103" s="958"/>
      <c r="AT103" s="958"/>
      <c r="AU103" s="958"/>
      <c r="AV103" s="958"/>
      <c r="AW103" s="958"/>
      <c r="AX103" s="958"/>
      <c r="AY103" s="958"/>
      <c r="AZ103" s="958"/>
      <c r="BA103" s="958"/>
      <c r="BB103" s="958"/>
      <c r="BC103" s="958"/>
      <c r="BD103" s="958"/>
      <c r="BE103" s="958"/>
      <c r="BF103" s="958"/>
      <c r="BG103" s="958"/>
      <c r="BH103" s="958"/>
      <c r="BI103" s="958"/>
      <c r="BJ103" s="958"/>
      <c r="BK103" s="958"/>
      <c r="BL103" s="958"/>
      <c r="BM103" s="958"/>
      <c r="BN103" s="958"/>
      <c r="BO103" s="958"/>
      <c r="BP103" s="958"/>
      <c r="BQ103" s="958"/>
      <c r="BR103" s="958"/>
      <c r="BS103" s="958"/>
      <c r="BT103" s="958"/>
      <c r="BU103" s="958"/>
      <c r="BV103" s="958"/>
      <c r="BW103" s="958"/>
      <c r="BX103" s="958"/>
      <c r="BY103" s="958"/>
      <c r="BZ103" s="958"/>
      <c r="CA103" s="958"/>
      <c r="CB103" s="958"/>
      <c r="CC103" s="958"/>
      <c r="CD103" s="958"/>
      <c r="CE103" s="958"/>
      <c r="CF103" s="958"/>
      <c r="CG103" s="958"/>
      <c r="CH103" s="958"/>
      <c r="CI103" s="958"/>
      <c r="CJ103" s="958"/>
      <c r="CK103" s="958"/>
      <c r="CL103" s="958"/>
      <c r="CM103" s="958"/>
      <c r="CN103" s="958"/>
      <c r="CO103" s="958"/>
      <c r="CP103" s="958"/>
      <c r="CQ103" s="958"/>
      <c r="CR103" s="958"/>
      <c r="CS103" s="958"/>
      <c r="CT103" s="958"/>
      <c r="CU103" s="958"/>
      <c r="CV103" s="958"/>
      <c r="CW103" s="958"/>
      <c r="CX103" s="958"/>
      <c r="CY103" s="958"/>
      <c r="CZ103" s="958"/>
      <c r="DA103" s="958"/>
      <c r="DB103" s="958"/>
      <c r="DC103" s="958"/>
      <c r="DD103" s="958"/>
      <c r="DE103" s="958"/>
      <c r="DF103" s="958"/>
      <c r="DG103" s="958"/>
      <c r="DH103" s="958"/>
      <c r="DI103" s="958"/>
      <c r="DJ103" s="958"/>
      <c r="DK103" s="958"/>
      <c r="DL103" s="958"/>
      <c r="DM103" s="958"/>
      <c r="DN103" s="958"/>
      <c r="DO103" s="958"/>
      <c r="DP103" s="958"/>
      <c r="DQ103" s="958"/>
      <c r="DR103" s="958"/>
      <c r="DS103" s="958"/>
      <c r="DT103" s="958"/>
      <c r="DU103" s="958"/>
      <c r="DV103" s="958"/>
      <c r="DW103" s="958"/>
      <c r="DX103" s="958"/>
      <c r="DY103" s="958"/>
      <c r="DZ103" s="958"/>
      <c r="EA103" s="958"/>
      <c r="EB103" s="958"/>
      <c r="EC103" s="958"/>
      <c r="ED103" s="958"/>
      <c r="EE103" s="958"/>
      <c r="EF103" s="958"/>
      <c r="EG103" s="958"/>
      <c r="EH103" s="958"/>
      <c r="EI103" s="958"/>
      <c r="EJ103" s="958"/>
      <c r="EK103" s="958"/>
      <c r="EL103" s="958"/>
      <c r="EM103" s="958"/>
      <c r="EN103" s="958"/>
      <c r="EO103" s="958"/>
      <c r="EP103" s="958"/>
      <c r="EQ103" s="958"/>
      <c r="ER103" s="958"/>
      <c r="ES103" s="958"/>
      <c r="ET103" s="958"/>
      <c r="EU103" s="958"/>
      <c r="EV103" s="958"/>
      <c r="EW103" s="958"/>
      <c r="EX103" s="958"/>
      <c r="EY103" s="958"/>
      <c r="EZ103" s="958"/>
      <c r="FA103" s="958"/>
      <c r="FB103" s="958"/>
      <c r="FC103" s="958"/>
      <c r="FD103" s="958"/>
      <c r="FE103" s="958"/>
      <c r="FF103" s="958"/>
      <c r="FG103" s="958"/>
      <c r="FH103" s="958"/>
      <c r="FI103" s="958"/>
      <c r="FJ103" s="958"/>
      <c r="FK103" s="958"/>
      <c r="FL103" s="958"/>
      <c r="FM103" s="958"/>
      <c r="FN103" s="958"/>
      <c r="FO103" s="958"/>
      <c r="FP103" s="958"/>
      <c r="FQ103" s="958"/>
      <c r="FR103" s="958"/>
      <c r="FS103" s="958"/>
      <c r="FT103" s="958"/>
      <c r="FU103" s="958"/>
      <c r="FV103" s="958"/>
      <c r="FW103" s="958"/>
      <c r="FX103" s="958"/>
      <c r="FY103" s="958"/>
      <c r="FZ103" s="958"/>
      <c r="GA103" s="958"/>
      <c r="GB103" s="958"/>
      <c r="GC103" s="958"/>
      <c r="GD103" s="958"/>
      <c r="GE103" s="958"/>
      <c r="GF103" s="958"/>
      <c r="GG103" s="958"/>
      <c r="GH103" s="958"/>
      <c r="GI103" s="958"/>
      <c r="GJ103" s="958"/>
      <c r="GK103" s="958"/>
      <c r="GL103" s="958"/>
      <c r="GM103" s="958"/>
      <c r="GN103" s="958"/>
      <c r="GO103" s="958"/>
      <c r="GP103" s="958"/>
      <c r="GQ103" s="958"/>
      <c r="GR103" s="958"/>
      <c r="GS103" s="958"/>
      <c r="GT103" s="958"/>
      <c r="GU103" s="958"/>
      <c r="GV103" s="958"/>
      <c r="GW103" s="958"/>
      <c r="GX103" s="958"/>
      <c r="GY103" s="958"/>
      <c r="GZ103" s="958"/>
      <c r="HA103" s="958"/>
      <c r="HB103" s="958"/>
      <c r="HC103" s="958"/>
      <c r="HD103" s="958"/>
      <c r="HE103" s="958"/>
      <c r="HF103" s="958"/>
      <c r="HG103" s="958"/>
      <c r="HH103" s="958"/>
      <c r="HI103" s="958"/>
      <c r="HJ103" s="958"/>
      <c r="HK103" s="958"/>
      <c r="HL103" s="958"/>
      <c r="HM103" s="958"/>
      <c r="HN103" s="958"/>
      <c r="HO103" s="958"/>
      <c r="HP103" s="958"/>
      <c r="HQ103" s="958"/>
      <c r="HR103" s="958"/>
      <c r="HS103" s="958"/>
      <c r="HT103" s="958"/>
      <c r="HU103" s="958"/>
      <c r="HV103" s="958"/>
      <c r="HW103" s="958"/>
      <c r="HX103" s="958"/>
      <c r="HY103" s="958"/>
      <c r="HZ103" s="958"/>
      <c r="IA103" s="958"/>
      <c r="IB103" s="958"/>
      <c r="IC103" s="958"/>
      <c r="ID103" s="958"/>
      <c r="IE103" s="958"/>
      <c r="IF103" s="958"/>
      <c r="IG103" s="958"/>
      <c r="IH103" s="958"/>
      <c r="II103" s="958"/>
      <c r="IJ103" s="958"/>
      <c r="IK103" s="958"/>
      <c r="IL103" s="958"/>
      <c r="IM103" s="958"/>
      <c r="IN103" s="958"/>
      <c r="IO103" s="958"/>
      <c r="IP103" s="958"/>
      <c r="IQ103" s="958"/>
      <c r="IR103" s="958"/>
      <c r="IS103" s="958"/>
      <c r="IT103" s="958"/>
      <c r="IU103" s="958"/>
      <c r="IV103" s="958"/>
    </row>
    <row r="104" spans="1:256" ht="6.75" customHeight="1" thickTop="1">
      <c r="A104" s="1018"/>
      <c r="B104" s="1063"/>
      <c r="C104" s="1063"/>
      <c r="D104" s="1063"/>
      <c r="E104" s="1063"/>
      <c r="F104" s="1063"/>
      <c r="G104" s="1018"/>
      <c r="H104" s="1018"/>
      <c r="I104" s="1064"/>
      <c r="J104" s="1064"/>
      <c r="K104" s="958"/>
      <c r="L104" s="958"/>
      <c r="M104" s="958"/>
      <c r="N104" s="958"/>
      <c r="O104" s="958"/>
      <c r="P104" s="958"/>
      <c r="Q104" s="958"/>
      <c r="R104" s="958"/>
      <c r="S104" s="958"/>
      <c r="T104" s="958"/>
      <c r="U104" s="958"/>
      <c r="V104" s="958"/>
      <c r="W104" s="958"/>
      <c r="X104" s="958"/>
      <c r="Y104" s="958"/>
      <c r="Z104" s="958"/>
      <c r="AA104" s="958"/>
      <c r="AB104" s="958"/>
      <c r="AC104" s="958"/>
      <c r="AD104" s="958"/>
      <c r="AE104" s="958"/>
      <c r="AF104" s="958"/>
      <c r="AG104" s="958"/>
      <c r="AH104" s="958"/>
      <c r="AI104" s="958"/>
      <c r="AJ104" s="958"/>
      <c r="AK104" s="958"/>
      <c r="AL104" s="958"/>
      <c r="AM104" s="958"/>
      <c r="AN104" s="958"/>
      <c r="AO104" s="958"/>
      <c r="AP104" s="958"/>
      <c r="AQ104" s="958"/>
      <c r="AR104" s="958"/>
      <c r="AS104" s="958"/>
      <c r="AT104" s="958"/>
      <c r="AU104" s="958"/>
      <c r="AV104" s="958"/>
      <c r="AW104" s="958"/>
      <c r="AX104" s="958"/>
      <c r="AY104" s="958"/>
      <c r="AZ104" s="958"/>
      <c r="BA104" s="958"/>
      <c r="BB104" s="958"/>
      <c r="BC104" s="958"/>
      <c r="BD104" s="958"/>
      <c r="BE104" s="958"/>
      <c r="BF104" s="958"/>
      <c r="BG104" s="958"/>
      <c r="BH104" s="958"/>
      <c r="BI104" s="958"/>
      <c r="BJ104" s="958"/>
      <c r="BK104" s="958"/>
      <c r="BL104" s="958"/>
      <c r="BM104" s="958"/>
      <c r="BN104" s="958"/>
      <c r="BO104" s="958"/>
      <c r="BP104" s="958"/>
      <c r="BQ104" s="958"/>
      <c r="BR104" s="958"/>
      <c r="BS104" s="958"/>
      <c r="BT104" s="958"/>
      <c r="BU104" s="958"/>
      <c r="BV104" s="958"/>
      <c r="BW104" s="958"/>
      <c r="BX104" s="958"/>
      <c r="BY104" s="958"/>
      <c r="BZ104" s="958"/>
      <c r="CA104" s="958"/>
      <c r="CB104" s="958"/>
      <c r="CC104" s="958"/>
      <c r="CD104" s="958"/>
      <c r="CE104" s="958"/>
      <c r="CF104" s="958"/>
      <c r="CG104" s="958"/>
      <c r="CH104" s="958"/>
      <c r="CI104" s="958"/>
      <c r="CJ104" s="958"/>
      <c r="CK104" s="958"/>
      <c r="CL104" s="958"/>
      <c r="CM104" s="958"/>
      <c r="CN104" s="958"/>
      <c r="CO104" s="958"/>
      <c r="CP104" s="958"/>
      <c r="CQ104" s="958"/>
      <c r="CR104" s="958"/>
      <c r="CS104" s="958"/>
      <c r="CT104" s="958"/>
      <c r="CU104" s="958"/>
      <c r="CV104" s="958"/>
      <c r="CW104" s="958"/>
      <c r="CX104" s="958"/>
      <c r="CY104" s="958"/>
      <c r="CZ104" s="958"/>
      <c r="DA104" s="958"/>
      <c r="DB104" s="958"/>
      <c r="DC104" s="958"/>
      <c r="DD104" s="958"/>
      <c r="DE104" s="958"/>
      <c r="DF104" s="958"/>
      <c r="DG104" s="958"/>
      <c r="DH104" s="958"/>
      <c r="DI104" s="958"/>
      <c r="DJ104" s="958"/>
      <c r="DK104" s="958"/>
      <c r="DL104" s="958"/>
      <c r="DM104" s="958"/>
      <c r="DN104" s="958"/>
      <c r="DO104" s="958"/>
      <c r="DP104" s="958"/>
      <c r="DQ104" s="958"/>
      <c r="DR104" s="958"/>
      <c r="DS104" s="958"/>
      <c r="DT104" s="958"/>
      <c r="DU104" s="958"/>
      <c r="DV104" s="958"/>
      <c r="DW104" s="958"/>
      <c r="DX104" s="958"/>
      <c r="DY104" s="958"/>
      <c r="DZ104" s="958"/>
      <c r="EA104" s="958"/>
      <c r="EB104" s="958"/>
      <c r="EC104" s="958"/>
      <c r="ED104" s="958"/>
      <c r="EE104" s="958"/>
      <c r="EF104" s="958"/>
      <c r="EG104" s="958"/>
      <c r="EH104" s="958"/>
      <c r="EI104" s="958"/>
      <c r="EJ104" s="958"/>
      <c r="EK104" s="958"/>
      <c r="EL104" s="958"/>
      <c r="EM104" s="958"/>
      <c r="EN104" s="958"/>
      <c r="EO104" s="958"/>
      <c r="EP104" s="958"/>
      <c r="EQ104" s="958"/>
      <c r="ER104" s="958"/>
      <c r="ES104" s="958"/>
      <c r="ET104" s="958"/>
      <c r="EU104" s="958"/>
      <c r="EV104" s="958"/>
      <c r="EW104" s="958"/>
      <c r="EX104" s="958"/>
      <c r="EY104" s="958"/>
      <c r="EZ104" s="958"/>
      <c r="FA104" s="958"/>
      <c r="FB104" s="958"/>
      <c r="FC104" s="958"/>
      <c r="FD104" s="958"/>
      <c r="FE104" s="958"/>
      <c r="FF104" s="958"/>
      <c r="FG104" s="958"/>
      <c r="FH104" s="958"/>
      <c r="FI104" s="958"/>
      <c r="FJ104" s="958"/>
      <c r="FK104" s="958"/>
      <c r="FL104" s="958"/>
      <c r="FM104" s="958"/>
      <c r="FN104" s="958"/>
      <c r="FO104" s="958"/>
      <c r="FP104" s="958"/>
      <c r="FQ104" s="958"/>
      <c r="FR104" s="958"/>
      <c r="FS104" s="958"/>
      <c r="FT104" s="958"/>
      <c r="FU104" s="958"/>
      <c r="FV104" s="958"/>
      <c r="FW104" s="958"/>
      <c r="FX104" s="958"/>
      <c r="FY104" s="958"/>
      <c r="FZ104" s="958"/>
      <c r="GA104" s="958"/>
      <c r="GB104" s="958"/>
      <c r="GC104" s="958"/>
      <c r="GD104" s="958"/>
      <c r="GE104" s="958"/>
      <c r="GF104" s="958"/>
      <c r="GG104" s="958"/>
      <c r="GH104" s="958"/>
      <c r="GI104" s="958"/>
      <c r="GJ104" s="958"/>
      <c r="GK104" s="958"/>
      <c r="GL104" s="958"/>
      <c r="GM104" s="958"/>
      <c r="GN104" s="958"/>
      <c r="GO104" s="958"/>
      <c r="GP104" s="958"/>
      <c r="GQ104" s="958"/>
      <c r="GR104" s="958"/>
      <c r="GS104" s="958"/>
      <c r="GT104" s="958"/>
      <c r="GU104" s="958"/>
      <c r="GV104" s="958"/>
      <c r="GW104" s="958"/>
      <c r="GX104" s="958"/>
      <c r="GY104" s="958"/>
      <c r="GZ104" s="958"/>
      <c r="HA104" s="958"/>
      <c r="HB104" s="958"/>
      <c r="HC104" s="958"/>
      <c r="HD104" s="958"/>
      <c r="HE104" s="958"/>
      <c r="HF104" s="958"/>
      <c r="HG104" s="958"/>
      <c r="HH104" s="958"/>
      <c r="HI104" s="958"/>
      <c r="HJ104" s="958"/>
      <c r="HK104" s="958"/>
      <c r="HL104" s="958"/>
      <c r="HM104" s="958"/>
      <c r="HN104" s="958"/>
      <c r="HO104" s="958"/>
      <c r="HP104" s="958"/>
      <c r="HQ104" s="958"/>
      <c r="HR104" s="958"/>
      <c r="HS104" s="958"/>
      <c r="HT104" s="958"/>
      <c r="HU104" s="958"/>
      <c r="HV104" s="958"/>
      <c r="HW104" s="958"/>
      <c r="HX104" s="958"/>
      <c r="HY104" s="958"/>
      <c r="HZ104" s="958"/>
      <c r="IA104" s="958"/>
      <c r="IB104" s="958"/>
      <c r="IC104" s="958"/>
      <c r="ID104" s="958"/>
      <c r="IE104" s="958"/>
      <c r="IF104" s="958"/>
      <c r="IG104" s="958"/>
      <c r="IH104" s="958"/>
      <c r="II104" s="958"/>
      <c r="IJ104" s="958"/>
      <c r="IK104" s="958"/>
      <c r="IL104" s="958"/>
      <c r="IM104" s="958"/>
      <c r="IN104" s="958"/>
      <c r="IO104" s="958"/>
      <c r="IP104" s="958"/>
      <c r="IQ104" s="958"/>
      <c r="IR104" s="958"/>
      <c r="IS104" s="958"/>
      <c r="IT104" s="958"/>
      <c r="IU104" s="958"/>
      <c r="IV104" s="958"/>
    </row>
    <row r="105" spans="1:256" s="1021" customFormat="1" ht="10.5" customHeight="1">
      <c r="A105" s="1018" t="s">
        <v>882</v>
      </c>
      <c r="B105" s="944"/>
      <c r="C105" s="944"/>
      <c r="D105" s="944"/>
      <c r="E105" s="944"/>
      <c r="F105" s="944"/>
      <c r="G105" s="1065"/>
      <c r="H105" s="1065"/>
      <c r="I105" s="1065"/>
      <c r="J105" s="1065"/>
      <c r="K105" s="1020"/>
      <c r="L105" s="1020"/>
      <c r="M105" s="1020"/>
      <c r="N105" s="1020"/>
      <c r="O105" s="1020"/>
      <c r="P105" s="1020"/>
      <c r="Q105" s="1020"/>
      <c r="R105" s="1020"/>
      <c r="S105" s="1020"/>
      <c r="T105" s="1020"/>
      <c r="U105" s="1020"/>
      <c r="V105" s="1020"/>
      <c r="W105" s="1020"/>
      <c r="X105" s="1020"/>
      <c r="Y105" s="1020"/>
      <c r="Z105" s="1020"/>
      <c r="AA105" s="1020"/>
      <c r="AB105" s="1020"/>
      <c r="AC105" s="1020"/>
      <c r="AD105" s="1020"/>
      <c r="AE105" s="1020"/>
      <c r="AF105" s="1020"/>
      <c r="AG105" s="1020"/>
      <c r="AH105" s="1020"/>
      <c r="AI105" s="1020"/>
      <c r="AJ105" s="1020"/>
      <c r="AK105" s="1020"/>
      <c r="AL105" s="1020"/>
      <c r="AM105" s="1020"/>
      <c r="AN105" s="1020"/>
      <c r="AO105" s="1020"/>
      <c r="AP105" s="1020"/>
      <c r="AQ105" s="1020"/>
      <c r="AR105" s="1020"/>
      <c r="AS105" s="1020"/>
      <c r="AT105" s="1020"/>
      <c r="AU105" s="1020"/>
      <c r="AV105" s="1020"/>
      <c r="AW105" s="1020"/>
      <c r="AX105" s="1020"/>
      <c r="AY105" s="1020"/>
      <c r="AZ105" s="1020"/>
      <c r="BA105" s="1020"/>
      <c r="BB105" s="1020"/>
      <c r="BC105" s="1020"/>
      <c r="BD105" s="1020"/>
      <c r="BE105" s="1020"/>
      <c r="BF105" s="1020"/>
      <c r="BG105" s="1020"/>
      <c r="BH105" s="1020"/>
      <c r="BI105" s="1020"/>
      <c r="BJ105" s="1020"/>
      <c r="BK105" s="1020"/>
      <c r="BL105" s="1020"/>
      <c r="BM105" s="1020"/>
      <c r="BN105" s="1020"/>
      <c r="BO105" s="1020"/>
      <c r="BP105" s="1020"/>
      <c r="BQ105" s="1020"/>
      <c r="BR105" s="1020"/>
      <c r="BS105" s="1020"/>
      <c r="BT105" s="1020"/>
      <c r="BU105" s="1020"/>
      <c r="BV105" s="1020"/>
      <c r="BW105" s="1020"/>
      <c r="BX105" s="1020"/>
      <c r="BY105" s="1020"/>
      <c r="BZ105" s="1020"/>
      <c r="CA105" s="1020"/>
      <c r="CB105" s="1020"/>
      <c r="CC105" s="1020"/>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c r="EC105" s="1020"/>
      <c r="ED105" s="1020"/>
      <c r="EE105" s="1020"/>
      <c r="EF105" s="1020"/>
      <c r="EG105" s="1020"/>
      <c r="EH105" s="1020"/>
      <c r="EI105" s="1020"/>
      <c r="EJ105" s="1020"/>
      <c r="EK105" s="1020"/>
      <c r="EL105" s="1020"/>
      <c r="EM105" s="1020"/>
      <c r="EN105" s="1020"/>
      <c r="EO105" s="1020"/>
      <c r="EP105" s="1020"/>
      <c r="EQ105" s="1020"/>
      <c r="ER105" s="1020"/>
      <c r="ES105" s="1020"/>
      <c r="ET105" s="1020"/>
      <c r="EU105" s="1020"/>
      <c r="EV105" s="1020"/>
      <c r="EW105" s="1020"/>
      <c r="EX105" s="1020"/>
      <c r="EY105" s="1020"/>
      <c r="EZ105" s="1020"/>
      <c r="FA105" s="1020"/>
      <c r="FB105" s="1020"/>
      <c r="FC105" s="1020"/>
      <c r="FD105" s="1020"/>
      <c r="FE105" s="1020"/>
      <c r="FF105" s="1020"/>
      <c r="FG105" s="1020"/>
      <c r="FH105" s="1020"/>
      <c r="FI105" s="1020"/>
      <c r="FJ105" s="1020"/>
      <c r="FK105" s="1020"/>
      <c r="FL105" s="1020"/>
      <c r="FM105" s="1020"/>
      <c r="FN105" s="1020"/>
      <c r="FO105" s="1020"/>
      <c r="FP105" s="1020"/>
      <c r="FQ105" s="1020"/>
      <c r="FR105" s="1020"/>
      <c r="FS105" s="1020"/>
      <c r="FT105" s="1020"/>
      <c r="FU105" s="1020"/>
      <c r="FV105" s="1020"/>
      <c r="FW105" s="1020"/>
      <c r="FX105" s="1020"/>
      <c r="FY105" s="1020"/>
      <c r="FZ105" s="1020"/>
      <c r="GA105" s="1020"/>
      <c r="GB105" s="1020"/>
      <c r="GC105" s="1020"/>
      <c r="GD105" s="1020"/>
      <c r="GE105" s="1020"/>
      <c r="GF105" s="1020"/>
      <c r="GG105" s="1020"/>
      <c r="GH105" s="1020"/>
      <c r="GI105" s="1020"/>
      <c r="GJ105" s="1020"/>
      <c r="GK105" s="1020"/>
      <c r="GL105" s="1020"/>
      <c r="GM105" s="1020"/>
      <c r="GN105" s="1020"/>
      <c r="GO105" s="1020"/>
      <c r="GP105" s="1020"/>
      <c r="GQ105" s="1020"/>
      <c r="GR105" s="1020"/>
      <c r="GS105" s="1020"/>
      <c r="GT105" s="1020"/>
      <c r="GU105" s="1020"/>
      <c r="GV105" s="1020"/>
      <c r="GW105" s="1020"/>
      <c r="GX105" s="1020"/>
      <c r="GY105" s="1020"/>
      <c r="GZ105" s="1020"/>
      <c r="HA105" s="1020"/>
      <c r="HB105" s="1020"/>
      <c r="HC105" s="1020"/>
      <c r="HD105" s="1020"/>
      <c r="HE105" s="1020"/>
      <c r="HF105" s="1020"/>
      <c r="HG105" s="1020"/>
      <c r="HH105" s="1020"/>
      <c r="HI105" s="1020"/>
      <c r="HJ105" s="1020"/>
      <c r="HK105" s="1020"/>
      <c r="HL105" s="1020"/>
      <c r="HM105" s="1020"/>
      <c r="HN105" s="1020"/>
      <c r="HO105" s="1020"/>
      <c r="HP105" s="1020"/>
      <c r="HQ105" s="1020"/>
      <c r="HR105" s="1020"/>
      <c r="HS105" s="1020"/>
      <c r="HT105" s="1020"/>
      <c r="HU105" s="1020"/>
      <c r="HV105" s="1020"/>
      <c r="HW105" s="1020"/>
      <c r="HX105" s="1020"/>
      <c r="HY105" s="1020"/>
      <c r="HZ105" s="1020"/>
      <c r="IA105" s="1020"/>
      <c r="IB105" s="1020"/>
      <c r="IC105" s="1020"/>
      <c r="ID105" s="1020"/>
      <c r="IE105" s="1020"/>
      <c r="IF105" s="1020"/>
      <c r="IG105" s="1020"/>
      <c r="IH105" s="1020"/>
      <c r="II105" s="1020"/>
      <c r="IJ105" s="1020"/>
      <c r="IK105" s="1020"/>
      <c r="IL105" s="1020"/>
      <c r="IM105" s="1020"/>
      <c r="IN105" s="1020"/>
      <c r="IO105" s="1020"/>
      <c r="IP105" s="1020"/>
      <c r="IQ105" s="1020"/>
      <c r="IR105" s="1020"/>
      <c r="IS105" s="1020"/>
      <c r="IT105" s="1020"/>
      <c r="IU105" s="1020"/>
      <c r="IV105" s="1020"/>
    </row>
    <row r="106" spans="1:256" s="1021" customFormat="1" ht="10.5" customHeight="1">
      <c r="A106" s="1018" t="s">
        <v>883</v>
      </c>
      <c r="B106" s="944"/>
      <c r="C106" s="944"/>
      <c r="D106" s="944"/>
      <c r="E106" s="944"/>
      <c r="F106" s="944"/>
      <c r="G106" s="1065"/>
      <c r="H106" s="1065"/>
      <c r="I106" s="1065"/>
      <c r="J106" s="1065"/>
      <c r="K106" s="1020"/>
      <c r="L106" s="1020"/>
      <c r="M106" s="1020"/>
      <c r="N106" s="1020"/>
      <c r="O106" s="1020"/>
      <c r="P106" s="1020"/>
      <c r="Q106" s="1020"/>
      <c r="R106" s="1020"/>
      <c r="S106" s="1020"/>
      <c r="T106" s="1020"/>
      <c r="U106" s="1020"/>
      <c r="V106" s="1020"/>
      <c r="W106" s="1020"/>
      <c r="X106" s="1020"/>
      <c r="Y106" s="1020"/>
      <c r="Z106" s="1020"/>
      <c r="AA106" s="1020"/>
      <c r="AB106" s="1020"/>
      <c r="AC106" s="1020"/>
      <c r="AD106" s="1020"/>
      <c r="AE106" s="1020"/>
      <c r="AF106" s="1020"/>
      <c r="AG106" s="1020"/>
      <c r="AH106" s="1020"/>
      <c r="AI106" s="1020"/>
      <c r="AJ106" s="1020"/>
      <c r="AK106" s="1020"/>
      <c r="AL106" s="1020"/>
      <c r="AM106" s="1020"/>
      <c r="AN106" s="1020"/>
      <c r="AO106" s="1020"/>
      <c r="AP106" s="1020"/>
      <c r="AQ106" s="1020"/>
      <c r="AR106" s="1020"/>
      <c r="AS106" s="1020"/>
      <c r="AT106" s="1020"/>
      <c r="AU106" s="1020"/>
      <c r="AV106" s="1020"/>
      <c r="AW106" s="1020"/>
      <c r="AX106" s="1020"/>
      <c r="AY106" s="1020"/>
      <c r="AZ106" s="1020"/>
      <c r="BA106" s="1020"/>
      <c r="BB106" s="1020"/>
      <c r="BC106" s="1020"/>
      <c r="BD106" s="1020"/>
      <c r="BE106" s="1020"/>
      <c r="BF106" s="1020"/>
      <c r="BG106" s="1020"/>
      <c r="BH106" s="1020"/>
      <c r="BI106" s="1020"/>
      <c r="BJ106" s="1020"/>
      <c r="BK106" s="1020"/>
      <c r="BL106" s="1020"/>
      <c r="BM106" s="1020"/>
      <c r="BN106" s="1020"/>
      <c r="BO106" s="1020"/>
      <c r="BP106" s="1020"/>
      <c r="BQ106" s="1020"/>
      <c r="BR106" s="1020"/>
      <c r="BS106" s="1020"/>
      <c r="BT106" s="1020"/>
      <c r="BU106" s="1020"/>
      <c r="BV106" s="1020"/>
      <c r="BW106" s="1020"/>
      <c r="BX106" s="1020"/>
      <c r="BY106" s="1020"/>
      <c r="BZ106" s="1020"/>
      <c r="CA106" s="1020"/>
      <c r="CB106" s="1020"/>
      <c r="CC106" s="1020"/>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c r="EC106" s="1020"/>
      <c r="ED106" s="1020"/>
      <c r="EE106" s="1020"/>
      <c r="EF106" s="1020"/>
      <c r="EG106" s="1020"/>
      <c r="EH106" s="1020"/>
      <c r="EI106" s="1020"/>
      <c r="EJ106" s="1020"/>
      <c r="EK106" s="1020"/>
      <c r="EL106" s="1020"/>
      <c r="EM106" s="1020"/>
      <c r="EN106" s="1020"/>
      <c r="EO106" s="1020"/>
      <c r="EP106" s="1020"/>
      <c r="EQ106" s="1020"/>
      <c r="ER106" s="1020"/>
      <c r="ES106" s="1020"/>
      <c r="ET106" s="1020"/>
      <c r="EU106" s="1020"/>
      <c r="EV106" s="1020"/>
      <c r="EW106" s="1020"/>
      <c r="EX106" s="1020"/>
      <c r="EY106" s="1020"/>
      <c r="EZ106" s="1020"/>
      <c r="FA106" s="1020"/>
      <c r="FB106" s="1020"/>
      <c r="FC106" s="1020"/>
      <c r="FD106" s="1020"/>
      <c r="FE106" s="1020"/>
      <c r="FF106" s="1020"/>
      <c r="FG106" s="1020"/>
      <c r="FH106" s="1020"/>
      <c r="FI106" s="1020"/>
      <c r="FJ106" s="1020"/>
      <c r="FK106" s="1020"/>
      <c r="FL106" s="1020"/>
      <c r="FM106" s="1020"/>
      <c r="FN106" s="1020"/>
      <c r="FO106" s="1020"/>
      <c r="FP106" s="1020"/>
      <c r="FQ106" s="1020"/>
      <c r="FR106" s="1020"/>
      <c r="FS106" s="1020"/>
      <c r="FT106" s="1020"/>
      <c r="FU106" s="1020"/>
      <c r="FV106" s="1020"/>
      <c r="FW106" s="1020"/>
      <c r="FX106" s="1020"/>
      <c r="FY106" s="1020"/>
      <c r="FZ106" s="1020"/>
      <c r="GA106" s="1020"/>
      <c r="GB106" s="1020"/>
      <c r="GC106" s="1020"/>
      <c r="GD106" s="1020"/>
      <c r="GE106" s="1020"/>
      <c r="GF106" s="1020"/>
      <c r="GG106" s="1020"/>
      <c r="GH106" s="1020"/>
      <c r="GI106" s="1020"/>
      <c r="GJ106" s="1020"/>
      <c r="GK106" s="1020"/>
      <c r="GL106" s="1020"/>
      <c r="GM106" s="1020"/>
      <c r="GN106" s="1020"/>
      <c r="GO106" s="1020"/>
      <c r="GP106" s="1020"/>
      <c r="GQ106" s="1020"/>
      <c r="GR106" s="1020"/>
      <c r="GS106" s="1020"/>
      <c r="GT106" s="1020"/>
      <c r="GU106" s="1020"/>
      <c r="GV106" s="1020"/>
      <c r="GW106" s="1020"/>
      <c r="GX106" s="1020"/>
      <c r="GY106" s="1020"/>
      <c r="GZ106" s="1020"/>
      <c r="HA106" s="1020"/>
      <c r="HB106" s="1020"/>
      <c r="HC106" s="1020"/>
      <c r="HD106" s="1020"/>
      <c r="HE106" s="1020"/>
      <c r="HF106" s="1020"/>
      <c r="HG106" s="1020"/>
      <c r="HH106" s="1020"/>
      <c r="HI106" s="1020"/>
      <c r="HJ106" s="1020"/>
      <c r="HK106" s="1020"/>
      <c r="HL106" s="1020"/>
      <c r="HM106" s="1020"/>
      <c r="HN106" s="1020"/>
      <c r="HO106" s="1020"/>
      <c r="HP106" s="1020"/>
      <c r="HQ106" s="1020"/>
      <c r="HR106" s="1020"/>
      <c r="HS106" s="1020"/>
      <c r="HT106" s="1020"/>
      <c r="HU106" s="1020"/>
      <c r="HV106" s="1020"/>
      <c r="HW106" s="1020"/>
      <c r="HX106" s="1020"/>
      <c r="HY106" s="1020"/>
      <c r="HZ106" s="1020"/>
      <c r="IA106" s="1020"/>
      <c r="IB106" s="1020"/>
      <c r="IC106" s="1020"/>
      <c r="ID106" s="1020"/>
      <c r="IE106" s="1020"/>
      <c r="IF106" s="1020"/>
      <c r="IG106" s="1020"/>
      <c r="IH106" s="1020"/>
      <c r="II106" s="1020"/>
      <c r="IJ106" s="1020"/>
      <c r="IK106" s="1020"/>
      <c r="IL106" s="1020"/>
      <c r="IM106" s="1020"/>
      <c r="IN106" s="1020"/>
      <c r="IO106" s="1020"/>
      <c r="IP106" s="1020"/>
      <c r="IQ106" s="1020"/>
      <c r="IR106" s="1020"/>
      <c r="IS106" s="1020"/>
      <c r="IT106" s="1020"/>
      <c r="IU106" s="1020"/>
      <c r="IV106" s="1020"/>
    </row>
    <row r="107" spans="1:256" s="1021" customFormat="1" ht="10.5" customHeight="1">
      <c r="A107" s="1018" t="s">
        <v>884</v>
      </c>
      <c r="B107" s="944"/>
      <c r="C107" s="944"/>
      <c r="D107" s="944"/>
      <c r="E107" s="944"/>
      <c r="F107" s="944"/>
      <c r="G107" s="1065"/>
      <c r="H107" s="1065"/>
      <c r="I107" s="1065"/>
      <c r="J107" s="1065"/>
      <c r="K107" s="1020"/>
      <c r="L107" s="1020"/>
      <c r="M107" s="1020"/>
      <c r="N107" s="1020"/>
      <c r="O107" s="1020"/>
      <c r="P107" s="1020"/>
      <c r="Q107" s="1020"/>
      <c r="R107" s="1020"/>
      <c r="S107" s="1020"/>
      <c r="T107" s="1020"/>
      <c r="U107" s="1020"/>
      <c r="V107" s="1020"/>
      <c r="W107" s="1020"/>
      <c r="X107" s="1020"/>
      <c r="Y107" s="1020"/>
      <c r="Z107" s="1020"/>
      <c r="AA107" s="1020"/>
      <c r="AB107" s="1020"/>
      <c r="AC107" s="1020"/>
      <c r="AD107" s="1020"/>
      <c r="AE107" s="1020"/>
      <c r="AF107" s="1020"/>
      <c r="AG107" s="1020"/>
      <c r="AH107" s="1020"/>
      <c r="AI107" s="1020"/>
      <c r="AJ107" s="1020"/>
      <c r="AK107" s="1020"/>
      <c r="AL107" s="1020"/>
      <c r="AM107" s="1020"/>
      <c r="AN107" s="1020"/>
      <c r="AO107" s="1020"/>
      <c r="AP107" s="1020"/>
      <c r="AQ107" s="1020"/>
      <c r="AR107" s="1020"/>
      <c r="AS107" s="1020"/>
      <c r="AT107" s="1020"/>
      <c r="AU107" s="1020"/>
      <c r="AV107" s="1020"/>
      <c r="AW107" s="1020"/>
      <c r="AX107" s="1020"/>
      <c r="AY107" s="1020"/>
      <c r="AZ107" s="1020"/>
      <c r="BA107" s="1020"/>
      <c r="BB107" s="1020"/>
      <c r="BC107" s="1020"/>
      <c r="BD107" s="1020"/>
      <c r="BE107" s="1020"/>
      <c r="BF107" s="1020"/>
      <c r="BG107" s="1020"/>
      <c r="BH107" s="1020"/>
      <c r="BI107" s="1020"/>
      <c r="BJ107" s="1020"/>
      <c r="BK107" s="1020"/>
      <c r="BL107" s="1020"/>
      <c r="BM107" s="1020"/>
      <c r="BN107" s="1020"/>
      <c r="BO107" s="1020"/>
      <c r="BP107" s="1020"/>
      <c r="BQ107" s="1020"/>
      <c r="BR107" s="1020"/>
      <c r="BS107" s="1020"/>
      <c r="BT107" s="1020"/>
      <c r="BU107" s="1020"/>
      <c r="BV107" s="1020"/>
      <c r="BW107" s="1020"/>
      <c r="BX107" s="1020"/>
      <c r="BY107" s="1020"/>
      <c r="BZ107" s="1020"/>
      <c r="CA107" s="1020"/>
      <c r="CB107" s="1020"/>
      <c r="CC107" s="1020"/>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c r="EC107" s="1020"/>
      <c r="ED107" s="1020"/>
      <c r="EE107" s="1020"/>
      <c r="EF107" s="1020"/>
      <c r="EG107" s="1020"/>
      <c r="EH107" s="1020"/>
      <c r="EI107" s="1020"/>
      <c r="EJ107" s="1020"/>
      <c r="EK107" s="1020"/>
      <c r="EL107" s="1020"/>
      <c r="EM107" s="1020"/>
      <c r="EN107" s="1020"/>
      <c r="EO107" s="1020"/>
      <c r="EP107" s="1020"/>
      <c r="EQ107" s="1020"/>
      <c r="ER107" s="1020"/>
      <c r="ES107" s="1020"/>
      <c r="ET107" s="1020"/>
      <c r="EU107" s="1020"/>
      <c r="EV107" s="1020"/>
      <c r="EW107" s="1020"/>
      <c r="EX107" s="1020"/>
      <c r="EY107" s="1020"/>
      <c r="EZ107" s="1020"/>
      <c r="FA107" s="1020"/>
      <c r="FB107" s="1020"/>
      <c r="FC107" s="1020"/>
      <c r="FD107" s="1020"/>
      <c r="FE107" s="1020"/>
      <c r="FF107" s="1020"/>
      <c r="FG107" s="1020"/>
      <c r="FH107" s="1020"/>
      <c r="FI107" s="1020"/>
      <c r="FJ107" s="1020"/>
      <c r="FK107" s="1020"/>
      <c r="FL107" s="1020"/>
      <c r="FM107" s="1020"/>
      <c r="FN107" s="1020"/>
      <c r="FO107" s="1020"/>
      <c r="FP107" s="1020"/>
      <c r="FQ107" s="1020"/>
      <c r="FR107" s="1020"/>
      <c r="FS107" s="1020"/>
      <c r="FT107" s="1020"/>
      <c r="FU107" s="1020"/>
      <c r="FV107" s="1020"/>
      <c r="FW107" s="1020"/>
      <c r="FX107" s="1020"/>
      <c r="FY107" s="1020"/>
      <c r="FZ107" s="1020"/>
      <c r="GA107" s="1020"/>
      <c r="GB107" s="1020"/>
      <c r="GC107" s="1020"/>
      <c r="GD107" s="1020"/>
      <c r="GE107" s="1020"/>
      <c r="GF107" s="1020"/>
      <c r="GG107" s="1020"/>
      <c r="GH107" s="1020"/>
      <c r="GI107" s="1020"/>
      <c r="GJ107" s="1020"/>
      <c r="GK107" s="1020"/>
      <c r="GL107" s="1020"/>
      <c r="GM107" s="1020"/>
      <c r="GN107" s="1020"/>
      <c r="GO107" s="1020"/>
      <c r="GP107" s="1020"/>
      <c r="GQ107" s="1020"/>
      <c r="GR107" s="1020"/>
      <c r="GS107" s="1020"/>
      <c r="GT107" s="1020"/>
      <c r="GU107" s="1020"/>
      <c r="GV107" s="1020"/>
      <c r="GW107" s="1020"/>
      <c r="GX107" s="1020"/>
      <c r="GY107" s="1020"/>
      <c r="GZ107" s="1020"/>
      <c r="HA107" s="1020"/>
      <c r="HB107" s="1020"/>
      <c r="HC107" s="1020"/>
      <c r="HD107" s="1020"/>
      <c r="HE107" s="1020"/>
      <c r="HF107" s="1020"/>
      <c r="HG107" s="1020"/>
      <c r="HH107" s="1020"/>
      <c r="HI107" s="1020"/>
      <c r="HJ107" s="1020"/>
      <c r="HK107" s="1020"/>
      <c r="HL107" s="1020"/>
      <c r="HM107" s="1020"/>
      <c r="HN107" s="1020"/>
      <c r="HO107" s="1020"/>
      <c r="HP107" s="1020"/>
      <c r="HQ107" s="1020"/>
      <c r="HR107" s="1020"/>
      <c r="HS107" s="1020"/>
      <c r="HT107" s="1020"/>
      <c r="HU107" s="1020"/>
      <c r="HV107" s="1020"/>
      <c r="HW107" s="1020"/>
      <c r="HX107" s="1020"/>
      <c r="HY107" s="1020"/>
      <c r="HZ107" s="1020"/>
      <c r="IA107" s="1020"/>
      <c r="IB107" s="1020"/>
      <c r="IC107" s="1020"/>
      <c r="ID107" s="1020"/>
      <c r="IE107" s="1020"/>
      <c r="IF107" s="1020"/>
      <c r="IG107" s="1020"/>
      <c r="IH107" s="1020"/>
      <c r="II107" s="1020"/>
      <c r="IJ107" s="1020"/>
      <c r="IK107" s="1020"/>
      <c r="IL107" s="1020"/>
      <c r="IM107" s="1020"/>
      <c r="IN107" s="1020"/>
      <c r="IO107" s="1020"/>
      <c r="IP107" s="1020"/>
      <c r="IQ107" s="1020"/>
      <c r="IR107" s="1020"/>
      <c r="IS107" s="1020"/>
      <c r="IT107" s="1020"/>
      <c r="IU107" s="1020"/>
      <c r="IV107" s="1020"/>
    </row>
    <row r="108" spans="1:256" s="1021" customFormat="1" ht="10.5" customHeight="1">
      <c r="A108" s="1018" t="s">
        <v>885</v>
      </c>
      <c r="B108" s="944"/>
      <c r="C108" s="944"/>
      <c r="D108" s="944"/>
      <c r="E108" s="944"/>
      <c r="F108" s="944"/>
      <c r="G108" s="1065"/>
      <c r="H108" s="1065"/>
      <c r="I108" s="1065"/>
      <c r="J108" s="1065"/>
      <c r="K108" s="1020"/>
      <c r="L108" s="1020"/>
      <c r="M108" s="1020"/>
      <c r="N108" s="1020"/>
      <c r="O108" s="1020"/>
      <c r="P108" s="1020"/>
      <c r="Q108" s="1020"/>
      <c r="R108" s="1020"/>
      <c r="S108" s="1020"/>
      <c r="T108" s="1020"/>
      <c r="U108" s="1020"/>
      <c r="V108" s="1020"/>
      <c r="W108" s="1020"/>
      <c r="X108" s="1020"/>
      <c r="Y108" s="1020"/>
      <c r="Z108" s="1020"/>
      <c r="AA108" s="1020"/>
      <c r="AB108" s="1020"/>
      <c r="AC108" s="1020"/>
      <c r="AD108" s="1020"/>
      <c r="AE108" s="1020"/>
      <c r="AF108" s="1020"/>
      <c r="AG108" s="1020"/>
      <c r="AH108" s="1020"/>
      <c r="AI108" s="1020"/>
      <c r="AJ108" s="1020"/>
      <c r="AK108" s="1020"/>
      <c r="AL108" s="1020"/>
      <c r="AM108" s="1020"/>
      <c r="AN108" s="1020"/>
      <c r="AO108" s="1020"/>
      <c r="AP108" s="1020"/>
      <c r="AQ108" s="1020"/>
      <c r="AR108" s="1020"/>
      <c r="AS108" s="1020"/>
      <c r="AT108" s="1020"/>
      <c r="AU108" s="1020"/>
      <c r="AV108" s="1020"/>
      <c r="AW108" s="1020"/>
      <c r="AX108" s="1020"/>
      <c r="AY108" s="1020"/>
      <c r="AZ108" s="1020"/>
      <c r="BA108" s="1020"/>
      <c r="BB108" s="1020"/>
      <c r="BC108" s="1020"/>
      <c r="BD108" s="1020"/>
      <c r="BE108" s="1020"/>
      <c r="BF108" s="1020"/>
      <c r="BG108" s="1020"/>
      <c r="BH108" s="1020"/>
      <c r="BI108" s="1020"/>
      <c r="BJ108" s="1020"/>
      <c r="BK108" s="1020"/>
      <c r="BL108" s="1020"/>
      <c r="BM108" s="1020"/>
      <c r="BN108" s="1020"/>
      <c r="BO108" s="1020"/>
      <c r="BP108" s="1020"/>
      <c r="BQ108" s="1020"/>
      <c r="BR108" s="1020"/>
      <c r="BS108" s="1020"/>
      <c r="BT108" s="1020"/>
      <c r="BU108" s="1020"/>
      <c r="BV108" s="1020"/>
      <c r="BW108" s="1020"/>
      <c r="BX108" s="1020"/>
      <c r="BY108" s="1020"/>
      <c r="BZ108" s="1020"/>
      <c r="CA108" s="1020"/>
      <c r="CB108" s="1020"/>
      <c r="CC108" s="1020"/>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c r="EC108" s="1020"/>
      <c r="ED108" s="1020"/>
      <c r="EE108" s="1020"/>
      <c r="EF108" s="1020"/>
      <c r="EG108" s="1020"/>
      <c r="EH108" s="1020"/>
      <c r="EI108" s="1020"/>
      <c r="EJ108" s="1020"/>
      <c r="EK108" s="1020"/>
      <c r="EL108" s="1020"/>
      <c r="EM108" s="1020"/>
      <c r="EN108" s="1020"/>
      <c r="EO108" s="1020"/>
      <c r="EP108" s="1020"/>
      <c r="EQ108" s="1020"/>
      <c r="ER108" s="1020"/>
      <c r="ES108" s="1020"/>
      <c r="ET108" s="1020"/>
      <c r="EU108" s="1020"/>
      <c r="EV108" s="1020"/>
      <c r="EW108" s="1020"/>
      <c r="EX108" s="1020"/>
      <c r="EY108" s="1020"/>
      <c r="EZ108" s="1020"/>
      <c r="FA108" s="1020"/>
      <c r="FB108" s="1020"/>
      <c r="FC108" s="1020"/>
      <c r="FD108" s="1020"/>
      <c r="FE108" s="1020"/>
      <c r="FF108" s="1020"/>
      <c r="FG108" s="1020"/>
      <c r="FH108" s="1020"/>
      <c r="FI108" s="1020"/>
      <c r="FJ108" s="1020"/>
      <c r="FK108" s="1020"/>
      <c r="FL108" s="1020"/>
      <c r="FM108" s="1020"/>
      <c r="FN108" s="1020"/>
      <c r="FO108" s="1020"/>
      <c r="FP108" s="1020"/>
      <c r="FQ108" s="1020"/>
      <c r="FR108" s="1020"/>
      <c r="FS108" s="1020"/>
      <c r="FT108" s="1020"/>
      <c r="FU108" s="1020"/>
      <c r="FV108" s="1020"/>
      <c r="FW108" s="1020"/>
      <c r="FX108" s="1020"/>
      <c r="FY108" s="1020"/>
      <c r="FZ108" s="1020"/>
      <c r="GA108" s="1020"/>
      <c r="GB108" s="1020"/>
      <c r="GC108" s="1020"/>
      <c r="GD108" s="1020"/>
      <c r="GE108" s="1020"/>
      <c r="GF108" s="1020"/>
      <c r="GG108" s="1020"/>
      <c r="GH108" s="1020"/>
      <c r="GI108" s="1020"/>
      <c r="GJ108" s="1020"/>
      <c r="GK108" s="1020"/>
      <c r="GL108" s="1020"/>
      <c r="GM108" s="1020"/>
      <c r="GN108" s="1020"/>
      <c r="GO108" s="1020"/>
      <c r="GP108" s="1020"/>
      <c r="GQ108" s="1020"/>
      <c r="GR108" s="1020"/>
      <c r="GS108" s="1020"/>
      <c r="GT108" s="1020"/>
      <c r="GU108" s="1020"/>
      <c r="GV108" s="1020"/>
      <c r="GW108" s="1020"/>
      <c r="GX108" s="1020"/>
      <c r="GY108" s="1020"/>
      <c r="GZ108" s="1020"/>
      <c r="HA108" s="1020"/>
      <c r="HB108" s="1020"/>
      <c r="HC108" s="1020"/>
      <c r="HD108" s="1020"/>
      <c r="HE108" s="1020"/>
      <c r="HF108" s="1020"/>
      <c r="HG108" s="1020"/>
      <c r="HH108" s="1020"/>
      <c r="HI108" s="1020"/>
      <c r="HJ108" s="1020"/>
      <c r="HK108" s="1020"/>
      <c r="HL108" s="1020"/>
      <c r="HM108" s="1020"/>
      <c r="HN108" s="1020"/>
      <c r="HO108" s="1020"/>
      <c r="HP108" s="1020"/>
      <c r="HQ108" s="1020"/>
      <c r="HR108" s="1020"/>
      <c r="HS108" s="1020"/>
      <c r="HT108" s="1020"/>
      <c r="HU108" s="1020"/>
      <c r="HV108" s="1020"/>
      <c r="HW108" s="1020"/>
      <c r="HX108" s="1020"/>
      <c r="HY108" s="1020"/>
      <c r="HZ108" s="1020"/>
      <c r="IA108" s="1020"/>
      <c r="IB108" s="1020"/>
      <c r="IC108" s="1020"/>
      <c r="ID108" s="1020"/>
      <c r="IE108" s="1020"/>
      <c r="IF108" s="1020"/>
      <c r="IG108" s="1020"/>
      <c r="IH108" s="1020"/>
      <c r="II108" s="1020"/>
      <c r="IJ108" s="1020"/>
      <c r="IK108" s="1020"/>
      <c r="IL108" s="1020"/>
      <c r="IM108" s="1020"/>
      <c r="IN108" s="1020"/>
      <c r="IO108" s="1020"/>
      <c r="IP108" s="1020"/>
      <c r="IQ108" s="1020"/>
      <c r="IR108" s="1020"/>
      <c r="IS108" s="1020"/>
      <c r="IT108" s="1020"/>
      <c r="IU108" s="1020"/>
      <c r="IV108" s="1020"/>
    </row>
    <row r="109" spans="1:256" s="1021" customFormat="1" ht="10.5" customHeight="1">
      <c r="A109" s="1018" t="s">
        <v>886</v>
      </c>
      <c r="B109" s="944"/>
      <c r="C109" s="944"/>
      <c r="D109" s="944"/>
      <c r="E109" s="944"/>
      <c r="F109" s="944"/>
      <c r="G109" s="1065"/>
      <c r="H109" s="1065"/>
      <c r="I109" s="1065"/>
      <c r="J109" s="1065"/>
      <c r="K109" s="1020"/>
      <c r="L109" s="1020"/>
      <c r="M109" s="1020"/>
      <c r="N109" s="1020"/>
      <c r="O109" s="1020"/>
      <c r="P109" s="1020"/>
      <c r="Q109" s="1020"/>
      <c r="R109" s="1020"/>
      <c r="S109" s="1020"/>
      <c r="T109" s="1020"/>
      <c r="U109" s="1020"/>
      <c r="V109" s="1020"/>
      <c r="W109" s="1020"/>
      <c r="X109" s="1020"/>
      <c r="Y109" s="1020"/>
      <c r="Z109" s="1020"/>
      <c r="AA109" s="1020"/>
      <c r="AB109" s="1020"/>
      <c r="AC109" s="1020"/>
      <c r="AD109" s="1020"/>
      <c r="AE109" s="1020"/>
      <c r="AF109" s="1020"/>
      <c r="AG109" s="1020"/>
      <c r="AH109" s="1020"/>
      <c r="AI109" s="1020"/>
      <c r="AJ109" s="1020"/>
      <c r="AK109" s="1020"/>
      <c r="AL109" s="1020"/>
      <c r="AM109" s="1020"/>
      <c r="AN109" s="1020"/>
      <c r="AO109" s="1020"/>
      <c r="AP109" s="1020"/>
      <c r="AQ109" s="1020"/>
      <c r="AR109" s="1020"/>
      <c r="AS109" s="1020"/>
      <c r="AT109" s="1020"/>
      <c r="AU109" s="1020"/>
      <c r="AV109" s="1020"/>
      <c r="AW109" s="1020"/>
      <c r="AX109" s="1020"/>
      <c r="AY109" s="1020"/>
      <c r="AZ109" s="1020"/>
      <c r="BA109" s="1020"/>
      <c r="BB109" s="1020"/>
      <c r="BC109" s="1020"/>
      <c r="BD109" s="1020"/>
      <c r="BE109" s="1020"/>
      <c r="BF109" s="1020"/>
      <c r="BG109" s="1020"/>
      <c r="BH109" s="1020"/>
      <c r="BI109" s="1020"/>
      <c r="BJ109" s="1020"/>
      <c r="BK109" s="1020"/>
      <c r="BL109" s="1020"/>
      <c r="BM109" s="1020"/>
      <c r="BN109" s="1020"/>
      <c r="BO109" s="1020"/>
      <c r="BP109" s="1020"/>
      <c r="BQ109" s="1020"/>
      <c r="BR109" s="1020"/>
      <c r="BS109" s="1020"/>
      <c r="BT109" s="1020"/>
      <c r="BU109" s="1020"/>
      <c r="BV109" s="1020"/>
      <c r="BW109" s="1020"/>
      <c r="BX109" s="1020"/>
      <c r="BY109" s="1020"/>
      <c r="BZ109" s="1020"/>
      <c r="CA109" s="1020"/>
      <c r="CB109" s="1020"/>
      <c r="CC109" s="1020"/>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c r="EC109" s="1020"/>
      <c r="ED109" s="1020"/>
      <c r="EE109" s="1020"/>
      <c r="EF109" s="1020"/>
      <c r="EG109" s="1020"/>
      <c r="EH109" s="1020"/>
      <c r="EI109" s="1020"/>
      <c r="EJ109" s="1020"/>
      <c r="EK109" s="1020"/>
      <c r="EL109" s="1020"/>
      <c r="EM109" s="1020"/>
      <c r="EN109" s="1020"/>
      <c r="EO109" s="1020"/>
      <c r="EP109" s="1020"/>
      <c r="EQ109" s="1020"/>
      <c r="ER109" s="1020"/>
      <c r="ES109" s="1020"/>
      <c r="ET109" s="1020"/>
      <c r="EU109" s="1020"/>
      <c r="EV109" s="1020"/>
      <c r="EW109" s="1020"/>
      <c r="EX109" s="1020"/>
      <c r="EY109" s="1020"/>
      <c r="EZ109" s="1020"/>
      <c r="FA109" s="1020"/>
      <c r="FB109" s="1020"/>
      <c r="FC109" s="1020"/>
      <c r="FD109" s="1020"/>
      <c r="FE109" s="1020"/>
      <c r="FF109" s="1020"/>
      <c r="FG109" s="1020"/>
      <c r="FH109" s="1020"/>
      <c r="FI109" s="1020"/>
      <c r="FJ109" s="1020"/>
      <c r="FK109" s="1020"/>
      <c r="FL109" s="1020"/>
      <c r="FM109" s="1020"/>
      <c r="FN109" s="1020"/>
      <c r="FO109" s="1020"/>
      <c r="FP109" s="1020"/>
      <c r="FQ109" s="1020"/>
      <c r="FR109" s="1020"/>
      <c r="FS109" s="1020"/>
      <c r="FT109" s="1020"/>
      <c r="FU109" s="1020"/>
      <c r="FV109" s="1020"/>
      <c r="FW109" s="1020"/>
      <c r="FX109" s="1020"/>
      <c r="FY109" s="1020"/>
      <c r="FZ109" s="1020"/>
      <c r="GA109" s="1020"/>
      <c r="GB109" s="1020"/>
      <c r="GC109" s="1020"/>
      <c r="GD109" s="1020"/>
      <c r="GE109" s="1020"/>
      <c r="GF109" s="1020"/>
      <c r="GG109" s="1020"/>
      <c r="GH109" s="1020"/>
      <c r="GI109" s="1020"/>
      <c r="GJ109" s="1020"/>
      <c r="GK109" s="1020"/>
      <c r="GL109" s="1020"/>
      <c r="GM109" s="1020"/>
      <c r="GN109" s="1020"/>
      <c r="GO109" s="1020"/>
      <c r="GP109" s="1020"/>
      <c r="GQ109" s="1020"/>
      <c r="GR109" s="1020"/>
      <c r="GS109" s="1020"/>
      <c r="GT109" s="1020"/>
      <c r="GU109" s="1020"/>
      <c r="GV109" s="1020"/>
      <c r="GW109" s="1020"/>
      <c r="GX109" s="1020"/>
      <c r="GY109" s="1020"/>
      <c r="GZ109" s="1020"/>
      <c r="HA109" s="1020"/>
      <c r="HB109" s="1020"/>
      <c r="HC109" s="1020"/>
      <c r="HD109" s="1020"/>
      <c r="HE109" s="1020"/>
      <c r="HF109" s="1020"/>
      <c r="HG109" s="1020"/>
      <c r="HH109" s="1020"/>
      <c r="HI109" s="1020"/>
      <c r="HJ109" s="1020"/>
      <c r="HK109" s="1020"/>
      <c r="HL109" s="1020"/>
      <c r="HM109" s="1020"/>
      <c r="HN109" s="1020"/>
      <c r="HO109" s="1020"/>
      <c r="HP109" s="1020"/>
      <c r="HQ109" s="1020"/>
      <c r="HR109" s="1020"/>
      <c r="HS109" s="1020"/>
      <c r="HT109" s="1020"/>
      <c r="HU109" s="1020"/>
      <c r="HV109" s="1020"/>
      <c r="HW109" s="1020"/>
      <c r="HX109" s="1020"/>
      <c r="HY109" s="1020"/>
      <c r="HZ109" s="1020"/>
      <c r="IA109" s="1020"/>
      <c r="IB109" s="1020"/>
      <c r="IC109" s="1020"/>
      <c r="ID109" s="1020"/>
      <c r="IE109" s="1020"/>
      <c r="IF109" s="1020"/>
      <c r="IG109" s="1020"/>
      <c r="IH109" s="1020"/>
      <c r="II109" s="1020"/>
      <c r="IJ109" s="1020"/>
      <c r="IK109" s="1020"/>
      <c r="IL109" s="1020"/>
      <c r="IM109" s="1020"/>
      <c r="IN109" s="1020"/>
      <c r="IO109" s="1020"/>
      <c r="IP109" s="1020"/>
      <c r="IQ109" s="1020"/>
      <c r="IR109" s="1020"/>
      <c r="IS109" s="1020"/>
      <c r="IT109" s="1020"/>
      <c r="IU109" s="1020"/>
      <c r="IV109" s="1020"/>
    </row>
    <row r="110" spans="1:256">
      <c r="A110" s="1018" t="s">
        <v>887</v>
      </c>
    </row>
    <row r="111" spans="1:256">
      <c r="A111" s="1018" t="s">
        <v>888</v>
      </c>
    </row>
    <row r="112" spans="1:256" s="1021" customFormat="1" ht="10.5" customHeight="1">
      <c r="A112" s="1018" t="s">
        <v>889</v>
      </c>
      <c r="B112" s="944"/>
      <c r="C112" s="944"/>
      <c r="D112" s="944"/>
      <c r="E112" s="944"/>
      <c r="F112" s="944"/>
      <c r="G112" s="1065"/>
      <c r="H112" s="1065"/>
      <c r="I112" s="1065"/>
      <c r="J112" s="1065"/>
      <c r="K112" s="1020"/>
      <c r="L112" s="1020"/>
      <c r="M112" s="1020"/>
      <c r="N112" s="1020"/>
      <c r="O112" s="1020"/>
      <c r="P112" s="1020"/>
      <c r="Q112" s="1020"/>
      <c r="R112" s="1020"/>
      <c r="S112" s="1020"/>
      <c r="T112" s="1020"/>
      <c r="U112" s="1020"/>
      <c r="V112" s="1020"/>
      <c r="W112" s="1020"/>
      <c r="X112" s="1020"/>
      <c r="Y112" s="1020"/>
      <c r="Z112" s="1020"/>
      <c r="AA112" s="1020"/>
      <c r="AB112" s="1020"/>
      <c r="AC112" s="1020"/>
      <c r="AD112" s="1020"/>
      <c r="AE112" s="1020"/>
      <c r="AF112" s="1020"/>
      <c r="AG112" s="1020"/>
      <c r="AH112" s="1020"/>
      <c r="AI112" s="1020"/>
      <c r="AJ112" s="1020"/>
      <c r="AK112" s="1020"/>
      <c r="AL112" s="1020"/>
      <c r="AM112" s="1020"/>
      <c r="AN112" s="1020"/>
      <c r="AO112" s="1020"/>
      <c r="AP112" s="1020"/>
      <c r="AQ112" s="1020"/>
      <c r="AR112" s="1020"/>
      <c r="AS112" s="1020"/>
      <c r="AT112" s="1020"/>
      <c r="AU112" s="1020"/>
      <c r="AV112" s="1020"/>
      <c r="AW112" s="1020"/>
      <c r="AX112" s="1020"/>
      <c r="AY112" s="1020"/>
      <c r="AZ112" s="1020"/>
      <c r="BA112" s="1020"/>
      <c r="BB112" s="1020"/>
      <c r="BC112" s="1020"/>
      <c r="BD112" s="1020"/>
      <c r="BE112" s="1020"/>
      <c r="BF112" s="1020"/>
      <c r="BG112" s="1020"/>
      <c r="BH112" s="1020"/>
      <c r="BI112" s="1020"/>
      <c r="BJ112" s="1020"/>
      <c r="BK112" s="1020"/>
      <c r="BL112" s="1020"/>
      <c r="BM112" s="1020"/>
      <c r="BN112" s="1020"/>
      <c r="BO112" s="1020"/>
      <c r="BP112" s="1020"/>
      <c r="BQ112" s="1020"/>
      <c r="BR112" s="1020"/>
      <c r="BS112" s="1020"/>
      <c r="BT112" s="1020"/>
      <c r="BU112" s="1020"/>
      <c r="BV112" s="1020"/>
      <c r="BW112" s="1020"/>
      <c r="BX112" s="1020"/>
      <c r="BY112" s="1020"/>
      <c r="BZ112" s="1020"/>
      <c r="CA112" s="1020"/>
      <c r="CB112" s="1020"/>
      <c r="CC112" s="1020"/>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c r="EC112" s="1020"/>
      <c r="ED112" s="1020"/>
      <c r="EE112" s="1020"/>
      <c r="EF112" s="1020"/>
      <c r="EG112" s="1020"/>
      <c r="EH112" s="1020"/>
      <c r="EI112" s="1020"/>
      <c r="EJ112" s="1020"/>
      <c r="EK112" s="1020"/>
      <c r="EL112" s="1020"/>
      <c r="EM112" s="1020"/>
      <c r="EN112" s="1020"/>
      <c r="EO112" s="1020"/>
      <c r="EP112" s="1020"/>
      <c r="EQ112" s="1020"/>
      <c r="ER112" s="1020"/>
      <c r="ES112" s="1020"/>
      <c r="ET112" s="1020"/>
      <c r="EU112" s="1020"/>
      <c r="EV112" s="1020"/>
      <c r="EW112" s="1020"/>
      <c r="EX112" s="1020"/>
      <c r="EY112" s="1020"/>
      <c r="EZ112" s="1020"/>
      <c r="FA112" s="1020"/>
      <c r="FB112" s="1020"/>
      <c r="FC112" s="1020"/>
      <c r="FD112" s="1020"/>
      <c r="FE112" s="1020"/>
      <c r="FF112" s="1020"/>
      <c r="FG112" s="1020"/>
      <c r="FH112" s="1020"/>
      <c r="FI112" s="1020"/>
      <c r="FJ112" s="1020"/>
      <c r="FK112" s="1020"/>
      <c r="FL112" s="1020"/>
      <c r="FM112" s="1020"/>
      <c r="FN112" s="1020"/>
      <c r="FO112" s="1020"/>
      <c r="FP112" s="1020"/>
      <c r="FQ112" s="1020"/>
      <c r="FR112" s="1020"/>
      <c r="FS112" s="1020"/>
      <c r="FT112" s="1020"/>
      <c r="FU112" s="1020"/>
      <c r="FV112" s="1020"/>
      <c r="FW112" s="1020"/>
      <c r="FX112" s="1020"/>
      <c r="FY112" s="1020"/>
      <c r="FZ112" s="1020"/>
      <c r="GA112" s="1020"/>
      <c r="GB112" s="1020"/>
      <c r="GC112" s="1020"/>
      <c r="GD112" s="1020"/>
      <c r="GE112" s="1020"/>
      <c r="GF112" s="1020"/>
      <c r="GG112" s="1020"/>
      <c r="GH112" s="1020"/>
      <c r="GI112" s="1020"/>
      <c r="GJ112" s="1020"/>
      <c r="GK112" s="1020"/>
      <c r="GL112" s="1020"/>
      <c r="GM112" s="1020"/>
      <c r="GN112" s="1020"/>
      <c r="GO112" s="1020"/>
      <c r="GP112" s="1020"/>
      <c r="GQ112" s="1020"/>
      <c r="GR112" s="1020"/>
      <c r="GS112" s="1020"/>
      <c r="GT112" s="1020"/>
      <c r="GU112" s="1020"/>
      <c r="GV112" s="1020"/>
      <c r="GW112" s="1020"/>
      <c r="GX112" s="1020"/>
      <c r="GY112" s="1020"/>
      <c r="GZ112" s="1020"/>
      <c r="HA112" s="1020"/>
      <c r="HB112" s="1020"/>
      <c r="HC112" s="1020"/>
      <c r="HD112" s="1020"/>
      <c r="HE112" s="1020"/>
      <c r="HF112" s="1020"/>
      <c r="HG112" s="1020"/>
      <c r="HH112" s="1020"/>
      <c r="HI112" s="1020"/>
      <c r="HJ112" s="1020"/>
      <c r="HK112" s="1020"/>
      <c r="HL112" s="1020"/>
      <c r="HM112" s="1020"/>
      <c r="HN112" s="1020"/>
      <c r="HO112" s="1020"/>
      <c r="HP112" s="1020"/>
      <c r="HQ112" s="1020"/>
      <c r="HR112" s="1020"/>
      <c r="HS112" s="1020"/>
      <c r="HT112" s="1020"/>
      <c r="HU112" s="1020"/>
      <c r="HV112" s="1020"/>
      <c r="HW112" s="1020"/>
      <c r="HX112" s="1020"/>
      <c r="HY112" s="1020"/>
      <c r="HZ112" s="1020"/>
      <c r="IA112" s="1020"/>
      <c r="IB112" s="1020"/>
      <c r="IC112" s="1020"/>
      <c r="ID112" s="1020"/>
      <c r="IE112" s="1020"/>
      <c r="IF112" s="1020"/>
      <c r="IG112" s="1020"/>
      <c r="IH112" s="1020"/>
      <c r="II112" s="1020"/>
      <c r="IJ112" s="1020"/>
      <c r="IK112" s="1020"/>
      <c r="IL112" s="1020"/>
      <c r="IM112" s="1020"/>
      <c r="IN112" s="1020"/>
      <c r="IO112" s="1020"/>
      <c r="IP112" s="1020"/>
      <c r="IQ112" s="1020"/>
      <c r="IR112" s="1020"/>
      <c r="IS112" s="1020"/>
      <c r="IT112" s="1020"/>
      <c r="IU112" s="1020"/>
      <c r="IV112" s="1020"/>
    </row>
    <row r="113" spans="1:256" s="1021" customFormat="1" ht="10.5" customHeight="1">
      <c r="A113" s="1018" t="s">
        <v>890</v>
      </c>
      <c r="B113" s="944"/>
      <c r="C113" s="944"/>
      <c r="D113" s="944"/>
      <c r="E113" s="944"/>
      <c r="F113" s="944"/>
      <c r="G113" s="1065"/>
      <c r="H113" s="1065"/>
      <c r="I113" s="1065"/>
      <c r="J113" s="1065"/>
      <c r="K113" s="1020"/>
      <c r="L113" s="1020"/>
      <c r="M113" s="1020"/>
      <c r="N113" s="1020"/>
      <c r="O113" s="1020"/>
      <c r="P113" s="1020"/>
      <c r="Q113" s="1020"/>
      <c r="R113" s="1020"/>
      <c r="S113" s="1020"/>
      <c r="T113" s="1020"/>
      <c r="U113" s="1020"/>
      <c r="V113" s="1020"/>
      <c r="W113" s="1020"/>
      <c r="X113" s="1020"/>
      <c r="Y113" s="1020"/>
      <c r="Z113" s="1020"/>
      <c r="AA113" s="1020"/>
      <c r="AB113" s="1020"/>
      <c r="AC113" s="1020"/>
      <c r="AD113" s="1020"/>
      <c r="AE113" s="1020"/>
      <c r="AF113" s="1020"/>
      <c r="AG113" s="1020"/>
      <c r="AH113" s="1020"/>
      <c r="AI113" s="1020"/>
      <c r="AJ113" s="1020"/>
      <c r="AK113" s="1020"/>
      <c r="AL113" s="1020"/>
      <c r="AM113" s="1020"/>
      <c r="AN113" s="1020"/>
      <c r="AO113" s="1020"/>
      <c r="AP113" s="1020"/>
      <c r="AQ113" s="1020"/>
      <c r="AR113" s="1020"/>
      <c r="AS113" s="1020"/>
      <c r="AT113" s="1020"/>
      <c r="AU113" s="1020"/>
      <c r="AV113" s="1020"/>
      <c r="AW113" s="1020"/>
      <c r="AX113" s="1020"/>
      <c r="AY113" s="1020"/>
      <c r="AZ113" s="1020"/>
      <c r="BA113" s="1020"/>
      <c r="BB113" s="1020"/>
      <c r="BC113" s="1020"/>
      <c r="BD113" s="1020"/>
      <c r="BE113" s="1020"/>
      <c r="BF113" s="1020"/>
      <c r="BG113" s="1020"/>
      <c r="BH113" s="1020"/>
      <c r="BI113" s="1020"/>
      <c r="BJ113" s="1020"/>
      <c r="BK113" s="1020"/>
      <c r="BL113" s="1020"/>
      <c r="BM113" s="1020"/>
      <c r="BN113" s="1020"/>
      <c r="BO113" s="1020"/>
      <c r="BP113" s="1020"/>
      <c r="BQ113" s="1020"/>
      <c r="BR113" s="1020"/>
      <c r="BS113" s="1020"/>
      <c r="BT113" s="1020"/>
      <c r="BU113" s="1020"/>
      <c r="BV113" s="1020"/>
      <c r="BW113" s="1020"/>
      <c r="BX113" s="1020"/>
      <c r="BY113" s="1020"/>
      <c r="BZ113" s="1020"/>
      <c r="CA113" s="1020"/>
      <c r="CB113" s="1020"/>
      <c r="CC113" s="1020"/>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c r="EC113" s="1020"/>
      <c r="ED113" s="1020"/>
      <c r="EE113" s="1020"/>
      <c r="EF113" s="1020"/>
      <c r="EG113" s="1020"/>
      <c r="EH113" s="1020"/>
      <c r="EI113" s="1020"/>
      <c r="EJ113" s="1020"/>
      <c r="EK113" s="1020"/>
      <c r="EL113" s="1020"/>
      <c r="EM113" s="1020"/>
      <c r="EN113" s="1020"/>
      <c r="EO113" s="1020"/>
      <c r="EP113" s="1020"/>
      <c r="EQ113" s="1020"/>
      <c r="ER113" s="1020"/>
      <c r="ES113" s="1020"/>
      <c r="ET113" s="1020"/>
      <c r="EU113" s="1020"/>
      <c r="EV113" s="1020"/>
      <c r="EW113" s="1020"/>
      <c r="EX113" s="1020"/>
      <c r="EY113" s="1020"/>
      <c r="EZ113" s="1020"/>
      <c r="FA113" s="1020"/>
      <c r="FB113" s="1020"/>
      <c r="FC113" s="1020"/>
      <c r="FD113" s="1020"/>
      <c r="FE113" s="1020"/>
      <c r="FF113" s="1020"/>
      <c r="FG113" s="1020"/>
      <c r="FH113" s="1020"/>
      <c r="FI113" s="1020"/>
      <c r="FJ113" s="1020"/>
      <c r="FK113" s="1020"/>
      <c r="FL113" s="1020"/>
      <c r="FM113" s="1020"/>
      <c r="FN113" s="1020"/>
      <c r="FO113" s="1020"/>
      <c r="FP113" s="1020"/>
      <c r="FQ113" s="1020"/>
      <c r="FR113" s="1020"/>
      <c r="FS113" s="1020"/>
      <c r="FT113" s="1020"/>
      <c r="FU113" s="1020"/>
      <c r="FV113" s="1020"/>
      <c r="FW113" s="1020"/>
      <c r="FX113" s="1020"/>
      <c r="FY113" s="1020"/>
      <c r="FZ113" s="1020"/>
      <c r="GA113" s="1020"/>
      <c r="GB113" s="1020"/>
      <c r="GC113" s="1020"/>
      <c r="GD113" s="1020"/>
      <c r="GE113" s="1020"/>
      <c r="GF113" s="1020"/>
      <c r="GG113" s="1020"/>
      <c r="GH113" s="1020"/>
      <c r="GI113" s="1020"/>
      <c r="GJ113" s="1020"/>
      <c r="GK113" s="1020"/>
      <c r="GL113" s="1020"/>
      <c r="GM113" s="1020"/>
      <c r="GN113" s="1020"/>
      <c r="GO113" s="1020"/>
      <c r="GP113" s="1020"/>
      <c r="GQ113" s="1020"/>
      <c r="GR113" s="1020"/>
      <c r="GS113" s="1020"/>
      <c r="GT113" s="1020"/>
      <c r="GU113" s="1020"/>
      <c r="GV113" s="1020"/>
      <c r="GW113" s="1020"/>
      <c r="GX113" s="1020"/>
      <c r="GY113" s="1020"/>
      <c r="GZ113" s="1020"/>
      <c r="HA113" s="1020"/>
      <c r="HB113" s="1020"/>
      <c r="HC113" s="1020"/>
      <c r="HD113" s="1020"/>
      <c r="HE113" s="1020"/>
      <c r="HF113" s="1020"/>
      <c r="HG113" s="1020"/>
      <c r="HH113" s="1020"/>
      <c r="HI113" s="1020"/>
      <c r="HJ113" s="1020"/>
      <c r="HK113" s="1020"/>
      <c r="HL113" s="1020"/>
      <c r="HM113" s="1020"/>
      <c r="HN113" s="1020"/>
      <c r="HO113" s="1020"/>
      <c r="HP113" s="1020"/>
      <c r="HQ113" s="1020"/>
      <c r="HR113" s="1020"/>
      <c r="HS113" s="1020"/>
      <c r="HT113" s="1020"/>
      <c r="HU113" s="1020"/>
      <c r="HV113" s="1020"/>
      <c r="HW113" s="1020"/>
      <c r="HX113" s="1020"/>
      <c r="HY113" s="1020"/>
      <c r="HZ113" s="1020"/>
      <c r="IA113" s="1020"/>
      <c r="IB113" s="1020"/>
      <c r="IC113" s="1020"/>
      <c r="ID113" s="1020"/>
      <c r="IE113" s="1020"/>
      <c r="IF113" s="1020"/>
      <c r="IG113" s="1020"/>
      <c r="IH113" s="1020"/>
      <c r="II113" s="1020"/>
      <c r="IJ113" s="1020"/>
      <c r="IK113" s="1020"/>
      <c r="IL113" s="1020"/>
      <c r="IM113" s="1020"/>
      <c r="IN113" s="1020"/>
      <c r="IO113" s="1020"/>
      <c r="IP113" s="1020"/>
      <c r="IQ113" s="1020"/>
      <c r="IR113" s="1020"/>
      <c r="IS113" s="1020"/>
      <c r="IT113" s="1020"/>
      <c r="IU113" s="1020"/>
      <c r="IV113" s="1020"/>
    </row>
    <row r="114" spans="1:256" s="1021" customFormat="1" ht="10.5" customHeight="1">
      <c r="A114" s="1018" t="s">
        <v>891</v>
      </c>
      <c r="B114" s="944"/>
      <c r="C114" s="944"/>
      <c r="D114" s="944"/>
      <c r="E114" s="944"/>
      <c r="F114" s="944"/>
      <c r="G114" s="1065"/>
      <c r="H114" s="1065"/>
      <c r="I114" s="1065"/>
      <c r="J114" s="1065"/>
      <c r="K114" s="1020"/>
      <c r="L114" s="1020"/>
      <c r="M114" s="1020"/>
      <c r="N114" s="1020"/>
      <c r="O114" s="1020"/>
      <c r="P114" s="1020"/>
      <c r="Q114" s="1020"/>
      <c r="R114" s="1020"/>
      <c r="S114" s="1020"/>
      <c r="T114" s="1020"/>
      <c r="U114" s="1020"/>
      <c r="V114" s="1020"/>
      <c r="W114" s="1020"/>
      <c r="X114" s="1020"/>
      <c r="Y114" s="1020"/>
      <c r="Z114" s="1020"/>
      <c r="AA114" s="1020"/>
      <c r="AB114" s="1020"/>
      <c r="AC114" s="1020"/>
      <c r="AD114" s="1020"/>
      <c r="AE114" s="1020"/>
      <c r="AF114" s="1020"/>
      <c r="AG114" s="1020"/>
      <c r="AH114" s="1020"/>
      <c r="AI114" s="1020"/>
      <c r="AJ114" s="1020"/>
      <c r="AK114" s="1020"/>
      <c r="AL114" s="1020"/>
      <c r="AM114" s="1020"/>
      <c r="AN114" s="1020"/>
      <c r="AO114" s="1020"/>
      <c r="AP114" s="1020"/>
      <c r="AQ114" s="1020"/>
      <c r="AR114" s="1020"/>
      <c r="AS114" s="1020"/>
      <c r="AT114" s="1020"/>
      <c r="AU114" s="1020"/>
      <c r="AV114" s="1020"/>
      <c r="AW114" s="1020"/>
      <c r="AX114" s="1020"/>
      <c r="AY114" s="1020"/>
      <c r="AZ114" s="1020"/>
      <c r="BA114" s="1020"/>
      <c r="BB114" s="1020"/>
      <c r="BC114" s="1020"/>
      <c r="BD114" s="1020"/>
      <c r="BE114" s="1020"/>
      <c r="BF114" s="1020"/>
      <c r="BG114" s="1020"/>
      <c r="BH114" s="1020"/>
      <c r="BI114" s="1020"/>
      <c r="BJ114" s="1020"/>
      <c r="BK114" s="1020"/>
      <c r="BL114" s="1020"/>
      <c r="BM114" s="1020"/>
      <c r="BN114" s="1020"/>
      <c r="BO114" s="1020"/>
      <c r="BP114" s="1020"/>
      <c r="BQ114" s="1020"/>
      <c r="BR114" s="1020"/>
      <c r="BS114" s="1020"/>
      <c r="BT114" s="1020"/>
      <c r="BU114" s="1020"/>
      <c r="BV114" s="1020"/>
      <c r="BW114" s="1020"/>
      <c r="BX114" s="1020"/>
      <c r="BY114" s="1020"/>
      <c r="BZ114" s="1020"/>
      <c r="CA114" s="1020"/>
      <c r="CB114" s="1020"/>
      <c r="CC114" s="1020"/>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c r="EC114" s="1020"/>
      <c r="ED114" s="1020"/>
      <c r="EE114" s="1020"/>
      <c r="EF114" s="1020"/>
      <c r="EG114" s="1020"/>
      <c r="EH114" s="1020"/>
      <c r="EI114" s="1020"/>
      <c r="EJ114" s="1020"/>
      <c r="EK114" s="1020"/>
      <c r="EL114" s="1020"/>
      <c r="EM114" s="1020"/>
      <c r="EN114" s="1020"/>
      <c r="EO114" s="1020"/>
      <c r="EP114" s="1020"/>
      <c r="EQ114" s="1020"/>
      <c r="ER114" s="1020"/>
      <c r="ES114" s="1020"/>
      <c r="ET114" s="1020"/>
      <c r="EU114" s="1020"/>
      <c r="EV114" s="1020"/>
      <c r="EW114" s="1020"/>
      <c r="EX114" s="1020"/>
      <c r="EY114" s="1020"/>
      <c r="EZ114" s="1020"/>
      <c r="FA114" s="1020"/>
      <c r="FB114" s="1020"/>
      <c r="FC114" s="1020"/>
      <c r="FD114" s="1020"/>
      <c r="FE114" s="1020"/>
      <c r="FF114" s="1020"/>
      <c r="FG114" s="1020"/>
      <c r="FH114" s="1020"/>
      <c r="FI114" s="1020"/>
      <c r="FJ114" s="1020"/>
      <c r="FK114" s="1020"/>
      <c r="FL114" s="1020"/>
      <c r="FM114" s="1020"/>
      <c r="FN114" s="1020"/>
      <c r="FO114" s="1020"/>
      <c r="FP114" s="1020"/>
      <c r="FQ114" s="1020"/>
      <c r="FR114" s="1020"/>
      <c r="FS114" s="1020"/>
      <c r="FT114" s="1020"/>
      <c r="FU114" s="1020"/>
      <c r="FV114" s="1020"/>
      <c r="FW114" s="1020"/>
      <c r="FX114" s="1020"/>
      <c r="FY114" s="1020"/>
      <c r="FZ114" s="1020"/>
      <c r="GA114" s="1020"/>
      <c r="GB114" s="1020"/>
      <c r="GC114" s="1020"/>
      <c r="GD114" s="1020"/>
      <c r="GE114" s="1020"/>
      <c r="GF114" s="1020"/>
      <c r="GG114" s="1020"/>
      <c r="GH114" s="1020"/>
      <c r="GI114" s="1020"/>
      <c r="GJ114" s="1020"/>
      <c r="GK114" s="1020"/>
      <c r="GL114" s="1020"/>
      <c r="GM114" s="1020"/>
      <c r="GN114" s="1020"/>
      <c r="GO114" s="1020"/>
      <c r="GP114" s="1020"/>
      <c r="GQ114" s="1020"/>
      <c r="GR114" s="1020"/>
      <c r="GS114" s="1020"/>
      <c r="GT114" s="1020"/>
      <c r="GU114" s="1020"/>
      <c r="GV114" s="1020"/>
      <c r="GW114" s="1020"/>
      <c r="GX114" s="1020"/>
      <c r="GY114" s="1020"/>
      <c r="GZ114" s="1020"/>
      <c r="HA114" s="1020"/>
      <c r="HB114" s="1020"/>
      <c r="HC114" s="1020"/>
      <c r="HD114" s="1020"/>
      <c r="HE114" s="1020"/>
      <c r="HF114" s="1020"/>
      <c r="HG114" s="1020"/>
      <c r="HH114" s="1020"/>
      <c r="HI114" s="1020"/>
      <c r="HJ114" s="1020"/>
      <c r="HK114" s="1020"/>
      <c r="HL114" s="1020"/>
      <c r="HM114" s="1020"/>
      <c r="HN114" s="1020"/>
      <c r="HO114" s="1020"/>
      <c r="HP114" s="1020"/>
      <c r="HQ114" s="1020"/>
      <c r="HR114" s="1020"/>
      <c r="HS114" s="1020"/>
      <c r="HT114" s="1020"/>
      <c r="HU114" s="1020"/>
      <c r="HV114" s="1020"/>
      <c r="HW114" s="1020"/>
      <c r="HX114" s="1020"/>
      <c r="HY114" s="1020"/>
      <c r="HZ114" s="1020"/>
      <c r="IA114" s="1020"/>
      <c r="IB114" s="1020"/>
      <c r="IC114" s="1020"/>
      <c r="ID114" s="1020"/>
      <c r="IE114" s="1020"/>
      <c r="IF114" s="1020"/>
      <c r="IG114" s="1020"/>
      <c r="IH114" s="1020"/>
      <c r="II114" s="1020"/>
      <c r="IJ114" s="1020"/>
      <c r="IK114" s="1020"/>
      <c r="IL114" s="1020"/>
      <c r="IM114" s="1020"/>
      <c r="IN114" s="1020"/>
      <c r="IO114" s="1020"/>
      <c r="IP114" s="1020"/>
      <c r="IQ114" s="1020"/>
      <c r="IR114" s="1020"/>
      <c r="IS114" s="1020"/>
      <c r="IT114" s="1020"/>
      <c r="IU114" s="1020"/>
      <c r="IV114" s="1020"/>
    </row>
    <row r="115" spans="1:256" s="1021" customFormat="1" ht="10.5" customHeight="1">
      <c r="A115" s="1018"/>
      <c r="B115" s="944"/>
      <c r="C115" s="944"/>
      <c r="D115" s="944"/>
      <c r="E115" s="944"/>
      <c r="F115" s="944"/>
      <c r="G115" s="1065"/>
      <c r="H115" s="1065"/>
      <c r="I115" s="1065"/>
      <c r="J115" s="1065"/>
      <c r="K115" s="1020"/>
      <c r="L115" s="1020"/>
      <c r="M115" s="1020"/>
      <c r="N115" s="1020"/>
      <c r="O115" s="1020"/>
      <c r="P115" s="1020"/>
      <c r="Q115" s="1020"/>
      <c r="R115" s="1020"/>
      <c r="S115" s="1020"/>
      <c r="T115" s="1020"/>
      <c r="U115" s="1020"/>
      <c r="V115" s="1020"/>
      <c r="W115" s="1020"/>
      <c r="X115" s="1020"/>
      <c r="Y115" s="1020"/>
      <c r="Z115" s="1020"/>
      <c r="AA115" s="1020"/>
      <c r="AB115" s="1020"/>
      <c r="AC115" s="1020"/>
      <c r="AD115" s="1020"/>
      <c r="AE115" s="1020"/>
      <c r="AF115" s="1020"/>
      <c r="AG115" s="1020"/>
      <c r="AH115" s="1020"/>
      <c r="AI115" s="1020"/>
      <c r="AJ115" s="1020"/>
      <c r="AK115" s="1020"/>
      <c r="AL115" s="1020"/>
      <c r="AM115" s="1020"/>
      <c r="AN115" s="1020"/>
      <c r="AO115" s="1020"/>
      <c r="AP115" s="1020"/>
      <c r="AQ115" s="1020"/>
      <c r="AR115" s="1020"/>
      <c r="AS115" s="1020"/>
      <c r="AT115" s="1020"/>
      <c r="AU115" s="1020"/>
      <c r="AV115" s="1020"/>
      <c r="AW115" s="1020"/>
      <c r="AX115" s="1020"/>
      <c r="AY115" s="1020"/>
      <c r="AZ115" s="1020"/>
      <c r="BA115" s="1020"/>
      <c r="BB115" s="1020"/>
      <c r="BC115" s="1020"/>
      <c r="BD115" s="1020"/>
      <c r="BE115" s="1020"/>
      <c r="BF115" s="1020"/>
      <c r="BG115" s="1020"/>
      <c r="BH115" s="1020"/>
      <c r="BI115" s="1020"/>
      <c r="BJ115" s="1020"/>
      <c r="BK115" s="1020"/>
      <c r="BL115" s="1020"/>
      <c r="BM115" s="1020"/>
      <c r="BN115" s="1020"/>
      <c r="BO115" s="1020"/>
      <c r="BP115" s="1020"/>
      <c r="BQ115" s="1020"/>
      <c r="BR115" s="1020"/>
      <c r="BS115" s="1020"/>
      <c r="BT115" s="1020"/>
      <c r="BU115" s="1020"/>
      <c r="BV115" s="1020"/>
      <c r="BW115" s="1020"/>
      <c r="BX115" s="1020"/>
      <c r="BY115" s="1020"/>
      <c r="BZ115" s="1020"/>
      <c r="CA115" s="1020"/>
      <c r="CB115" s="1020"/>
      <c r="CC115" s="1020"/>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c r="EC115" s="1020"/>
      <c r="ED115" s="1020"/>
      <c r="EE115" s="1020"/>
      <c r="EF115" s="1020"/>
      <c r="EG115" s="1020"/>
      <c r="EH115" s="1020"/>
      <c r="EI115" s="1020"/>
      <c r="EJ115" s="1020"/>
      <c r="EK115" s="1020"/>
      <c r="EL115" s="1020"/>
      <c r="EM115" s="1020"/>
      <c r="EN115" s="1020"/>
      <c r="EO115" s="1020"/>
      <c r="EP115" s="1020"/>
      <c r="EQ115" s="1020"/>
      <c r="ER115" s="1020"/>
      <c r="ES115" s="1020"/>
      <c r="ET115" s="1020"/>
      <c r="EU115" s="1020"/>
      <c r="EV115" s="1020"/>
      <c r="EW115" s="1020"/>
      <c r="EX115" s="1020"/>
      <c r="EY115" s="1020"/>
      <c r="EZ115" s="1020"/>
      <c r="FA115" s="1020"/>
      <c r="FB115" s="1020"/>
      <c r="FC115" s="1020"/>
      <c r="FD115" s="1020"/>
      <c r="FE115" s="1020"/>
      <c r="FF115" s="1020"/>
      <c r="FG115" s="1020"/>
      <c r="FH115" s="1020"/>
      <c r="FI115" s="1020"/>
      <c r="FJ115" s="1020"/>
      <c r="FK115" s="1020"/>
      <c r="FL115" s="1020"/>
      <c r="FM115" s="1020"/>
      <c r="FN115" s="1020"/>
      <c r="FO115" s="1020"/>
      <c r="FP115" s="1020"/>
      <c r="FQ115" s="1020"/>
      <c r="FR115" s="1020"/>
      <c r="FS115" s="1020"/>
      <c r="FT115" s="1020"/>
      <c r="FU115" s="1020"/>
      <c r="FV115" s="1020"/>
      <c r="FW115" s="1020"/>
      <c r="FX115" s="1020"/>
      <c r="FY115" s="1020"/>
      <c r="FZ115" s="1020"/>
      <c r="GA115" s="1020"/>
      <c r="GB115" s="1020"/>
      <c r="GC115" s="1020"/>
      <c r="GD115" s="1020"/>
      <c r="GE115" s="1020"/>
      <c r="GF115" s="1020"/>
      <c r="GG115" s="1020"/>
      <c r="GH115" s="1020"/>
      <c r="GI115" s="1020"/>
      <c r="GJ115" s="1020"/>
      <c r="GK115" s="1020"/>
      <c r="GL115" s="1020"/>
      <c r="GM115" s="1020"/>
      <c r="GN115" s="1020"/>
      <c r="GO115" s="1020"/>
      <c r="GP115" s="1020"/>
      <c r="GQ115" s="1020"/>
      <c r="GR115" s="1020"/>
      <c r="GS115" s="1020"/>
      <c r="GT115" s="1020"/>
      <c r="GU115" s="1020"/>
      <c r="GV115" s="1020"/>
      <c r="GW115" s="1020"/>
      <c r="GX115" s="1020"/>
      <c r="GY115" s="1020"/>
      <c r="GZ115" s="1020"/>
      <c r="HA115" s="1020"/>
      <c r="HB115" s="1020"/>
      <c r="HC115" s="1020"/>
      <c r="HD115" s="1020"/>
      <c r="HE115" s="1020"/>
      <c r="HF115" s="1020"/>
      <c r="HG115" s="1020"/>
      <c r="HH115" s="1020"/>
      <c r="HI115" s="1020"/>
      <c r="HJ115" s="1020"/>
      <c r="HK115" s="1020"/>
      <c r="HL115" s="1020"/>
      <c r="HM115" s="1020"/>
      <c r="HN115" s="1020"/>
      <c r="HO115" s="1020"/>
      <c r="HP115" s="1020"/>
      <c r="HQ115" s="1020"/>
      <c r="HR115" s="1020"/>
      <c r="HS115" s="1020"/>
      <c r="HT115" s="1020"/>
      <c r="HU115" s="1020"/>
      <c r="HV115" s="1020"/>
      <c r="HW115" s="1020"/>
      <c r="HX115" s="1020"/>
      <c r="HY115" s="1020"/>
      <c r="HZ115" s="1020"/>
      <c r="IA115" s="1020"/>
      <c r="IB115" s="1020"/>
      <c r="IC115" s="1020"/>
      <c r="ID115" s="1020"/>
      <c r="IE115" s="1020"/>
      <c r="IF115" s="1020"/>
      <c r="IG115" s="1020"/>
      <c r="IH115" s="1020"/>
      <c r="II115" s="1020"/>
      <c r="IJ115" s="1020"/>
      <c r="IK115" s="1020"/>
      <c r="IL115" s="1020"/>
      <c r="IM115" s="1020"/>
      <c r="IN115" s="1020"/>
      <c r="IO115" s="1020"/>
      <c r="IP115" s="1020"/>
      <c r="IQ115" s="1020"/>
      <c r="IR115" s="1020"/>
      <c r="IS115" s="1020"/>
      <c r="IT115" s="1020"/>
      <c r="IU115" s="1020"/>
      <c r="IV115" s="1020"/>
    </row>
    <row r="116" spans="1:256" ht="6" customHeight="1">
      <c r="A116" s="944"/>
      <c r="B116" s="944"/>
      <c r="C116" s="944"/>
      <c r="D116" s="944"/>
      <c r="E116" s="944"/>
      <c r="F116" s="944"/>
      <c r="G116" s="1065"/>
      <c r="I116" s="942"/>
      <c r="J116" s="942"/>
      <c r="K116" s="958"/>
      <c r="L116" s="958"/>
      <c r="M116" s="958"/>
      <c r="N116" s="958"/>
      <c r="O116" s="958"/>
      <c r="P116" s="958"/>
      <c r="Q116" s="958"/>
      <c r="R116" s="958"/>
      <c r="S116" s="958"/>
      <c r="T116" s="958"/>
      <c r="U116" s="958"/>
      <c r="V116" s="958"/>
      <c r="W116" s="958"/>
      <c r="X116" s="958"/>
      <c r="Y116" s="958"/>
      <c r="Z116" s="958"/>
      <c r="AA116" s="958"/>
      <c r="AB116" s="958"/>
      <c r="AC116" s="958"/>
      <c r="AD116" s="958"/>
      <c r="AE116" s="958"/>
      <c r="AF116" s="958"/>
      <c r="AG116" s="958"/>
      <c r="AH116" s="958"/>
      <c r="AI116" s="958"/>
      <c r="AJ116" s="958"/>
      <c r="AK116" s="958"/>
      <c r="AL116" s="958"/>
      <c r="AM116" s="958"/>
      <c r="AN116" s="958"/>
      <c r="AO116" s="958"/>
      <c r="AP116" s="958"/>
      <c r="AQ116" s="958"/>
      <c r="AR116" s="958"/>
      <c r="AS116" s="958"/>
      <c r="AT116" s="958"/>
      <c r="AU116" s="958"/>
      <c r="AV116" s="958"/>
      <c r="AW116" s="958"/>
      <c r="AX116" s="958"/>
      <c r="AY116" s="958"/>
      <c r="AZ116" s="958"/>
      <c r="BA116" s="958"/>
      <c r="BB116" s="958"/>
      <c r="BC116" s="958"/>
      <c r="BD116" s="958"/>
      <c r="BE116" s="958"/>
      <c r="BF116" s="958"/>
      <c r="BG116" s="958"/>
      <c r="BH116" s="958"/>
      <c r="BI116" s="958"/>
      <c r="BJ116" s="958"/>
      <c r="BK116" s="958"/>
      <c r="BL116" s="958"/>
      <c r="BM116" s="958"/>
      <c r="BN116" s="958"/>
      <c r="BO116" s="958"/>
      <c r="BP116" s="958"/>
      <c r="BQ116" s="958"/>
      <c r="BR116" s="958"/>
      <c r="BS116" s="958"/>
      <c r="BT116" s="958"/>
      <c r="BU116" s="958"/>
      <c r="BV116" s="958"/>
      <c r="BW116" s="958"/>
      <c r="BX116" s="958"/>
      <c r="BY116" s="958"/>
      <c r="BZ116" s="958"/>
      <c r="CA116" s="958"/>
      <c r="CB116" s="958"/>
      <c r="CC116" s="958"/>
      <c r="CD116" s="958"/>
      <c r="CE116" s="958"/>
      <c r="CF116" s="958"/>
      <c r="CG116" s="958"/>
      <c r="CH116" s="958"/>
      <c r="CI116" s="958"/>
      <c r="CJ116" s="958"/>
      <c r="CK116" s="958"/>
      <c r="CL116" s="958"/>
      <c r="CM116" s="958"/>
      <c r="CN116" s="958"/>
      <c r="CO116" s="958"/>
      <c r="CP116" s="958"/>
      <c r="CQ116" s="958"/>
      <c r="CR116" s="958"/>
      <c r="CS116" s="958"/>
      <c r="CT116" s="958"/>
      <c r="CU116" s="958"/>
      <c r="CV116" s="958"/>
      <c r="CW116" s="958"/>
      <c r="CX116" s="958"/>
      <c r="CY116" s="958"/>
      <c r="CZ116" s="958"/>
      <c r="DA116" s="958"/>
      <c r="DB116" s="958"/>
      <c r="DC116" s="958"/>
      <c r="DD116" s="958"/>
      <c r="DE116" s="958"/>
      <c r="DF116" s="958"/>
      <c r="DG116" s="958"/>
      <c r="DH116" s="958"/>
      <c r="DI116" s="958"/>
      <c r="DJ116" s="958"/>
      <c r="DK116" s="958"/>
      <c r="DL116" s="958"/>
      <c r="DM116" s="958"/>
      <c r="DN116" s="958"/>
      <c r="DO116" s="958"/>
      <c r="DP116" s="958"/>
      <c r="DQ116" s="958"/>
      <c r="DR116" s="958"/>
      <c r="DS116" s="958"/>
      <c r="DT116" s="958"/>
      <c r="DU116" s="958"/>
      <c r="DV116" s="958"/>
      <c r="DW116" s="958"/>
      <c r="DX116" s="958"/>
      <c r="DY116" s="958"/>
      <c r="DZ116" s="958"/>
      <c r="EA116" s="958"/>
      <c r="EB116" s="958"/>
      <c r="EC116" s="958"/>
      <c r="ED116" s="958"/>
      <c r="EE116" s="958"/>
      <c r="EF116" s="958"/>
      <c r="EG116" s="958"/>
      <c r="EH116" s="958"/>
      <c r="EI116" s="958"/>
      <c r="EJ116" s="958"/>
      <c r="EK116" s="958"/>
      <c r="EL116" s="958"/>
      <c r="EM116" s="958"/>
      <c r="EN116" s="958"/>
      <c r="EO116" s="958"/>
      <c r="EP116" s="958"/>
      <c r="EQ116" s="958"/>
      <c r="ER116" s="958"/>
      <c r="ES116" s="958"/>
      <c r="ET116" s="958"/>
      <c r="EU116" s="958"/>
      <c r="EV116" s="958"/>
      <c r="EW116" s="958"/>
      <c r="EX116" s="958"/>
      <c r="EY116" s="958"/>
      <c r="EZ116" s="958"/>
      <c r="FA116" s="958"/>
      <c r="FB116" s="958"/>
      <c r="FC116" s="958"/>
      <c r="FD116" s="958"/>
      <c r="FE116" s="958"/>
      <c r="FF116" s="958"/>
      <c r="FG116" s="958"/>
      <c r="FH116" s="958"/>
      <c r="FI116" s="958"/>
      <c r="FJ116" s="958"/>
      <c r="FK116" s="958"/>
      <c r="FL116" s="958"/>
      <c r="FM116" s="958"/>
      <c r="FN116" s="958"/>
      <c r="FO116" s="958"/>
      <c r="FP116" s="958"/>
      <c r="FQ116" s="958"/>
      <c r="FR116" s="958"/>
      <c r="FS116" s="958"/>
      <c r="FT116" s="958"/>
      <c r="FU116" s="958"/>
      <c r="FV116" s="958"/>
      <c r="FW116" s="958"/>
      <c r="FX116" s="958"/>
      <c r="FY116" s="958"/>
      <c r="FZ116" s="958"/>
      <c r="GA116" s="958"/>
      <c r="GB116" s="958"/>
      <c r="GC116" s="958"/>
      <c r="GD116" s="958"/>
      <c r="GE116" s="958"/>
      <c r="GF116" s="958"/>
      <c r="GG116" s="958"/>
      <c r="GH116" s="958"/>
      <c r="GI116" s="958"/>
      <c r="GJ116" s="958"/>
      <c r="GK116" s="958"/>
      <c r="GL116" s="958"/>
      <c r="GM116" s="958"/>
      <c r="GN116" s="958"/>
      <c r="GO116" s="958"/>
      <c r="GP116" s="958"/>
      <c r="GQ116" s="958"/>
      <c r="GR116" s="958"/>
      <c r="GS116" s="958"/>
      <c r="GT116" s="958"/>
      <c r="GU116" s="958"/>
      <c r="GV116" s="958"/>
      <c r="GW116" s="958"/>
      <c r="GX116" s="958"/>
      <c r="GY116" s="958"/>
      <c r="GZ116" s="958"/>
      <c r="HA116" s="958"/>
      <c r="HB116" s="958"/>
      <c r="HC116" s="958"/>
      <c r="HD116" s="958"/>
      <c r="HE116" s="958"/>
      <c r="HF116" s="958"/>
      <c r="HG116" s="958"/>
      <c r="HH116" s="958"/>
      <c r="HI116" s="958"/>
      <c r="HJ116" s="958"/>
      <c r="HK116" s="958"/>
      <c r="HL116" s="958"/>
      <c r="HM116" s="958"/>
      <c r="HN116" s="958"/>
      <c r="HO116" s="958"/>
      <c r="HP116" s="958"/>
      <c r="HQ116" s="958"/>
      <c r="HR116" s="958"/>
      <c r="HS116" s="958"/>
      <c r="HT116" s="958"/>
      <c r="HU116" s="958"/>
      <c r="HV116" s="958"/>
      <c r="HW116" s="958"/>
      <c r="HX116" s="958"/>
      <c r="HY116" s="958"/>
      <c r="HZ116" s="958"/>
      <c r="IA116" s="958"/>
      <c r="IB116" s="958"/>
      <c r="IC116" s="958"/>
      <c r="ID116" s="958"/>
      <c r="IE116" s="958"/>
      <c r="IF116" s="958"/>
      <c r="IG116" s="958"/>
      <c r="IH116" s="958"/>
      <c r="II116" s="958"/>
      <c r="IJ116" s="958"/>
      <c r="IK116" s="958"/>
      <c r="IL116" s="958"/>
      <c r="IM116" s="958"/>
      <c r="IN116" s="958"/>
      <c r="IO116" s="958"/>
      <c r="IP116" s="958"/>
      <c r="IQ116" s="958"/>
      <c r="IR116" s="958"/>
      <c r="IS116" s="958"/>
      <c r="IT116" s="958"/>
      <c r="IU116" s="958"/>
      <c r="IV116" s="958"/>
    </row>
    <row r="117" spans="1:256" ht="10.5" customHeight="1">
      <c r="A117" s="944"/>
      <c r="B117" s="944"/>
      <c r="C117" s="944"/>
      <c r="D117" s="944"/>
      <c r="E117" s="944"/>
      <c r="F117" s="944"/>
      <c r="G117" s="1065"/>
      <c r="K117" s="958"/>
      <c r="L117" s="1066"/>
      <c r="M117" s="1066" t="s">
        <v>124</v>
      </c>
      <c r="N117" s="1066" t="s">
        <v>124</v>
      </c>
      <c r="O117" s="958"/>
      <c r="P117" s="958"/>
      <c r="Q117" s="958"/>
      <c r="R117" s="958"/>
      <c r="S117" s="958"/>
      <c r="T117" s="958"/>
      <c r="U117" s="958"/>
      <c r="V117" s="958"/>
      <c r="W117" s="958"/>
      <c r="X117" s="958"/>
      <c r="Y117" s="958"/>
      <c r="Z117" s="958"/>
      <c r="AA117" s="958"/>
      <c r="AB117" s="958"/>
      <c r="AC117" s="958"/>
      <c r="AD117" s="958"/>
      <c r="AE117" s="958"/>
      <c r="AF117" s="958"/>
      <c r="AG117" s="958"/>
      <c r="AH117" s="958"/>
      <c r="AI117" s="958"/>
      <c r="AJ117" s="958"/>
      <c r="AK117" s="958"/>
      <c r="AL117" s="958"/>
      <c r="AM117" s="958"/>
      <c r="AN117" s="958"/>
      <c r="AO117" s="958"/>
      <c r="AP117" s="958"/>
      <c r="AQ117" s="958"/>
      <c r="AR117" s="958"/>
      <c r="AS117" s="958"/>
      <c r="AT117" s="958"/>
      <c r="AU117" s="958"/>
      <c r="AV117" s="958"/>
      <c r="AW117" s="958"/>
      <c r="AX117" s="958"/>
      <c r="AY117" s="958"/>
      <c r="AZ117" s="958"/>
      <c r="BA117" s="958"/>
      <c r="BB117" s="958"/>
      <c r="BC117" s="958"/>
      <c r="BD117" s="958"/>
      <c r="BE117" s="958"/>
      <c r="BF117" s="958"/>
      <c r="BG117" s="958"/>
      <c r="BH117" s="958"/>
      <c r="BI117" s="958"/>
      <c r="BJ117" s="958"/>
      <c r="BK117" s="958"/>
      <c r="BL117" s="958"/>
      <c r="BM117" s="958"/>
      <c r="BN117" s="958"/>
      <c r="BO117" s="958"/>
      <c r="BP117" s="958"/>
      <c r="BQ117" s="958"/>
      <c r="BR117" s="958"/>
      <c r="BS117" s="958"/>
      <c r="BT117" s="958"/>
      <c r="BU117" s="958"/>
      <c r="BV117" s="958"/>
      <c r="BW117" s="958"/>
      <c r="BX117" s="958"/>
      <c r="BY117" s="958"/>
      <c r="BZ117" s="958"/>
      <c r="CA117" s="958"/>
      <c r="CB117" s="958"/>
      <c r="CC117" s="958"/>
      <c r="CD117" s="958"/>
      <c r="CE117" s="958"/>
      <c r="CF117" s="958"/>
      <c r="CG117" s="958"/>
      <c r="CH117" s="958"/>
      <c r="CI117" s="958"/>
      <c r="CJ117" s="958"/>
      <c r="CK117" s="958"/>
      <c r="CL117" s="958"/>
      <c r="CM117" s="958"/>
      <c r="CN117" s="958"/>
      <c r="CO117" s="958"/>
      <c r="CP117" s="958"/>
      <c r="CQ117" s="958"/>
      <c r="CR117" s="958"/>
      <c r="CS117" s="958"/>
      <c r="CT117" s="958"/>
      <c r="CU117" s="958"/>
      <c r="CV117" s="958"/>
      <c r="CW117" s="958"/>
      <c r="CX117" s="958"/>
      <c r="CY117" s="958"/>
      <c r="CZ117" s="958"/>
      <c r="DA117" s="958"/>
      <c r="DB117" s="958"/>
      <c r="DC117" s="958"/>
      <c r="DD117" s="958"/>
      <c r="DE117" s="958"/>
      <c r="DF117" s="958"/>
      <c r="DG117" s="958"/>
      <c r="DH117" s="958"/>
      <c r="DI117" s="958"/>
      <c r="DJ117" s="958"/>
      <c r="DK117" s="958"/>
      <c r="DL117" s="958"/>
      <c r="DM117" s="958"/>
      <c r="DN117" s="958"/>
      <c r="DO117" s="958"/>
      <c r="DP117" s="958"/>
      <c r="DQ117" s="958"/>
      <c r="DR117" s="958"/>
      <c r="DS117" s="958"/>
      <c r="DT117" s="958"/>
      <c r="DU117" s="958"/>
      <c r="DV117" s="958"/>
      <c r="DW117" s="958"/>
      <c r="DX117" s="958"/>
      <c r="DY117" s="958"/>
      <c r="DZ117" s="958"/>
      <c r="EA117" s="958"/>
      <c r="EB117" s="958"/>
      <c r="EC117" s="958"/>
      <c r="ED117" s="958"/>
      <c r="EE117" s="958"/>
      <c r="EF117" s="958"/>
      <c r="EG117" s="958"/>
      <c r="EH117" s="958"/>
      <c r="EI117" s="958"/>
      <c r="EJ117" s="958"/>
      <c r="EK117" s="958"/>
      <c r="EL117" s="958"/>
      <c r="EM117" s="958"/>
      <c r="EN117" s="958"/>
      <c r="EO117" s="958"/>
      <c r="EP117" s="958"/>
      <c r="EQ117" s="958"/>
      <c r="ER117" s="958"/>
      <c r="ES117" s="958"/>
      <c r="ET117" s="958"/>
      <c r="EU117" s="958"/>
      <c r="EV117" s="958"/>
      <c r="EW117" s="958"/>
      <c r="EX117" s="958"/>
      <c r="EY117" s="958"/>
      <c r="EZ117" s="958"/>
      <c r="FA117" s="958"/>
      <c r="FB117" s="958"/>
      <c r="FC117" s="958"/>
      <c r="FD117" s="958"/>
      <c r="FE117" s="958"/>
      <c r="FF117" s="958"/>
      <c r="FG117" s="958"/>
      <c r="FH117" s="958"/>
      <c r="FI117" s="958"/>
      <c r="FJ117" s="958"/>
      <c r="FK117" s="958"/>
      <c r="FL117" s="958"/>
      <c r="FM117" s="958"/>
      <c r="FN117" s="958"/>
      <c r="FO117" s="958"/>
      <c r="FP117" s="958"/>
      <c r="FQ117" s="958"/>
      <c r="FR117" s="958"/>
      <c r="FS117" s="958"/>
      <c r="FT117" s="958"/>
      <c r="FU117" s="958"/>
      <c r="FV117" s="958"/>
      <c r="FW117" s="958"/>
      <c r="FX117" s="958"/>
      <c r="FY117" s="958"/>
      <c r="FZ117" s="958"/>
      <c r="GA117" s="958"/>
      <c r="GB117" s="958"/>
      <c r="GC117" s="958"/>
      <c r="GD117" s="958"/>
      <c r="GE117" s="958"/>
      <c r="GF117" s="958"/>
      <c r="GG117" s="958"/>
      <c r="GH117" s="958"/>
      <c r="GI117" s="958"/>
      <c r="GJ117" s="958"/>
      <c r="GK117" s="958"/>
      <c r="GL117" s="958"/>
      <c r="GM117" s="958"/>
      <c r="GN117" s="958"/>
      <c r="GO117" s="958"/>
      <c r="GP117" s="958"/>
      <c r="GQ117" s="958"/>
      <c r="GR117" s="958"/>
      <c r="GS117" s="958"/>
      <c r="GT117" s="958"/>
      <c r="GU117" s="958"/>
      <c r="GV117" s="958"/>
      <c r="GW117" s="958"/>
      <c r="GX117" s="958"/>
      <c r="GY117" s="958"/>
      <c r="GZ117" s="958"/>
      <c r="HA117" s="958"/>
      <c r="HB117" s="958"/>
      <c r="HC117" s="958"/>
      <c r="HD117" s="958"/>
      <c r="HE117" s="958"/>
      <c r="HF117" s="958"/>
      <c r="HG117" s="958"/>
      <c r="HH117" s="958"/>
      <c r="HI117" s="958"/>
      <c r="HJ117" s="958"/>
      <c r="HK117" s="958"/>
      <c r="HL117" s="958"/>
      <c r="HM117" s="958"/>
      <c r="HN117" s="958"/>
      <c r="HO117" s="958"/>
      <c r="HP117" s="958"/>
      <c r="HQ117" s="958"/>
      <c r="HR117" s="958"/>
      <c r="HS117" s="958"/>
      <c r="HT117" s="958"/>
      <c r="HU117" s="958"/>
      <c r="HV117" s="958"/>
      <c r="HW117" s="958"/>
      <c r="HX117" s="958"/>
      <c r="HY117" s="958"/>
      <c r="HZ117" s="958"/>
      <c r="IA117" s="958"/>
      <c r="IB117" s="958"/>
      <c r="IC117" s="958"/>
      <c r="ID117" s="958"/>
      <c r="IE117" s="958"/>
      <c r="IF117" s="958"/>
      <c r="IG117" s="958"/>
      <c r="IH117" s="958"/>
      <c r="II117" s="958"/>
      <c r="IJ117" s="958"/>
      <c r="IK117" s="958"/>
      <c r="IL117" s="958"/>
      <c r="IM117" s="958"/>
      <c r="IN117" s="958"/>
      <c r="IO117" s="958"/>
      <c r="IP117" s="958"/>
      <c r="IQ117" s="958"/>
      <c r="IR117" s="958"/>
      <c r="IS117" s="958"/>
      <c r="IT117" s="958"/>
      <c r="IU117" s="958"/>
      <c r="IV117" s="958"/>
    </row>
    <row r="118" spans="1:256" ht="10.5" customHeight="1">
      <c r="A118" s="1000" t="s">
        <v>892</v>
      </c>
      <c r="B118" s="1000">
        <v>1996</v>
      </c>
      <c r="C118" s="1000">
        <v>1997</v>
      </c>
      <c r="D118" s="1000">
        <v>1998</v>
      </c>
      <c r="E118" s="1000">
        <v>1999</v>
      </c>
      <c r="F118" s="1000">
        <v>2000</v>
      </c>
      <c r="G118" s="1046">
        <v>2001</v>
      </c>
      <c r="H118" s="1000">
        <v>2002</v>
      </c>
      <c r="I118" s="1046">
        <v>2003</v>
      </c>
      <c r="J118" s="1046">
        <v>2004</v>
      </c>
      <c r="K118" s="1046">
        <v>2005</v>
      </c>
      <c r="L118" s="1046">
        <v>2006</v>
      </c>
      <c r="M118" s="1046">
        <v>2007</v>
      </c>
      <c r="N118" s="1046">
        <v>2008</v>
      </c>
      <c r="O118" s="958"/>
      <c r="P118" s="958"/>
      <c r="Q118" s="958"/>
      <c r="R118" s="958"/>
      <c r="S118" s="958"/>
      <c r="T118" s="958"/>
      <c r="U118" s="958"/>
      <c r="V118" s="958"/>
      <c r="W118" s="958"/>
      <c r="X118" s="958"/>
      <c r="Y118" s="958"/>
      <c r="Z118" s="958"/>
      <c r="AA118" s="958"/>
      <c r="AB118" s="958"/>
      <c r="AC118" s="958"/>
      <c r="AD118" s="958"/>
      <c r="AE118" s="958"/>
      <c r="AF118" s="958"/>
      <c r="AG118" s="958"/>
      <c r="AH118" s="958"/>
      <c r="AI118" s="958"/>
      <c r="AJ118" s="958"/>
      <c r="AK118" s="958"/>
      <c r="AL118" s="958"/>
      <c r="AM118" s="958"/>
      <c r="AN118" s="958"/>
      <c r="AO118" s="958"/>
      <c r="AP118" s="958"/>
      <c r="AQ118" s="958"/>
      <c r="AR118" s="958"/>
      <c r="AS118" s="958"/>
      <c r="AT118" s="958"/>
      <c r="AU118" s="958"/>
      <c r="AV118" s="958"/>
      <c r="AW118" s="958"/>
      <c r="AX118" s="958"/>
      <c r="AY118" s="958"/>
      <c r="AZ118" s="958"/>
      <c r="BA118" s="958"/>
      <c r="BB118" s="958"/>
      <c r="BC118" s="958"/>
      <c r="BD118" s="958"/>
      <c r="BE118" s="958"/>
      <c r="BF118" s="958"/>
      <c r="BG118" s="958"/>
      <c r="BH118" s="958"/>
      <c r="BI118" s="958"/>
      <c r="BJ118" s="958"/>
      <c r="BK118" s="958"/>
      <c r="BL118" s="958"/>
      <c r="BM118" s="958"/>
      <c r="BN118" s="958"/>
      <c r="BO118" s="958"/>
      <c r="BP118" s="958"/>
      <c r="BQ118" s="958"/>
      <c r="BR118" s="958"/>
      <c r="BS118" s="958"/>
      <c r="BT118" s="958"/>
      <c r="BU118" s="958"/>
      <c r="BV118" s="958"/>
      <c r="BW118" s="958"/>
      <c r="BX118" s="958"/>
      <c r="BY118" s="958"/>
      <c r="BZ118" s="958"/>
      <c r="CA118" s="958"/>
      <c r="CB118" s="958"/>
      <c r="CC118" s="958"/>
      <c r="CD118" s="958"/>
      <c r="CE118" s="958"/>
      <c r="CF118" s="958"/>
      <c r="CG118" s="958"/>
      <c r="CH118" s="958"/>
      <c r="CI118" s="958"/>
      <c r="CJ118" s="958"/>
      <c r="CK118" s="958"/>
      <c r="CL118" s="958"/>
      <c r="CM118" s="958"/>
      <c r="CN118" s="958"/>
      <c r="CO118" s="958"/>
      <c r="CP118" s="958"/>
      <c r="CQ118" s="958"/>
      <c r="CR118" s="958"/>
      <c r="CS118" s="958"/>
      <c r="CT118" s="958"/>
      <c r="CU118" s="958"/>
      <c r="CV118" s="958"/>
      <c r="CW118" s="958"/>
      <c r="CX118" s="958"/>
      <c r="CY118" s="958"/>
      <c r="CZ118" s="958"/>
      <c r="DA118" s="958"/>
      <c r="DB118" s="958"/>
      <c r="DC118" s="958"/>
      <c r="DD118" s="958"/>
      <c r="DE118" s="958"/>
      <c r="DF118" s="958"/>
      <c r="DG118" s="958"/>
      <c r="DH118" s="958"/>
      <c r="DI118" s="958"/>
      <c r="DJ118" s="958"/>
      <c r="DK118" s="958"/>
      <c r="DL118" s="958"/>
      <c r="DM118" s="958"/>
      <c r="DN118" s="958"/>
      <c r="DO118" s="958"/>
      <c r="DP118" s="958"/>
      <c r="DQ118" s="958"/>
      <c r="DR118" s="958"/>
      <c r="DS118" s="958"/>
      <c r="DT118" s="958"/>
      <c r="DU118" s="958"/>
      <c r="DV118" s="958"/>
      <c r="DW118" s="958"/>
      <c r="DX118" s="958"/>
      <c r="DY118" s="958"/>
      <c r="DZ118" s="958"/>
      <c r="EA118" s="958"/>
      <c r="EB118" s="958"/>
      <c r="EC118" s="958"/>
      <c r="ED118" s="958"/>
      <c r="EE118" s="958"/>
      <c r="EF118" s="958"/>
      <c r="EG118" s="958"/>
      <c r="EH118" s="958"/>
      <c r="EI118" s="958"/>
      <c r="EJ118" s="958"/>
      <c r="EK118" s="958"/>
      <c r="EL118" s="958"/>
      <c r="EM118" s="958"/>
      <c r="EN118" s="958"/>
      <c r="EO118" s="958"/>
      <c r="EP118" s="958"/>
      <c r="EQ118" s="958"/>
      <c r="ER118" s="958"/>
      <c r="ES118" s="958"/>
      <c r="ET118" s="958"/>
      <c r="EU118" s="958"/>
      <c r="EV118" s="958"/>
      <c r="EW118" s="958"/>
      <c r="EX118" s="958"/>
      <c r="EY118" s="958"/>
      <c r="EZ118" s="958"/>
      <c r="FA118" s="958"/>
      <c r="FB118" s="958"/>
      <c r="FC118" s="958"/>
      <c r="FD118" s="958"/>
      <c r="FE118" s="958"/>
      <c r="FF118" s="958"/>
      <c r="FG118" s="958"/>
      <c r="FH118" s="958"/>
      <c r="FI118" s="958"/>
      <c r="FJ118" s="958"/>
      <c r="FK118" s="958"/>
      <c r="FL118" s="958"/>
      <c r="FM118" s="958"/>
      <c r="FN118" s="958"/>
      <c r="FO118" s="958"/>
      <c r="FP118" s="958"/>
      <c r="FQ118" s="958"/>
      <c r="FR118" s="958"/>
      <c r="FS118" s="958"/>
      <c r="FT118" s="958"/>
      <c r="FU118" s="958"/>
      <c r="FV118" s="958"/>
      <c r="FW118" s="958"/>
      <c r="FX118" s="958"/>
      <c r="FY118" s="958"/>
      <c r="FZ118" s="958"/>
      <c r="GA118" s="958"/>
      <c r="GB118" s="958"/>
      <c r="GC118" s="958"/>
      <c r="GD118" s="958"/>
      <c r="GE118" s="958"/>
      <c r="GF118" s="958"/>
      <c r="GG118" s="958"/>
      <c r="GH118" s="958"/>
      <c r="GI118" s="958"/>
      <c r="GJ118" s="958"/>
      <c r="GK118" s="958"/>
      <c r="GL118" s="958"/>
      <c r="GM118" s="958"/>
      <c r="GN118" s="958"/>
      <c r="GO118" s="958"/>
      <c r="GP118" s="958"/>
      <c r="GQ118" s="958"/>
      <c r="GR118" s="958"/>
      <c r="GS118" s="958"/>
      <c r="GT118" s="958"/>
      <c r="GU118" s="958"/>
      <c r="GV118" s="958"/>
      <c r="GW118" s="958"/>
      <c r="GX118" s="958"/>
      <c r="GY118" s="958"/>
      <c r="GZ118" s="958"/>
      <c r="HA118" s="958"/>
      <c r="HB118" s="958"/>
      <c r="HC118" s="958"/>
      <c r="HD118" s="958"/>
      <c r="HE118" s="958"/>
      <c r="HF118" s="958"/>
      <c r="HG118" s="958"/>
      <c r="HH118" s="958"/>
      <c r="HI118" s="958"/>
      <c r="HJ118" s="958"/>
      <c r="HK118" s="958"/>
      <c r="HL118" s="958"/>
      <c r="HM118" s="958"/>
      <c r="HN118" s="958"/>
      <c r="HO118" s="958"/>
      <c r="HP118" s="958"/>
      <c r="HQ118" s="958"/>
      <c r="HR118" s="958"/>
      <c r="HS118" s="958"/>
      <c r="HT118" s="958"/>
      <c r="HU118" s="958"/>
      <c r="HV118" s="958"/>
      <c r="HW118" s="958"/>
      <c r="HX118" s="958"/>
      <c r="HY118" s="958"/>
      <c r="HZ118" s="958"/>
      <c r="IA118" s="958"/>
      <c r="IB118" s="958"/>
      <c r="IC118" s="958"/>
      <c r="ID118" s="958"/>
      <c r="IE118" s="958"/>
      <c r="IF118" s="958"/>
      <c r="IG118" s="958"/>
      <c r="IH118" s="958"/>
      <c r="II118" s="958"/>
      <c r="IJ118" s="958"/>
      <c r="IK118" s="958"/>
      <c r="IL118" s="958"/>
      <c r="IM118" s="958"/>
      <c r="IN118" s="958"/>
      <c r="IO118" s="958"/>
      <c r="IP118" s="958"/>
      <c r="IQ118" s="958"/>
      <c r="IR118" s="958"/>
      <c r="IS118" s="958"/>
      <c r="IT118" s="958"/>
      <c r="IU118" s="958"/>
      <c r="IV118" s="958"/>
    </row>
    <row r="119" spans="1:256" ht="10.5" customHeight="1">
      <c r="A119" s="944" t="s">
        <v>893</v>
      </c>
      <c r="B119" s="1067">
        <v>4552</v>
      </c>
      <c r="C119" s="1067">
        <v>4818.5</v>
      </c>
      <c r="D119" s="1032">
        <v>5114</v>
      </c>
      <c r="E119" s="1032">
        <v>5133</v>
      </c>
      <c r="F119" s="1032">
        <v>5564.4</v>
      </c>
      <c r="G119" s="1032">
        <v>4929.3</v>
      </c>
      <c r="H119" s="1032">
        <v>5208.6000000000004</v>
      </c>
      <c r="I119" s="1032">
        <v>5981.7</v>
      </c>
      <c r="J119" s="1032">
        <v>5968.2</v>
      </c>
      <c r="K119" s="1032">
        <v>6005.2</v>
      </c>
      <c r="L119" s="1034">
        <v>5791.1</v>
      </c>
      <c r="M119" s="1034">
        <v>5974.7</v>
      </c>
      <c r="N119" s="1032">
        <v>6014.4</v>
      </c>
      <c r="O119" s="958"/>
      <c r="P119" s="958"/>
      <c r="Q119" s="958"/>
      <c r="R119" s="958"/>
      <c r="S119" s="958"/>
      <c r="T119" s="958"/>
      <c r="U119" s="958"/>
      <c r="V119" s="958"/>
      <c r="W119" s="958"/>
      <c r="X119" s="958"/>
      <c r="Y119" s="958"/>
      <c r="Z119" s="958"/>
      <c r="AA119" s="958"/>
      <c r="AB119" s="958"/>
      <c r="AC119" s="958"/>
      <c r="AD119" s="958"/>
      <c r="AE119" s="958"/>
      <c r="AF119" s="958"/>
      <c r="AG119" s="958"/>
      <c r="AH119" s="958"/>
      <c r="AI119" s="958"/>
      <c r="AJ119" s="958"/>
      <c r="AK119" s="958"/>
      <c r="AL119" s="958"/>
      <c r="AM119" s="958"/>
      <c r="AN119" s="958"/>
      <c r="AO119" s="958"/>
      <c r="AP119" s="958"/>
      <c r="AQ119" s="958"/>
      <c r="AR119" s="958"/>
      <c r="AS119" s="958"/>
      <c r="AT119" s="958"/>
      <c r="AU119" s="958"/>
      <c r="AV119" s="958"/>
      <c r="AW119" s="958"/>
      <c r="AX119" s="958"/>
      <c r="AY119" s="958"/>
      <c r="AZ119" s="958"/>
      <c r="BA119" s="958"/>
      <c r="BB119" s="958"/>
      <c r="BC119" s="958"/>
      <c r="BD119" s="958"/>
      <c r="BE119" s="958"/>
      <c r="BF119" s="958"/>
      <c r="BG119" s="958"/>
      <c r="BH119" s="958"/>
      <c r="BI119" s="958"/>
      <c r="BJ119" s="958"/>
      <c r="BK119" s="958"/>
      <c r="BL119" s="958"/>
      <c r="BM119" s="958"/>
      <c r="BN119" s="958"/>
      <c r="BO119" s="958"/>
      <c r="BP119" s="958"/>
      <c r="BQ119" s="958"/>
      <c r="BR119" s="958"/>
      <c r="BS119" s="958"/>
      <c r="BT119" s="958"/>
      <c r="BU119" s="958"/>
      <c r="BV119" s="958"/>
      <c r="BW119" s="958"/>
      <c r="BX119" s="958"/>
      <c r="BY119" s="958"/>
      <c r="BZ119" s="958"/>
      <c r="CA119" s="958"/>
      <c r="CB119" s="958"/>
      <c r="CC119" s="958"/>
      <c r="CD119" s="958"/>
      <c r="CE119" s="958"/>
      <c r="CF119" s="958"/>
      <c r="CG119" s="958"/>
      <c r="CH119" s="958"/>
      <c r="CI119" s="958"/>
      <c r="CJ119" s="958"/>
      <c r="CK119" s="958"/>
      <c r="CL119" s="958"/>
      <c r="CM119" s="958"/>
      <c r="CN119" s="958"/>
      <c r="CO119" s="958"/>
      <c r="CP119" s="958"/>
      <c r="CQ119" s="958"/>
      <c r="CR119" s="958"/>
      <c r="CS119" s="958"/>
      <c r="CT119" s="958"/>
      <c r="CU119" s="958"/>
      <c r="CV119" s="958"/>
      <c r="CW119" s="958"/>
      <c r="CX119" s="958"/>
      <c r="CY119" s="958"/>
      <c r="CZ119" s="958"/>
      <c r="DA119" s="958"/>
      <c r="DB119" s="958"/>
      <c r="DC119" s="958"/>
      <c r="DD119" s="958"/>
      <c r="DE119" s="958"/>
      <c r="DF119" s="958"/>
      <c r="DG119" s="958"/>
      <c r="DH119" s="958"/>
      <c r="DI119" s="958"/>
      <c r="DJ119" s="958"/>
      <c r="DK119" s="958"/>
      <c r="DL119" s="958"/>
      <c r="DM119" s="958"/>
      <c r="DN119" s="958"/>
      <c r="DO119" s="958"/>
      <c r="DP119" s="958"/>
      <c r="DQ119" s="958"/>
      <c r="DR119" s="958"/>
      <c r="DS119" s="958"/>
      <c r="DT119" s="958"/>
      <c r="DU119" s="958"/>
      <c r="DV119" s="958"/>
      <c r="DW119" s="958"/>
      <c r="DX119" s="958"/>
      <c r="DY119" s="958"/>
      <c r="DZ119" s="958"/>
      <c r="EA119" s="958"/>
      <c r="EB119" s="958"/>
      <c r="EC119" s="958"/>
      <c r="ED119" s="958"/>
      <c r="EE119" s="958"/>
      <c r="EF119" s="958"/>
      <c r="EG119" s="958"/>
      <c r="EH119" s="958"/>
      <c r="EI119" s="958"/>
      <c r="EJ119" s="958"/>
      <c r="EK119" s="958"/>
      <c r="EL119" s="958"/>
      <c r="EM119" s="958"/>
      <c r="EN119" s="958"/>
      <c r="EO119" s="958"/>
      <c r="EP119" s="958"/>
      <c r="EQ119" s="958"/>
      <c r="ER119" s="958"/>
      <c r="ES119" s="958"/>
      <c r="ET119" s="958"/>
      <c r="EU119" s="958"/>
      <c r="EV119" s="958"/>
      <c r="EW119" s="958"/>
      <c r="EX119" s="958"/>
      <c r="EY119" s="958"/>
      <c r="EZ119" s="958"/>
      <c r="FA119" s="958"/>
      <c r="FB119" s="958"/>
      <c r="FC119" s="958"/>
      <c r="FD119" s="958"/>
      <c r="FE119" s="958"/>
      <c r="FF119" s="958"/>
      <c r="FG119" s="958"/>
      <c r="FH119" s="958"/>
      <c r="FI119" s="958"/>
      <c r="FJ119" s="958"/>
      <c r="FK119" s="958"/>
      <c r="FL119" s="958"/>
      <c r="FM119" s="958"/>
      <c r="FN119" s="958"/>
      <c r="FO119" s="958"/>
      <c r="FP119" s="958"/>
      <c r="FQ119" s="958"/>
      <c r="FR119" s="958"/>
      <c r="FS119" s="958"/>
      <c r="FT119" s="958"/>
      <c r="FU119" s="958"/>
      <c r="FV119" s="958"/>
      <c r="FW119" s="958"/>
      <c r="FX119" s="958"/>
      <c r="FY119" s="958"/>
      <c r="FZ119" s="958"/>
      <c r="GA119" s="958"/>
      <c r="GB119" s="958"/>
      <c r="GC119" s="958"/>
      <c r="GD119" s="958"/>
      <c r="GE119" s="958"/>
      <c r="GF119" s="958"/>
      <c r="GG119" s="958"/>
      <c r="GH119" s="958"/>
      <c r="GI119" s="958"/>
      <c r="GJ119" s="958"/>
      <c r="GK119" s="958"/>
      <c r="GL119" s="958"/>
      <c r="GM119" s="958"/>
      <c r="GN119" s="958"/>
      <c r="GO119" s="958"/>
      <c r="GP119" s="958"/>
      <c r="GQ119" s="958"/>
      <c r="GR119" s="958"/>
      <c r="GS119" s="958"/>
      <c r="GT119" s="958"/>
      <c r="GU119" s="958"/>
      <c r="GV119" s="958"/>
      <c r="GW119" s="958"/>
      <c r="GX119" s="958"/>
      <c r="GY119" s="958"/>
      <c r="GZ119" s="958"/>
      <c r="HA119" s="958"/>
      <c r="HB119" s="958"/>
      <c r="HC119" s="958"/>
      <c r="HD119" s="958"/>
      <c r="HE119" s="958"/>
      <c r="HF119" s="958"/>
      <c r="HG119" s="958"/>
      <c r="HH119" s="958"/>
      <c r="HI119" s="958"/>
      <c r="HJ119" s="958"/>
      <c r="HK119" s="958"/>
      <c r="HL119" s="958"/>
      <c r="HM119" s="958"/>
      <c r="HN119" s="958"/>
      <c r="HO119" s="958"/>
      <c r="HP119" s="958"/>
      <c r="HQ119" s="958"/>
      <c r="HR119" s="958"/>
      <c r="HS119" s="958"/>
      <c r="HT119" s="958"/>
      <c r="HU119" s="958"/>
      <c r="HV119" s="958"/>
      <c r="HW119" s="958"/>
      <c r="HX119" s="958"/>
      <c r="HY119" s="958"/>
      <c r="HZ119" s="958"/>
      <c r="IA119" s="958"/>
      <c r="IB119" s="958"/>
      <c r="IC119" s="958"/>
      <c r="ID119" s="958"/>
      <c r="IE119" s="958"/>
      <c r="IF119" s="958"/>
      <c r="IG119" s="958"/>
      <c r="IH119" s="958"/>
      <c r="II119" s="958"/>
      <c r="IJ119" s="958"/>
      <c r="IK119" s="958"/>
      <c r="IL119" s="958"/>
      <c r="IM119" s="958"/>
      <c r="IN119" s="958"/>
      <c r="IO119" s="958"/>
      <c r="IP119" s="958"/>
      <c r="IQ119" s="958"/>
      <c r="IR119" s="958"/>
      <c r="IS119" s="958"/>
      <c r="IT119" s="958"/>
      <c r="IU119" s="958"/>
      <c r="IV119" s="958"/>
    </row>
    <row r="120" spans="1:256" ht="10.5" customHeight="1">
      <c r="A120" s="944" t="s">
        <v>894</v>
      </c>
      <c r="B120" s="1067">
        <v>1055</v>
      </c>
      <c r="C120" s="1067">
        <v>1013.9</v>
      </c>
      <c r="D120" s="1032">
        <v>921</v>
      </c>
      <c r="E120" s="1032">
        <v>897</v>
      </c>
      <c r="F120" s="1032">
        <v>1159</v>
      </c>
      <c r="G120" s="1032">
        <v>1352</v>
      </c>
      <c r="H120" s="1032">
        <v>1316</v>
      </c>
      <c r="I120" s="1032">
        <v>1449</v>
      </c>
      <c r="J120" s="1032">
        <v>1203</v>
      </c>
      <c r="K120" s="1032">
        <v>1465</v>
      </c>
      <c r="L120" s="1034">
        <v>1455</v>
      </c>
      <c r="M120" s="1034">
        <v>1361</v>
      </c>
      <c r="N120" s="1032">
        <v>1425</v>
      </c>
      <c r="O120" s="958"/>
      <c r="P120" s="958"/>
      <c r="Q120" s="958"/>
      <c r="R120" s="958"/>
      <c r="S120" s="958"/>
      <c r="T120" s="958"/>
      <c r="U120" s="958"/>
      <c r="V120" s="958"/>
      <c r="W120" s="958"/>
      <c r="X120" s="958"/>
      <c r="Y120" s="958"/>
      <c r="Z120" s="958"/>
      <c r="AA120" s="958"/>
      <c r="AB120" s="958"/>
      <c r="AC120" s="958"/>
      <c r="AD120" s="958"/>
      <c r="AE120" s="958"/>
      <c r="AF120" s="958"/>
      <c r="AG120" s="958"/>
      <c r="AH120" s="958"/>
      <c r="AI120" s="958"/>
      <c r="AJ120" s="958"/>
      <c r="AK120" s="958"/>
      <c r="AL120" s="958"/>
      <c r="AM120" s="958"/>
      <c r="AN120" s="958"/>
      <c r="AO120" s="958"/>
      <c r="AP120" s="958"/>
      <c r="AQ120" s="958"/>
      <c r="AR120" s="958"/>
      <c r="AS120" s="958"/>
      <c r="AT120" s="958"/>
      <c r="AU120" s="958"/>
      <c r="AV120" s="958"/>
      <c r="AW120" s="958"/>
      <c r="AX120" s="958"/>
      <c r="AY120" s="958"/>
      <c r="AZ120" s="958"/>
      <c r="BA120" s="958"/>
      <c r="BB120" s="958"/>
      <c r="BC120" s="958"/>
      <c r="BD120" s="958"/>
      <c r="BE120" s="958"/>
      <c r="BF120" s="958"/>
      <c r="BG120" s="958"/>
      <c r="BH120" s="958"/>
      <c r="BI120" s="958"/>
      <c r="BJ120" s="958"/>
      <c r="BK120" s="958"/>
      <c r="BL120" s="958"/>
      <c r="BM120" s="958"/>
      <c r="BN120" s="958"/>
      <c r="BO120" s="958"/>
      <c r="BP120" s="958"/>
      <c r="BQ120" s="958"/>
      <c r="BR120" s="958"/>
      <c r="BS120" s="958"/>
      <c r="BT120" s="958"/>
      <c r="BU120" s="958"/>
      <c r="BV120" s="958"/>
      <c r="BW120" s="958"/>
      <c r="BX120" s="958"/>
      <c r="BY120" s="958"/>
      <c r="BZ120" s="958"/>
      <c r="CA120" s="958"/>
      <c r="CB120" s="958"/>
      <c r="CC120" s="958"/>
      <c r="CD120" s="958"/>
      <c r="CE120" s="958"/>
      <c r="CF120" s="958"/>
      <c r="CG120" s="958"/>
      <c r="CH120" s="958"/>
      <c r="CI120" s="958"/>
      <c r="CJ120" s="958"/>
      <c r="CK120" s="958"/>
      <c r="CL120" s="958"/>
      <c r="CM120" s="958"/>
      <c r="CN120" s="958"/>
      <c r="CO120" s="958"/>
      <c r="CP120" s="958"/>
      <c r="CQ120" s="958"/>
      <c r="CR120" s="958"/>
      <c r="CS120" s="958"/>
      <c r="CT120" s="958"/>
      <c r="CU120" s="958"/>
      <c r="CV120" s="958"/>
      <c r="CW120" s="958"/>
      <c r="CX120" s="958"/>
      <c r="CY120" s="958"/>
      <c r="CZ120" s="958"/>
      <c r="DA120" s="958"/>
      <c r="DB120" s="958"/>
      <c r="DC120" s="958"/>
      <c r="DD120" s="958"/>
      <c r="DE120" s="958"/>
      <c r="DF120" s="958"/>
      <c r="DG120" s="958"/>
      <c r="DH120" s="958"/>
      <c r="DI120" s="958"/>
      <c r="DJ120" s="958"/>
      <c r="DK120" s="958"/>
      <c r="DL120" s="958"/>
      <c r="DM120" s="958"/>
      <c r="DN120" s="958"/>
      <c r="DO120" s="958"/>
      <c r="DP120" s="958"/>
      <c r="DQ120" s="958"/>
      <c r="DR120" s="958"/>
      <c r="DS120" s="958"/>
      <c r="DT120" s="958"/>
      <c r="DU120" s="958"/>
      <c r="DV120" s="958"/>
      <c r="DW120" s="958"/>
      <c r="DX120" s="958"/>
      <c r="DY120" s="958"/>
      <c r="DZ120" s="958"/>
      <c r="EA120" s="958"/>
      <c r="EB120" s="958"/>
      <c r="EC120" s="958"/>
      <c r="ED120" s="958"/>
      <c r="EE120" s="958"/>
      <c r="EF120" s="958"/>
      <c r="EG120" s="958"/>
      <c r="EH120" s="958"/>
      <c r="EI120" s="958"/>
      <c r="EJ120" s="958"/>
      <c r="EK120" s="958"/>
      <c r="EL120" s="958"/>
      <c r="EM120" s="958"/>
      <c r="EN120" s="958"/>
      <c r="EO120" s="958"/>
      <c r="EP120" s="958"/>
      <c r="EQ120" s="958"/>
      <c r="ER120" s="958"/>
      <c r="ES120" s="958"/>
      <c r="ET120" s="958"/>
      <c r="EU120" s="958"/>
      <c r="EV120" s="958"/>
      <c r="EW120" s="958"/>
      <c r="EX120" s="958"/>
      <c r="EY120" s="958"/>
      <c r="EZ120" s="958"/>
      <c r="FA120" s="958"/>
      <c r="FB120" s="958"/>
      <c r="FC120" s="958"/>
      <c r="FD120" s="958"/>
      <c r="FE120" s="958"/>
      <c r="FF120" s="958"/>
      <c r="FG120" s="958"/>
      <c r="FH120" s="958"/>
      <c r="FI120" s="958"/>
      <c r="FJ120" s="958"/>
      <c r="FK120" s="958"/>
      <c r="FL120" s="958"/>
      <c r="FM120" s="958"/>
      <c r="FN120" s="958"/>
      <c r="FO120" s="958"/>
      <c r="FP120" s="958"/>
      <c r="FQ120" s="958"/>
      <c r="FR120" s="958"/>
      <c r="FS120" s="958"/>
      <c r="FT120" s="958"/>
      <c r="FU120" s="958"/>
      <c r="FV120" s="958"/>
      <c r="FW120" s="958"/>
      <c r="FX120" s="958"/>
      <c r="FY120" s="958"/>
      <c r="FZ120" s="958"/>
      <c r="GA120" s="958"/>
      <c r="GB120" s="958"/>
      <c r="GC120" s="958"/>
      <c r="GD120" s="958"/>
      <c r="GE120" s="958"/>
      <c r="GF120" s="958"/>
      <c r="GG120" s="958"/>
      <c r="GH120" s="958"/>
      <c r="GI120" s="958"/>
      <c r="GJ120" s="958"/>
      <c r="GK120" s="958"/>
      <c r="GL120" s="958"/>
      <c r="GM120" s="958"/>
      <c r="GN120" s="958"/>
      <c r="GO120" s="958"/>
      <c r="GP120" s="958"/>
      <c r="GQ120" s="958"/>
      <c r="GR120" s="958"/>
      <c r="GS120" s="958"/>
      <c r="GT120" s="958"/>
      <c r="GU120" s="958"/>
      <c r="GV120" s="958"/>
      <c r="GW120" s="958"/>
      <c r="GX120" s="958"/>
      <c r="GY120" s="958"/>
      <c r="GZ120" s="958"/>
      <c r="HA120" s="958"/>
      <c r="HB120" s="958"/>
      <c r="HC120" s="958"/>
      <c r="HD120" s="958"/>
      <c r="HE120" s="958"/>
      <c r="HF120" s="958"/>
      <c r="HG120" s="958"/>
      <c r="HH120" s="958"/>
      <c r="HI120" s="958"/>
      <c r="HJ120" s="958"/>
      <c r="HK120" s="958"/>
      <c r="HL120" s="958"/>
      <c r="HM120" s="958"/>
      <c r="HN120" s="958"/>
      <c r="HO120" s="958"/>
      <c r="HP120" s="958"/>
      <c r="HQ120" s="958"/>
      <c r="HR120" s="958"/>
      <c r="HS120" s="958"/>
      <c r="HT120" s="958"/>
      <c r="HU120" s="958"/>
      <c r="HV120" s="958"/>
      <c r="HW120" s="958"/>
      <c r="HX120" s="958"/>
      <c r="HY120" s="958"/>
      <c r="HZ120" s="958"/>
      <c r="IA120" s="958"/>
      <c r="IB120" s="958"/>
      <c r="IC120" s="958"/>
      <c r="ID120" s="958"/>
      <c r="IE120" s="958"/>
      <c r="IF120" s="958"/>
      <c r="IG120" s="958"/>
      <c r="IH120" s="958"/>
      <c r="II120" s="958"/>
      <c r="IJ120" s="958"/>
      <c r="IK120" s="958"/>
      <c r="IL120" s="958"/>
      <c r="IM120" s="958"/>
      <c r="IN120" s="958"/>
      <c r="IO120" s="958"/>
      <c r="IP120" s="958"/>
      <c r="IQ120" s="958"/>
      <c r="IR120" s="958"/>
      <c r="IS120" s="958"/>
      <c r="IT120" s="958"/>
      <c r="IU120" s="958"/>
      <c r="IV120" s="958"/>
    </row>
    <row r="121" spans="1:256" ht="11.25" customHeight="1">
      <c r="A121" s="944" t="s">
        <v>895</v>
      </c>
      <c r="B121" s="1012">
        <v>434</v>
      </c>
      <c r="C121" s="1012">
        <v>435</v>
      </c>
      <c r="D121" s="1032">
        <v>454.6</v>
      </c>
      <c r="E121" s="1032">
        <v>462.8</v>
      </c>
      <c r="F121" s="1032">
        <v>439.9</v>
      </c>
      <c r="G121" s="1032">
        <v>469.7</v>
      </c>
      <c r="H121" s="1032">
        <v>428</v>
      </c>
      <c r="I121" s="1032">
        <v>250.7</v>
      </c>
      <c r="J121" s="1032">
        <v>303</v>
      </c>
      <c r="K121" s="1032">
        <v>275</v>
      </c>
      <c r="L121" s="1034">
        <v>240</v>
      </c>
      <c r="M121" s="1034">
        <v>246.2</v>
      </c>
      <c r="N121" s="1032">
        <v>242</v>
      </c>
      <c r="O121" s="958"/>
      <c r="P121" s="958"/>
      <c r="Q121" s="958"/>
      <c r="R121" s="958"/>
      <c r="S121" s="958"/>
      <c r="T121" s="958"/>
      <c r="U121" s="958"/>
      <c r="V121" s="958"/>
      <c r="W121" s="958"/>
      <c r="X121" s="958"/>
      <c r="Y121" s="958"/>
      <c r="Z121" s="958"/>
      <c r="AA121" s="958"/>
      <c r="AB121" s="958"/>
      <c r="AC121" s="958"/>
      <c r="AD121" s="958"/>
      <c r="AE121" s="958"/>
      <c r="AF121" s="958"/>
      <c r="AG121" s="958"/>
      <c r="AH121" s="958"/>
      <c r="AI121" s="958"/>
      <c r="AJ121" s="958"/>
      <c r="AK121" s="958"/>
      <c r="AL121" s="958"/>
      <c r="AM121" s="958"/>
      <c r="AN121" s="958"/>
      <c r="AO121" s="958"/>
      <c r="AP121" s="958"/>
      <c r="AQ121" s="958"/>
      <c r="AR121" s="958"/>
      <c r="AS121" s="958"/>
      <c r="AT121" s="958"/>
      <c r="AU121" s="958"/>
      <c r="AV121" s="958"/>
      <c r="AW121" s="958"/>
      <c r="AX121" s="958"/>
      <c r="AY121" s="958"/>
      <c r="AZ121" s="958"/>
      <c r="BA121" s="958"/>
      <c r="BB121" s="958"/>
      <c r="BC121" s="958"/>
      <c r="BD121" s="958"/>
      <c r="BE121" s="958"/>
      <c r="BF121" s="958"/>
      <c r="BG121" s="958"/>
      <c r="BH121" s="958"/>
      <c r="BI121" s="958"/>
      <c r="BJ121" s="958"/>
      <c r="BK121" s="958"/>
      <c r="BL121" s="958"/>
      <c r="BM121" s="958"/>
      <c r="BN121" s="958"/>
      <c r="BO121" s="958"/>
      <c r="BP121" s="958"/>
      <c r="BQ121" s="958"/>
      <c r="BR121" s="958"/>
      <c r="BS121" s="958"/>
      <c r="BT121" s="958"/>
      <c r="BU121" s="958"/>
      <c r="BV121" s="958"/>
      <c r="BW121" s="958"/>
      <c r="BX121" s="958"/>
      <c r="BY121" s="958"/>
      <c r="BZ121" s="958"/>
      <c r="CA121" s="958"/>
      <c r="CB121" s="958"/>
      <c r="CC121" s="958"/>
      <c r="CD121" s="958"/>
      <c r="CE121" s="958"/>
      <c r="CF121" s="958"/>
      <c r="CG121" s="958"/>
      <c r="CH121" s="958"/>
      <c r="CI121" s="958"/>
      <c r="CJ121" s="958"/>
      <c r="CK121" s="958"/>
      <c r="CL121" s="958"/>
      <c r="CM121" s="958"/>
      <c r="CN121" s="958"/>
      <c r="CO121" s="958"/>
      <c r="CP121" s="958"/>
      <c r="CQ121" s="958"/>
      <c r="CR121" s="958"/>
      <c r="CS121" s="958"/>
      <c r="CT121" s="958"/>
      <c r="CU121" s="958"/>
      <c r="CV121" s="958"/>
      <c r="CW121" s="958"/>
      <c r="CX121" s="958"/>
      <c r="CY121" s="958"/>
      <c r="CZ121" s="958"/>
      <c r="DA121" s="958"/>
      <c r="DB121" s="958"/>
      <c r="DC121" s="958"/>
      <c r="DD121" s="958"/>
      <c r="DE121" s="958"/>
      <c r="DF121" s="958"/>
      <c r="DG121" s="958"/>
      <c r="DH121" s="958"/>
      <c r="DI121" s="958"/>
      <c r="DJ121" s="958"/>
      <c r="DK121" s="958"/>
      <c r="DL121" s="958"/>
      <c r="DM121" s="958"/>
      <c r="DN121" s="958"/>
      <c r="DO121" s="958"/>
      <c r="DP121" s="958"/>
      <c r="DQ121" s="958"/>
      <c r="DR121" s="958"/>
      <c r="DS121" s="958"/>
      <c r="DT121" s="958"/>
      <c r="DU121" s="958"/>
      <c r="DV121" s="958"/>
      <c r="DW121" s="958"/>
      <c r="DX121" s="958"/>
      <c r="DY121" s="958"/>
      <c r="DZ121" s="958"/>
      <c r="EA121" s="958"/>
      <c r="EB121" s="958"/>
      <c r="EC121" s="958"/>
      <c r="ED121" s="958"/>
      <c r="EE121" s="958"/>
      <c r="EF121" s="958"/>
      <c r="EG121" s="958"/>
      <c r="EH121" s="958"/>
      <c r="EI121" s="958"/>
      <c r="EJ121" s="958"/>
      <c r="EK121" s="958"/>
      <c r="EL121" s="958"/>
      <c r="EM121" s="958"/>
      <c r="EN121" s="958"/>
      <c r="EO121" s="958"/>
      <c r="EP121" s="958"/>
      <c r="EQ121" s="958"/>
      <c r="ER121" s="958"/>
      <c r="ES121" s="958"/>
      <c r="ET121" s="958"/>
      <c r="EU121" s="958"/>
      <c r="EV121" s="958"/>
      <c r="EW121" s="958"/>
      <c r="EX121" s="958"/>
      <c r="EY121" s="958"/>
      <c r="EZ121" s="958"/>
      <c r="FA121" s="958"/>
      <c r="FB121" s="958"/>
      <c r="FC121" s="958"/>
      <c r="FD121" s="958"/>
      <c r="FE121" s="958"/>
      <c r="FF121" s="958"/>
      <c r="FG121" s="958"/>
      <c r="FH121" s="958"/>
      <c r="FI121" s="958"/>
      <c r="FJ121" s="958"/>
      <c r="FK121" s="958"/>
      <c r="FL121" s="958"/>
      <c r="FM121" s="958"/>
      <c r="FN121" s="958"/>
      <c r="FO121" s="958"/>
      <c r="FP121" s="958"/>
      <c r="FQ121" s="958"/>
      <c r="FR121" s="958"/>
      <c r="FS121" s="958"/>
      <c r="FT121" s="958"/>
      <c r="FU121" s="958"/>
      <c r="FV121" s="958"/>
      <c r="FW121" s="958"/>
      <c r="FX121" s="958"/>
      <c r="FY121" s="958"/>
      <c r="FZ121" s="958"/>
      <c r="GA121" s="958"/>
      <c r="GB121" s="958"/>
      <c r="GC121" s="958"/>
      <c r="GD121" s="958"/>
      <c r="GE121" s="958"/>
      <c r="GF121" s="958"/>
      <c r="GG121" s="958"/>
      <c r="GH121" s="958"/>
      <c r="GI121" s="958"/>
      <c r="GJ121" s="958"/>
      <c r="GK121" s="958"/>
      <c r="GL121" s="958"/>
      <c r="GM121" s="958"/>
      <c r="GN121" s="958"/>
      <c r="GO121" s="958"/>
      <c r="GP121" s="958"/>
      <c r="GQ121" s="958"/>
      <c r="GR121" s="958"/>
      <c r="GS121" s="958"/>
      <c r="GT121" s="958"/>
      <c r="GU121" s="958"/>
      <c r="GV121" s="958"/>
      <c r="GW121" s="958"/>
      <c r="GX121" s="958"/>
      <c r="GY121" s="958"/>
      <c r="GZ121" s="958"/>
      <c r="HA121" s="958"/>
      <c r="HB121" s="958"/>
      <c r="HC121" s="958"/>
      <c r="HD121" s="958"/>
      <c r="HE121" s="958"/>
      <c r="HF121" s="958"/>
      <c r="HG121" s="958"/>
      <c r="HH121" s="958"/>
      <c r="HI121" s="958"/>
      <c r="HJ121" s="958"/>
      <c r="HK121" s="958"/>
      <c r="HL121" s="958"/>
      <c r="HM121" s="958"/>
      <c r="HN121" s="958"/>
      <c r="HO121" s="958"/>
      <c r="HP121" s="958"/>
      <c r="HQ121" s="958"/>
      <c r="HR121" s="958"/>
      <c r="HS121" s="958"/>
      <c r="HT121" s="958"/>
      <c r="HU121" s="958"/>
      <c r="HV121" s="958"/>
      <c r="HW121" s="958"/>
      <c r="HX121" s="958"/>
      <c r="HY121" s="958"/>
      <c r="HZ121" s="958"/>
      <c r="IA121" s="958"/>
      <c r="IB121" s="958"/>
      <c r="IC121" s="958"/>
      <c r="ID121" s="958"/>
      <c r="IE121" s="958"/>
      <c r="IF121" s="958"/>
      <c r="IG121" s="958"/>
      <c r="IH121" s="958"/>
      <c r="II121" s="958"/>
      <c r="IJ121" s="958"/>
      <c r="IK121" s="958"/>
      <c r="IL121" s="958"/>
      <c r="IM121" s="958"/>
      <c r="IN121" s="958"/>
      <c r="IO121" s="958"/>
      <c r="IP121" s="958"/>
      <c r="IQ121" s="958"/>
      <c r="IR121" s="958"/>
      <c r="IS121" s="958"/>
      <c r="IT121" s="958"/>
      <c r="IU121" s="958"/>
      <c r="IV121" s="958"/>
    </row>
    <row r="122" spans="1:256" ht="10.5" customHeight="1">
      <c r="A122" s="944" t="s">
        <v>896</v>
      </c>
      <c r="B122" s="1068">
        <v>364.4</v>
      </c>
      <c r="C122" s="1068">
        <v>431.2</v>
      </c>
      <c r="D122" s="1032">
        <v>567.9</v>
      </c>
      <c r="E122" s="1032">
        <v>840.8</v>
      </c>
      <c r="F122" s="1032">
        <v>859.3</v>
      </c>
      <c r="G122" s="1032">
        <v>807.8</v>
      </c>
      <c r="H122" s="1032">
        <v>1009.4</v>
      </c>
      <c r="I122" s="1032">
        <v>977.1</v>
      </c>
      <c r="J122" s="1032">
        <v>920</v>
      </c>
      <c r="K122" s="1032">
        <v>1172</v>
      </c>
      <c r="L122" s="1034">
        <v>1253</v>
      </c>
      <c r="M122" s="1034">
        <v>985.4</v>
      </c>
      <c r="N122" s="1032">
        <v>705</v>
      </c>
      <c r="O122" s="958"/>
      <c r="P122" s="958"/>
      <c r="Q122" s="958"/>
      <c r="R122" s="958"/>
      <c r="S122" s="958"/>
      <c r="T122" s="958"/>
      <c r="U122" s="958"/>
      <c r="V122" s="958"/>
      <c r="W122" s="958"/>
      <c r="X122" s="958"/>
      <c r="Y122" s="958"/>
      <c r="Z122" s="958"/>
      <c r="AA122" s="958"/>
      <c r="AB122" s="958"/>
      <c r="AC122" s="958"/>
      <c r="AD122" s="958"/>
      <c r="AE122" s="958"/>
      <c r="AF122" s="958"/>
      <c r="AG122" s="958"/>
      <c r="AH122" s="958"/>
      <c r="AI122" s="958"/>
      <c r="AJ122" s="958"/>
      <c r="AK122" s="958"/>
      <c r="AL122" s="958"/>
      <c r="AM122" s="958"/>
      <c r="AN122" s="958"/>
      <c r="AO122" s="958"/>
      <c r="AP122" s="958"/>
      <c r="AQ122" s="958"/>
      <c r="AR122" s="958"/>
      <c r="AS122" s="958"/>
      <c r="AT122" s="958"/>
      <c r="AU122" s="958"/>
      <c r="AV122" s="958"/>
      <c r="AW122" s="958"/>
      <c r="AX122" s="958"/>
      <c r="AY122" s="958"/>
      <c r="AZ122" s="958"/>
      <c r="BA122" s="958"/>
      <c r="BB122" s="958"/>
      <c r="BC122" s="958"/>
      <c r="BD122" s="958"/>
      <c r="BE122" s="958"/>
      <c r="BF122" s="958"/>
      <c r="BG122" s="958"/>
      <c r="BH122" s="958"/>
      <c r="BI122" s="958"/>
      <c r="BJ122" s="958"/>
      <c r="BK122" s="958"/>
      <c r="BL122" s="958"/>
      <c r="BM122" s="958"/>
      <c r="BN122" s="958"/>
      <c r="BO122" s="958"/>
      <c r="BP122" s="958"/>
      <c r="BQ122" s="958"/>
      <c r="BR122" s="958"/>
      <c r="BS122" s="958"/>
      <c r="BT122" s="958"/>
      <c r="BU122" s="958"/>
      <c r="BV122" s="958"/>
      <c r="BW122" s="958"/>
      <c r="BX122" s="958"/>
      <c r="BY122" s="958"/>
      <c r="BZ122" s="958"/>
      <c r="CA122" s="958"/>
      <c r="CB122" s="958"/>
      <c r="CC122" s="958"/>
      <c r="CD122" s="958"/>
      <c r="CE122" s="958"/>
      <c r="CF122" s="958"/>
      <c r="CG122" s="958"/>
      <c r="CH122" s="958"/>
      <c r="CI122" s="958"/>
      <c r="CJ122" s="958"/>
      <c r="CK122" s="958"/>
      <c r="CL122" s="958"/>
      <c r="CM122" s="958"/>
      <c r="CN122" s="958"/>
      <c r="CO122" s="958"/>
      <c r="CP122" s="958"/>
      <c r="CQ122" s="958"/>
      <c r="CR122" s="958"/>
      <c r="CS122" s="958"/>
      <c r="CT122" s="958"/>
      <c r="CU122" s="958"/>
      <c r="CV122" s="958"/>
      <c r="CW122" s="958"/>
      <c r="CX122" s="958"/>
      <c r="CY122" s="958"/>
      <c r="CZ122" s="958"/>
      <c r="DA122" s="958"/>
      <c r="DB122" s="958"/>
      <c r="DC122" s="958"/>
      <c r="DD122" s="958"/>
      <c r="DE122" s="958"/>
      <c r="DF122" s="958"/>
      <c r="DG122" s="958"/>
      <c r="DH122" s="958"/>
      <c r="DI122" s="958"/>
      <c r="DJ122" s="958"/>
      <c r="DK122" s="958"/>
      <c r="DL122" s="958"/>
      <c r="DM122" s="958"/>
      <c r="DN122" s="958"/>
      <c r="DO122" s="958"/>
      <c r="DP122" s="958"/>
      <c r="DQ122" s="958"/>
      <c r="DR122" s="958"/>
      <c r="DS122" s="958"/>
      <c r="DT122" s="958"/>
      <c r="DU122" s="958"/>
      <c r="DV122" s="958"/>
      <c r="DW122" s="958"/>
      <c r="DX122" s="958"/>
      <c r="DY122" s="958"/>
      <c r="DZ122" s="958"/>
      <c r="EA122" s="958"/>
      <c r="EB122" s="958"/>
      <c r="EC122" s="958"/>
      <c r="ED122" s="958"/>
      <c r="EE122" s="958"/>
      <c r="EF122" s="958"/>
      <c r="EG122" s="958"/>
      <c r="EH122" s="958"/>
      <c r="EI122" s="958"/>
      <c r="EJ122" s="958"/>
      <c r="EK122" s="958"/>
      <c r="EL122" s="958"/>
      <c r="EM122" s="958"/>
      <c r="EN122" s="958"/>
      <c r="EO122" s="958"/>
      <c r="EP122" s="958"/>
      <c r="EQ122" s="958"/>
      <c r="ER122" s="958"/>
      <c r="ES122" s="958"/>
      <c r="ET122" s="958"/>
      <c r="EU122" s="958"/>
      <c r="EV122" s="958"/>
      <c r="EW122" s="958"/>
      <c r="EX122" s="958"/>
      <c r="EY122" s="958"/>
      <c r="EZ122" s="958"/>
      <c r="FA122" s="958"/>
      <c r="FB122" s="958"/>
      <c r="FC122" s="958"/>
      <c r="FD122" s="958"/>
      <c r="FE122" s="958"/>
      <c r="FF122" s="958"/>
      <c r="FG122" s="958"/>
      <c r="FH122" s="958"/>
      <c r="FI122" s="958"/>
      <c r="FJ122" s="958"/>
      <c r="FK122" s="958"/>
      <c r="FL122" s="958"/>
      <c r="FM122" s="958"/>
      <c r="FN122" s="958"/>
      <c r="FO122" s="958"/>
      <c r="FP122" s="958"/>
      <c r="FQ122" s="958"/>
      <c r="FR122" s="958"/>
      <c r="FS122" s="958"/>
      <c r="FT122" s="958"/>
      <c r="FU122" s="958"/>
      <c r="FV122" s="958"/>
      <c r="FW122" s="958"/>
      <c r="FX122" s="958"/>
      <c r="FY122" s="958"/>
      <c r="FZ122" s="958"/>
      <c r="GA122" s="958"/>
      <c r="GB122" s="958"/>
      <c r="GC122" s="958"/>
      <c r="GD122" s="958"/>
      <c r="GE122" s="958"/>
      <c r="GF122" s="958"/>
      <c r="GG122" s="958"/>
      <c r="GH122" s="958"/>
      <c r="GI122" s="958"/>
      <c r="GJ122" s="958"/>
      <c r="GK122" s="958"/>
      <c r="GL122" s="958"/>
      <c r="GM122" s="958"/>
      <c r="GN122" s="958"/>
      <c r="GO122" s="958"/>
      <c r="GP122" s="958"/>
      <c r="GQ122" s="958"/>
      <c r="GR122" s="958"/>
      <c r="GS122" s="958"/>
      <c r="GT122" s="958"/>
      <c r="GU122" s="958"/>
      <c r="GV122" s="958"/>
      <c r="GW122" s="958"/>
      <c r="GX122" s="958"/>
      <c r="GY122" s="958"/>
      <c r="GZ122" s="958"/>
      <c r="HA122" s="958"/>
      <c r="HB122" s="958"/>
      <c r="HC122" s="958"/>
      <c r="HD122" s="958"/>
      <c r="HE122" s="958"/>
      <c r="HF122" s="958"/>
      <c r="HG122" s="958"/>
      <c r="HH122" s="958"/>
      <c r="HI122" s="958"/>
      <c r="HJ122" s="958"/>
      <c r="HK122" s="958"/>
      <c r="HL122" s="958"/>
      <c r="HM122" s="958"/>
      <c r="HN122" s="958"/>
      <c r="HO122" s="958"/>
      <c r="HP122" s="958"/>
      <c r="HQ122" s="958"/>
      <c r="HR122" s="958"/>
      <c r="HS122" s="958"/>
      <c r="HT122" s="958"/>
      <c r="HU122" s="958"/>
      <c r="HV122" s="958"/>
      <c r="HW122" s="958"/>
      <c r="HX122" s="958"/>
      <c r="HY122" s="958"/>
      <c r="HZ122" s="958"/>
      <c r="IA122" s="958"/>
      <c r="IB122" s="958"/>
      <c r="IC122" s="958"/>
      <c r="ID122" s="958"/>
      <c r="IE122" s="958"/>
      <c r="IF122" s="958"/>
      <c r="IG122" s="958"/>
      <c r="IH122" s="958"/>
      <c r="II122" s="958"/>
      <c r="IJ122" s="958"/>
      <c r="IK122" s="958"/>
      <c r="IL122" s="958"/>
      <c r="IM122" s="958"/>
      <c r="IN122" s="958"/>
      <c r="IO122" s="958"/>
      <c r="IP122" s="958"/>
      <c r="IQ122" s="958"/>
      <c r="IR122" s="958"/>
      <c r="IS122" s="958"/>
      <c r="IT122" s="958"/>
      <c r="IU122" s="958"/>
      <c r="IV122" s="958"/>
    </row>
    <row r="123" spans="1:256" ht="10.5" customHeight="1">
      <c r="A123" s="1000" t="s">
        <v>897</v>
      </c>
      <c r="B123" s="1069">
        <v>6405</v>
      </c>
      <c r="C123" s="1069">
        <v>6698.5</v>
      </c>
      <c r="D123" s="1055">
        <v>7058</v>
      </c>
      <c r="E123" s="1055">
        <v>7334</v>
      </c>
      <c r="F123" s="1055">
        <v>8023</v>
      </c>
      <c r="G123" s="1055">
        <v>7559</v>
      </c>
      <c r="H123" s="1055">
        <v>7962</v>
      </c>
      <c r="I123" s="1055">
        <v>8659</v>
      </c>
      <c r="J123" s="1070">
        <v>8394</v>
      </c>
      <c r="K123" s="1055">
        <v>8917</v>
      </c>
      <c r="L123" s="1071">
        <v>8739</v>
      </c>
      <c r="M123" s="1056">
        <v>8567</v>
      </c>
      <c r="N123" s="1055">
        <v>8386</v>
      </c>
      <c r="O123" s="958"/>
      <c r="P123" s="958"/>
      <c r="Q123" s="958"/>
      <c r="R123" s="958"/>
      <c r="S123" s="958"/>
      <c r="T123" s="958"/>
      <c r="U123" s="958"/>
      <c r="V123" s="958"/>
      <c r="W123" s="958"/>
      <c r="X123" s="958"/>
      <c r="Y123" s="958"/>
      <c r="Z123" s="958"/>
      <c r="AA123" s="958"/>
      <c r="AB123" s="958"/>
      <c r="AC123" s="958"/>
      <c r="AD123" s="958"/>
      <c r="AE123" s="958"/>
      <c r="AF123" s="958"/>
      <c r="AG123" s="958"/>
      <c r="AH123" s="958"/>
      <c r="AI123" s="958"/>
      <c r="AJ123" s="958"/>
      <c r="AK123" s="958"/>
      <c r="AL123" s="958"/>
      <c r="AM123" s="958"/>
      <c r="AN123" s="958"/>
      <c r="AO123" s="958"/>
      <c r="AP123" s="958"/>
      <c r="AQ123" s="958"/>
      <c r="AR123" s="958"/>
      <c r="AS123" s="958"/>
      <c r="AT123" s="958"/>
      <c r="AU123" s="958"/>
      <c r="AV123" s="958"/>
      <c r="AW123" s="958"/>
      <c r="AX123" s="958"/>
      <c r="AY123" s="958"/>
      <c r="AZ123" s="958"/>
      <c r="BA123" s="958"/>
      <c r="BB123" s="958"/>
      <c r="BC123" s="958"/>
      <c r="BD123" s="958"/>
      <c r="BE123" s="958"/>
      <c r="BF123" s="958"/>
      <c r="BG123" s="958"/>
      <c r="BH123" s="958"/>
      <c r="BI123" s="958"/>
      <c r="BJ123" s="958"/>
      <c r="BK123" s="958"/>
      <c r="BL123" s="958"/>
      <c r="BM123" s="958"/>
      <c r="BN123" s="958"/>
      <c r="BO123" s="958"/>
      <c r="BP123" s="958"/>
      <c r="BQ123" s="958"/>
      <c r="BR123" s="958"/>
      <c r="BS123" s="958"/>
      <c r="BT123" s="958"/>
      <c r="BU123" s="958"/>
      <c r="BV123" s="958"/>
      <c r="BW123" s="958"/>
      <c r="BX123" s="958"/>
      <c r="BY123" s="958"/>
      <c r="BZ123" s="958"/>
      <c r="CA123" s="958"/>
      <c r="CB123" s="958"/>
      <c r="CC123" s="958"/>
      <c r="CD123" s="958"/>
      <c r="CE123" s="958"/>
      <c r="CF123" s="958"/>
      <c r="CG123" s="958"/>
      <c r="CH123" s="958"/>
      <c r="CI123" s="958"/>
      <c r="CJ123" s="958"/>
      <c r="CK123" s="958"/>
      <c r="CL123" s="958"/>
      <c r="CM123" s="958"/>
      <c r="CN123" s="958"/>
      <c r="CO123" s="958"/>
      <c r="CP123" s="958"/>
      <c r="CQ123" s="958"/>
      <c r="CR123" s="958"/>
      <c r="CS123" s="958"/>
      <c r="CT123" s="958"/>
      <c r="CU123" s="958"/>
      <c r="CV123" s="958"/>
      <c r="CW123" s="958"/>
      <c r="CX123" s="958"/>
      <c r="CY123" s="958"/>
      <c r="CZ123" s="958"/>
      <c r="DA123" s="958"/>
      <c r="DB123" s="958"/>
      <c r="DC123" s="958"/>
      <c r="DD123" s="958"/>
      <c r="DE123" s="958"/>
      <c r="DF123" s="958"/>
      <c r="DG123" s="958"/>
      <c r="DH123" s="958"/>
      <c r="DI123" s="958"/>
      <c r="DJ123" s="958"/>
      <c r="DK123" s="958"/>
      <c r="DL123" s="958"/>
      <c r="DM123" s="958"/>
      <c r="DN123" s="958"/>
      <c r="DO123" s="958"/>
      <c r="DP123" s="958"/>
      <c r="DQ123" s="958"/>
      <c r="DR123" s="958"/>
      <c r="DS123" s="958"/>
      <c r="DT123" s="958"/>
      <c r="DU123" s="958"/>
      <c r="DV123" s="958"/>
      <c r="DW123" s="958"/>
      <c r="DX123" s="958"/>
      <c r="DY123" s="958"/>
      <c r="DZ123" s="958"/>
      <c r="EA123" s="958"/>
      <c r="EB123" s="958"/>
      <c r="EC123" s="958"/>
      <c r="ED123" s="958"/>
      <c r="EE123" s="958"/>
      <c r="EF123" s="958"/>
      <c r="EG123" s="958"/>
      <c r="EH123" s="958"/>
      <c r="EI123" s="958"/>
      <c r="EJ123" s="958"/>
      <c r="EK123" s="958"/>
      <c r="EL123" s="958"/>
      <c r="EM123" s="958"/>
      <c r="EN123" s="958"/>
      <c r="EO123" s="958"/>
      <c r="EP123" s="958"/>
      <c r="EQ123" s="958"/>
      <c r="ER123" s="958"/>
      <c r="ES123" s="958"/>
      <c r="ET123" s="958"/>
      <c r="EU123" s="958"/>
      <c r="EV123" s="958"/>
      <c r="EW123" s="958"/>
      <c r="EX123" s="958"/>
      <c r="EY123" s="958"/>
      <c r="EZ123" s="958"/>
      <c r="FA123" s="958"/>
      <c r="FB123" s="958"/>
      <c r="FC123" s="958"/>
      <c r="FD123" s="958"/>
      <c r="FE123" s="958"/>
      <c r="FF123" s="958"/>
      <c r="FG123" s="958"/>
      <c r="FH123" s="958"/>
      <c r="FI123" s="958"/>
      <c r="FJ123" s="958"/>
      <c r="FK123" s="958"/>
      <c r="FL123" s="958"/>
      <c r="FM123" s="958"/>
      <c r="FN123" s="958"/>
      <c r="FO123" s="958"/>
      <c r="FP123" s="958"/>
      <c r="FQ123" s="958"/>
      <c r="FR123" s="958"/>
      <c r="FS123" s="958"/>
      <c r="FT123" s="958"/>
      <c r="FU123" s="958"/>
      <c r="FV123" s="958"/>
      <c r="FW123" s="958"/>
      <c r="FX123" s="958"/>
      <c r="FY123" s="958"/>
      <c r="FZ123" s="958"/>
      <c r="GA123" s="958"/>
      <c r="GB123" s="958"/>
      <c r="GC123" s="958"/>
      <c r="GD123" s="958"/>
      <c r="GE123" s="958"/>
      <c r="GF123" s="958"/>
      <c r="GG123" s="958"/>
      <c r="GH123" s="958"/>
      <c r="GI123" s="958"/>
      <c r="GJ123" s="958"/>
      <c r="GK123" s="958"/>
      <c r="GL123" s="958"/>
      <c r="GM123" s="958"/>
      <c r="GN123" s="958"/>
      <c r="GO123" s="958"/>
      <c r="GP123" s="958"/>
      <c r="GQ123" s="958"/>
      <c r="GR123" s="958"/>
      <c r="GS123" s="958"/>
      <c r="GT123" s="958"/>
      <c r="GU123" s="958"/>
      <c r="GV123" s="958"/>
      <c r="GW123" s="958"/>
      <c r="GX123" s="958"/>
      <c r="GY123" s="958"/>
      <c r="GZ123" s="958"/>
      <c r="HA123" s="958"/>
      <c r="HB123" s="958"/>
      <c r="HC123" s="958"/>
      <c r="HD123" s="958"/>
      <c r="HE123" s="958"/>
      <c r="HF123" s="958"/>
      <c r="HG123" s="958"/>
      <c r="HH123" s="958"/>
      <c r="HI123" s="958"/>
      <c r="HJ123" s="958"/>
      <c r="HK123" s="958"/>
      <c r="HL123" s="958"/>
      <c r="HM123" s="958"/>
      <c r="HN123" s="958"/>
      <c r="HO123" s="958"/>
      <c r="HP123" s="958"/>
      <c r="HQ123" s="958"/>
      <c r="HR123" s="958"/>
      <c r="HS123" s="958"/>
      <c r="HT123" s="958"/>
      <c r="HU123" s="958"/>
      <c r="HV123" s="958"/>
      <c r="HW123" s="958"/>
      <c r="HX123" s="958"/>
      <c r="HY123" s="958"/>
      <c r="HZ123" s="958"/>
      <c r="IA123" s="958"/>
      <c r="IB123" s="958"/>
      <c r="IC123" s="958"/>
      <c r="ID123" s="958"/>
      <c r="IE123" s="958"/>
      <c r="IF123" s="958"/>
      <c r="IG123" s="958"/>
      <c r="IH123" s="958"/>
      <c r="II123" s="958"/>
      <c r="IJ123" s="958"/>
      <c r="IK123" s="958"/>
      <c r="IL123" s="958"/>
      <c r="IM123" s="958"/>
      <c r="IN123" s="958"/>
      <c r="IO123" s="958"/>
      <c r="IP123" s="958"/>
      <c r="IQ123" s="958"/>
      <c r="IR123" s="958"/>
      <c r="IS123" s="958"/>
      <c r="IT123" s="958"/>
      <c r="IU123" s="958"/>
      <c r="IV123" s="958"/>
    </row>
    <row r="124" spans="1:256" ht="10.5" customHeight="1">
      <c r="A124" s="1000" t="s">
        <v>898</v>
      </c>
      <c r="B124" s="1069">
        <v>2117.9</v>
      </c>
      <c r="C124" s="1069">
        <v>2281.5</v>
      </c>
      <c r="D124" s="1055">
        <v>2488.1999999999998</v>
      </c>
      <c r="E124" s="1055">
        <v>2712.2</v>
      </c>
      <c r="F124" s="1055">
        <v>3034</v>
      </c>
      <c r="G124" s="1055">
        <v>2727.5</v>
      </c>
      <c r="H124" s="1055">
        <v>2859.2</v>
      </c>
      <c r="I124" s="1055">
        <v>3061.8</v>
      </c>
      <c r="J124" s="1055">
        <v>3056.6</v>
      </c>
      <c r="K124" s="1055">
        <v>3104.1</v>
      </c>
      <c r="L124" s="1056">
        <v>3100.6</v>
      </c>
      <c r="M124" s="1056">
        <v>3064</v>
      </c>
      <c r="N124" s="1055">
        <v>2954.9</v>
      </c>
      <c r="O124" s="958"/>
      <c r="P124" s="958"/>
      <c r="Q124" s="958"/>
      <c r="R124" s="958"/>
      <c r="S124" s="958"/>
      <c r="T124" s="958"/>
      <c r="U124" s="958"/>
      <c r="V124" s="958"/>
      <c r="W124" s="958"/>
      <c r="X124" s="958"/>
      <c r="Y124" s="958"/>
      <c r="Z124" s="958"/>
      <c r="AA124" s="958"/>
      <c r="AB124" s="958"/>
      <c r="AC124" s="958"/>
      <c r="AD124" s="958"/>
      <c r="AE124" s="958"/>
      <c r="AF124" s="958"/>
      <c r="AG124" s="958"/>
      <c r="AH124" s="958"/>
      <c r="AI124" s="958"/>
      <c r="AJ124" s="958"/>
      <c r="AK124" s="958"/>
      <c r="AL124" s="958"/>
      <c r="AM124" s="958"/>
      <c r="AN124" s="958"/>
      <c r="AO124" s="958"/>
      <c r="AP124" s="958"/>
      <c r="AQ124" s="958"/>
      <c r="AR124" s="958"/>
      <c r="AS124" s="958"/>
      <c r="AT124" s="958"/>
      <c r="AU124" s="958"/>
      <c r="AV124" s="958"/>
      <c r="AW124" s="958"/>
      <c r="AX124" s="958"/>
      <c r="AY124" s="958"/>
      <c r="AZ124" s="958"/>
      <c r="BA124" s="958"/>
      <c r="BB124" s="958"/>
      <c r="BC124" s="958"/>
      <c r="BD124" s="958"/>
      <c r="BE124" s="958"/>
      <c r="BF124" s="958"/>
      <c r="BG124" s="958"/>
      <c r="BH124" s="958"/>
      <c r="BI124" s="958"/>
      <c r="BJ124" s="958"/>
      <c r="BK124" s="958"/>
      <c r="BL124" s="958"/>
      <c r="BM124" s="958"/>
      <c r="BN124" s="958"/>
      <c r="BO124" s="958"/>
      <c r="BP124" s="958"/>
      <c r="BQ124" s="958"/>
      <c r="BR124" s="958"/>
      <c r="BS124" s="958"/>
      <c r="BT124" s="958"/>
      <c r="BU124" s="958"/>
      <c r="BV124" s="958"/>
      <c r="BW124" s="958"/>
      <c r="BX124" s="958"/>
      <c r="BY124" s="958"/>
      <c r="BZ124" s="958"/>
      <c r="CA124" s="958"/>
      <c r="CB124" s="958"/>
      <c r="CC124" s="958"/>
      <c r="CD124" s="958"/>
      <c r="CE124" s="958"/>
      <c r="CF124" s="958"/>
      <c r="CG124" s="958"/>
      <c r="CH124" s="958"/>
      <c r="CI124" s="958"/>
      <c r="CJ124" s="958"/>
      <c r="CK124" s="958"/>
      <c r="CL124" s="958"/>
      <c r="CM124" s="958"/>
      <c r="CN124" s="958"/>
      <c r="CO124" s="958"/>
      <c r="CP124" s="958"/>
      <c r="CQ124" s="958"/>
      <c r="CR124" s="958"/>
      <c r="CS124" s="958"/>
      <c r="CT124" s="958"/>
      <c r="CU124" s="958"/>
      <c r="CV124" s="958"/>
      <c r="CW124" s="958"/>
      <c r="CX124" s="958"/>
      <c r="CY124" s="958"/>
      <c r="CZ124" s="958"/>
      <c r="DA124" s="958"/>
      <c r="DB124" s="958"/>
      <c r="DC124" s="958"/>
      <c r="DD124" s="958"/>
      <c r="DE124" s="958"/>
      <c r="DF124" s="958"/>
      <c r="DG124" s="958"/>
      <c r="DH124" s="958"/>
      <c r="DI124" s="958"/>
      <c r="DJ124" s="958"/>
      <c r="DK124" s="958"/>
      <c r="DL124" s="958"/>
      <c r="DM124" s="958"/>
      <c r="DN124" s="958"/>
      <c r="DO124" s="958"/>
      <c r="DP124" s="958"/>
      <c r="DQ124" s="958"/>
      <c r="DR124" s="958"/>
      <c r="DS124" s="958"/>
      <c r="DT124" s="958"/>
      <c r="DU124" s="958"/>
      <c r="DV124" s="958"/>
      <c r="DW124" s="958"/>
      <c r="DX124" s="958"/>
      <c r="DY124" s="958"/>
      <c r="DZ124" s="958"/>
      <c r="EA124" s="958"/>
      <c r="EB124" s="958"/>
      <c r="EC124" s="958"/>
      <c r="ED124" s="958"/>
      <c r="EE124" s="958"/>
      <c r="EF124" s="958"/>
      <c r="EG124" s="958"/>
      <c r="EH124" s="958"/>
      <c r="EI124" s="958"/>
      <c r="EJ124" s="958"/>
      <c r="EK124" s="958"/>
      <c r="EL124" s="958"/>
      <c r="EM124" s="958"/>
      <c r="EN124" s="958"/>
      <c r="EO124" s="958"/>
      <c r="EP124" s="958"/>
      <c r="EQ124" s="958"/>
      <c r="ER124" s="958"/>
      <c r="ES124" s="958"/>
      <c r="ET124" s="958"/>
      <c r="EU124" s="958"/>
      <c r="EV124" s="958"/>
      <c r="EW124" s="958"/>
      <c r="EX124" s="958"/>
      <c r="EY124" s="958"/>
      <c r="EZ124" s="958"/>
      <c r="FA124" s="958"/>
      <c r="FB124" s="958"/>
      <c r="FC124" s="958"/>
      <c r="FD124" s="958"/>
      <c r="FE124" s="958"/>
      <c r="FF124" s="958"/>
      <c r="FG124" s="958"/>
      <c r="FH124" s="958"/>
      <c r="FI124" s="958"/>
      <c r="FJ124" s="958"/>
      <c r="FK124" s="958"/>
      <c r="FL124" s="958"/>
      <c r="FM124" s="958"/>
      <c r="FN124" s="958"/>
      <c r="FO124" s="958"/>
      <c r="FP124" s="958"/>
      <c r="FQ124" s="958"/>
      <c r="FR124" s="958"/>
      <c r="FS124" s="958"/>
      <c r="FT124" s="958"/>
      <c r="FU124" s="958"/>
      <c r="FV124" s="958"/>
      <c r="FW124" s="958"/>
      <c r="FX124" s="958"/>
      <c r="FY124" s="958"/>
      <c r="FZ124" s="958"/>
      <c r="GA124" s="958"/>
      <c r="GB124" s="958"/>
      <c r="GC124" s="958"/>
      <c r="GD124" s="958"/>
      <c r="GE124" s="958"/>
      <c r="GF124" s="958"/>
      <c r="GG124" s="958"/>
      <c r="GH124" s="958"/>
      <c r="GI124" s="958"/>
      <c r="GJ124" s="958"/>
      <c r="GK124" s="958"/>
      <c r="GL124" s="958"/>
      <c r="GM124" s="958"/>
      <c r="GN124" s="958"/>
      <c r="GO124" s="958"/>
      <c r="GP124" s="958"/>
      <c r="GQ124" s="958"/>
      <c r="GR124" s="958"/>
      <c r="GS124" s="958"/>
      <c r="GT124" s="958"/>
      <c r="GU124" s="958"/>
      <c r="GV124" s="958"/>
      <c r="GW124" s="958"/>
      <c r="GX124" s="958"/>
      <c r="GY124" s="958"/>
      <c r="GZ124" s="958"/>
      <c r="HA124" s="958"/>
      <c r="HB124" s="958"/>
      <c r="HC124" s="958"/>
      <c r="HD124" s="958"/>
      <c r="HE124" s="958"/>
      <c r="HF124" s="958"/>
      <c r="HG124" s="958"/>
      <c r="HH124" s="958"/>
      <c r="HI124" s="958"/>
      <c r="HJ124" s="958"/>
      <c r="HK124" s="958"/>
      <c r="HL124" s="958"/>
      <c r="HM124" s="958"/>
      <c r="HN124" s="958"/>
      <c r="HO124" s="958"/>
      <c r="HP124" s="958"/>
      <c r="HQ124" s="958"/>
      <c r="HR124" s="958"/>
      <c r="HS124" s="958"/>
      <c r="HT124" s="958"/>
      <c r="HU124" s="958"/>
      <c r="HV124" s="958"/>
      <c r="HW124" s="958"/>
      <c r="HX124" s="958"/>
      <c r="HY124" s="958"/>
      <c r="HZ124" s="958"/>
      <c r="IA124" s="958"/>
      <c r="IB124" s="958"/>
      <c r="IC124" s="958"/>
      <c r="ID124" s="958"/>
      <c r="IE124" s="958"/>
      <c r="IF124" s="958"/>
      <c r="IG124" s="958"/>
      <c r="IH124" s="958"/>
      <c r="II124" s="958"/>
      <c r="IJ124" s="958"/>
      <c r="IK124" s="958"/>
      <c r="IL124" s="958"/>
      <c r="IM124" s="958"/>
      <c r="IN124" s="958"/>
      <c r="IO124" s="958"/>
      <c r="IP124" s="958"/>
      <c r="IQ124" s="958"/>
      <c r="IR124" s="958"/>
      <c r="IS124" s="958"/>
      <c r="IT124" s="958"/>
      <c r="IU124" s="958"/>
      <c r="IV124" s="958"/>
    </row>
    <row r="125" spans="1:256" ht="10.5" customHeight="1">
      <c r="A125" s="1000" t="s">
        <v>899</v>
      </c>
      <c r="B125" s="1069">
        <v>1659.8</v>
      </c>
      <c r="C125" s="1069">
        <v>1755.9</v>
      </c>
      <c r="D125" s="1055">
        <v>1889.1</v>
      </c>
      <c r="E125" s="1055">
        <v>2046.3</v>
      </c>
      <c r="F125" s="1055">
        <v>2211</v>
      </c>
      <c r="G125" s="1055">
        <v>1848.3</v>
      </c>
      <c r="H125" s="1055">
        <v>2091.1</v>
      </c>
      <c r="I125" s="1055">
        <v>1917.8</v>
      </c>
      <c r="J125" s="1055">
        <v>2066.1</v>
      </c>
      <c r="K125" s="1055">
        <v>2232</v>
      </c>
      <c r="L125" s="1056">
        <v>2120.3000000000002</v>
      </c>
      <c r="M125" s="1056">
        <v>2151.9</v>
      </c>
      <c r="N125" s="1055">
        <v>1942.3</v>
      </c>
      <c r="O125" s="958"/>
      <c r="P125" s="958"/>
      <c r="Q125" s="958"/>
      <c r="R125" s="958"/>
      <c r="S125" s="958"/>
      <c r="T125" s="958"/>
      <c r="U125" s="958"/>
      <c r="V125" s="958"/>
      <c r="W125" s="958"/>
      <c r="X125" s="958"/>
      <c r="Y125" s="958"/>
      <c r="Z125" s="958"/>
      <c r="AA125" s="958"/>
      <c r="AB125" s="958"/>
      <c r="AC125" s="958"/>
      <c r="AD125" s="958"/>
      <c r="AE125" s="958"/>
      <c r="AF125" s="958"/>
      <c r="AG125" s="958"/>
      <c r="AH125" s="958"/>
      <c r="AI125" s="958"/>
      <c r="AJ125" s="958"/>
      <c r="AK125" s="958"/>
      <c r="AL125" s="958"/>
      <c r="AM125" s="958"/>
      <c r="AN125" s="958"/>
      <c r="AO125" s="958"/>
      <c r="AP125" s="958"/>
      <c r="AQ125" s="958"/>
      <c r="AR125" s="958"/>
      <c r="AS125" s="958"/>
      <c r="AT125" s="958"/>
      <c r="AU125" s="958"/>
      <c r="AV125" s="958"/>
      <c r="AW125" s="958"/>
      <c r="AX125" s="958"/>
      <c r="AY125" s="958"/>
      <c r="AZ125" s="958"/>
      <c r="BA125" s="958"/>
      <c r="BB125" s="958"/>
      <c r="BC125" s="958"/>
      <c r="BD125" s="958"/>
      <c r="BE125" s="958"/>
      <c r="BF125" s="958"/>
      <c r="BG125" s="958"/>
      <c r="BH125" s="958"/>
      <c r="BI125" s="958"/>
      <c r="BJ125" s="958"/>
      <c r="BK125" s="958"/>
      <c r="BL125" s="958"/>
      <c r="BM125" s="958"/>
      <c r="BN125" s="958"/>
      <c r="BO125" s="958"/>
      <c r="BP125" s="958"/>
      <c r="BQ125" s="958"/>
      <c r="BR125" s="958"/>
      <c r="BS125" s="958"/>
      <c r="BT125" s="958"/>
      <c r="BU125" s="958"/>
      <c r="BV125" s="958"/>
      <c r="BW125" s="958"/>
      <c r="BX125" s="958"/>
      <c r="BY125" s="958"/>
      <c r="BZ125" s="958"/>
      <c r="CA125" s="958"/>
      <c r="CB125" s="958"/>
      <c r="CC125" s="958"/>
      <c r="CD125" s="958"/>
      <c r="CE125" s="958"/>
      <c r="CF125" s="958"/>
      <c r="CG125" s="958"/>
      <c r="CH125" s="958"/>
      <c r="CI125" s="958"/>
      <c r="CJ125" s="958"/>
      <c r="CK125" s="958"/>
      <c r="CL125" s="958"/>
      <c r="CM125" s="958"/>
      <c r="CN125" s="958"/>
      <c r="CO125" s="958"/>
      <c r="CP125" s="958"/>
      <c r="CQ125" s="958"/>
      <c r="CR125" s="958"/>
      <c r="CS125" s="958"/>
      <c r="CT125" s="958"/>
      <c r="CU125" s="958"/>
      <c r="CV125" s="958"/>
      <c r="CW125" s="958"/>
      <c r="CX125" s="958"/>
      <c r="CY125" s="958"/>
      <c r="CZ125" s="958"/>
      <c r="DA125" s="958"/>
      <c r="DB125" s="958"/>
      <c r="DC125" s="958"/>
      <c r="DD125" s="958"/>
      <c r="DE125" s="958"/>
      <c r="DF125" s="958"/>
      <c r="DG125" s="958"/>
      <c r="DH125" s="958"/>
      <c r="DI125" s="958"/>
      <c r="DJ125" s="958"/>
      <c r="DK125" s="958"/>
      <c r="DL125" s="958"/>
      <c r="DM125" s="958"/>
      <c r="DN125" s="958"/>
      <c r="DO125" s="958"/>
      <c r="DP125" s="958"/>
      <c r="DQ125" s="958"/>
      <c r="DR125" s="958"/>
      <c r="DS125" s="958"/>
      <c r="DT125" s="958"/>
      <c r="DU125" s="958"/>
      <c r="DV125" s="958"/>
      <c r="DW125" s="958"/>
      <c r="DX125" s="958"/>
      <c r="DY125" s="958"/>
      <c r="DZ125" s="958"/>
      <c r="EA125" s="958"/>
      <c r="EB125" s="958"/>
      <c r="EC125" s="958"/>
      <c r="ED125" s="958"/>
      <c r="EE125" s="958"/>
      <c r="EF125" s="958"/>
      <c r="EG125" s="958"/>
      <c r="EH125" s="958"/>
      <c r="EI125" s="958"/>
      <c r="EJ125" s="958"/>
      <c r="EK125" s="958"/>
      <c r="EL125" s="958"/>
      <c r="EM125" s="958"/>
      <c r="EN125" s="958"/>
      <c r="EO125" s="958"/>
      <c r="EP125" s="958"/>
      <c r="EQ125" s="958"/>
      <c r="ER125" s="958"/>
      <c r="ES125" s="958"/>
      <c r="ET125" s="958"/>
      <c r="EU125" s="958"/>
      <c r="EV125" s="958"/>
      <c r="EW125" s="958"/>
      <c r="EX125" s="958"/>
      <c r="EY125" s="958"/>
      <c r="EZ125" s="958"/>
      <c r="FA125" s="958"/>
      <c r="FB125" s="958"/>
      <c r="FC125" s="958"/>
      <c r="FD125" s="958"/>
      <c r="FE125" s="958"/>
      <c r="FF125" s="958"/>
      <c r="FG125" s="958"/>
      <c r="FH125" s="958"/>
      <c r="FI125" s="958"/>
      <c r="FJ125" s="958"/>
      <c r="FK125" s="958"/>
      <c r="FL125" s="958"/>
      <c r="FM125" s="958"/>
      <c r="FN125" s="958"/>
      <c r="FO125" s="958"/>
      <c r="FP125" s="958"/>
      <c r="FQ125" s="958"/>
      <c r="FR125" s="958"/>
      <c r="FS125" s="958"/>
      <c r="FT125" s="958"/>
      <c r="FU125" s="958"/>
      <c r="FV125" s="958"/>
      <c r="FW125" s="958"/>
      <c r="FX125" s="958"/>
      <c r="FY125" s="958"/>
      <c r="FZ125" s="958"/>
      <c r="GA125" s="958"/>
      <c r="GB125" s="958"/>
      <c r="GC125" s="958"/>
      <c r="GD125" s="958"/>
      <c r="GE125" s="958"/>
      <c r="GF125" s="958"/>
      <c r="GG125" s="958"/>
      <c r="GH125" s="958"/>
      <c r="GI125" s="958"/>
      <c r="GJ125" s="958"/>
      <c r="GK125" s="958"/>
      <c r="GL125" s="958"/>
      <c r="GM125" s="958"/>
      <c r="GN125" s="958"/>
      <c r="GO125" s="958"/>
      <c r="GP125" s="958"/>
      <c r="GQ125" s="958"/>
      <c r="GR125" s="958"/>
      <c r="GS125" s="958"/>
      <c r="GT125" s="958"/>
      <c r="GU125" s="958"/>
      <c r="GV125" s="958"/>
      <c r="GW125" s="958"/>
      <c r="GX125" s="958"/>
      <c r="GY125" s="958"/>
      <c r="GZ125" s="958"/>
      <c r="HA125" s="958"/>
      <c r="HB125" s="958"/>
      <c r="HC125" s="958"/>
      <c r="HD125" s="958"/>
      <c r="HE125" s="958"/>
      <c r="HF125" s="958"/>
      <c r="HG125" s="958"/>
      <c r="HH125" s="958"/>
      <c r="HI125" s="958"/>
      <c r="HJ125" s="958"/>
      <c r="HK125" s="958"/>
      <c r="HL125" s="958"/>
      <c r="HM125" s="958"/>
      <c r="HN125" s="958"/>
      <c r="HO125" s="958"/>
      <c r="HP125" s="958"/>
      <c r="HQ125" s="958"/>
      <c r="HR125" s="958"/>
      <c r="HS125" s="958"/>
      <c r="HT125" s="958"/>
      <c r="HU125" s="958"/>
      <c r="HV125" s="958"/>
      <c r="HW125" s="958"/>
      <c r="HX125" s="958"/>
      <c r="HY125" s="958"/>
      <c r="HZ125" s="958"/>
      <c r="IA125" s="958"/>
      <c r="IB125" s="958"/>
      <c r="IC125" s="958"/>
      <c r="ID125" s="958"/>
      <c r="IE125" s="958"/>
      <c r="IF125" s="958"/>
      <c r="IG125" s="958"/>
      <c r="IH125" s="958"/>
      <c r="II125" s="958"/>
      <c r="IJ125" s="958"/>
      <c r="IK125" s="958"/>
      <c r="IL125" s="958"/>
      <c r="IM125" s="958"/>
      <c r="IN125" s="958"/>
      <c r="IO125" s="958"/>
      <c r="IP125" s="958"/>
      <c r="IQ125" s="958"/>
      <c r="IR125" s="958"/>
      <c r="IS125" s="958"/>
      <c r="IT125" s="958"/>
      <c r="IU125" s="958"/>
      <c r="IV125" s="958"/>
    </row>
    <row r="126" spans="1:256" ht="10.5" customHeight="1">
      <c r="A126" s="951"/>
      <c r="B126" s="1072"/>
      <c r="C126" s="1072"/>
      <c r="D126" s="1072"/>
      <c r="E126" s="1072"/>
      <c r="F126" s="1073"/>
      <c r="G126" s="1074"/>
      <c r="H126" s="978"/>
      <c r="I126" s="978"/>
      <c r="J126" s="978"/>
      <c r="K126" s="979"/>
      <c r="L126" s="985"/>
      <c r="M126" s="1075"/>
      <c r="N126" s="979" t="s">
        <v>372</v>
      </c>
      <c r="O126" s="958"/>
      <c r="P126" s="958"/>
      <c r="Q126" s="958"/>
      <c r="R126" s="958"/>
      <c r="S126" s="958"/>
      <c r="T126" s="958"/>
      <c r="U126" s="958"/>
      <c r="V126" s="958"/>
      <c r="W126" s="958"/>
      <c r="X126" s="958"/>
      <c r="Y126" s="958"/>
      <c r="Z126" s="958"/>
      <c r="AA126" s="958"/>
      <c r="AB126" s="958"/>
      <c r="AC126" s="958"/>
      <c r="AD126" s="958"/>
      <c r="AE126" s="958"/>
      <c r="AF126" s="958"/>
      <c r="AG126" s="958"/>
      <c r="AH126" s="958"/>
      <c r="AI126" s="958"/>
      <c r="AJ126" s="958"/>
      <c r="AK126" s="958"/>
      <c r="AL126" s="958"/>
      <c r="AM126" s="958"/>
      <c r="AN126" s="958"/>
      <c r="AO126" s="958"/>
      <c r="AP126" s="958"/>
      <c r="AQ126" s="958"/>
      <c r="AR126" s="958"/>
      <c r="AS126" s="958"/>
      <c r="AT126" s="958"/>
      <c r="AU126" s="958"/>
      <c r="AV126" s="958"/>
      <c r="AW126" s="958"/>
      <c r="AX126" s="958"/>
      <c r="AY126" s="958"/>
      <c r="AZ126" s="958"/>
      <c r="BA126" s="958"/>
      <c r="BB126" s="958"/>
      <c r="BC126" s="958"/>
      <c r="BD126" s="958"/>
      <c r="BE126" s="958"/>
      <c r="BF126" s="958"/>
      <c r="BG126" s="958"/>
      <c r="BH126" s="958"/>
      <c r="BI126" s="958"/>
      <c r="BJ126" s="958"/>
      <c r="BK126" s="958"/>
      <c r="BL126" s="958"/>
      <c r="BM126" s="958"/>
      <c r="BN126" s="958"/>
      <c r="BO126" s="958"/>
      <c r="BP126" s="958"/>
      <c r="BQ126" s="958"/>
      <c r="BR126" s="958"/>
      <c r="BS126" s="958"/>
      <c r="BT126" s="958"/>
      <c r="BU126" s="958"/>
      <c r="BV126" s="958"/>
      <c r="BW126" s="958"/>
      <c r="BX126" s="958"/>
      <c r="BY126" s="958"/>
      <c r="BZ126" s="958"/>
      <c r="CA126" s="958"/>
      <c r="CB126" s="958"/>
      <c r="CC126" s="958"/>
      <c r="CD126" s="958"/>
      <c r="CE126" s="958"/>
      <c r="CF126" s="958"/>
      <c r="CG126" s="958"/>
      <c r="CH126" s="958"/>
      <c r="CI126" s="958"/>
      <c r="CJ126" s="958"/>
      <c r="CK126" s="958"/>
      <c r="CL126" s="958"/>
      <c r="CM126" s="958"/>
      <c r="CN126" s="958"/>
      <c r="CO126" s="958"/>
      <c r="CP126" s="958"/>
      <c r="CQ126" s="958"/>
      <c r="CR126" s="958"/>
      <c r="CS126" s="958"/>
      <c r="CT126" s="958"/>
      <c r="CU126" s="958"/>
      <c r="CV126" s="958"/>
      <c r="CW126" s="958"/>
      <c r="CX126" s="958"/>
      <c r="CY126" s="958"/>
      <c r="CZ126" s="958"/>
      <c r="DA126" s="958"/>
      <c r="DB126" s="958"/>
      <c r="DC126" s="958"/>
      <c r="DD126" s="958"/>
      <c r="DE126" s="958"/>
      <c r="DF126" s="958"/>
      <c r="DG126" s="958"/>
      <c r="DH126" s="958"/>
      <c r="DI126" s="958"/>
      <c r="DJ126" s="958"/>
      <c r="DK126" s="958"/>
      <c r="DL126" s="958"/>
      <c r="DM126" s="958"/>
      <c r="DN126" s="958"/>
      <c r="DO126" s="958"/>
      <c r="DP126" s="958"/>
      <c r="DQ126" s="958"/>
      <c r="DR126" s="958"/>
      <c r="DS126" s="958"/>
      <c r="DT126" s="958"/>
      <c r="DU126" s="958"/>
      <c r="DV126" s="958"/>
      <c r="DW126" s="958"/>
      <c r="DX126" s="958"/>
      <c r="DY126" s="958"/>
      <c r="DZ126" s="958"/>
      <c r="EA126" s="958"/>
      <c r="EB126" s="958"/>
      <c r="EC126" s="958"/>
      <c r="ED126" s="958"/>
      <c r="EE126" s="958"/>
      <c r="EF126" s="958"/>
      <c r="EG126" s="958"/>
      <c r="EH126" s="958"/>
      <c r="EI126" s="958"/>
      <c r="EJ126" s="958"/>
      <c r="EK126" s="958"/>
      <c r="EL126" s="958"/>
      <c r="EM126" s="958"/>
      <c r="EN126" s="958"/>
      <c r="EO126" s="958"/>
      <c r="EP126" s="958"/>
      <c r="EQ126" s="958"/>
      <c r="ER126" s="958"/>
      <c r="ES126" s="958"/>
      <c r="ET126" s="958"/>
      <c r="EU126" s="958"/>
      <c r="EV126" s="958"/>
      <c r="EW126" s="958"/>
      <c r="EX126" s="958"/>
      <c r="EY126" s="958"/>
      <c r="EZ126" s="958"/>
      <c r="FA126" s="958"/>
      <c r="FB126" s="958"/>
      <c r="FC126" s="958"/>
      <c r="FD126" s="958"/>
      <c r="FE126" s="958"/>
      <c r="FF126" s="958"/>
      <c r="FG126" s="958"/>
      <c r="FH126" s="958"/>
      <c r="FI126" s="958"/>
      <c r="FJ126" s="958"/>
      <c r="FK126" s="958"/>
      <c r="FL126" s="958"/>
      <c r="FM126" s="958"/>
      <c r="FN126" s="958"/>
      <c r="FO126" s="958"/>
      <c r="FP126" s="958"/>
      <c r="FQ126" s="958"/>
      <c r="FR126" s="958"/>
      <c r="FS126" s="958"/>
      <c r="FT126" s="958"/>
      <c r="FU126" s="958"/>
      <c r="FV126" s="958"/>
      <c r="FW126" s="958"/>
      <c r="FX126" s="958"/>
      <c r="FY126" s="958"/>
      <c r="FZ126" s="958"/>
      <c r="GA126" s="958"/>
      <c r="GB126" s="958"/>
      <c r="GC126" s="958"/>
      <c r="GD126" s="958"/>
      <c r="GE126" s="958"/>
      <c r="GF126" s="958"/>
      <c r="GG126" s="958"/>
      <c r="GH126" s="958"/>
      <c r="GI126" s="958"/>
      <c r="GJ126" s="958"/>
      <c r="GK126" s="958"/>
      <c r="GL126" s="958"/>
      <c r="GM126" s="958"/>
      <c r="GN126" s="958"/>
      <c r="GO126" s="958"/>
      <c r="GP126" s="958"/>
      <c r="GQ126" s="958"/>
      <c r="GR126" s="958"/>
      <c r="GS126" s="958"/>
      <c r="GT126" s="958"/>
      <c r="GU126" s="958"/>
      <c r="GV126" s="958"/>
      <c r="GW126" s="958"/>
      <c r="GX126" s="958"/>
      <c r="GY126" s="958"/>
      <c r="GZ126" s="958"/>
      <c r="HA126" s="958"/>
      <c r="HB126" s="958"/>
      <c r="HC126" s="958"/>
      <c r="HD126" s="958"/>
      <c r="HE126" s="958"/>
      <c r="HF126" s="958"/>
      <c r="HG126" s="958"/>
      <c r="HH126" s="958"/>
      <c r="HI126" s="958"/>
      <c r="HJ126" s="958"/>
      <c r="HK126" s="958"/>
      <c r="HL126" s="958"/>
      <c r="HM126" s="958"/>
      <c r="HN126" s="958"/>
      <c r="HO126" s="958"/>
      <c r="HP126" s="958"/>
      <c r="HQ126" s="958"/>
      <c r="HR126" s="958"/>
      <c r="HS126" s="958"/>
      <c r="HT126" s="958"/>
      <c r="HU126" s="958"/>
      <c r="HV126" s="958"/>
      <c r="HW126" s="958"/>
      <c r="HX126" s="958"/>
      <c r="HY126" s="958"/>
      <c r="HZ126" s="958"/>
      <c r="IA126" s="958"/>
      <c r="IB126" s="958"/>
      <c r="IC126" s="958"/>
      <c r="ID126" s="958"/>
      <c r="IE126" s="958"/>
      <c r="IF126" s="958"/>
      <c r="IG126" s="958"/>
      <c r="IH126" s="958"/>
      <c r="II126" s="958"/>
      <c r="IJ126" s="958"/>
      <c r="IK126" s="958"/>
      <c r="IL126" s="958"/>
      <c r="IM126" s="958"/>
      <c r="IN126" s="958"/>
      <c r="IO126" s="958"/>
      <c r="IP126" s="958"/>
      <c r="IQ126" s="958"/>
      <c r="IR126" s="958"/>
      <c r="IS126" s="958"/>
      <c r="IT126" s="958"/>
      <c r="IU126" s="958"/>
      <c r="IV126" s="958"/>
    </row>
    <row r="127" spans="1:256" ht="10.5" customHeight="1">
      <c r="A127" s="1000" t="s">
        <v>898</v>
      </c>
      <c r="B127" s="1069">
        <v>24631.3</v>
      </c>
      <c r="C127" s="1069">
        <v>26533.7</v>
      </c>
      <c r="D127" s="1055">
        <v>28937.599999999999</v>
      </c>
      <c r="E127" s="1055">
        <v>31544</v>
      </c>
      <c r="F127" s="1055">
        <v>35285.4</v>
      </c>
      <c r="G127" s="1055">
        <v>31720.400000000001</v>
      </c>
      <c r="H127" s="1055">
        <v>33252.5</v>
      </c>
      <c r="I127" s="1055">
        <v>35608.9</v>
      </c>
      <c r="J127" s="1055">
        <v>35548</v>
      </c>
      <c r="K127" s="1055">
        <v>36100.5</v>
      </c>
      <c r="L127" s="1056">
        <v>36060.300000000003</v>
      </c>
      <c r="M127" s="1056">
        <v>35634.300000000003</v>
      </c>
      <c r="N127" s="1055">
        <v>34364.1</v>
      </c>
      <c r="O127" s="958"/>
      <c r="P127" s="958"/>
      <c r="Q127" s="958"/>
      <c r="R127" s="958"/>
      <c r="S127" s="958"/>
      <c r="T127" s="958"/>
      <c r="U127" s="958"/>
      <c r="V127" s="958"/>
      <c r="W127" s="958"/>
      <c r="X127" s="958"/>
      <c r="Y127" s="958"/>
      <c r="Z127" s="958"/>
      <c r="AA127" s="958"/>
      <c r="AB127" s="958"/>
      <c r="AC127" s="958"/>
      <c r="AD127" s="958"/>
      <c r="AE127" s="958"/>
      <c r="AF127" s="958"/>
      <c r="AG127" s="958"/>
      <c r="AH127" s="958"/>
      <c r="AI127" s="958"/>
      <c r="AJ127" s="958"/>
      <c r="AK127" s="958"/>
      <c r="AL127" s="958"/>
      <c r="AM127" s="958"/>
      <c r="AN127" s="958"/>
      <c r="AO127" s="958"/>
      <c r="AP127" s="958"/>
      <c r="AQ127" s="958"/>
      <c r="AR127" s="958"/>
      <c r="AS127" s="958"/>
      <c r="AT127" s="958"/>
      <c r="AU127" s="958"/>
      <c r="AV127" s="958"/>
      <c r="AW127" s="958"/>
      <c r="AX127" s="958"/>
      <c r="AY127" s="958"/>
      <c r="AZ127" s="958"/>
      <c r="BA127" s="958"/>
      <c r="BB127" s="958"/>
      <c r="BC127" s="958"/>
      <c r="BD127" s="958"/>
      <c r="BE127" s="958"/>
      <c r="BF127" s="958"/>
      <c r="BG127" s="958"/>
      <c r="BH127" s="958"/>
      <c r="BI127" s="958"/>
      <c r="BJ127" s="958"/>
      <c r="BK127" s="958"/>
      <c r="BL127" s="958"/>
      <c r="BM127" s="958"/>
      <c r="BN127" s="958"/>
      <c r="BO127" s="958"/>
      <c r="BP127" s="958"/>
      <c r="BQ127" s="958"/>
      <c r="BR127" s="958"/>
      <c r="BS127" s="958"/>
      <c r="BT127" s="958"/>
      <c r="BU127" s="958"/>
      <c r="BV127" s="958"/>
      <c r="BW127" s="958"/>
      <c r="BX127" s="958"/>
      <c r="BY127" s="958"/>
      <c r="BZ127" s="958"/>
      <c r="CA127" s="958"/>
      <c r="CB127" s="958"/>
      <c r="CC127" s="958"/>
      <c r="CD127" s="958"/>
      <c r="CE127" s="958"/>
      <c r="CF127" s="958"/>
      <c r="CG127" s="958"/>
      <c r="CH127" s="958"/>
      <c r="CI127" s="958"/>
      <c r="CJ127" s="958"/>
      <c r="CK127" s="958"/>
      <c r="CL127" s="958"/>
      <c r="CM127" s="958"/>
      <c r="CN127" s="958"/>
      <c r="CO127" s="958"/>
      <c r="CP127" s="958"/>
      <c r="CQ127" s="958"/>
      <c r="CR127" s="958"/>
      <c r="CS127" s="958"/>
      <c r="CT127" s="958"/>
      <c r="CU127" s="958"/>
      <c r="CV127" s="958"/>
      <c r="CW127" s="958"/>
      <c r="CX127" s="958"/>
      <c r="CY127" s="958"/>
      <c r="CZ127" s="958"/>
      <c r="DA127" s="958"/>
      <c r="DB127" s="958"/>
      <c r="DC127" s="958"/>
      <c r="DD127" s="958"/>
      <c r="DE127" s="958"/>
      <c r="DF127" s="958"/>
      <c r="DG127" s="958"/>
      <c r="DH127" s="958"/>
      <c r="DI127" s="958"/>
      <c r="DJ127" s="958"/>
      <c r="DK127" s="958"/>
      <c r="DL127" s="958"/>
      <c r="DM127" s="958"/>
      <c r="DN127" s="958"/>
      <c r="DO127" s="958"/>
      <c r="DP127" s="958"/>
      <c r="DQ127" s="958"/>
      <c r="DR127" s="958"/>
      <c r="DS127" s="958"/>
      <c r="DT127" s="958"/>
      <c r="DU127" s="958"/>
      <c r="DV127" s="958"/>
      <c r="DW127" s="958"/>
      <c r="DX127" s="958"/>
      <c r="DY127" s="958"/>
      <c r="DZ127" s="958"/>
      <c r="EA127" s="958"/>
      <c r="EB127" s="958"/>
      <c r="EC127" s="958"/>
      <c r="ED127" s="958"/>
      <c r="EE127" s="958"/>
      <c r="EF127" s="958"/>
      <c r="EG127" s="958"/>
      <c r="EH127" s="958"/>
      <c r="EI127" s="958"/>
      <c r="EJ127" s="958"/>
      <c r="EK127" s="958"/>
      <c r="EL127" s="958"/>
      <c r="EM127" s="958"/>
      <c r="EN127" s="958"/>
      <c r="EO127" s="958"/>
      <c r="EP127" s="958"/>
      <c r="EQ127" s="958"/>
      <c r="ER127" s="958"/>
      <c r="ES127" s="958"/>
      <c r="ET127" s="958"/>
      <c r="EU127" s="958"/>
      <c r="EV127" s="958"/>
      <c r="EW127" s="958"/>
      <c r="EX127" s="958"/>
      <c r="EY127" s="958"/>
      <c r="EZ127" s="958"/>
      <c r="FA127" s="958"/>
      <c r="FB127" s="958"/>
      <c r="FC127" s="958"/>
      <c r="FD127" s="958"/>
      <c r="FE127" s="958"/>
      <c r="FF127" s="958"/>
      <c r="FG127" s="958"/>
      <c r="FH127" s="958"/>
      <c r="FI127" s="958"/>
      <c r="FJ127" s="958"/>
      <c r="FK127" s="958"/>
      <c r="FL127" s="958"/>
      <c r="FM127" s="958"/>
      <c r="FN127" s="958"/>
      <c r="FO127" s="958"/>
      <c r="FP127" s="958"/>
      <c r="FQ127" s="958"/>
      <c r="FR127" s="958"/>
      <c r="FS127" s="958"/>
      <c r="FT127" s="958"/>
      <c r="FU127" s="958"/>
      <c r="FV127" s="958"/>
      <c r="FW127" s="958"/>
      <c r="FX127" s="958"/>
      <c r="FY127" s="958"/>
      <c r="FZ127" s="958"/>
      <c r="GA127" s="958"/>
      <c r="GB127" s="958"/>
      <c r="GC127" s="958"/>
      <c r="GD127" s="958"/>
      <c r="GE127" s="958"/>
      <c r="GF127" s="958"/>
      <c r="GG127" s="958"/>
      <c r="GH127" s="958"/>
      <c r="GI127" s="958"/>
      <c r="GJ127" s="958"/>
      <c r="GK127" s="958"/>
      <c r="GL127" s="958"/>
      <c r="GM127" s="958"/>
      <c r="GN127" s="958"/>
      <c r="GO127" s="958"/>
      <c r="GP127" s="958"/>
      <c r="GQ127" s="958"/>
      <c r="GR127" s="958"/>
      <c r="GS127" s="958"/>
      <c r="GT127" s="958"/>
      <c r="GU127" s="958"/>
      <c r="GV127" s="958"/>
      <c r="GW127" s="958"/>
      <c r="GX127" s="958"/>
      <c r="GY127" s="958"/>
      <c r="GZ127" s="958"/>
      <c r="HA127" s="958"/>
      <c r="HB127" s="958"/>
      <c r="HC127" s="958"/>
      <c r="HD127" s="958"/>
      <c r="HE127" s="958"/>
      <c r="HF127" s="958"/>
      <c r="HG127" s="958"/>
      <c r="HH127" s="958"/>
      <c r="HI127" s="958"/>
      <c r="HJ127" s="958"/>
      <c r="HK127" s="958"/>
      <c r="HL127" s="958"/>
      <c r="HM127" s="958"/>
      <c r="HN127" s="958"/>
      <c r="HO127" s="958"/>
      <c r="HP127" s="958"/>
      <c r="HQ127" s="958"/>
      <c r="HR127" s="958"/>
      <c r="HS127" s="958"/>
      <c r="HT127" s="958"/>
      <c r="HU127" s="958"/>
      <c r="HV127" s="958"/>
      <c r="HW127" s="958"/>
      <c r="HX127" s="958"/>
      <c r="HY127" s="958"/>
      <c r="HZ127" s="958"/>
      <c r="IA127" s="958"/>
      <c r="IB127" s="958"/>
      <c r="IC127" s="958"/>
      <c r="ID127" s="958"/>
      <c r="IE127" s="958"/>
      <c r="IF127" s="958"/>
      <c r="IG127" s="958"/>
      <c r="IH127" s="958"/>
      <c r="II127" s="958"/>
      <c r="IJ127" s="958"/>
      <c r="IK127" s="958"/>
      <c r="IL127" s="958"/>
      <c r="IM127" s="958"/>
      <c r="IN127" s="958"/>
      <c r="IO127" s="958"/>
      <c r="IP127" s="958"/>
      <c r="IQ127" s="958"/>
      <c r="IR127" s="958"/>
      <c r="IS127" s="958"/>
      <c r="IT127" s="958"/>
      <c r="IU127" s="958"/>
      <c r="IV127" s="958"/>
    </row>
    <row r="128" spans="1:256" ht="10.5" customHeight="1">
      <c r="A128" s="1000" t="s">
        <v>899</v>
      </c>
      <c r="B128" s="1069">
        <v>19303.7</v>
      </c>
      <c r="C128" s="1069">
        <v>20420.900000000001</v>
      </c>
      <c r="D128" s="1055">
        <v>21970.7</v>
      </c>
      <c r="E128" s="1055">
        <v>23978.5</v>
      </c>
      <c r="F128" s="1055">
        <v>25713.5</v>
      </c>
      <c r="G128" s="1055">
        <v>21495.4</v>
      </c>
      <c r="H128" s="1055">
        <v>24319.200000000001</v>
      </c>
      <c r="I128" s="1055">
        <v>23303.4</v>
      </c>
      <c r="J128" s="1055">
        <v>24028.6</v>
      </c>
      <c r="K128" s="1055">
        <v>25957.7</v>
      </c>
      <c r="L128" s="1056">
        <v>24659.4</v>
      </c>
      <c r="M128" s="1056">
        <v>25026.6</v>
      </c>
      <c r="N128" s="1055">
        <v>22588.9</v>
      </c>
      <c r="O128" s="958"/>
      <c r="P128" s="958"/>
      <c r="Q128" s="958"/>
      <c r="R128" s="958"/>
      <c r="S128" s="958"/>
      <c r="T128" s="958"/>
      <c r="U128" s="958"/>
      <c r="V128" s="958"/>
      <c r="W128" s="958"/>
      <c r="X128" s="958"/>
      <c r="Y128" s="958"/>
      <c r="Z128" s="958"/>
      <c r="AA128" s="958"/>
      <c r="AB128" s="958"/>
      <c r="AC128" s="958"/>
      <c r="AD128" s="958"/>
      <c r="AE128" s="958"/>
      <c r="AF128" s="958"/>
      <c r="AG128" s="958"/>
      <c r="AH128" s="958"/>
      <c r="AI128" s="958"/>
      <c r="AJ128" s="958"/>
      <c r="AK128" s="958"/>
      <c r="AL128" s="958"/>
      <c r="AM128" s="958"/>
      <c r="AN128" s="958"/>
      <c r="AO128" s="958"/>
      <c r="AP128" s="958"/>
      <c r="AQ128" s="958"/>
      <c r="AR128" s="958"/>
      <c r="AS128" s="958"/>
      <c r="AT128" s="958"/>
      <c r="AU128" s="958"/>
      <c r="AV128" s="958"/>
      <c r="AW128" s="958"/>
      <c r="AX128" s="958"/>
      <c r="AY128" s="958"/>
      <c r="AZ128" s="958"/>
      <c r="BA128" s="958"/>
      <c r="BB128" s="958"/>
      <c r="BC128" s="958"/>
      <c r="BD128" s="958"/>
      <c r="BE128" s="958"/>
      <c r="BF128" s="958"/>
      <c r="BG128" s="958"/>
      <c r="BH128" s="958"/>
      <c r="BI128" s="958"/>
      <c r="BJ128" s="958"/>
      <c r="BK128" s="958"/>
      <c r="BL128" s="958"/>
      <c r="BM128" s="958"/>
      <c r="BN128" s="958"/>
      <c r="BO128" s="958"/>
      <c r="BP128" s="958"/>
      <c r="BQ128" s="958"/>
      <c r="BR128" s="958"/>
      <c r="BS128" s="958"/>
      <c r="BT128" s="958"/>
      <c r="BU128" s="958"/>
      <c r="BV128" s="958"/>
      <c r="BW128" s="958"/>
      <c r="BX128" s="958"/>
      <c r="BY128" s="958"/>
      <c r="BZ128" s="958"/>
      <c r="CA128" s="958"/>
      <c r="CB128" s="958"/>
      <c r="CC128" s="958"/>
      <c r="CD128" s="958"/>
      <c r="CE128" s="958"/>
      <c r="CF128" s="958"/>
      <c r="CG128" s="958"/>
      <c r="CH128" s="958"/>
      <c r="CI128" s="958"/>
      <c r="CJ128" s="958"/>
      <c r="CK128" s="958"/>
      <c r="CL128" s="958"/>
      <c r="CM128" s="958"/>
      <c r="CN128" s="958"/>
      <c r="CO128" s="958"/>
      <c r="CP128" s="958"/>
      <c r="CQ128" s="958"/>
      <c r="CR128" s="958"/>
      <c r="CS128" s="958"/>
      <c r="CT128" s="958"/>
      <c r="CU128" s="958"/>
      <c r="CV128" s="958"/>
      <c r="CW128" s="958"/>
      <c r="CX128" s="958"/>
      <c r="CY128" s="958"/>
      <c r="CZ128" s="958"/>
      <c r="DA128" s="958"/>
      <c r="DB128" s="958"/>
      <c r="DC128" s="958"/>
      <c r="DD128" s="958"/>
      <c r="DE128" s="958"/>
      <c r="DF128" s="958"/>
      <c r="DG128" s="958"/>
      <c r="DH128" s="958"/>
      <c r="DI128" s="958"/>
      <c r="DJ128" s="958"/>
      <c r="DK128" s="958"/>
      <c r="DL128" s="958"/>
      <c r="DM128" s="958"/>
      <c r="DN128" s="958"/>
      <c r="DO128" s="958"/>
      <c r="DP128" s="958"/>
      <c r="DQ128" s="958"/>
      <c r="DR128" s="958"/>
      <c r="DS128" s="958"/>
      <c r="DT128" s="958"/>
      <c r="DU128" s="958"/>
      <c r="DV128" s="958"/>
      <c r="DW128" s="958"/>
      <c r="DX128" s="958"/>
      <c r="DY128" s="958"/>
      <c r="DZ128" s="958"/>
      <c r="EA128" s="958"/>
      <c r="EB128" s="958"/>
      <c r="EC128" s="958"/>
      <c r="ED128" s="958"/>
      <c r="EE128" s="958"/>
      <c r="EF128" s="958"/>
      <c r="EG128" s="958"/>
      <c r="EH128" s="958"/>
      <c r="EI128" s="958"/>
      <c r="EJ128" s="958"/>
      <c r="EK128" s="958"/>
      <c r="EL128" s="958"/>
      <c r="EM128" s="958"/>
      <c r="EN128" s="958"/>
      <c r="EO128" s="958"/>
      <c r="EP128" s="958"/>
      <c r="EQ128" s="958"/>
      <c r="ER128" s="958"/>
      <c r="ES128" s="958"/>
      <c r="ET128" s="958"/>
      <c r="EU128" s="958"/>
      <c r="EV128" s="958"/>
      <c r="EW128" s="958"/>
      <c r="EX128" s="958"/>
      <c r="EY128" s="958"/>
      <c r="EZ128" s="958"/>
      <c r="FA128" s="958"/>
      <c r="FB128" s="958"/>
      <c r="FC128" s="958"/>
      <c r="FD128" s="958"/>
      <c r="FE128" s="958"/>
      <c r="FF128" s="958"/>
      <c r="FG128" s="958"/>
      <c r="FH128" s="958"/>
      <c r="FI128" s="958"/>
      <c r="FJ128" s="958"/>
      <c r="FK128" s="958"/>
      <c r="FL128" s="958"/>
      <c r="FM128" s="958"/>
      <c r="FN128" s="958"/>
      <c r="FO128" s="958"/>
      <c r="FP128" s="958"/>
      <c r="FQ128" s="958"/>
      <c r="FR128" s="958"/>
      <c r="FS128" s="958"/>
      <c r="FT128" s="958"/>
      <c r="FU128" s="958"/>
      <c r="FV128" s="958"/>
      <c r="FW128" s="958"/>
      <c r="FX128" s="958"/>
      <c r="FY128" s="958"/>
      <c r="FZ128" s="958"/>
      <c r="GA128" s="958"/>
      <c r="GB128" s="958"/>
      <c r="GC128" s="958"/>
      <c r="GD128" s="958"/>
      <c r="GE128" s="958"/>
      <c r="GF128" s="958"/>
      <c r="GG128" s="958"/>
      <c r="GH128" s="958"/>
      <c r="GI128" s="958"/>
      <c r="GJ128" s="958"/>
      <c r="GK128" s="958"/>
      <c r="GL128" s="958"/>
      <c r="GM128" s="958"/>
      <c r="GN128" s="958"/>
      <c r="GO128" s="958"/>
      <c r="GP128" s="958"/>
      <c r="GQ128" s="958"/>
      <c r="GR128" s="958"/>
      <c r="GS128" s="958"/>
      <c r="GT128" s="958"/>
      <c r="GU128" s="958"/>
      <c r="GV128" s="958"/>
      <c r="GW128" s="958"/>
      <c r="GX128" s="958"/>
      <c r="GY128" s="958"/>
      <c r="GZ128" s="958"/>
      <c r="HA128" s="958"/>
      <c r="HB128" s="958"/>
      <c r="HC128" s="958"/>
      <c r="HD128" s="958"/>
      <c r="HE128" s="958"/>
      <c r="HF128" s="958"/>
      <c r="HG128" s="958"/>
      <c r="HH128" s="958"/>
      <c r="HI128" s="958"/>
      <c r="HJ128" s="958"/>
      <c r="HK128" s="958"/>
      <c r="HL128" s="958"/>
      <c r="HM128" s="958"/>
      <c r="HN128" s="958"/>
      <c r="HO128" s="958"/>
      <c r="HP128" s="958"/>
      <c r="HQ128" s="958"/>
      <c r="HR128" s="958"/>
      <c r="HS128" s="958"/>
      <c r="HT128" s="958"/>
      <c r="HU128" s="958"/>
      <c r="HV128" s="958"/>
      <c r="HW128" s="958"/>
      <c r="HX128" s="958"/>
      <c r="HY128" s="958"/>
      <c r="HZ128" s="958"/>
      <c r="IA128" s="958"/>
      <c r="IB128" s="958"/>
      <c r="IC128" s="958"/>
      <c r="ID128" s="958"/>
      <c r="IE128" s="958"/>
      <c r="IF128" s="958"/>
      <c r="IG128" s="958"/>
      <c r="IH128" s="958"/>
      <c r="II128" s="958"/>
      <c r="IJ128" s="958"/>
      <c r="IK128" s="958"/>
      <c r="IL128" s="958"/>
      <c r="IM128" s="958"/>
      <c r="IN128" s="958"/>
      <c r="IO128" s="958"/>
      <c r="IP128" s="958"/>
      <c r="IQ128" s="958"/>
      <c r="IR128" s="958"/>
      <c r="IS128" s="958"/>
      <c r="IT128" s="958"/>
      <c r="IU128" s="958"/>
      <c r="IV128" s="958"/>
    </row>
    <row r="129" spans="11:11">
      <c r="K129" s="1076"/>
    </row>
  </sheetData>
  <conditionalFormatting sqref="E15">
    <cfRule type="cellIs" dxfId="0" priority="1" stopIfTrue="1" operator="between">
      <formula>0</formula>
      <formula>0.4</formula>
    </cfRule>
  </conditionalFormatting>
  <pageMargins left="0.51181102362204722" right="0.51181102362204722" top="0.51181102362204722" bottom="0.51181102362204722" header="0.27559055118110237" footer="0.27559055118110237"/>
  <pageSetup paperSize="9" orientation="portrait"/>
  <headerFooter alignWithMargins="0">
    <oddHeader>&amp;R&amp;"Arial,Bold"ENERGY</oddHeader>
    <oddFooter>&amp;C&amp;P</oddFooter>
  </headerFooter>
  <rowBreaks count="1" manualBreakCount="1">
    <brk id="63" max="13" man="1"/>
  </rowBreaks>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enableFormatConditionsCalculation="0"/>
  <dimension ref="A1:CL132"/>
  <sheetViews>
    <sheetView workbookViewId="0"/>
  </sheetViews>
  <sheetFormatPr baseColWidth="10" defaultColWidth="8.83203125" defaultRowHeight="13" x14ac:dyDescent="0"/>
  <cols>
    <col min="1" max="1" width="23.6640625" style="223" customWidth="1"/>
    <col min="2" max="2" width="9.33203125" style="223" customWidth="1"/>
    <col min="3" max="3" width="6.5" style="223" customWidth="1"/>
    <col min="4" max="5" width="8.33203125" style="223" customWidth="1"/>
    <col min="6" max="6" width="2.33203125" style="223" customWidth="1"/>
    <col min="7" max="7" width="9.83203125" style="223" customWidth="1"/>
    <col min="8" max="8" width="9.5" style="223" customWidth="1"/>
    <col min="9" max="9" width="10.33203125" style="223" customWidth="1"/>
    <col min="10" max="14" width="8.83203125" style="223"/>
    <col min="15" max="15" width="2.5" style="223" customWidth="1"/>
    <col min="16" max="256" width="8.83203125" style="223"/>
    <col min="257" max="257" width="23.6640625" style="223" customWidth="1"/>
    <col min="258" max="258" width="9.33203125" style="223" customWidth="1"/>
    <col min="259" max="259" width="6.5" style="223" customWidth="1"/>
    <col min="260" max="261" width="8.33203125" style="223" customWidth="1"/>
    <col min="262" max="262" width="2.33203125" style="223" customWidth="1"/>
    <col min="263" max="263" width="9.83203125" style="223" customWidth="1"/>
    <col min="264" max="264" width="9.5" style="223" customWidth="1"/>
    <col min="265" max="265" width="10.33203125" style="223" customWidth="1"/>
    <col min="266" max="512" width="8.83203125" style="223"/>
    <col min="513" max="513" width="23.6640625" style="223" customWidth="1"/>
    <col min="514" max="514" width="9.33203125" style="223" customWidth="1"/>
    <col min="515" max="515" width="6.5" style="223" customWidth="1"/>
    <col min="516" max="517" width="8.33203125" style="223" customWidth="1"/>
    <col min="518" max="518" width="2.33203125" style="223" customWidth="1"/>
    <col min="519" max="519" width="9.83203125" style="223" customWidth="1"/>
    <col min="520" max="520" width="9.5" style="223" customWidth="1"/>
    <col min="521" max="521" width="10.33203125" style="223" customWidth="1"/>
    <col min="522" max="768" width="8.83203125" style="223"/>
    <col min="769" max="769" width="23.6640625" style="223" customWidth="1"/>
    <col min="770" max="770" width="9.33203125" style="223" customWidth="1"/>
    <col min="771" max="771" width="6.5" style="223" customWidth="1"/>
    <col min="772" max="773" width="8.33203125" style="223" customWidth="1"/>
    <col min="774" max="774" width="2.33203125" style="223" customWidth="1"/>
    <col min="775" max="775" width="9.83203125" style="223" customWidth="1"/>
    <col min="776" max="776" width="9.5" style="223" customWidth="1"/>
    <col min="777" max="777" width="10.33203125" style="223" customWidth="1"/>
    <col min="778" max="1024" width="8.83203125" style="223"/>
    <col min="1025" max="1025" width="23.6640625" style="223" customWidth="1"/>
    <col min="1026" max="1026" width="9.33203125" style="223" customWidth="1"/>
    <col min="1027" max="1027" width="6.5" style="223" customWidth="1"/>
    <col min="1028" max="1029" width="8.33203125" style="223" customWidth="1"/>
    <col min="1030" max="1030" width="2.33203125" style="223" customWidth="1"/>
    <col min="1031" max="1031" width="9.83203125" style="223" customWidth="1"/>
    <col min="1032" max="1032" width="9.5" style="223" customWidth="1"/>
    <col min="1033" max="1033" width="10.33203125" style="223" customWidth="1"/>
    <col min="1034" max="1280" width="8.83203125" style="223"/>
    <col min="1281" max="1281" width="23.6640625" style="223" customWidth="1"/>
    <col min="1282" max="1282" width="9.33203125" style="223" customWidth="1"/>
    <col min="1283" max="1283" width="6.5" style="223" customWidth="1"/>
    <col min="1284" max="1285" width="8.33203125" style="223" customWidth="1"/>
    <col min="1286" max="1286" width="2.33203125" style="223" customWidth="1"/>
    <col min="1287" max="1287" width="9.83203125" style="223" customWidth="1"/>
    <col min="1288" max="1288" width="9.5" style="223" customWidth="1"/>
    <col min="1289" max="1289" width="10.33203125" style="223" customWidth="1"/>
    <col min="1290" max="1536" width="8.83203125" style="223"/>
    <col min="1537" max="1537" width="23.6640625" style="223" customWidth="1"/>
    <col min="1538" max="1538" width="9.33203125" style="223" customWidth="1"/>
    <col min="1539" max="1539" width="6.5" style="223" customWidth="1"/>
    <col min="1540" max="1541" width="8.33203125" style="223" customWidth="1"/>
    <col min="1542" max="1542" width="2.33203125" style="223" customWidth="1"/>
    <col min="1543" max="1543" width="9.83203125" style="223" customWidth="1"/>
    <col min="1544" max="1544" width="9.5" style="223" customWidth="1"/>
    <col min="1545" max="1545" width="10.33203125" style="223" customWidth="1"/>
    <col min="1546" max="1792" width="8.83203125" style="223"/>
    <col min="1793" max="1793" width="23.6640625" style="223" customWidth="1"/>
    <col min="1794" max="1794" width="9.33203125" style="223" customWidth="1"/>
    <col min="1795" max="1795" width="6.5" style="223" customWidth="1"/>
    <col min="1796" max="1797" width="8.33203125" style="223" customWidth="1"/>
    <col min="1798" max="1798" width="2.33203125" style="223" customWidth="1"/>
    <col min="1799" max="1799" width="9.83203125" style="223" customWidth="1"/>
    <col min="1800" max="1800" width="9.5" style="223" customWidth="1"/>
    <col min="1801" max="1801" width="10.33203125" style="223" customWidth="1"/>
    <col min="1802" max="2048" width="8.83203125" style="223"/>
    <col min="2049" max="2049" width="23.6640625" style="223" customWidth="1"/>
    <col min="2050" max="2050" width="9.33203125" style="223" customWidth="1"/>
    <col min="2051" max="2051" width="6.5" style="223" customWidth="1"/>
    <col min="2052" max="2053" width="8.33203125" style="223" customWidth="1"/>
    <col min="2054" max="2054" width="2.33203125" style="223" customWidth="1"/>
    <col min="2055" max="2055" width="9.83203125" style="223" customWidth="1"/>
    <col min="2056" max="2056" width="9.5" style="223" customWidth="1"/>
    <col min="2057" max="2057" width="10.33203125" style="223" customWidth="1"/>
    <col min="2058" max="2304" width="8.83203125" style="223"/>
    <col min="2305" max="2305" width="23.6640625" style="223" customWidth="1"/>
    <col min="2306" max="2306" width="9.33203125" style="223" customWidth="1"/>
    <col min="2307" max="2307" width="6.5" style="223" customWidth="1"/>
    <col min="2308" max="2309" width="8.33203125" style="223" customWidth="1"/>
    <col min="2310" max="2310" width="2.33203125" style="223" customWidth="1"/>
    <col min="2311" max="2311" width="9.83203125" style="223" customWidth="1"/>
    <col min="2312" max="2312" width="9.5" style="223" customWidth="1"/>
    <col min="2313" max="2313" width="10.33203125" style="223" customWidth="1"/>
    <col min="2314" max="2560" width="8.83203125" style="223"/>
    <col min="2561" max="2561" width="23.6640625" style="223" customWidth="1"/>
    <col min="2562" max="2562" width="9.33203125" style="223" customWidth="1"/>
    <col min="2563" max="2563" width="6.5" style="223" customWidth="1"/>
    <col min="2564" max="2565" width="8.33203125" style="223" customWidth="1"/>
    <col min="2566" max="2566" width="2.33203125" style="223" customWidth="1"/>
    <col min="2567" max="2567" width="9.83203125" style="223" customWidth="1"/>
    <col min="2568" max="2568" width="9.5" style="223" customWidth="1"/>
    <col min="2569" max="2569" width="10.33203125" style="223" customWidth="1"/>
    <col min="2570" max="2816" width="8.83203125" style="223"/>
    <col min="2817" max="2817" width="23.6640625" style="223" customWidth="1"/>
    <col min="2818" max="2818" width="9.33203125" style="223" customWidth="1"/>
    <col min="2819" max="2819" width="6.5" style="223" customWidth="1"/>
    <col min="2820" max="2821" width="8.33203125" style="223" customWidth="1"/>
    <col min="2822" max="2822" width="2.33203125" style="223" customWidth="1"/>
    <col min="2823" max="2823" width="9.83203125" style="223" customWidth="1"/>
    <col min="2824" max="2824" width="9.5" style="223" customWidth="1"/>
    <col min="2825" max="2825" width="10.33203125" style="223" customWidth="1"/>
    <col min="2826" max="3072" width="8.83203125" style="223"/>
    <col min="3073" max="3073" width="23.6640625" style="223" customWidth="1"/>
    <col min="3074" max="3074" width="9.33203125" style="223" customWidth="1"/>
    <col min="3075" max="3075" width="6.5" style="223" customWidth="1"/>
    <col min="3076" max="3077" width="8.33203125" style="223" customWidth="1"/>
    <col min="3078" max="3078" width="2.33203125" style="223" customWidth="1"/>
    <col min="3079" max="3079" width="9.83203125" style="223" customWidth="1"/>
    <col min="3080" max="3080" width="9.5" style="223" customWidth="1"/>
    <col min="3081" max="3081" width="10.33203125" style="223" customWidth="1"/>
    <col min="3082" max="3328" width="8.83203125" style="223"/>
    <col min="3329" max="3329" width="23.6640625" style="223" customWidth="1"/>
    <col min="3330" max="3330" width="9.33203125" style="223" customWidth="1"/>
    <col min="3331" max="3331" width="6.5" style="223" customWidth="1"/>
    <col min="3332" max="3333" width="8.33203125" style="223" customWidth="1"/>
    <col min="3334" max="3334" width="2.33203125" style="223" customWidth="1"/>
    <col min="3335" max="3335" width="9.83203125" style="223" customWidth="1"/>
    <col min="3336" max="3336" width="9.5" style="223" customWidth="1"/>
    <col min="3337" max="3337" width="10.33203125" style="223" customWidth="1"/>
    <col min="3338" max="3584" width="8.83203125" style="223"/>
    <col min="3585" max="3585" width="23.6640625" style="223" customWidth="1"/>
    <col min="3586" max="3586" width="9.33203125" style="223" customWidth="1"/>
    <col min="3587" max="3587" width="6.5" style="223" customWidth="1"/>
    <col min="3588" max="3589" width="8.33203125" style="223" customWidth="1"/>
    <col min="3590" max="3590" width="2.33203125" style="223" customWidth="1"/>
    <col min="3591" max="3591" width="9.83203125" style="223" customWidth="1"/>
    <col min="3592" max="3592" width="9.5" style="223" customWidth="1"/>
    <col min="3593" max="3593" width="10.33203125" style="223" customWidth="1"/>
    <col min="3594" max="3840" width="8.83203125" style="223"/>
    <col min="3841" max="3841" width="23.6640625" style="223" customWidth="1"/>
    <col min="3842" max="3842" width="9.33203125" style="223" customWidth="1"/>
    <col min="3843" max="3843" width="6.5" style="223" customWidth="1"/>
    <col min="3844" max="3845" width="8.33203125" style="223" customWidth="1"/>
    <col min="3846" max="3846" width="2.33203125" style="223" customWidth="1"/>
    <col min="3847" max="3847" width="9.83203125" style="223" customWidth="1"/>
    <col min="3848" max="3848" width="9.5" style="223" customWidth="1"/>
    <col min="3849" max="3849" width="10.33203125" style="223" customWidth="1"/>
    <col min="3850" max="4096" width="8.83203125" style="223"/>
    <col min="4097" max="4097" width="23.6640625" style="223" customWidth="1"/>
    <col min="4098" max="4098" width="9.33203125" style="223" customWidth="1"/>
    <col min="4099" max="4099" width="6.5" style="223" customWidth="1"/>
    <col min="4100" max="4101" width="8.33203125" style="223" customWidth="1"/>
    <col min="4102" max="4102" width="2.33203125" style="223" customWidth="1"/>
    <col min="4103" max="4103" width="9.83203125" style="223" customWidth="1"/>
    <col min="4104" max="4104" width="9.5" style="223" customWidth="1"/>
    <col min="4105" max="4105" width="10.33203125" style="223" customWidth="1"/>
    <col min="4106" max="4352" width="8.83203125" style="223"/>
    <col min="4353" max="4353" width="23.6640625" style="223" customWidth="1"/>
    <col min="4354" max="4354" width="9.33203125" style="223" customWidth="1"/>
    <col min="4355" max="4355" width="6.5" style="223" customWidth="1"/>
    <col min="4356" max="4357" width="8.33203125" style="223" customWidth="1"/>
    <col min="4358" max="4358" width="2.33203125" style="223" customWidth="1"/>
    <col min="4359" max="4359" width="9.83203125" style="223" customWidth="1"/>
    <col min="4360" max="4360" width="9.5" style="223" customWidth="1"/>
    <col min="4361" max="4361" width="10.33203125" style="223" customWidth="1"/>
    <col min="4362" max="4608" width="8.83203125" style="223"/>
    <col min="4609" max="4609" width="23.6640625" style="223" customWidth="1"/>
    <col min="4610" max="4610" width="9.33203125" style="223" customWidth="1"/>
    <col min="4611" max="4611" width="6.5" style="223" customWidth="1"/>
    <col min="4612" max="4613" width="8.33203125" style="223" customWidth="1"/>
    <col min="4614" max="4614" width="2.33203125" style="223" customWidth="1"/>
    <col min="4615" max="4615" width="9.83203125" style="223" customWidth="1"/>
    <col min="4616" max="4616" width="9.5" style="223" customWidth="1"/>
    <col min="4617" max="4617" width="10.33203125" style="223" customWidth="1"/>
    <col min="4618" max="4864" width="8.83203125" style="223"/>
    <col min="4865" max="4865" width="23.6640625" style="223" customWidth="1"/>
    <col min="4866" max="4866" width="9.33203125" style="223" customWidth="1"/>
    <col min="4867" max="4867" width="6.5" style="223" customWidth="1"/>
    <col min="4868" max="4869" width="8.33203125" style="223" customWidth="1"/>
    <col min="4870" max="4870" width="2.33203125" style="223" customWidth="1"/>
    <col min="4871" max="4871" width="9.83203125" style="223" customWidth="1"/>
    <col min="4872" max="4872" width="9.5" style="223" customWidth="1"/>
    <col min="4873" max="4873" width="10.33203125" style="223" customWidth="1"/>
    <col min="4874" max="5120" width="8.83203125" style="223"/>
    <col min="5121" max="5121" width="23.6640625" style="223" customWidth="1"/>
    <col min="5122" max="5122" width="9.33203125" style="223" customWidth="1"/>
    <col min="5123" max="5123" width="6.5" style="223" customWidth="1"/>
    <col min="5124" max="5125" width="8.33203125" style="223" customWidth="1"/>
    <col min="5126" max="5126" width="2.33203125" style="223" customWidth="1"/>
    <col min="5127" max="5127" width="9.83203125" style="223" customWidth="1"/>
    <col min="5128" max="5128" width="9.5" style="223" customWidth="1"/>
    <col min="5129" max="5129" width="10.33203125" style="223" customWidth="1"/>
    <col min="5130" max="5376" width="8.83203125" style="223"/>
    <col min="5377" max="5377" width="23.6640625" style="223" customWidth="1"/>
    <col min="5378" max="5378" width="9.33203125" style="223" customWidth="1"/>
    <col min="5379" max="5379" width="6.5" style="223" customWidth="1"/>
    <col min="5380" max="5381" width="8.33203125" style="223" customWidth="1"/>
    <col min="5382" max="5382" width="2.33203125" style="223" customWidth="1"/>
    <col min="5383" max="5383" width="9.83203125" style="223" customWidth="1"/>
    <col min="5384" max="5384" width="9.5" style="223" customWidth="1"/>
    <col min="5385" max="5385" width="10.33203125" style="223" customWidth="1"/>
    <col min="5386" max="5632" width="8.83203125" style="223"/>
    <col min="5633" max="5633" width="23.6640625" style="223" customWidth="1"/>
    <col min="5634" max="5634" width="9.33203125" style="223" customWidth="1"/>
    <col min="5635" max="5635" width="6.5" style="223" customWidth="1"/>
    <col min="5636" max="5637" width="8.33203125" style="223" customWidth="1"/>
    <col min="5638" max="5638" width="2.33203125" style="223" customWidth="1"/>
    <col min="5639" max="5639" width="9.83203125" style="223" customWidth="1"/>
    <col min="5640" max="5640" width="9.5" style="223" customWidth="1"/>
    <col min="5641" max="5641" width="10.33203125" style="223" customWidth="1"/>
    <col min="5642" max="5888" width="8.83203125" style="223"/>
    <col min="5889" max="5889" width="23.6640625" style="223" customWidth="1"/>
    <col min="5890" max="5890" width="9.33203125" style="223" customWidth="1"/>
    <col min="5891" max="5891" width="6.5" style="223" customWidth="1"/>
    <col min="5892" max="5893" width="8.33203125" style="223" customWidth="1"/>
    <col min="5894" max="5894" width="2.33203125" style="223" customWidth="1"/>
    <col min="5895" max="5895" width="9.83203125" style="223" customWidth="1"/>
    <col min="5896" max="5896" width="9.5" style="223" customWidth="1"/>
    <col min="5897" max="5897" width="10.33203125" style="223" customWidth="1"/>
    <col min="5898" max="6144" width="8.83203125" style="223"/>
    <col min="6145" max="6145" width="23.6640625" style="223" customWidth="1"/>
    <col min="6146" max="6146" width="9.33203125" style="223" customWidth="1"/>
    <col min="6147" max="6147" width="6.5" style="223" customWidth="1"/>
    <col min="6148" max="6149" width="8.33203125" style="223" customWidth="1"/>
    <col min="6150" max="6150" width="2.33203125" style="223" customWidth="1"/>
    <col min="6151" max="6151" width="9.83203125" style="223" customWidth="1"/>
    <col min="6152" max="6152" width="9.5" style="223" customWidth="1"/>
    <col min="6153" max="6153" width="10.33203125" style="223" customWidth="1"/>
    <col min="6154" max="6400" width="8.83203125" style="223"/>
    <col min="6401" max="6401" width="23.6640625" style="223" customWidth="1"/>
    <col min="6402" max="6402" width="9.33203125" style="223" customWidth="1"/>
    <col min="6403" max="6403" width="6.5" style="223" customWidth="1"/>
    <col min="6404" max="6405" width="8.33203125" style="223" customWidth="1"/>
    <col min="6406" max="6406" width="2.33203125" style="223" customWidth="1"/>
    <col min="6407" max="6407" width="9.83203125" style="223" customWidth="1"/>
    <col min="6408" max="6408" width="9.5" style="223" customWidth="1"/>
    <col min="6409" max="6409" width="10.33203125" style="223" customWidth="1"/>
    <col min="6410" max="6656" width="8.83203125" style="223"/>
    <col min="6657" max="6657" width="23.6640625" style="223" customWidth="1"/>
    <col min="6658" max="6658" width="9.33203125" style="223" customWidth="1"/>
    <col min="6659" max="6659" width="6.5" style="223" customWidth="1"/>
    <col min="6660" max="6661" width="8.33203125" style="223" customWidth="1"/>
    <col min="6662" max="6662" width="2.33203125" style="223" customWidth="1"/>
    <col min="6663" max="6663" width="9.83203125" style="223" customWidth="1"/>
    <col min="6664" max="6664" width="9.5" style="223" customWidth="1"/>
    <col min="6665" max="6665" width="10.33203125" style="223" customWidth="1"/>
    <col min="6666" max="6912" width="8.83203125" style="223"/>
    <col min="6913" max="6913" width="23.6640625" style="223" customWidth="1"/>
    <col min="6914" max="6914" width="9.33203125" style="223" customWidth="1"/>
    <col min="6915" max="6915" width="6.5" style="223" customWidth="1"/>
    <col min="6916" max="6917" width="8.33203125" style="223" customWidth="1"/>
    <col min="6918" max="6918" width="2.33203125" style="223" customWidth="1"/>
    <col min="6919" max="6919" width="9.83203125" style="223" customWidth="1"/>
    <col min="6920" max="6920" width="9.5" style="223" customWidth="1"/>
    <col min="6921" max="6921" width="10.33203125" style="223" customWidth="1"/>
    <col min="6922" max="7168" width="8.83203125" style="223"/>
    <col min="7169" max="7169" width="23.6640625" style="223" customWidth="1"/>
    <col min="7170" max="7170" width="9.33203125" style="223" customWidth="1"/>
    <col min="7171" max="7171" width="6.5" style="223" customWidth="1"/>
    <col min="7172" max="7173" width="8.33203125" style="223" customWidth="1"/>
    <col min="7174" max="7174" width="2.33203125" style="223" customWidth="1"/>
    <col min="7175" max="7175" width="9.83203125" style="223" customWidth="1"/>
    <col min="7176" max="7176" width="9.5" style="223" customWidth="1"/>
    <col min="7177" max="7177" width="10.33203125" style="223" customWidth="1"/>
    <col min="7178" max="7424" width="8.83203125" style="223"/>
    <col min="7425" max="7425" width="23.6640625" style="223" customWidth="1"/>
    <col min="7426" max="7426" width="9.33203125" style="223" customWidth="1"/>
    <col min="7427" max="7427" width="6.5" style="223" customWidth="1"/>
    <col min="7428" max="7429" width="8.33203125" style="223" customWidth="1"/>
    <col min="7430" max="7430" width="2.33203125" style="223" customWidth="1"/>
    <col min="7431" max="7431" width="9.83203125" style="223" customWidth="1"/>
    <col min="7432" max="7432" width="9.5" style="223" customWidth="1"/>
    <col min="7433" max="7433" width="10.33203125" style="223" customWidth="1"/>
    <col min="7434" max="7680" width="8.83203125" style="223"/>
    <col min="7681" max="7681" width="23.6640625" style="223" customWidth="1"/>
    <col min="7682" max="7682" width="9.33203125" style="223" customWidth="1"/>
    <col min="7683" max="7683" width="6.5" style="223" customWidth="1"/>
    <col min="7684" max="7685" width="8.33203125" style="223" customWidth="1"/>
    <col min="7686" max="7686" width="2.33203125" style="223" customWidth="1"/>
    <col min="7687" max="7687" width="9.83203125" style="223" customWidth="1"/>
    <col min="7688" max="7688" width="9.5" style="223" customWidth="1"/>
    <col min="7689" max="7689" width="10.33203125" style="223" customWidth="1"/>
    <col min="7690" max="7936" width="8.83203125" style="223"/>
    <col min="7937" max="7937" width="23.6640625" style="223" customWidth="1"/>
    <col min="7938" max="7938" width="9.33203125" style="223" customWidth="1"/>
    <col min="7939" max="7939" width="6.5" style="223" customWidth="1"/>
    <col min="7940" max="7941" width="8.33203125" style="223" customWidth="1"/>
    <col min="7942" max="7942" width="2.33203125" style="223" customWidth="1"/>
    <col min="7943" max="7943" width="9.83203125" style="223" customWidth="1"/>
    <col min="7944" max="7944" width="9.5" style="223" customWidth="1"/>
    <col min="7945" max="7945" width="10.33203125" style="223" customWidth="1"/>
    <col min="7946" max="8192" width="8.83203125" style="223"/>
    <col min="8193" max="8193" width="23.6640625" style="223" customWidth="1"/>
    <col min="8194" max="8194" width="9.33203125" style="223" customWidth="1"/>
    <col min="8195" max="8195" width="6.5" style="223" customWidth="1"/>
    <col min="8196" max="8197" width="8.33203125" style="223" customWidth="1"/>
    <col min="8198" max="8198" width="2.33203125" style="223" customWidth="1"/>
    <col min="8199" max="8199" width="9.83203125" style="223" customWidth="1"/>
    <col min="8200" max="8200" width="9.5" style="223" customWidth="1"/>
    <col min="8201" max="8201" width="10.33203125" style="223" customWidth="1"/>
    <col min="8202" max="8448" width="8.83203125" style="223"/>
    <col min="8449" max="8449" width="23.6640625" style="223" customWidth="1"/>
    <col min="8450" max="8450" width="9.33203125" style="223" customWidth="1"/>
    <col min="8451" max="8451" width="6.5" style="223" customWidth="1"/>
    <col min="8452" max="8453" width="8.33203125" style="223" customWidth="1"/>
    <col min="8454" max="8454" width="2.33203125" style="223" customWidth="1"/>
    <col min="8455" max="8455" width="9.83203125" style="223" customWidth="1"/>
    <col min="8456" max="8456" width="9.5" style="223" customWidth="1"/>
    <col min="8457" max="8457" width="10.33203125" style="223" customWidth="1"/>
    <col min="8458" max="8704" width="8.83203125" style="223"/>
    <col min="8705" max="8705" width="23.6640625" style="223" customWidth="1"/>
    <col min="8706" max="8706" width="9.33203125" style="223" customWidth="1"/>
    <col min="8707" max="8707" width="6.5" style="223" customWidth="1"/>
    <col min="8708" max="8709" width="8.33203125" style="223" customWidth="1"/>
    <col min="8710" max="8710" width="2.33203125" style="223" customWidth="1"/>
    <col min="8711" max="8711" width="9.83203125" style="223" customWidth="1"/>
    <col min="8712" max="8712" width="9.5" style="223" customWidth="1"/>
    <col min="8713" max="8713" width="10.33203125" style="223" customWidth="1"/>
    <col min="8714" max="8960" width="8.83203125" style="223"/>
    <col min="8961" max="8961" width="23.6640625" style="223" customWidth="1"/>
    <col min="8962" max="8962" width="9.33203125" style="223" customWidth="1"/>
    <col min="8963" max="8963" width="6.5" style="223" customWidth="1"/>
    <col min="8964" max="8965" width="8.33203125" style="223" customWidth="1"/>
    <col min="8966" max="8966" width="2.33203125" style="223" customWidth="1"/>
    <col min="8967" max="8967" width="9.83203125" style="223" customWidth="1"/>
    <col min="8968" max="8968" width="9.5" style="223" customWidth="1"/>
    <col min="8969" max="8969" width="10.33203125" style="223" customWidth="1"/>
    <col min="8970" max="9216" width="8.83203125" style="223"/>
    <col min="9217" max="9217" width="23.6640625" style="223" customWidth="1"/>
    <col min="9218" max="9218" width="9.33203125" style="223" customWidth="1"/>
    <col min="9219" max="9219" width="6.5" style="223" customWidth="1"/>
    <col min="9220" max="9221" width="8.33203125" style="223" customWidth="1"/>
    <col min="9222" max="9222" width="2.33203125" style="223" customWidth="1"/>
    <col min="9223" max="9223" width="9.83203125" style="223" customWidth="1"/>
    <col min="9224" max="9224" width="9.5" style="223" customWidth="1"/>
    <col min="9225" max="9225" width="10.33203125" style="223" customWidth="1"/>
    <col min="9226" max="9472" width="8.83203125" style="223"/>
    <col min="9473" max="9473" width="23.6640625" style="223" customWidth="1"/>
    <col min="9474" max="9474" width="9.33203125" style="223" customWidth="1"/>
    <col min="9475" max="9475" width="6.5" style="223" customWidth="1"/>
    <col min="9476" max="9477" width="8.33203125" style="223" customWidth="1"/>
    <col min="9478" max="9478" width="2.33203125" style="223" customWidth="1"/>
    <col min="9479" max="9479" width="9.83203125" style="223" customWidth="1"/>
    <col min="9480" max="9480" width="9.5" style="223" customWidth="1"/>
    <col min="9481" max="9481" width="10.33203125" style="223" customWidth="1"/>
    <col min="9482" max="9728" width="8.83203125" style="223"/>
    <col min="9729" max="9729" width="23.6640625" style="223" customWidth="1"/>
    <col min="9730" max="9730" width="9.33203125" style="223" customWidth="1"/>
    <col min="9731" max="9731" width="6.5" style="223" customWidth="1"/>
    <col min="9732" max="9733" width="8.33203125" style="223" customWidth="1"/>
    <col min="9734" max="9734" width="2.33203125" style="223" customWidth="1"/>
    <col min="9735" max="9735" width="9.83203125" style="223" customWidth="1"/>
    <col min="9736" max="9736" width="9.5" style="223" customWidth="1"/>
    <col min="9737" max="9737" width="10.33203125" style="223" customWidth="1"/>
    <col min="9738" max="9984" width="8.83203125" style="223"/>
    <col min="9985" max="9985" width="23.6640625" style="223" customWidth="1"/>
    <col min="9986" max="9986" width="9.33203125" style="223" customWidth="1"/>
    <col min="9987" max="9987" width="6.5" style="223" customWidth="1"/>
    <col min="9988" max="9989" width="8.33203125" style="223" customWidth="1"/>
    <col min="9990" max="9990" width="2.33203125" style="223" customWidth="1"/>
    <col min="9991" max="9991" width="9.83203125" style="223" customWidth="1"/>
    <col min="9992" max="9992" width="9.5" style="223" customWidth="1"/>
    <col min="9993" max="9993" width="10.33203125" style="223" customWidth="1"/>
    <col min="9994" max="10240" width="8.83203125" style="223"/>
    <col min="10241" max="10241" width="23.6640625" style="223" customWidth="1"/>
    <col min="10242" max="10242" width="9.33203125" style="223" customWidth="1"/>
    <col min="10243" max="10243" width="6.5" style="223" customWidth="1"/>
    <col min="10244" max="10245" width="8.33203125" style="223" customWidth="1"/>
    <col min="10246" max="10246" width="2.33203125" style="223" customWidth="1"/>
    <col min="10247" max="10247" width="9.83203125" style="223" customWidth="1"/>
    <col min="10248" max="10248" width="9.5" style="223" customWidth="1"/>
    <col min="10249" max="10249" width="10.33203125" style="223" customWidth="1"/>
    <col min="10250" max="10496" width="8.83203125" style="223"/>
    <col min="10497" max="10497" width="23.6640625" style="223" customWidth="1"/>
    <col min="10498" max="10498" width="9.33203125" style="223" customWidth="1"/>
    <col min="10499" max="10499" width="6.5" style="223" customWidth="1"/>
    <col min="10500" max="10501" width="8.33203125" style="223" customWidth="1"/>
    <col min="10502" max="10502" width="2.33203125" style="223" customWidth="1"/>
    <col min="10503" max="10503" width="9.83203125" style="223" customWidth="1"/>
    <col min="10504" max="10504" width="9.5" style="223" customWidth="1"/>
    <col min="10505" max="10505" width="10.33203125" style="223" customWidth="1"/>
    <col min="10506" max="10752" width="8.83203125" style="223"/>
    <col min="10753" max="10753" width="23.6640625" style="223" customWidth="1"/>
    <col min="10754" max="10754" width="9.33203125" style="223" customWidth="1"/>
    <col min="10755" max="10755" width="6.5" style="223" customWidth="1"/>
    <col min="10756" max="10757" width="8.33203125" style="223" customWidth="1"/>
    <col min="10758" max="10758" width="2.33203125" style="223" customWidth="1"/>
    <col min="10759" max="10759" width="9.83203125" style="223" customWidth="1"/>
    <col min="10760" max="10760" width="9.5" style="223" customWidth="1"/>
    <col min="10761" max="10761" width="10.33203125" style="223" customWidth="1"/>
    <col min="10762" max="11008" width="8.83203125" style="223"/>
    <col min="11009" max="11009" width="23.6640625" style="223" customWidth="1"/>
    <col min="11010" max="11010" width="9.33203125" style="223" customWidth="1"/>
    <col min="11011" max="11011" width="6.5" style="223" customWidth="1"/>
    <col min="11012" max="11013" width="8.33203125" style="223" customWidth="1"/>
    <col min="11014" max="11014" width="2.33203125" style="223" customWidth="1"/>
    <col min="11015" max="11015" width="9.83203125" style="223" customWidth="1"/>
    <col min="11016" max="11016" width="9.5" style="223" customWidth="1"/>
    <col min="11017" max="11017" width="10.33203125" style="223" customWidth="1"/>
    <col min="11018" max="11264" width="8.83203125" style="223"/>
    <col min="11265" max="11265" width="23.6640625" style="223" customWidth="1"/>
    <col min="11266" max="11266" width="9.33203125" style="223" customWidth="1"/>
    <col min="11267" max="11267" width="6.5" style="223" customWidth="1"/>
    <col min="11268" max="11269" width="8.33203125" style="223" customWidth="1"/>
    <col min="11270" max="11270" width="2.33203125" style="223" customWidth="1"/>
    <col min="11271" max="11271" width="9.83203125" style="223" customWidth="1"/>
    <col min="11272" max="11272" width="9.5" style="223" customWidth="1"/>
    <col min="11273" max="11273" width="10.33203125" style="223" customWidth="1"/>
    <col min="11274" max="11520" width="8.83203125" style="223"/>
    <col min="11521" max="11521" width="23.6640625" style="223" customWidth="1"/>
    <col min="11522" max="11522" width="9.33203125" style="223" customWidth="1"/>
    <col min="11523" max="11523" width="6.5" style="223" customWidth="1"/>
    <col min="11524" max="11525" width="8.33203125" style="223" customWidth="1"/>
    <col min="11526" max="11526" width="2.33203125" style="223" customWidth="1"/>
    <col min="11527" max="11527" width="9.83203125" style="223" customWidth="1"/>
    <col min="11528" max="11528" width="9.5" style="223" customWidth="1"/>
    <col min="11529" max="11529" width="10.33203125" style="223" customWidth="1"/>
    <col min="11530" max="11776" width="8.83203125" style="223"/>
    <col min="11777" max="11777" width="23.6640625" style="223" customWidth="1"/>
    <col min="11778" max="11778" width="9.33203125" style="223" customWidth="1"/>
    <col min="11779" max="11779" width="6.5" style="223" customWidth="1"/>
    <col min="11780" max="11781" width="8.33203125" style="223" customWidth="1"/>
    <col min="11782" max="11782" width="2.33203125" style="223" customWidth="1"/>
    <col min="11783" max="11783" width="9.83203125" style="223" customWidth="1"/>
    <col min="11784" max="11784" width="9.5" style="223" customWidth="1"/>
    <col min="11785" max="11785" width="10.33203125" style="223" customWidth="1"/>
    <col min="11786" max="12032" width="8.83203125" style="223"/>
    <col min="12033" max="12033" width="23.6640625" style="223" customWidth="1"/>
    <col min="12034" max="12034" width="9.33203125" style="223" customWidth="1"/>
    <col min="12035" max="12035" width="6.5" style="223" customWidth="1"/>
    <col min="12036" max="12037" width="8.33203125" style="223" customWidth="1"/>
    <col min="12038" max="12038" width="2.33203125" style="223" customWidth="1"/>
    <col min="12039" max="12039" width="9.83203125" style="223" customWidth="1"/>
    <col min="12040" max="12040" width="9.5" style="223" customWidth="1"/>
    <col min="12041" max="12041" width="10.33203125" style="223" customWidth="1"/>
    <col min="12042" max="12288" width="8.83203125" style="223"/>
    <col min="12289" max="12289" width="23.6640625" style="223" customWidth="1"/>
    <col min="12290" max="12290" width="9.33203125" style="223" customWidth="1"/>
    <col min="12291" max="12291" width="6.5" style="223" customWidth="1"/>
    <col min="12292" max="12293" width="8.33203125" style="223" customWidth="1"/>
    <col min="12294" max="12294" width="2.33203125" style="223" customWidth="1"/>
    <col min="12295" max="12295" width="9.83203125" style="223" customWidth="1"/>
    <col min="12296" max="12296" width="9.5" style="223" customWidth="1"/>
    <col min="12297" max="12297" width="10.33203125" style="223" customWidth="1"/>
    <col min="12298" max="12544" width="8.83203125" style="223"/>
    <col min="12545" max="12545" width="23.6640625" style="223" customWidth="1"/>
    <col min="12546" max="12546" width="9.33203125" style="223" customWidth="1"/>
    <col min="12547" max="12547" width="6.5" style="223" customWidth="1"/>
    <col min="12548" max="12549" width="8.33203125" style="223" customWidth="1"/>
    <col min="12550" max="12550" width="2.33203125" style="223" customWidth="1"/>
    <col min="12551" max="12551" width="9.83203125" style="223" customWidth="1"/>
    <col min="12552" max="12552" width="9.5" style="223" customWidth="1"/>
    <col min="12553" max="12553" width="10.33203125" style="223" customWidth="1"/>
    <col min="12554" max="12800" width="8.83203125" style="223"/>
    <col min="12801" max="12801" width="23.6640625" style="223" customWidth="1"/>
    <col min="12802" max="12802" width="9.33203125" style="223" customWidth="1"/>
    <col min="12803" max="12803" width="6.5" style="223" customWidth="1"/>
    <col min="12804" max="12805" width="8.33203125" style="223" customWidth="1"/>
    <col min="12806" max="12806" width="2.33203125" style="223" customWidth="1"/>
    <col min="12807" max="12807" width="9.83203125" style="223" customWidth="1"/>
    <col min="12808" max="12808" width="9.5" style="223" customWidth="1"/>
    <col min="12809" max="12809" width="10.33203125" style="223" customWidth="1"/>
    <col min="12810" max="13056" width="8.83203125" style="223"/>
    <col min="13057" max="13057" width="23.6640625" style="223" customWidth="1"/>
    <col min="13058" max="13058" width="9.33203125" style="223" customWidth="1"/>
    <col min="13059" max="13059" width="6.5" style="223" customWidth="1"/>
    <col min="13060" max="13061" width="8.33203125" style="223" customWidth="1"/>
    <col min="13062" max="13062" width="2.33203125" style="223" customWidth="1"/>
    <col min="13063" max="13063" width="9.83203125" style="223" customWidth="1"/>
    <col min="13064" max="13064" width="9.5" style="223" customWidth="1"/>
    <col min="13065" max="13065" width="10.33203125" style="223" customWidth="1"/>
    <col min="13066" max="13312" width="8.83203125" style="223"/>
    <col min="13313" max="13313" width="23.6640625" style="223" customWidth="1"/>
    <col min="13314" max="13314" width="9.33203125" style="223" customWidth="1"/>
    <col min="13315" max="13315" width="6.5" style="223" customWidth="1"/>
    <col min="13316" max="13317" width="8.33203125" style="223" customWidth="1"/>
    <col min="13318" max="13318" width="2.33203125" style="223" customWidth="1"/>
    <col min="13319" max="13319" width="9.83203125" style="223" customWidth="1"/>
    <col min="13320" max="13320" width="9.5" style="223" customWidth="1"/>
    <col min="13321" max="13321" width="10.33203125" style="223" customWidth="1"/>
    <col min="13322" max="13568" width="8.83203125" style="223"/>
    <col min="13569" max="13569" width="23.6640625" style="223" customWidth="1"/>
    <col min="13570" max="13570" width="9.33203125" style="223" customWidth="1"/>
    <col min="13571" max="13571" width="6.5" style="223" customWidth="1"/>
    <col min="13572" max="13573" width="8.33203125" style="223" customWidth="1"/>
    <col min="13574" max="13574" width="2.33203125" style="223" customWidth="1"/>
    <col min="13575" max="13575" width="9.83203125" style="223" customWidth="1"/>
    <col min="13576" max="13576" width="9.5" style="223" customWidth="1"/>
    <col min="13577" max="13577" width="10.33203125" style="223" customWidth="1"/>
    <col min="13578" max="13824" width="8.83203125" style="223"/>
    <col min="13825" max="13825" width="23.6640625" style="223" customWidth="1"/>
    <col min="13826" max="13826" width="9.33203125" style="223" customWidth="1"/>
    <col min="13827" max="13827" width="6.5" style="223" customWidth="1"/>
    <col min="13828" max="13829" width="8.33203125" style="223" customWidth="1"/>
    <col min="13830" max="13830" width="2.33203125" style="223" customWidth="1"/>
    <col min="13831" max="13831" width="9.83203125" style="223" customWidth="1"/>
    <col min="13832" max="13832" width="9.5" style="223" customWidth="1"/>
    <col min="13833" max="13833" width="10.33203125" style="223" customWidth="1"/>
    <col min="13834" max="14080" width="8.83203125" style="223"/>
    <col min="14081" max="14081" width="23.6640625" style="223" customWidth="1"/>
    <col min="14082" max="14082" width="9.33203125" style="223" customWidth="1"/>
    <col min="14083" max="14083" width="6.5" style="223" customWidth="1"/>
    <col min="14084" max="14085" width="8.33203125" style="223" customWidth="1"/>
    <col min="14086" max="14086" width="2.33203125" style="223" customWidth="1"/>
    <col min="14087" max="14087" width="9.83203125" style="223" customWidth="1"/>
    <col min="14088" max="14088" width="9.5" style="223" customWidth="1"/>
    <col min="14089" max="14089" width="10.33203125" style="223" customWidth="1"/>
    <col min="14090" max="14336" width="8.83203125" style="223"/>
    <col min="14337" max="14337" width="23.6640625" style="223" customWidth="1"/>
    <col min="14338" max="14338" width="9.33203125" style="223" customWidth="1"/>
    <col min="14339" max="14339" width="6.5" style="223" customWidth="1"/>
    <col min="14340" max="14341" width="8.33203125" style="223" customWidth="1"/>
    <col min="14342" max="14342" width="2.33203125" style="223" customWidth="1"/>
    <col min="14343" max="14343" width="9.83203125" style="223" customWidth="1"/>
    <col min="14344" max="14344" width="9.5" style="223" customWidth="1"/>
    <col min="14345" max="14345" width="10.33203125" style="223" customWidth="1"/>
    <col min="14346" max="14592" width="8.83203125" style="223"/>
    <col min="14593" max="14593" width="23.6640625" style="223" customWidth="1"/>
    <col min="14594" max="14594" width="9.33203125" style="223" customWidth="1"/>
    <col min="14595" max="14595" width="6.5" style="223" customWidth="1"/>
    <col min="14596" max="14597" width="8.33203125" style="223" customWidth="1"/>
    <col min="14598" max="14598" width="2.33203125" style="223" customWidth="1"/>
    <col min="14599" max="14599" width="9.83203125" style="223" customWidth="1"/>
    <col min="14600" max="14600" width="9.5" style="223" customWidth="1"/>
    <col min="14601" max="14601" width="10.33203125" style="223" customWidth="1"/>
    <col min="14602" max="14848" width="8.83203125" style="223"/>
    <col min="14849" max="14849" width="23.6640625" style="223" customWidth="1"/>
    <col min="14850" max="14850" width="9.33203125" style="223" customWidth="1"/>
    <col min="14851" max="14851" width="6.5" style="223" customWidth="1"/>
    <col min="14852" max="14853" width="8.33203125" style="223" customWidth="1"/>
    <col min="14854" max="14854" width="2.33203125" style="223" customWidth="1"/>
    <col min="14855" max="14855" width="9.83203125" style="223" customWidth="1"/>
    <col min="14856" max="14856" width="9.5" style="223" customWidth="1"/>
    <col min="14857" max="14857" width="10.33203125" style="223" customWidth="1"/>
    <col min="14858" max="15104" width="8.83203125" style="223"/>
    <col min="15105" max="15105" width="23.6640625" style="223" customWidth="1"/>
    <col min="15106" max="15106" width="9.33203125" style="223" customWidth="1"/>
    <col min="15107" max="15107" width="6.5" style="223" customWidth="1"/>
    <col min="15108" max="15109" width="8.33203125" style="223" customWidth="1"/>
    <col min="15110" max="15110" width="2.33203125" style="223" customWidth="1"/>
    <col min="15111" max="15111" width="9.83203125" style="223" customWidth="1"/>
    <col min="15112" max="15112" width="9.5" style="223" customWidth="1"/>
    <col min="15113" max="15113" width="10.33203125" style="223" customWidth="1"/>
    <col min="15114" max="15360" width="8.83203125" style="223"/>
    <col min="15361" max="15361" width="23.6640625" style="223" customWidth="1"/>
    <col min="15362" max="15362" width="9.33203125" style="223" customWidth="1"/>
    <col min="15363" max="15363" width="6.5" style="223" customWidth="1"/>
    <col min="15364" max="15365" width="8.33203125" style="223" customWidth="1"/>
    <col min="15366" max="15366" width="2.33203125" style="223" customWidth="1"/>
    <col min="15367" max="15367" width="9.83203125" style="223" customWidth="1"/>
    <col min="15368" max="15368" width="9.5" style="223" customWidth="1"/>
    <col min="15369" max="15369" width="10.33203125" style="223" customWidth="1"/>
    <col min="15370" max="15616" width="8.83203125" style="223"/>
    <col min="15617" max="15617" width="23.6640625" style="223" customWidth="1"/>
    <col min="15618" max="15618" width="9.33203125" style="223" customWidth="1"/>
    <col min="15619" max="15619" width="6.5" style="223" customWidth="1"/>
    <col min="15620" max="15621" width="8.33203125" style="223" customWidth="1"/>
    <col min="15622" max="15622" width="2.33203125" style="223" customWidth="1"/>
    <col min="15623" max="15623" width="9.83203125" style="223" customWidth="1"/>
    <col min="15624" max="15624" width="9.5" style="223" customWidth="1"/>
    <col min="15625" max="15625" width="10.33203125" style="223" customWidth="1"/>
    <col min="15626" max="15872" width="8.83203125" style="223"/>
    <col min="15873" max="15873" width="23.6640625" style="223" customWidth="1"/>
    <col min="15874" max="15874" width="9.33203125" style="223" customWidth="1"/>
    <col min="15875" max="15875" width="6.5" style="223" customWidth="1"/>
    <col min="15876" max="15877" width="8.33203125" style="223" customWidth="1"/>
    <col min="15878" max="15878" width="2.33203125" style="223" customWidth="1"/>
    <col min="15879" max="15879" width="9.83203125" style="223" customWidth="1"/>
    <col min="15880" max="15880" width="9.5" style="223" customWidth="1"/>
    <col min="15881" max="15881" width="10.33203125" style="223" customWidth="1"/>
    <col min="15882" max="16128" width="8.83203125" style="223"/>
    <col min="16129" max="16129" width="23.6640625" style="223" customWidth="1"/>
    <col min="16130" max="16130" width="9.33203125" style="223" customWidth="1"/>
    <col min="16131" max="16131" width="6.5" style="223" customWidth="1"/>
    <col min="16132" max="16133" width="8.33203125" style="223" customWidth="1"/>
    <col min="16134" max="16134" width="2.33203125" style="223" customWidth="1"/>
    <col min="16135" max="16135" width="9.83203125" style="223" customWidth="1"/>
    <col min="16136" max="16136" width="9.5" style="223" customWidth="1"/>
    <col min="16137" max="16137" width="10.33203125" style="223" customWidth="1"/>
    <col min="16138" max="16384" width="8.83203125" style="223"/>
  </cols>
  <sheetData>
    <row r="1" spans="1:25" s="249" customFormat="1" ht="21" customHeight="1">
      <c r="A1" s="217" t="s">
        <v>369</v>
      </c>
    </row>
    <row r="2" spans="1:25" s="251" customFormat="1" ht="16.5" customHeight="1">
      <c r="A2" s="250" t="s">
        <v>370</v>
      </c>
      <c r="K2"/>
      <c r="L2"/>
      <c r="M2"/>
      <c r="N2"/>
      <c r="O2"/>
      <c r="P2"/>
      <c r="Q2"/>
      <c r="R2"/>
      <c r="S2"/>
      <c r="T2"/>
      <c r="U2"/>
      <c r="V2"/>
      <c r="W2"/>
      <c r="X2"/>
      <c r="Y2"/>
    </row>
    <row r="3" spans="1:25" s="222" customFormat="1" ht="29.25" customHeight="1" thickBot="1">
      <c r="A3" s="1978" t="s">
        <v>371</v>
      </c>
      <c r="B3" s="1978"/>
      <c r="C3" s="1978"/>
      <c r="D3" s="1978"/>
      <c r="E3" s="1978"/>
      <c r="H3" s="252"/>
      <c r="I3" s="253" t="s">
        <v>372</v>
      </c>
      <c r="K3"/>
      <c r="L3"/>
      <c r="M3"/>
      <c r="N3"/>
      <c r="O3"/>
      <c r="P3"/>
      <c r="Q3"/>
      <c r="R3"/>
      <c r="S3"/>
      <c r="T3"/>
      <c r="U3"/>
      <c r="V3"/>
      <c r="W3"/>
      <c r="X3"/>
      <c r="Y3"/>
    </row>
    <row r="4" spans="1:25" s="258" customFormat="1" ht="11.25" customHeight="1" thickTop="1">
      <c r="A4" s="254"/>
      <c r="B4" s="255" t="s">
        <v>361</v>
      </c>
      <c r="C4" s="255" t="s">
        <v>361</v>
      </c>
      <c r="D4" s="255" t="s">
        <v>373</v>
      </c>
      <c r="E4" s="255" t="s">
        <v>374</v>
      </c>
      <c r="F4" s="256"/>
      <c r="G4" s="255" t="s">
        <v>375</v>
      </c>
      <c r="H4" s="257" t="s">
        <v>361</v>
      </c>
      <c r="I4" s="255" t="s">
        <v>376</v>
      </c>
      <c r="K4"/>
      <c r="L4"/>
      <c r="M4"/>
      <c r="N4"/>
      <c r="O4"/>
      <c r="P4"/>
      <c r="Q4"/>
      <c r="R4"/>
      <c r="S4"/>
      <c r="T4"/>
      <c r="U4"/>
      <c r="V4"/>
      <c r="W4"/>
      <c r="X4"/>
      <c r="Y4"/>
    </row>
    <row r="5" spans="1:25" s="258" customFormat="1" ht="11.25" customHeight="1">
      <c r="A5" s="259"/>
      <c r="B5" s="260" t="s">
        <v>377</v>
      </c>
      <c r="C5" s="257" t="s">
        <v>378</v>
      </c>
      <c r="D5" s="257" t="s">
        <v>379</v>
      </c>
      <c r="E5" s="257" t="s">
        <v>380</v>
      </c>
      <c r="F5" s="256"/>
      <c r="G5" s="257" t="s">
        <v>381</v>
      </c>
      <c r="H5" s="260" t="s">
        <v>377</v>
      </c>
      <c r="I5" s="257" t="s">
        <v>382</v>
      </c>
      <c r="K5"/>
      <c r="L5"/>
      <c r="M5"/>
      <c r="N5"/>
      <c r="O5"/>
      <c r="P5"/>
      <c r="Q5"/>
      <c r="R5"/>
      <c r="S5"/>
      <c r="T5"/>
      <c r="U5"/>
      <c r="V5"/>
      <c r="W5"/>
      <c r="X5"/>
      <c r="Y5"/>
    </row>
    <row r="6" spans="1:25" s="258" customFormat="1" ht="11.25" customHeight="1">
      <c r="A6" s="261"/>
      <c r="B6" s="262" t="s">
        <v>383</v>
      </c>
      <c r="C6" s="263"/>
      <c r="D6" s="262" t="s">
        <v>384</v>
      </c>
      <c r="E6" s="262" t="s">
        <v>384</v>
      </c>
      <c r="F6" s="264"/>
      <c r="G6" s="262" t="s">
        <v>385</v>
      </c>
      <c r="H6" s="262" t="s">
        <v>218</v>
      </c>
      <c r="I6" s="262" t="s">
        <v>218</v>
      </c>
      <c r="K6"/>
      <c r="L6"/>
      <c r="M6"/>
      <c r="N6"/>
      <c r="O6"/>
      <c r="P6"/>
      <c r="Q6"/>
      <c r="R6"/>
      <c r="S6"/>
      <c r="T6"/>
      <c r="U6"/>
      <c r="V6"/>
      <c r="W6"/>
      <c r="X6"/>
      <c r="Y6"/>
    </row>
    <row r="7" spans="1:25" s="268" customFormat="1" ht="10.5" customHeight="1">
      <c r="A7" s="265" t="s">
        <v>66</v>
      </c>
      <c r="B7" s="266"/>
      <c r="C7" s="266"/>
      <c r="D7" s="266"/>
      <c r="E7" s="266"/>
      <c r="F7" s="267"/>
      <c r="G7" s="267"/>
      <c r="H7" s="267"/>
      <c r="I7" s="267"/>
      <c r="K7"/>
      <c r="L7"/>
      <c r="M7"/>
      <c r="N7"/>
      <c r="O7"/>
      <c r="P7"/>
      <c r="Q7"/>
      <c r="R7"/>
      <c r="S7"/>
      <c r="T7"/>
      <c r="U7"/>
      <c r="V7"/>
      <c r="W7"/>
      <c r="X7"/>
      <c r="Y7"/>
    </row>
    <row r="8" spans="1:25" s="222" customFormat="1" ht="10.5" customHeight="1">
      <c r="A8" s="221" t="s">
        <v>386</v>
      </c>
      <c r="B8" s="269">
        <v>4451.3389999999999</v>
      </c>
      <c r="C8" s="269">
        <v>25.312999999999999</v>
      </c>
      <c r="D8" s="269">
        <v>226.83118999999999</v>
      </c>
      <c r="E8" s="269">
        <v>4703.4831899999999</v>
      </c>
      <c r="F8" s="270"/>
      <c r="G8" s="271">
        <v>1817.8133728000003</v>
      </c>
      <c r="H8" s="269">
        <v>9650.9856348643498</v>
      </c>
      <c r="I8" s="269">
        <v>16700.745766240001</v>
      </c>
      <c r="K8"/>
      <c r="L8"/>
      <c r="M8"/>
      <c r="N8"/>
      <c r="O8"/>
      <c r="P8"/>
      <c r="Q8"/>
      <c r="R8"/>
      <c r="S8"/>
      <c r="T8"/>
      <c r="U8"/>
      <c r="V8"/>
      <c r="W8"/>
      <c r="X8"/>
      <c r="Y8"/>
    </row>
    <row r="9" spans="1:25" s="222" customFormat="1" ht="10.5" customHeight="1">
      <c r="A9" s="221" t="s">
        <v>230</v>
      </c>
      <c r="B9" s="272">
        <v>0</v>
      </c>
      <c r="C9" s="272">
        <v>0</v>
      </c>
      <c r="D9" s="272">
        <v>0</v>
      </c>
      <c r="E9" s="272">
        <v>0</v>
      </c>
      <c r="F9" s="272"/>
      <c r="G9" s="272">
        <v>0</v>
      </c>
      <c r="H9" s="272">
        <v>0</v>
      </c>
      <c r="I9" s="272">
        <v>0</v>
      </c>
      <c r="K9"/>
      <c r="L9"/>
      <c r="M9"/>
      <c r="N9"/>
      <c r="O9"/>
      <c r="P9"/>
      <c r="Q9"/>
      <c r="R9"/>
      <c r="S9"/>
      <c r="T9"/>
      <c r="U9"/>
      <c r="V9"/>
      <c r="W9"/>
      <c r="X9"/>
      <c r="Y9"/>
    </row>
    <row r="10" spans="1:25" s="222" customFormat="1" ht="10.5" customHeight="1">
      <c r="A10" s="221" t="s">
        <v>4</v>
      </c>
      <c r="B10" s="269">
        <v>744.70399999999995</v>
      </c>
      <c r="C10" s="271">
        <v>324.548</v>
      </c>
      <c r="D10" s="271">
        <v>13.378825000000001</v>
      </c>
      <c r="E10" s="271">
        <v>1082.630825</v>
      </c>
      <c r="F10" s="269"/>
      <c r="G10" s="272">
        <v>0</v>
      </c>
      <c r="H10" s="272">
        <v>0</v>
      </c>
      <c r="I10" s="272">
        <v>0</v>
      </c>
      <c r="K10"/>
      <c r="L10"/>
      <c r="M10"/>
      <c r="N10"/>
      <c r="O10"/>
      <c r="P10"/>
      <c r="Q10"/>
      <c r="R10"/>
      <c r="S10"/>
      <c r="T10"/>
      <c r="U10"/>
      <c r="V10"/>
      <c r="W10"/>
      <c r="X10"/>
      <c r="Y10"/>
    </row>
    <row r="11" spans="1:25" s="222" customFormat="1" ht="11.25" customHeight="1">
      <c r="A11" s="221" t="s">
        <v>135</v>
      </c>
      <c r="B11" s="272">
        <v>-105.3</v>
      </c>
      <c r="C11" s="273">
        <v>-152.06900000000002</v>
      </c>
      <c r="D11" s="274">
        <v>-6.9963199999999999</v>
      </c>
      <c r="E11" s="271">
        <v>-264.36532000000005</v>
      </c>
      <c r="F11" s="269"/>
      <c r="G11" s="272">
        <v>0</v>
      </c>
      <c r="H11" s="272">
        <v>0</v>
      </c>
      <c r="I11" s="272">
        <v>0</v>
      </c>
      <c r="K11"/>
      <c r="L11"/>
      <c r="M11"/>
      <c r="N11"/>
      <c r="O11"/>
      <c r="P11"/>
      <c r="Q11"/>
      <c r="R11"/>
      <c r="S11"/>
      <c r="T11"/>
      <c r="U11"/>
      <c r="V11"/>
      <c r="W11"/>
      <c r="X11"/>
      <c r="Y11"/>
    </row>
    <row r="12" spans="1:25" s="222" customFormat="1" ht="11.25" customHeight="1">
      <c r="A12" s="221" t="s">
        <v>136</v>
      </c>
      <c r="B12" s="272">
        <v>0</v>
      </c>
      <c r="C12" s="272">
        <v>0</v>
      </c>
      <c r="D12" s="272">
        <v>0</v>
      </c>
      <c r="E12" s="272">
        <v>0</v>
      </c>
      <c r="F12" s="269"/>
      <c r="G12" s="272">
        <v>0</v>
      </c>
      <c r="H12" s="272">
        <v>0</v>
      </c>
      <c r="I12" s="272">
        <v>0</v>
      </c>
      <c r="K12"/>
      <c r="L12"/>
      <c r="M12"/>
      <c r="N12"/>
      <c r="O12"/>
      <c r="P12"/>
      <c r="Q12"/>
      <c r="R12"/>
      <c r="S12"/>
      <c r="T12"/>
      <c r="U12"/>
      <c r="V12"/>
      <c r="W12"/>
      <c r="X12"/>
      <c r="Y12"/>
    </row>
    <row r="13" spans="1:25" s="268" customFormat="1" ht="10.5" customHeight="1">
      <c r="A13" s="221" t="s">
        <v>387</v>
      </c>
      <c r="B13" s="273">
        <v>33.902999999999849</v>
      </c>
      <c r="C13" s="273">
        <v>-79.826000000000022</v>
      </c>
      <c r="D13" s="273">
        <v>1.8500399999999892</v>
      </c>
      <c r="E13" s="269">
        <v>-44.07296000000018</v>
      </c>
      <c r="F13" s="269"/>
      <c r="G13" s="272">
        <v>0</v>
      </c>
      <c r="H13" s="272">
        <v>0</v>
      </c>
      <c r="I13" s="272">
        <v>0</v>
      </c>
      <c r="K13"/>
      <c r="L13"/>
      <c r="M13"/>
      <c r="N13"/>
      <c r="O13"/>
      <c r="P13"/>
      <c r="Q13"/>
      <c r="R13"/>
      <c r="S13"/>
      <c r="T13"/>
      <c r="U13"/>
      <c r="V13"/>
      <c r="W13"/>
      <c r="X13"/>
      <c r="Y13"/>
    </row>
    <row r="14" spans="1:25" s="222" customFormat="1" ht="13.5" customHeight="1">
      <c r="A14" s="221" t="s">
        <v>388</v>
      </c>
      <c r="B14" s="269">
        <v>-1114.5379999999998</v>
      </c>
      <c r="C14" s="273">
        <v>1114.5379999999998</v>
      </c>
      <c r="D14" s="272">
        <v>0</v>
      </c>
      <c r="E14" s="272">
        <v>0</v>
      </c>
      <c r="F14" s="269"/>
      <c r="G14" s="272">
        <v>0</v>
      </c>
      <c r="H14" s="273">
        <v>80.780350800000008</v>
      </c>
      <c r="I14" s="273">
        <v>-3.0127409999999997</v>
      </c>
      <c r="K14"/>
      <c r="L14"/>
      <c r="M14"/>
      <c r="N14"/>
      <c r="O14"/>
      <c r="P14"/>
      <c r="Q14"/>
      <c r="R14"/>
      <c r="S14"/>
      <c r="T14"/>
      <c r="U14"/>
      <c r="V14"/>
      <c r="W14"/>
      <c r="X14"/>
      <c r="Y14"/>
    </row>
    <row r="15" spans="1:25" s="279" customFormat="1" ht="10.5" customHeight="1">
      <c r="A15" s="275" t="s">
        <v>233</v>
      </c>
      <c r="B15" s="276">
        <v>4010.1080000000002</v>
      </c>
      <c r="C15" s="277">
        <v>1232.5039999999997</v>
      </c>
      <c r="D15" s="277">
        <v>235.06373499999998</v>
      </c>
      <c r="E15" s="277">
        <v>5477.6757349999998</v>
      </c>
      <c r="F15" s="278"/>
      <c r="G15" s="277">
        <v>1817.8133728000003</v>
      </c>
      <c r="H15" s="276">
        <v>9731.7659856643495</v>
      </c>
      <c r="I15" s="276">
        <v>16697.733025240002</v>
      </c>
      <c r="K15"/>
      <c r="L15"/>
      <c r="M15"/>
      <c r="N15"/>
      <c r="O15"/>
      <c r="P15"/>
      <c r="Q15"/>
      <c r="R15"/>
      <c r="S15"/>
      <c r="T15"/>
      <c r="U15"/>
      <c r="V15"/>
      <c r="W15"/>
      <c r="X15"/>
      <c r="Y15"/>
    </row>
    <row r="16" spans="1:25" s="279" customFormat="1" ht="11.25" customHeight="1">
      <c r="A16" s="275" t="s">
        <v>389</v>
      </c>
      <c r="B16" s="280">
        <v>-13.877000000000407</v>
      </c>
      <c r="C16" s="280">
        <v>3.1179999999997108</v>
      </c>
      <c r="D16" s="280">
        <v>0</v>
      </c>
      <c r="E16" s="281">
        <v>-10.759000000000697</v>
      </c>
      <c r="F16" s="282"/>
      <c r="G16" s="283">
        <v>0</v>
      </c>
      <c r="H16" s="280">
        <v>46.530388799998036</v>
      </c>
      <c r="I16" s="284">
        <v>-113.46896329999799</v>
      </c>
      <c r="K16"/>
      <c r="L16"/>
      <c r="M16"/>
      <c r="N16"/>
      <c r="O16"/>
      <c r="P16"/>
      <c r="Q16"/>
      <c r="R16"/>
      <c r="S16"/>
      <c r="T16"/>
      <c r="U16"/>
      <c r="V16"/>
      <c r="W16"/>
      <c r="X16"/>
      <c r="Y16"/>
    </row>
    <row r="17" spans="1:25" s="279" customFormat="1" ht="10.5" customHeight="1">
      <c r="A17" s="275" t="s">
        <v>236</v>
      </c>
      <c r="B17" s="285">
        <v>4023.9850000000006</v>
      </c>
      <c r="C17" s="286">
        <v>1229.386</v>
      </c>
      <c r="D17" s="286">
        <v>234.60278499999998</v>
      </c>
      <c r="E17" s="285">
        <v>5485.1817850000007</v>
      </c>
      <c r="F17" s="287"/>
      <c r="G17" s="286">
        <v>1817.8133728000003</v>
      </c>
      <c r="H17" s="285">
        <v>9685.2355968643515</v>
      </c>
      <c r="I17" s="285">
        <v>16811.20198854</v>
      </c>
      <c r="K17"/>
      <c r="L17"/>
      <c r="M17"/>
      <c r="N17"/>
      <c r="O17"/>
      <c r="P17"/>
      <c r="Q17"/>
      <c r="R17"/>
      <c r="S17"/>
      <c r="T17"/>
      <c r="U17"/>
      <c r="V17"/>
      <c r="W17"/>
      <c r="X17"/>
      <c r="Y17"/>
    </row>
    <row r="18" spans="1:25" s="268" customFormat="1" ht="10.5" customHeight="1">
      <c r="A18" s="288" t="s">
        <v>142</v>
      </c>
      <c r="B18" s="289">
        <v>3909.8620000000005</v>
      </c>
      <c r="C18" s="289">
        <v>482.50200000000007</v>
      </c>
      <c r="D18" s="272">
        <v>0</v>
      </c>
      <c r="E18" s="289">
        <v>4392.3640000000005</v>
      </c>
      <c r="F18" s="290"/>
      <c r="G18" s="272">
        <v>0</v>
      </c>
      <c r="H18" s="289">
        <v>2525.2819999999997</v>
      </c>
      <c r="I18" s="289">
        <v>8970.67</v>
      </c>
      <c r="K18"/>
      <c r="L18"/>
      <c r="M18"/>
      <c r="N18"/>
      <c r="O18"/>
      <c r="P18"/>
      <c r="Q18"/>
      <c r="R18"/>
      <c r="S18"/>
      <c r="T18"/>
      <c r="U18"/>
      <c r="V18"/>
      <c r="W18"/>
      <c r="X18"/>
      <c r="Y18"/>
    </row>
    <row r="19" spans="1:25" s="222" customFormat="1" ht="10.5" customHeight="1">
      <c r="A19" s="221" t="s">
        <v>143</v>
      </c>
      <c r="B19" s="272">
        <v>0</v>
      </c>
      <c r="C19" s="272">
        <v>0</v>
      </c>
      <c r="D19" s="272">
        <v>0</v>
      </c>
      <c r="E19" s="272">
        <v>0</v>
      </c>
      <c r="F19" s="272"/>
      <c r="G19" s="272">
        <v>0</v>
      </c>
      <c r="H19" s="272">
        <v>2106.9969999999998</v>
      </c>
      <c r="I19" s="272">
        <v>8791.4049999999988</v>
      </c>
      <c r="K19"/>
      <c r="L19"/>
      <c r="M19"/>
      <c r="N19"/>
      <c r="O19"/>
      <c r="P19"/>
      <c r="Q19"/>
      <c r="R19"/>
      <c r="S19"/>
      <c r="T19"/>
      <c r="U19"/>
      <c r="V19"/>
      <c r="W19"/>
      <c r="X19"/>
      <c r="Y19"/>
    </row>
    <row r="20" spans="1:25" s="222" customFormat="1" ht="10.5" customHeight="1">
      <c r="A20" s="221" t="s">
        <v>237</v>
      </c>
      <c r="B20" s="272">
        <v>0</v>
      </c>
      <c r="C20" s="272">
        <v>0</v>
      </c>
      <c r="D20" s="272">
        <v>0</v>
      </c>
      <c r="E20" s="272">
        <v>0</v>
      </c>
      <c r="F20" s="272"/>
      <c r="G20" s="272">
        <v>0</v>
      </c>
      <c r="H20" s="272">
        <v>0</v>
      </c>
      <c r="I20" s="272">
        <v>0</v>
      </c>
      <c r="K20"/>
      <c r="L20"/>
      <c r="M20"/>
      <c r="N20"/>
      <c r="O20"/>
      <c r="P20"/>
      <c r="Q20"/>
      <c r="R20"/>
      <c r="S20"/>
      <c r="T20"/>
      <c r="U20"/>
      <c r="V20"/>
      <c r="W20"/>
      <c r="X20"/>
      <c r="Y20"/>
    </row>
    <row r="21" spans="1:25" s="222" customFormat="1" ht="10.5" customHeight="1">
      <c r="A21" s="221" t="s">
        <v>238</v>
      </c>
      <c r="B21" s="272">
        <v>0</v>
      </c>
      <c r="C21" s="272">
        <v>0</v>
      </c>
      <c r="D21" s="272">
        <v>0</v>
      </c>
      <c r="E21" s="272">
        <v>0</v>
      </c>
      <c r="F21" s="272"/>
      <c r="G21" s="272">
        <v>0</v>
      </c>
      <c r="H21" s="272">
        <v>2106.9969999999998</v>
      </c>
      <c r="I21" s="272">
        <v>8791.4049999999988</v>
      </c>
      <c r="K21"/>
      <c r="L21"/>
      <c r="M21"/>
      <c r="N21"/>
      <c r="O21"/>
      <c r="P21"/>
      <c r="Q21"/>
      <c r="R21"/>
      <c r="S21"/>
      <c r="T21"/>
      <c r="U21"/>
      <c r="V21"/>
      <c r="W21"/>
      <c r="X21"/>
      <c r="Y21"/>
    </row>
    <row r="22" spans="1:25" s="222" customFormat="1" ht="10.5" customHeight="1">
      <c r="A22" s="221" t="s">
        <v>145</v>
      </c>
      <c r="B22" s="272">
        <v>0</v>
      </c>
      <c r="C22" s="272">
        <v>0</v>
      </c>
      <c r="D22" s="272">
        <v>0</v>
      </c>
      <c r="E22" s="272">
        <v>0</v>
      </c>
      <c r="F22" s="272"/>
      <c r="G22" s="272">
        <v>0</v>
      </c>
      <c r="H22" s="272">
        <v>418.28500000000003</v>
      </c>
      <c r="I22" s="272">
        <v>179.26499999999999</v>
      </c>
      <c r="K22"/>
      <c r="L22"/>
      <c r="M22"/>
      <c r="N22"/>
      <c r="O22"/>
      <c r="P22"/>
      <c r="Q22"/>
      <c r="R22"/>
      <c r="S22"/>
      <c r="T22"/>
      <c r="U22"/>
      <c r="V22"/>
      <c r="W22"/>
      <c r="X22"/>
      <c r="Y22"/>
    </row>
    <row r="23" spans="1:25" s="222" customFormat="1" ht="10.5" customHeight="1">
      <c r="A23" s="221" t="s">
        <v>146</v>
      </c>
      <c r="B23" s="272">
        <v>0</v>
      </c>
      <c r="C23" s="272">
        <v>0</v>
      </c>
      <c r="D23" s="272">
        <v>0</v>
      </c>
      <c r="E23" s="272">
        <v>0</v>
      </c>
      <c r="F23" s="272"/>
      <c r="G23" s="272">
        <v>0</v>
      </c>
      <c r="H23" s="272">
        <v>0</v>
      </c>
      <c r="I23" s="272">
        <v>0</v>
      </c>
      <c r="K23"/>
      <c r="L23"/>
      <c r="M23"/>
      <c r="N23"/>
      <c r="O23"/>
      <c r="P23"/>
      <c r="Q23"/>
      <c r="R23"/>
      <c r="S23"/>
      <c r="T23"/>
      <c r="U23"/>
      <c r="V23"/>
      <c r="W23"/>
      <c r="X23"/>
      <c r="Y23"/>
    </row>
    <row r="24" spans="1:25" s="222" customFormat="1" ht="10.5" customHeight="1">
      <c r="A24" s="221" t="s">
        <v>147</v>
      </c>
      <c r="B24" s="272">
        <v>0</v>
      </c>
      <c r="C24" s="272">
        <v>0</v>
      </c>
      <c r="D24" s="272">
        <v>0</v>
      </c>
      <c r="E24" s="272">
        <v>0</v>
      </c>
      <c r="F24" s="272"/>
      <c r="G24" s="272">
        <v>0</v>
      </c>
      <c r="H24" s="272">
        <v>0</v>
      </c>
      <c r="I24" s="272">
        <v>0</v>
      </c>
      <c r="K24"/>
      <c r="L24"/>
      <c r="M24"/>
      <c r="N24"/>
      <c r="O24"/>
      <c r="P24"/>
      <c r="Q24"/>
      <c r="R24"/>
      <c r="S24"/>
      <c r="T24"/>
      <c r="U24"/>
      <c r="V24"/>
      <c r="W24"/>
      <c r="X24"/>
      <c r="Y24"/>
    </row>
    <row r="25" spans="1:25" s="222" customFormat="1" ht="10.5" customHeight="1">
      <c r="A25" s="221" t="s">
        <v>115</v>
      </c>
      <c r="B25" s="272">
        <v>3909.8620000000005</v>
      </c>
      <c r="C25" s="272">
        <v>482.50200000000007</v>
      </c>
      <c r="D25" s="272">
        <v>0</v>
      </c>
      <c r="E25" s="272">
        <v>4392.3640000000005</v>
      </c>
      <c r="F25" s="272"/>
      <c r="G25" s="272">
        <v>0</v>
      </c>
      <c r="H25" s="272">
        <v>0</v>
      </c>
      <c r="I25" s="272">
        <v>0</v>
      </c>
      <c r="K25"/>
      <c r="L25"/>
      <c r="M25"/>
      <c r="N25"/>
      <c r="O25"/>
      <c r="P25"/>
      <c r="Q25"/>
      <c r="R25"/>
      <c r="S25"/>
      <c r="T25"/>
      <c r="U25"/>
      <c r="V25"/>
      <c r="W25"/>
      <c r="X25"/>
      <c r="Y25"/>
    </row>
    <row r="26" spans="1:25" s="222" customFormat="1" ht="10.5" customHeight="1">
      <c r="A26" s="221" t="s">
        <v>148</v>
      </c>
      <c r="B26" s="272">
        <v>0</v>
      </c>
      <c r="C26" s="272">
        <v>0</v>
      </c>
      <c r="D26" s="272">
        <v>0</v>
      </c>
      <c r="E26" s="272">
        <v>0</v>
      </c>
      <c r="F26" s="272"/>
      <c r="G26" s="272">
        <v>0</v>
      </c>
      <c r="H26" s="272">
        <v>0</v>
      </c>
      <c r="I26" s="272">
        <v>0</v>
      </c>
      <c r="K26"/>
      <c r="L26"/>
      <c r="M26"/>
      <c r="N26"/>
      <c r="O26"/>
      <c r="P26"/>
      <c r="Q26"/>
      <c r="R26"/>
      <c r="S26"/>
      <c r="T26"/>
      <c r="U26"/>
      <c r="V26"/>
      <c r="W26"/>
      <c r="X26"/>
      <c r="Y26"/>
    </row>
    <row r="27" spans="1:25" s="222" customFormat="1" ht="10.5" customHeight="1">
      <c r="A27" s="291" t="s">
        <v>390</v>
      </c>
      <c r="B27" s="292">
        <v>0</v>
      </c>
      <c r="C27" s="292">
        <v>0</v>
      </c>
      <c r="D27" s="272">
        <v>0</v>
      </c>
      <c r="E27" s="272">
        <v>0</v>
      </c>
      <c r="F27" s="272"/>
      <c r="G27" s="292">
        <v>0</v>
      </c>
      <c r="H27" s="292">
        <v>0</v>
      </c>
      <c r="I27" s="292">
        <v>0</v>
      </c>
      <c r="K27"/>
      <c r="L27"/>
      <c r="M27"/>
      <c r="N27"/>
      <c r="O27"/>
      <c r="P27"/>
      <c r="Q27"/>
      <c r="R27"/>
      <c r="S27"/>
      <c r="T27"/>
      <c r="U27"/>
      <c r="V27"/>
      <c r="W27"/>
      <c r="X27"/>
      <c r="Y27"/>
    </row>
    <row r="28" spans="1:25" s="279" customFormat="1" ht="10.5" customHeight="1">
      <c r="A28" s="293" t="s">
        <v>149</v>
      </c>
      <c r="B28" s="283">
        <v>0</v>
      </c>
      <c r="C28" s="283">
        <v>0</v>
      </c>
      <c r="D28" s="294">
        <v>0</v>
      </c>
      <c r="E28" s="294">
        <v>0</v>
      </c>
      <c r="F28" s="287"/>
      <c r="G28" s="283">
        <v>0</v>
      </c>
      <c r="H28" s="294">
        <v>5169.6770131518142</v>
      </c>
      <c r="I28" s="294">
        <v>5081.8984326400005</v>
      </c>
      <c r="K28"/>
      <c r="L28"/>
      <c r="M28"/>
      <c r="N28"/>
      <c r="O28"/>
      <c r="P28"/>
      <c r="Q28"/>
      <c r="R28"/>
      <c r="S28"/>
      <c r="T28"/>
      <c r="U28"/>
      <c r="V28"/>
      <c r="W28"/>
      <c r="X28"/>
      <c r="Y28"/>
    </row>
    <row r="29" spans="1:25" s="222" customFormat="1" ht="10.5" customHeight="1">
      <c r="A29" s="221" t="s">
        <v>143</v>
      </c>
      <c r="B29" s="272">
        <v>0</v>
      </c>
      <c r="C29" s="272">
        <v>0</v>
      </c>
      <c r="D29" s="272">
        <v>0</v>
      </c>
      <c r="E29" s="272">
        <v>0</v>
      </c>
      <c r="F29" s="272"/>
      <c r="G29" s="272">
        <v>0</v>
      </c>
      <c r="H29" s="272">
        <v>0</v>
      </c>
      <c r="I29" s="272">
        <v>0</v>
      </c>
      <c r="K29"/>
      <c r="L29"/>
      <c r="M29"/>
      <c r="N29"/>
      <c r="O29"/>
      <c r="P29"/>
      <c r="Q29"/>
      <c r="R29"/>
      <c r="S29"/>
      <c r="T29"/>
      <c r="U29"/>
      <c r="V29"/>
      <c r="W29"/>
      <c r="X29"/>
      <c r="Y29"/>
    </row>
    <row r="30" spans="1:25" s="222" customFormat="1" ht="10.5" customHeight="1">
      <c r="A30" s="221" t="s">
        <v>150</v>
      </c>
      <c r="B30" s="272">
        <v>0</v>
      </c>
      <c r="C30" s="272">
        <v>0</v>
      </c>
      <c r="D30" s="272">
        <v>0</v>
      </c>
      <c r="E30" s="272">
        <v>0</v>
      </c>
      <c r="F30" s="272"/>
      <c r="G30" s="272">
        <v>0</v>
      </c>
      <c r="H30" s="272">
        <v>0</v>
      </c>
      <c r="I30" s="272">
        <v>0</v>
      </c>
      <c r="K30"/>
      <c r="L30"/>
      <c r="M30"/>
      <c r="N30"/>
      <c r="O30"/>
      <c r="P30"/>
      <c r="Q30"/>
      <c r="R30"/>
      <c r="S30"/>
      <c r="T30"/>
      <c r="U30"/>
      <c r="V30"/>
      <c r="W30"/>
      <c r="X30"/>
      <c r="Y30"/>
    </row>
    <row r="31" spans="1:25" s="222" customFormat="1" ht="10.5" customHeight="1">
      <c r="A31" s="221" t="s">
        <v>146</v>
      </c>
      <c r="B31" s="272">
        <v>0</v>
      </c>
      <c r="C31" s="272">
        <v>0</v>
      </c>
      <c r="D31" s="272">
        <v>0</v>
      </c>
      <c r="E31" s="272">
        <v>0</v>
      </c>
      <c r="F31" s="272"/>
      <c r="G31" s="272">
        <v>0</v>
      </c>
      <c r="H31" s="272">
        <v>0</v>
      </c>
      <c r="I31" s="272">
        <v>0</v>
      </c>
      <c r="K31"/>
      <c r="L31"/>
      <c r="M31"/>
      <c r="N31"/>
      <c r="O31"/>
      <c r="P31"/>
      <c r="Q31"/>
      <c r="R31"/>
      <c r="S31"/>
      <c r="T31"/>
      <c r="U31"/>
      <c r="V31"/>
      <c r="W31"/>
      <c r="X31"/>
      <c r="Y31"/>
    </row>
    <row r="32" spans="1:25" s="222" customFormat="1" ht="10.5" customHeight="1">
      <c r="A32" s="221" t="s">
        <v>151</v>
      </c>
      <c r="B32" s="272">
        <v>0</v>
      </c>
      <c r="C32" s="272">
        <v>0</v>
      </c>
      <c r="D32" s="272">
        <v>0</v>
      </c>
      <c r="E32" s="272">
        <v>0</v>
      </c>
      <c r="F32" s="272"/>
      <c r="G32" s="272">
        <v>0</v>
      </c>
      <c r="H32" s="272">
        <v>0</v>
      </c>
      <c r="I32" s="272">
        <v>0</v>
      </c>
      <c r="K32"/>
      <c r="L32"/>
      <c r="M32"/>
      <c r="N32"/>
      <c r="O32"/>
      <c r="P32"/>
      <c r="Q32"/>
      <c r="R32"/>
      <c r="S32"/>
      <c r="T32"/>
      <c r="U32"/>
      <c r="V32"/>
      <c r="W32"/>
      <c r="X32"/>
      <c r="Y32"/>
    </row>
    <row r="33" spans="1:90" s="222" customFormat="1" ht="10.5" customHeight="1">
      <c r="A33" s="221" t="s">
        <v>147</v>
      </c>
      <c r="B33" s="272">
        <v>0</v>
      </c>
      <c r="C33" s="272">
        <v>0</v>
      </c>
      <c r="D33" s="272">
        <v>0</v>
      </c>
      <c r="E33" s="272">
        <v>0</v>
      </c>
      <c r="F33" s="272"/>
      <c r="G33" s="272">
        <v>0</v>
      </c>
      <c r="H33" s="272">
        <v>4227.8516731518139</v>
      </c>
      <c r="I33" s="272">
        <v>702.5692316200001</v>
      </c>
      <c r="K33"/>
      <c r="L33"/>
      <c r="M33"/>
      <c r="N33"/>
      <c r="O33"/>
      <c r="P33"/>
      <c r="Q33"/>
      <c r="R33"/>
      <c r="S33"/>
      <c r="T33"/>
      <c r="U33"/>
      <c r="V33"/>
      <c r="W33"/>
      <c r="X33"/>
      <c r="Y33"/>
    </row>
    <row r="34" spans="1:90" s="222" customFormat="1" ht="10.5" customHeight="1">
      <c r="A34" s="221" t="s">
        <v>115</v>
      </c>
      <c r="B34" s="272">
        <v>0</v>
      </c>
      <c r="C34" s="272">
        <v>0</v>
      </c>
      <c r="D34" s="272">
        <v>0</v>
      </c>
      <c r="E34" s="272">
        <v>0</v>
      </c>
      <c r="F34" s="272"/>
      <c r="G34" s="272">
        <v>0</v>
      </c>
      <c r="H34" s="272">
        <v>941.82533999999998</v>
      </c>
      <c r="I34" s="272">
        <v>4379.3292010200003</v>
      </c>
      <c r="K34"/>
      <c r="L34"/>
      <c r="M34"/>
      <c r="N34"/>
      <c r="O34"/>
      <c r="P34"/>
      <c r="Q34"/>
      <c r="R34"/>
      <c r="S34"/>
      <c r="T34"/>
      <c r="U34"/>
      <c r="V34"/>
      <c r="W34"/>
      <c r="X34"/>
      <c r="Y34"/>
    </row>
    <row r="35" spans="1:90" s="222" customFormat="1" ht="10.5" customHeight="1">
      <c r="A35" s="221" t="s">
        <v>148</v>
      </c>
      <c r="B35" s="272">
        <v>0</v>
      </c>
      <c r="C35" s="272">
        <v>0</v>
      </c>
      <c r="D35" s="272">
        <v>0</v>
      </c>
      <c r="E35" s="272">
        <v>0</v>
      </c>
      <c r="F35" s="272"/>
      <c r="G35" s="272">
        <v>0</v>
      </c>
      <c r="H35" s="272">
        <v>0</v>
      </c>
      <c r="I35" s="272">
        <v>0</v>
      </c>
      <c r="K35"/>
      <c r="L35"/>
      <c r="M35"/>
      <c r="N35"/>
      <c r="O35"/>
      <c r="P35"/>
      <c r="Q35"/>
      <c r="R35"/>
      <c r="S35"/>
      <c r="T35"/>
      <c r="U35"/>
      <c r="V35"/>
      <c r="W35"/>
      <c r="X35"/>
      <c r="Y35"/>
    </row>
    <row r="36" spans="1:90" s="268" customFormat="1" ht="10.5" customHeight="1">
      <c r="A36" s="221" t="s">
        <v>152</v>
      </c>
      <c r="B36" s="272">
        <v>0</v>
      </c>
      <c r="C36" s="272">
        <v>0</v>
      </c>
      <c r="D36" s="272">
        <v>0</v>
      </c>
      <c r="E36" s="272">
        <v>0</v>
      </c>
      <c r="F36" s="272"/>
      <c r="G36" s="272">
        <v>0</v>
      </c>
      <c r="H36" s="272">
        <v>0</v>
      </c>
      <c r="I36" s="272">
        <v>0</v>
      </c>
      <c r="K36"/>
      <c r="L36"/>
      <c r="M36"/>
      <c r="N36"/>
      <c r="O36"/>
      <c r="P36"/>
      <c r="Q36"/>
      <c r="R36"/>
      <c r="S36"/>
      <c r="T36"/>
      <c r="U36"/>
      <c r="V36"/>
      <c r="W36"/>
      <c r="X36"/>
      <c r="Y36"/>
    </row>
    <row r="37" spans="1:90" s="222" customFormat="1" ht="9.75" customHeight="1">
      <c r="A37" s="221" t="s">
        <v>113</v>
      </c>
      <c r="B37" s="272">
        <v>0</v>
      </c>
      <c r="C37" s="272">
        <v>0</v>
      </c>
      <c r="D37" s="272">
        <v>0</v>
      </c>
      <c r="E37" s="272">
        <v>0</v>
      </c>
      <c r="F37" s="272"/>
      <c r="G37" s="272">
        <v>0</v>
      </c>
      <c r="H37" s="272">
        <v>0</v>
      </c>
      <c r="I37" s="272">
        <v>0</v>
      </c>
      <c r="K37"/>
      <c r="L37"/>
      <c r="M37"/>
      <c r="N37"/>
      <c r="O37"/>
      <c r="P37"/>
      <c r="Q37"/>
      <c r="R37"/>
      <c r="S37"/>
      <c r="T37"/>
      <c r="U37"/>
      <c r="V37"/>
      <c r="W37"/>
      <c r="X37"/>
      <c r="Y37"/>
    </row>
    <row r="38" spans="1:90" s="279" customFormat="1" ht="9.75" customHeight="1">
      <c r="A38" s="295" t="s">
        <v>52</v>
      </c>
      <c r="B38" s="283">
        <v>0</v>
      </c>
      <c r="C38" s="283">
        <v>0</v>
      </c>
      <c r="D38" s="283">
        <v>0</v>
      </c>
      <c r="E38" s="283">
        <v>0</v>
      </c>
      <c r="F38" s="296"/>
      <c r="G38" s="283">
        <v>0</v>
      </c>
      <c r="H38" s="296">
        <v>445.46924580000001</v>
      </c>
      <c r="I38" s="296">
        <v>2070.5885090200004</v>
      </c>
      <c r="J38" s="297"/>
      <c r="K38"/>
      <c r="L38"/>
      <c r="M38"/>
      <c r="N38"/>
      <c r="O38"/>
      <c r="P38"/>
      <c r="Q38"/>
      <c r="R38"/>
      <c r="S38"/>
      <c r="T38"/>
      <c r="U38"/>
      <c r="V38"/>
      <c r="W38"/>
      <c r="X38"/>
      <c r="Y38"/>
      <c r="Z38" s="297"/>
      <c r="AA38" s="297"/>
      <c r="AB38" s="297"/>
      <c r="AC38" s="297"/>
      <c r="AD38" s="297"/>
      <c r="AE38" s="297"/>
      <c r="AF38" s="297"/>
      <c r="AG38" s="297"/>
      <c r="AH38" s="297"/>
      <c r="AI38" s="297"/>
      <c r="AJ38" s="297"/>
      <c r="AK38" s="297"/>
      <c r="AL38" s="297"/>
      <c r="AM38" s="297"/>
      <c r="AN38" s="297"/>
      <c r="AO38" s="297"/>
      <c r="AP38" s="297"/>
      <c r="AQ38" s="297"/>
      <c r="AR38" s="297"/>
      <c r="AS38" s="297"/>
      <c r="AT38" s="297"/>
      <c r="AU38" s="297"/>
      <c r="AV38" s="297"/>
      <c r="AW38" s="297"/>
      <c r="AX38" s="297"/>
      <c r="AY38" s="297"/>
      <c r="AZ38" s="297"/>
      <c r="BA38" s="297"/>
      <c r="BB38" s="297"/>
      <c r="BC38" s="297"/>
      <c r="BD38" s="297"/>
      <c r="BE38" s="297"/>
      <c r="BF38" s="297"/>
      <c r="BG38" s="297"/>
      <c r="BH38" s="297"/>
      <c r="BI38" s="297"/>
      <c r="BJ38" s="297"/>
      <c r="BK38" s="297"/>
      <c r="BL38" s="297"/>
      <c r="BM38" s="297"/>
      <c r="BN38" s="297"/>
      <c r="BO38" s="297"/>
      <c r="BP38" s="297"/>
      <c r="BQ38" s="297"/>
      <c r="BR38" s="297"/>
      <c r="BS38" s="297"/>
      <c r="BT38" s="297"/>
      <c r="BU38" s="297"/>
      <c r="BV38" s="297"/>
      <c r="BW38" s="297"/>
      <c r="BX38" s="297"/>
      <c r="BY38" s="297"/>
      <c r="BZ38" s="297"/>
      <c r="CA38" s="297"/>
      <c r="CB38" s="297"/>
      <c r="CC38" s="297"/>
      <c r="CD38" s="297"/>
      <c r="CE38" s="297"/>
      <c r="CF38" s="297"/>
      <c r="CG38" s="297"/>
      <c r="CH38" s="297"/>
      <c r="CI38" s="297"/>
      <c r="CJ38" s="297"/>
      <c r="CK38" s="297"/>
      <c r="CL38" s="297"/>
    </row>
    <row r="39" spans="1:90" s="298" customFormat="1" ht="10.5" customHeight="1">
      <c r="A39" s="275" t="s">
        <v>153</v>
      </c>
      <c r="B39" s="285">
        <v>114.12299999999995</v>
      </c>
      <c r="C39" s="286">
        <v>746.88400000000001</v>
      </c>
      <c r="D39" s="286">
        <v>234.60278499999998</v>
      </c>
      <c r="E39" s="285">
        <v>1092.817785</v>
      </c>
      <c r="F39" s="287"/>
      <c r="G39" s="286">
        <v>1817.8133728000003</v>
      </c>
      <c r="H39" s="285">
        <v>1544.8073379125367</v>
      </c>
      <c r="I39" s="285">
        <v>688.04504688000077</v>
      </c>
      <c r="J39" s="297"/>
      <c r="K39"/>
      <c r="L39"/>
      <c r="M39"/>
      <c r="N39"/>
      <c r="O39"/>
      <c r="P39"/>
      <c r="Q39"/>
      <c r="R39"/>
      <c r="S39"/>
      <c r="T39"/>
      <c r="U39"/>
      <c r="V39"/>
      <c r="W39"/>
      <c r="X39"/>
      <c r="Y39"/>
      <c r="Z39" s="297"/>
      <c r="AA39" s="297"/>
      <c r="AB39" s="297"/>
      <c r="AC39" s="297"/>
      <c r="AD39" s="297"/>
      <c r="AE39" s="297"/>
      <c r="AF39" s="297"/>
      <c r="AG39" s="297"/>
      <c r="AH39" s="297"/>
      <c r="AI39" s="297"/>
      <c r="AJ39" s="297"/>
      <c r="AK39" s="297"/>
      <c r="AL39" s="297"/>
      <c r="AM39" s="297"/>
      <c r="AN39" s="297"/>
      <c r="AO39" s="297"/>
      <c r="AP39" s="297"/>
      <c r="AQ39" s="297"/>
      <c r="AR39" s="297"/>
      <c r="AS39" s="297"/>
      <c r="AT39" s="297"/>
      <c r="AU39" s="297"/>
      <c r="AV39" s="297"/>
      <c r="AW39" s="297"/>
      <c r="AX39" s="297"/>
      <c r="AY39" s="297"/>
      <c r="AZ39" s="297"/>
      <c r="BA39" s="297"/>
      <c r="BB39" s="297"/>
      <c r="BC39" s="297"/>
      <c r="BD39" s="297"/>
      <c r="BE39" s="297"/>
      <c r="BF39" s="297"/>
      <c r="BG39" s="297"/>
      <c r="BH39" s="297"/>
      <c r="BI39" s="297"/>
      <c r="BJ39" s="297"/>
      <c r="BK39" s="297"/>
      <c r="BL39" s="297"/>
      <c r="BM39" s="297"/>
      <c r="BN39" s="297"/>
      <c r="BO39" s="297"/>
      <c r="BP39" s="297"/>
      <c r="BQ39" s="297"/>
      <c r="BR39" s="297"/>
      <c r="BS39" s="297"/>
      <c r="BT39" s="297"/>
      <c r="BU39" s="297"/>
      <c r="BV39" s="297"/>
      <c r="BW39" s="297"/>
      <c r="BX39" s="297"/>
      <c r="BY39" s="297"/>
      <c r="BZ39" s="297"/>
      <c r="CA39" s="297"/>
      <c r="CB39" s="297"/>
      <c r="CC39" s="297"/>
      <c r="CD39" s="297"/>
      <c r="CE39" s="297"/>
      <c r="CF39" s="297"/>
      <c r="CG39" s="297"/>
      <c r="CH39" s="297"/>
      <c r="CI39" s="297"/>
      <c r="CJ39" s="297"/>
      <c r="CK39" s="297"/>
      <c r="CL39" s="297"/>
    </row>
    <row r="40" spans="1:90" s="279" customFormat="1" ht="10.5" customHeight="1">
      <c r="A40" s="295" t="s">
        <v>39</v>
      </c>
      <c r="B40" s="296">
        <v>99.250999994719976</v>
      </c>
      <c r="C40" s="299">
        <v>746.88400000000001</v>
      </c>
      <c r="D40" s="296">
        <v>0</v>
      </c>
      <c r="E40" s="299">
        <v>846.13499999472003</v>
      </c>
      <c r="F40" s="296"/>
      <c r="G40" s="299">
        <v>1817.8133728000003</v>
      </c>
      <c r="H40" s="296">
        <v>1544.8073379125367</v>
      </c>
      <c r="I40" s="296">
        <v>688.04504688000077</v>
      </c>
      <c r="J40" s="297"/>
      <c r="K40"/>
      <c r="L40"/>
      <c r="M40"/>
      <c r="N40"/>
      <c r="O40"/>
      <c r="P40"/>
      <c r="Q40"/>
      <c r="R40"/>
      <c r="S40"/>
      <c r="T40"/>
      <c r="U40"/>
      <c r="V40"/>
      <c r="W40"/>
      <c r="X40"/>
      <c r="Y40"/>
      <c r="Z40" s="297"/>
      <c r="AA40" s="297"/>
      <c r="AB40" s="297"/>
      <c r="AC40" s="297"/>
      <c r="AD40" s="297"/>
      <c r="AE40" s="297"/>
      <c r="AF40" s="297"/>
      <c r="AG40" s="297"/>
      <c r="AH40" s="297"/>
      <c r="AI40" s="297"/>
      <c r="AJ40" s="297"/>
      <c r="AK40" s="297"/>
      <c r="AL40" s="297"/>
      <c r="AM40" s="297"/>
      <c r="AN40" s="297"/>
      <c r="AO40" s="297"/>
      <c r="AP40" s="297"/>
      <c r="AQ40" s="297"/>
      <c r="AR40" s="297"/>
      <c r="AS40" s="297"/>
      <c r="AT40" s="297"/>
      <c r="AU40" s="297"/>
      <c r="AV40" s="297"/>
      <c r="AW40" s="297"/>
      <c r="AX40" s="297"/>
      <c r="AY40" s="297"/>
      <c r="AZ40" s="297"/>
      <c r="BA40" s="297"/>
      <c r="BB40" s="297"/>
      <c r="BC40" s="297"/>
      <c r="BD40" s="297"/>
      <c r="BE40" s="297"/>
      <c r="BF40" s="297"/>
      <c r="BG40" s="297"/>
      <c r="BH40" s="297"/>
      <c r="BI40" s="297"/>
      <c r="BJ40" s="297"/>
      <c r="BK40" s="297"/>
      <c r="BL40" s="297"/>
      <c r="BM40" s="297"/>
      <c r="BN40" s="297"/>
      <c r="BO40" s="297"/>
      <c r="BP40" s="297"/>
      <c r="BQ40" s="297"/>
      <c r="BR40" s="297"/>
      <c r="BS40" s="297"/>
      <c r="BT40" s="297"/>
      <c r="BU40" s="297"/>
      <c r="BV40" s="297"/>
      <c r="BW40" s="297"/>
      <c r="BX40" s="297"/>
      <c r="BY40" s="297"/>
      <c r="BZ40" s="297"/>
      <c r="CA40" s="297"/>
      <c r="CB40" s="297"/>
      <c r="CC40" s="297"/>
      <c r="CD40" s="297"/>
      <c r="CE40" s="297"/>
      <c r="CF40" s="297"/>
      <c r="CG40" s="297"/>
      <c r="CH40" s="297"/>
      <c r="CI40" s="297"/>
      <c r="CJ40" s="297"/>
      <c r="CK40" s="297"/>
      <c r="CL40" s="297"/>
    </row>
    <row r="41" spans="1:90" s="222" customFormat="1" ht="10.5" customHeight="1">
      <c r="A41" s="221" t="s">
        <v>154</v>
      </c>
      <c r="B41" s="272">
        <v>76.327999994719974</v>
      </c>
      <c r="C41" s="274">
        <v>12.95</v>
      </c>
      <c r="D41" s="272">
        <v>0</v>
      </c>
      <c r="E41" s="300">
        <v>89.277999994719977</v>
      </c>
      <c r="F41" s="272"/>
      <c r="G41" s="274">
        <v>1817.8133728000003</v>
      </c>
      <c r="H41" s="272">
        <v>221.21165071253574</v>
      </c>
      <c r="I41" s="272">
        <v>0</v>
      </c>
      <c r="J41" s="301"/>
      <c r="K41"/>
      <c r="L41"/>
      <c r="M41"/>
      <c r="N41"/>
      <c r="O41"/>
      <c r="P41"/>
      <c r="Q41"/>
      <c r="R41"/>
      <c r="S41"/>
      <c r="T41"/>
      <c r="U41"/>
      <c r="V41"/>
      <c r="W41"/>
      <c r="X41"/>
      <c r="Y41"/>
      <c r="Z41" s="301"/>
      <c r="AA41" s="301"/>
      <c r="AB41" s="301"/>
      <c r="AC41" s="301"/>
      <c r="AD41" s="301"/>
      <c r="AE41" s="301"/>
      <c r="AF41" s="301"/>
      <c r="AG41" s="301"/>
      <c r="AH41" s="301"/>
      <c r="AI41" s="301"/>
      <c r="AJ41" s="301"/>
      <c r="AK41" s="301"/>
      <c r="AL41" s="301"/>
      <c r="AM41" s="301"/>
      <c r="AN41" s="301"/>
      <c r="AO41" s="301"/>
      <c r="AP41" s="301"/>
      <c r="AQ41" s="301"/>
      <c r="AR41" s="301"/>
      <c r="AS41" s="301"/>
      <c r="AT41" s="301"/>
      <c r="AU41" s="301"/>
      <c r="AV41" s="301"/>
      <c r="AW41" s="301"/>
      <c r="AX41" s="301"/>
      <c r="AY41" s="301"/>
      <c r="AZ41" s="301"/>
      <c r="BA41" s="301"/>
      <c r="BB41" s="301"/>
      <c r="BC41" s="301"/>
      <c r="BD41" s="301"/>
      <c r="BE41" s="301"/>
      <c r="BF41" s="301"/>
      <c r="BG41" s="301"/>
      <c r="BH41" s="301"/>
      <c r="BI41" s="301"/>
      <c r="BJ41" s="301"/>
      <c r="BK41" s="301"/>
      <c r="BL41" s="301"/>
      <c r="BM41" s="301"/>
      <c r="BN41" s="301"/>
      <c r="BO41" s="301"/>
      <c r="BP41" s="301"/>
      <c r="BQ41" s="301"/>
      <c r="BR41" s="301"/>
      <c r="BS41" s="301"/>
      <c r="BT41" s="301"/>
      <c r="BU41" s="301"/>
      <c r="BV41" s="301"/>
      <c r="BW41" s="301"/>
      <c r="BX41" s="301"/>
      <c r="BY41" s="301"/>
      <c r="BZ41" s="301"/>
      <c r="CA41" s="301"/>
      <c r="CB41" s="301"/>
      <c r="CC41" s="301"/>
      <c r="CD41" s="301"/>
      <c r="CE41" s="301"/>
      <c r="CF41" s="301"/>
      <c r="CG41" s="301"/>
      <c r="CH41" s="301"/>
      <c r="CI41" s="301"/>
      <c r="CJ41" s="301"/>
      <c r="CK41" s="301"/>
      <c r="CL41" s="301"/>
    </row>
    <row r="42" spans="1:90" s="222" customFormat="1" ht="10.5" customHeight="1">
      <c r="A42" s="221" t="s">
        <v>155</v>
      </c>
      <c r="B42" s="272">
        <v>22.923000000000002</v>
      </c>
      <c r="C42" s="272">
        <v>733.93399999999997</v>
      </c>
      <c r="D42" s="272">
        <v>0</v>
      </c>
      <c r="E42" s="272">
        <v>756.85699999999997</v>
      </c>
      <c r="F42" s="272"/>
      <c r="G42" s="272">
        <v>0</v>
      </c>
      <c r="H42" s="272">
        <v>1323.5956872000008</v>
      </c>
      <c r="I42" s="272">
        <v>688.04504688000077</v>
      </c>
      <c r="K42"/>
      <c r="L42"/>
      <c r="M42"/>
      <c r="N42"/>
      <c r="O42"/>
      <c r="P42"/>
      <c r="Q42"/>
      <c r="R42"/>
      <c r="S42"/>
      <c r="T42"/>
      <c r="U42"/>
      <c r="V42"/>
      <c r="W42"/>
      <c r="X42"/>
      <c r="Y42"/>
    </row>
    <row r="43" spans="1:90" s="222" customFormat="1" ht="10.5" customHeight="1">
      <c r="A43" s="221" t="s">
        <v>156</v>
      </c>
      <c r="B43" s="272">
        <v>0</v>
      </c>
      <c r="C43" s="272">
        <v>0</v>
      </c>
      <c r="D43" s="272">
        <v>0</v>
      </c>
      <c r="E43" s="272">
        <v>0</v>
      </c>
      <c r="F43" s="272"/>
      <c r="G43" s="272">
        <v>0</v>
      </c>
      <c r="H43" s="272">
        <v>0</v>
      </c>
      <c r="I43" s="272">
        <v>0</v>
      </c>
      <c r="K43"/>
      <c r="L43"/>
      <c r="M43"/>
      <c r="N43"/>
      <c r="O43"/>
      <c r="P43"/>
      <c r="Q43"/>
      <c r="R43"/>
      <c r="S43"/>
      <c r="T43"/>
      <c r="U43"/>
      <c r="V43"/>
      <c r="W43"/>
      <c r="X43"/>
      <c r="Y43"/>
    </row>
    <row r="44" spans="1:90" s="222" customFormat="1" ht="10.5" customHeight="1">
      <c r="A44" s="221" t="s">
        <v>157</v>
      </c>
      <c r="B44" s="272">
        <v>0</v>
      </c>
      <c r="C44" s="272">
        <v>0</v>
      </c>
      <c r="D44" s="272">
        <v>0</v>
      </c>
      <c r="E44" s="272">
        <v>0</v>
      </c>
      <c r="F44" s="272"/>
      <c r="G44" s="272">
        <v>0</v>
      </c>
      <c r="H44" s="272">
        <v>0</v>
      </c>
      <c r="I44" s="272">
        <v>0</v>
      </c>
      <c r="K44"/>
      <c r="L44"/>
      <c r="M44"/>
      <c r="N44"/>
      <c r="O44"/>
      <c r="P44"/>
      <c r="Q44"/>
      <c r="R44"/>
      <c r="S44"/>
      <c r="T44"/>
      <c r="U44"/>
      <c r="V44"/>
      <c r="W44"/>
      <c r="X44"/>
      <c r="Y44"/>
    </row>
    <row r="45" spans="1:90" s="222" customFormat="1" ht="10.5" customHeight="1">
      <c r="A45" s="221" t="s">
        <v>158</v>
      </c>
      <c r="B45" s="272">
        <v>0</v>
      </c>
      <c r="C45" s="272">
        <v>0</v>
      </c>
      <c r="D45" s="272">
        <v>0</v>
      </c>
      <c r="E45" s="272">
        <v>0</v>
      </c>
      <c r="F45" s="272"/>
      <c r="G45" s="272">
        <v>0</v>
      </c>
      <c r="H45" s="272">
        <v>0</v>
      </c>
      <c r="I45" s="272">
        <v>0</v>
      </c>
      <c r="K45"/>
      <c r="L45"/>
      <c r="M45"/>
      <c r="N45"/>
      <c r="O45"/>
      <c r="P45"/>
      <c r="Q45"/>
      <c r="R45"/>
      <c r="S45"/>
      <c r="T45"/>
      <c r="U45"/>
      <c r="V45"/>
      <c r="W45"/>
      <c r="X45"/>
      <c r="Y45"/>
    </row>
    <row r="46" spans="1:90" s="222" customFormat="1" ht="10.5" customHeight="1">
      <c r="A46" s="302" t="s">
        <v>239</v>
      </c>
      <c r="B46" s="272">
        <v>0</v>
      </c>
      <c r="C46" s="272">
        <v>0</v>
      </c>
      <c r="D46" s="272">
        <v>0</v>
      </c>
      <c r="E46" s="272">
        <v>0</v>
      </c>
      <c r="F46" s="272"/>
      <c r="G46" s="272">
        <v>0</v>
      </c>
      <c r="H46" s="272">
        <v>0</v>
      </c>
      <c r="I46" s="272">
        <v>0</v>
      </c>
      <c r="K46"/>
      <c r="L46"/>
      <c r="M46"/>
      <c r="N46"/>
      <c r="O46"/>
      <c r="P46"/>
      <c r="Q46"/>
      <c r="R46"/>
      <c r="S46"/>
      <c r="T46"/>
      <c r="U46"/>
      <c r="V46"/>
      <c r="W46"/>
      <c r="X46"/>
      <c r="Y46"/>
    </row>
    <row r="47" spans="1:90" s="222" customFormat="1" ht="10.5" customHeight="1">
      <c r="A47" s="302" t="s">
        <v>240</v>
      </c>
      <c r="B47" s="272">
        <v>0</v>
      </c>
      <c r="C47" s="272">
        <v>0</v>
      </c>
      <c r="D47" s="272">
        <v>0</v>
      </c>
      <c r="E47" s="272">
        <v>0</v>
      </c>
      <c r="F47" s="272"/>
      <c r="G47" s="272">
        <v>0</v>
      </c>
      <c r="H47" s="272">
        <v>0</v>
      </c>
      <c r="I47" s="272">
        <v>0</v>
      </c>
      <c r="K47"/>
      <c r="L47"/>
      <c r="M47"/>
      <c r="N47"/>
      <c r="O47"/>
      <c r="P47"/>
      <c r="Q47"/>
      <c r="R47"/>
      <c r="S47"/>
      <c r="T47"/>
      <c r="U47"/>
      <c r="V47"/>
      <c r="W47"/>
      <c r="X47"/>
      <c r="Y47"/>
    </row>
    <row r="48" spans="1:90" s="222" customFormat="1" ht="10.5" customHeight="1">
      <c r="A48" s="302" t="s">
        <v>161</v>
      </c>
      <c r="B48" s="272">
        <v>0</v>
      </c>
      <c r="C48" s="272">
        <v>0</v>
      </c>
      <c r="D48" s="272">
        <v>0</v>
      </c>
      <c r="E48" s="272">
        <v>0</v>
      </c>
      <c r="F48" s="272"/>
      <c r="G48" s="272">
        <v>0</v>
      </c>
      <c r="H48" s="272">
        <v>0</v>
      </c>
      <c r="I48" s="272">
        <v>0</v>
      </c>
      <c r="K48"/>
      <c r="L48"/>
      <c r="M48"/>
      <c r="N48"/>
      <c r="O48"/>
      <c r="P48"/>
      <c r="Q48"/>
      <c r="R48"/>
      <c r="S48"/>
      <c r="T48"/>
      <c r="U48"/>
      <c r="V48"/>
      <c r="W48"/>
      <c r="X48"/>
      <c r="Y48"/>
    </row>
    <row r="49" spans="1:25" s="222" customFormat="1" ht="10.5" customHeight="1">
      <c r="A49" s="302" t="s">
        <v>241</v>
      </c>
      <c r="B49" s="272">
        <v>0</v>
      </c>
      <c r="C49" s="272">
        <v>0</v>
      </c>
      <c r="D49" s="272">
        <v>0</v>
      </c>
      <c r="E49" s="272">
        <v>0</v>
      </c>
      <c r="F49" s="272"/>
      <c r="G49" s="272">
        <v>0</v>
      </c>
      <c r="H49" s="272">
        <v>0</v>
      </c>
      <c r="I49" s="272">
        <v>0</v>
      </c>
      <c r="K49"/>
      <c r="L49"/>
      <c r="M49"/>
      <c r="N49"/>
      <c r="O49"/>
      <c r="P49"/>
      <c r="Q49"/>
      <c r="R49"/>
      <c r="S49"/>
      <c r="T49"/>
      <c r="U49"/>
      <c r="V49"/>
      <c r="W49"/>
      <c r="X49"/>
      <c r="Y49"/>
    </row>
    <row r="50" spans="1:25" s="222" customFormat="1" ht="10.5" customHeight="1">
      <c r="A50" s="302" t="s">
        <v>242</v>
      </c>
      <c r="B50" s="272">
        <v>0</v>
      </c>
      <c r="C50" s="272">
        <v>0</v>
      </c>
      <c r="D50" s="272">
        <v>0</v>
      </c>
      <c r="E50" s="272">
        <v>0</v>
      </c>
      <c r="F50" s="272"/>
      <c r="G50" s="272">
        <v>0</v>
      </c>
      <c r="H50" s="272">
        <v>0</v>
      </c>
      <c r="I50" s="272">
        <v>0</v>
      </c>
      <c r="K50"/>
      <c r="L50"/>
      <c r="M50"/>
      <c r="N50"/>
      <c r="O50"/>
      <c r="P50"/>
      <c r="Q50"/>
      <c r="R50"/>
      <c r="S50"/>
      <c r="T50"/>
      <c r="U50"/>
      <c r="V50"/>
      <c r="W50"/>
      <c r="X50"/>
      <c r="Y50"/>
    </row>
    <row r="51" spans="1:25" s="222" customFormat="1" ht="10.5" customHeight="1">
      <c r="A51" s="302" t="s">
        <v>243</v>
      </c>
      <c r="B51" s="272">
        <v>0</v>
      </c>
      <c r="C51" s="272">
        <v>0</v>
      </c>
      <c r="D51" s="272">
        <v>0</v>
      </c>
      <c r="E51" s="272">
        <v>0</v>
      </c>
      <c r="F51" s="272"/>
      <c r="G51" s="272">
        <v>0</v>
      </c>
      <c r="H51" s="272">
        <v>0</v>
      </c>
      <c r="I51" s="272">
        <v>0</v>
      </c>
      <c r="K51"/>
      <c r="L51"/>
      <c r="M51"/>
      <c r="N51"/>
      <c r="O51"/>
      <c r="P51"/>
      <c r="Q51"/>
      <c r="R51"/>
      <c r="S51"/>
      <c r="T51"/>
      <c r="U51"/>
      <c r="V51"/>
      <c r="W51"/>
      <c r="X51"/>
      <c r="Y51"/>
    </row>
    <row r="52" spans="1:25" s="222" customFormat="1" ht="10.5" customHeight="1">
      <c r="A52" s="221" t="s">
        <v>165</v>
      </c>
      <c r="B52" s="272">
        <v>0</v>
      </c>
      <c r="C52" s="272">
        <v>0</v>
      </c>
      <c r="D52" s="272">
        <v>0</v>
      </c>
      <c r="E52" s="272">
        <v>0</v>
      </c>
      <c r="F52" s="272"/>
      <c r="G52" s="272">
        <v>0</v>
      </c>
      <c r="H52" s="272">
        <v>0</v>
      </c>
      <c r="I52" s="272">
        <v>0</v>
      </c>
      <c r="K52"/>
      <c r="L52"/>
      <c r="M52"/>
      <c r="N52"/>
      <c r="O52"/>
      <c r="P52"/>
      <c r="Q52"/>
      <c r="R52"/>
      <c r="S52"/>
      <c r="T52"/>
      <c r="U52"/>
      <c r="V52"/>
      <c r="W52"/>
      <c r="X52"/>
      <c r="Y52"/>
    </row>
    <row r="53" spans="1:25" s="222" customFormat="1" ht="10.5" customHeight="1">
      <c r="A53" s="221" t="s">
        <v>166</v>
      </c>
      <c r="B53" s="272">
        <v>0</v>
      </c>
      <c r="C53" s="272">
        <v>0</v>
      </c>
      <c r="D53" s="272">
        <v>0</v>
      </c>
      <c r="E53" s="272">
        <v>0</v>
      </c>
      <c r="F53" s="272"/>
      <c r="G53" s="272">
        <v>0</v>
      </c>
      <c r="H53" s="272">
        <v>0</v>
      </c>
      <c r="I53" s="272">
        <v>0</v>
      </c>
      <c r="K53"/>
      <c r="L53"/>
      <c r="M53"/>
      <c r="N53"/>
      <c r="O53"/>
      <c r="P53"/>
      <c r="Q53"/>
      <c r="R53"/>
      <c r="S53"/>
      <c r="T53"/>
      <c r="U53"/>
      <c r="V53"/>
      <c r="W53"/>
      <c r="X53"/>
      <c r="Y53"/>
    </row>
    <row r="54" spans="1:25" s="268" customFormat="1" ht="10.5" customHeight="1">
      <c r="A54" s="265" t="s">
        <v>244</v>
      </c>
      <c r="B54" s="272">
        <v>0</v>
      </c>
      <c r="C54" s="272">
        <v>0</v>
      </c>
      <c r="D54" s="272">
        <v>0</v>
      </c>
      <c r="E54" s="272">
        <v>0</v>
      </c>
      <c r="F54" s="272"/>
      <c r="G54" s="272">
        <v>0</v>
      </c>
      <c r="H54" s="272">
        <v>0</v>
      </c>
      <c r="I54" s="272">
        <v>0</v>
      </c>
      <c r="K54"/>
      <c r="L54"/>
      <c r="M54"/>
      <c r="N54"/>
      <c r="O54"/>
      <c r="P54"/>
      <c r="Q54"/>
      <c r="R54"/>
      <c r="S54"/>
      <c r="T54"/>
      <c r="U54"/>
      <c r="V54"/>
      <c r="W54"/>
      <c r="X54"/>
      <c r="Y54"/>
    </row>
    <row r="55" spans="1:25" s="268" customFormat="1" ht="10.5" customHeight="1">
      <c r="A55" s="265" t="s">
        <v>113</v>
      </c>
      <c r="B55" s="266">
        <v>14.872000005279974</v>
      </c>
      <c r="C55" s="272">
        <v>0</v>
      </c>
      <c r="D55" s="303">
        <v>234.60278499999998</v>
      </c>
      <c r="E55" s="303">
        <v>249.47478500527995</v>
      </c>
      <c r="F55" s="266"/>
      <c r="G55" s="272">
        <v>0</v>
      </c>
      <c r="H55" s="272">
        <v>0</v>
      </c>
      <c r="I55" s="272">
        <v>0</v>
      </c>
      <c r="K55"/>
      <c r="L55"/>
      <c r="M55"/>
      <c r="N55"/>
      <c r="O55"/>
      <c r="P55"/>
      <c r="Q55"/>
      <c r="R55"/>
      <c r="S55"/>
      <c r="T55"/>
      <c r="U55"/>
      <c r="V55"/>
      <c r="W55"/>
      <c r="X55"/>
      <c r="Y55"/>
    </row>
    <row r="56" spans="1:25" s="222" customFormat="1" ht="10.5" customHeight="1">
      <c r="A56" s="221" t="s">
        <v>38</v>
      </c>
      <c r="B56" s="272">
        <v>14.872000005279974</v>
      </c>
      <c r="C56" s="272">
        <v>0</v>
      </c>
      <c r="D56" s="274">
        <v>234.60278499999998</v>
      </c>
      <c r="E56" s="274">
        <v>249.47478500527995</v>
      </c>
      <c r="F56" s="272"/>
      <c r="G56" s="272">
        <v>0</v>
      </c>
      <c r="H56" s="272">
        <v>0</v>
      </c>
      <c r="I56" s="272">
        <v>0</v>
      </c>
      <c r="K56"/>
      <c r="L56"/>
      <c r="M56"/>
      <c r="N56"/>
      <c r="O56"/>
      <c r="P56"/>
      <c r="Q56"/>
      <c r="R56"/>
      <c r="S56"/>
      <c r="T56"/>
      <c r="U56"/>
      <c r="V56"/>
      <c r="W56"/>
      <c r="X56"/>
      <c r="Y56"/>
    </row>
    <row r="57" spans="1:25" s="222" customFormat="1" ht="10.5" customHeight="1">
      <c r="A57" s="221" t="s">
        <v>171</v>
      </c>
      <c r="B57" s="272">
        <v>0</v>
      </c>
      <c r="C57" s="272">
        <v>0</v>
      </c>
      <c r="D57" s="272">
        <v>0</v>
      </c>
      <c r="E57" s="272">
        <v>0</v>
      </c>
      <c r="F57" s="272"/>
      <c r="G57" s="272">
        <v>0</v>
      </c>
      <c r="H57" s="272">
        <v>0</v>
      </c>
      <c r="I57" s="272">
        <v>0</v>
      </c>
      <c r="K57"/>
      <c r="L57"/>
      <c r="M57"/>
      <c r="N57"/>
      <c r="O57"/>
      <c r="P57"/>
      <c r="Q57"/>
      <c r="R57"/>
      <c r="S57"/>
      <c r="T57"/>
      <c r="U57"/>
      <c r="V57"/>
      <c r="W57"/>
      <c r="X57"/>
      <c r="Y57"/>
    </row>
    <row r="58" spans="1:25" s="222" customFormat="1" ht="11.25" customHeight="1">
      <c r="A58" s="221" t="s">
        <v>47</v>
      </c>
      <c r="B58" s="272">
        <v>0</v>
      </c>
      <c r="C58" s="272">
        <v>0</v>
      </c>
      <c r="D58" s="272">
        <v>0</v>
      </c>
      <c r="E58" s="272">
        <v>0</v>
      </c>
      <c r="F58" s="272"/>
      <c r="G58" s="272">
        <v>0</v>
      </c>
      <c r="H58" s="272">
        <v>0</v>
      </c>
      <c r="I58" s="272">
        <v>0</v>
      </c>
      <c r="K58"/>
      <c r="L58"/>
      <c r="M58"/>
      <c r="N58"/>
      <c r="O58"/>
      <c r="P58"/>
      <c r="Q58"/>
      <c r="R58"/>
      <c r="S58"/>
      <c r="T58"/>
      <c r="U58"/>
      <c r="V58"/>
      <c r="W58"/>
      <c r="X58"/>
      <c r="Y58"/>
    </row>
    <row r="59" spans="1:25" s="222" customFormat="1" ht="10.5" customHeight="1">
      <c r="A59" s="221" t="s">
        <v>172</v>
      </c>
      <c r="B59" s="272">
        <v>0</v>
      </c>
      <c r="C59" s="272">
        <v>0</v>
      </c>
      <c r="D59" s="272">
        <v>0</v>
      </c>
      <c r="E59" s="272">
        <v>0</v>
      </c>
      <c r="F59" s="272"/>
      <c r="G59" s="272">
        <v>0</v>
      </c>
      <c r="H59" s="272">
        <v>0</v>
      </c>
      <c r="I59" s="272">
        <v>0</v>
      </c>
      <c r="K59"/>
      <c r="L59"/>
      <c r="M59"/>
      <c r="N59"/>
      <c r="O59"/>
      <c r="P59"/>
      <c r="Q59"/>
      <c r="R59"/>
      <c r="S59"/>
      <c r="T59"/>
      <c r="U59"/>
      <c r="V59"/>
      <c r="W59"/>
      <c r="X59"/>
      <c r="Y59"/>
    </row>
    <row r="60" spans="1:25" s="222" customFormat="1" ht="10.5" customHeight="1">
      <c r="A60" s="221" t="s">
        <v>173</v>
      </c>
      <c r="B60" s="272">
        <v>0</v>
      </c>
      <c r="C60" s="272">
        <v>0</v>
      </c>
      <c r="D60" s="272">
        <v>0</v>
      </c>
      <c r="E60" s="272">
        <v>0</v>
      </c>
      <c r="F60" s="272"/>
      <c r="G60" s="272">
        <v>0</v>
      </c>
      <c r="H60" s="272">
        <v>0</v>
      </c>
      <c r="I60" s="272">
        <v>0</v>
      </c>
      <c r="K60"/>
      <c r="L60"/>
      <c r="M60"/>
      <c r="N60"/>
      <c r="O60"/>
      <c r="P60"/>
      <c r="Q60"/>
      <c r="R60"/>
      <c r="S60"/>
      <c r="T60"/>
      <c r="U60"/>
      <c r="V60"/>
      <c r="W60"/>
      <c r="X60"/>
      <c r="Y60"/>
    </row>
    <row r="61" spans="1:25" s="279" customFormat="1" ht="10.5" customHeight="1" thickBot="1">
      <c r="A61" s="304" t="s">
        <v>174</v>
      </c>
      <c r="B61" s="305">
        <v>0</v>
      </c>
      <c r="C61" s="305">
        <v>0</v>
      </c>
      <c r="D61" s="305">
        <v>0</v>
      </c>
      <c r="E61" s="305">
        <v>0</v>
      </c>
      <c r="F61" s="306"/>
      <c r="G61" s="305">
        <v>0</v>
      </c>
      <c r="H61" s="305">
        <v>0</v>
      </c>
      <c r="I61" s="305">
        <v>0</v>
      </c>
      <c r="K61"/>
      <c r="L61"/>
      <c r="M61"/>
      <c r="N61"/>
      <c r="O61"/>
      <c r="P61"/>
      <c r="Q61"/>
      <c r="R61"/>
      <c r="S61"/>
      <c r="T61"/>
      <c r="U61"/>
      <c r="V61"/>
      <c r="W61"/>
      <c r="X61"/>
      <c r="Y61"/>
    </row>
    <row r="62" spans="1:25" s="279" customFormat="1" ht="3" customHeight="1" thickTop="1">
      <c r="A62" s="307"/>
      <c r="B62" s="306"/>
      <c r="C62" s="306"/>
      <c r="D62" s="306"/>
      <c r="E62" s="306"/>
      <c r="F62" s="306"/>
      <c r="G62" s="306"/>
      <c r="H62" s="306"/>
      <c r="I62" s="306"/>
      <c r="K62"/>
      <c r="L62"/>
      <c r="M62"/>
      <c r="N62"/>
      <c r="O62"/>
      <c r="P62"/>
      <c r="Q62"/>
      <c r="R62"/>
      <c r="S62"/>
      <c r="T62"/>
      <c r="U62"/>
      <c r="V62"/>
      <c r="W62"/>
      <c r="X62"/>
      <c r="Y62"/>
    </row>
    <row r="63" spans="1:25" s="238" customFormat="1" ht="10.5" customHeight="1">
      <c r="A63" s="308" t="s">
        <v>391</v>
      </c>
      <c r="B63" s="222"/>
      <c r="C63" s="309"/>
      <c r="D63" s="308" t="s">
        <v>392</v>
      </c>
      <c r="E63" s="222"/>
      <c r="F63" s="222"/>
      <c r="G63" s="222"/>
      <c r="H63" s="222"/>
      <c r="I63" s="222"/>
      <c r="K63"/>
      <c r="L63"/>
      <c r="M63"/>
      <c r="N63"/>
      <c r="O63"/>
      <c r="P63"/>
      <c r="Q63"/>
      <c r="R63"/>
      <c r="S63"/>
      <c r="T63"/>
      <c r="U63"/>
      <c r="V63"/>
      <c r="W63"/>
      <c r="X63"/>
      <c r="Y63"/>
    </row>
    <row r="64" spans="1:25" s="238" customFormat="1" ht="10.5" customHeight="1">
      <c r="A64" s="308" t="s">
        <v>393</v>
      </c>
      <c r="B64" s="222"/>
      <c r="C64" s="222"/>
      <c r="D64" s="308" t="s">
        <v>394</v>
      </c>
      <c r="E64" s="222"/>
      <c r="F64" s="222"/>
      <c r="G64" s="222"/>
      <c r="H64" s="222"/>
      <c r="I64" s="222"/>
      <c r="K64"/>
      <c r="L64"/>
      <c r="M64"/>
      <c r="N64"/>
      <c r="O64"/>
      <c r="P64"/>
      <c r="Q64"/>
      <c r="R64"/>
      <c r="S64"/>
      <c r="T64"/>
      <c r="U64"/>
      <c r="V64"/>
      <c r="W64"/>
      <c r="X64"/>
      <c r="Y64"/>
    </row>
    <row r="65" spans="1:25" s="238" customFormat="1" ht="10.5" customHeight="1">
      <c r="A65" s="308" t="s">
        <v>395</v>
      </c>
      <c r="B65" s="222"/>
      <c r="C65" s="222"/>
      <c r="D65" s="308" t="s">
        <v>396</v>
      </c>
      <c r="E65" s="222"/>
      <c r="F65" s="222"/>
      <c r="G65" s="222"/>
      <c r="H65" s="222"/>
      <c r="I65" s="222"/>
      <c r="K65"/>
      <c r="L65"/>
      <c r="M65"/>
      <c r="N65"/>
      <c r="O65"/>
      <c r="P65"/>
      <c r="Q65"/>
      <c r="R65"/>
      <c r="S65"/>
      <c r="T65"/>
      <c r="U65"/>
      <c r="V65"/>
      <c r="W65"/>
      <c r="X65"/>
      <c r="Y65"/>
    </row>
    <row r="66" spans="1:25" s="238" customFormat="1" ht="10.5" customHeight="1">
      <c r="A66" s="308" t="s">
        <v>397</v>
      </c>
      <c r="B66" s="222"/>
      <c r="C66" s="222"/>
      <c r="D66" s="222"/>
      <c r="E66" s="222"/>
      <c r="F66" s="222"/>
      <c r="G66" s="222"/>
      <c r="H66" s="222"/>
      <c r="I66" s="222"/>
      <c r="K66"/>
      <c r="L66"/>
      <c r="M66"/>
      <c r="N66"/>
      <c r="O66"/>
      <c r="P66"/>
      <c r="Q66"/>
      <c r="R66"/>
      <c r="S66"/>
      <c r="T66"/>
      <c r="U66"/>
      <c r="V66"/>
      <c r="W66"/>
      <c r="X66"/>
      <c r="Y66"/>
    </row>
    <row r="67" spans="1:25" s="222" customFormat="1">
      <c r="K67"/>
      <c r="L67"/>
      <c r="M67"/>
      <c r="N67"/>
      <c r="O67"/>
      <c r="P67"/>
      <c r="Q67"/>
      <c r="R67"/>
      <c r="S67"/>
      <c r="T67"/>
      <c r="U67"/>
      <c r="V67"/>
      <c r="W67"/>
      <c r="X67"/>
      <c r="Y67"/>
    </row>
    <row r="68" spans="1:25" s="222" customFormat="1">
      <c r="K68"/>
      <c r="L68"/>
      <c r="M68"/>
      <c r="N68"/>
      <c r="O68"/>
      <c r="P68"/>
      <c r="Q68"/>
      <c r="R68"/>
      <c r="S68"/>
      <c r="T68"/>
      <c r="U68"/>
      <c r="V68"/>
      <c r="W68"/>
      <c r="X68"/>
      <c r="Y68"/>
    </row>
    <row r="69" spans="1:25" s="222" customFormat="1">
      <c r="K69"/>
      <c r="L69"/>
      <c r="M69"/>
      <c r="N69"/>
      <c r="O69"/>
      <c r="P69"/>
      <c r="Q69"/>
      <c r="R69"/>
      <c r="S69"/>
      <c r="T69"/>
      <c r="U69"/>
      <c r="V69"/>
      <c r="W69"/>
      <c r="X69"/>
      <c r="Y69"/>
    </row>
    <row r="70" spans="1:25" s="222" customFormat="1">
      <c r="K70"/>
      <c r="L70"/>
      <c r="M70"/>
      <c r="N70"/>
      <c r="O70"/>
      <c r="P70"/>
      <c r="Q70"/>
      <c r="R70"/>
      <c r="S70"/>
      <c r="T70"/>
      <c r="U70"/>
      <c r="V70"/>
      <c r="W70"/>
      <c r="X70"/>
      <c r="Y70"/>
    </row>
    <row r="71" spans="1:25" s="222" customFormat="1">
      <c r="K71"/>
      <c r="L71"/>
      <c r="M71"/>
      <c r="N71"/>
      <c r="O71"/>
      <c r="P71"/>
      <c r="Q71"/>
      <c r="R71"/>
      <c r="S71"/>
      <c r="T71"/>
      <c r="U71"/>
      <c r="V71"/>
      <c r="W71"/>
      <c r="X71"/>
      <c r="Y71"/>
    </row>
    <row r="72" spans="1:25" s="222" customFormat="1">
      <c r="K72"/>
      <c r="L72"/>
      <c r="M72"/>
      <c r="N72"/>
      <c r="O72"/>
      <c r="P72"/>
      <c r="Q72"/>
      <c r="R72"/>
      <c r="S72"/>
      <c r="T72"/>
      <c r="U72"/>
      <c r="V72"/>
      <c r="W72"/>
      <c r="X72"/>
      <c r="Y72"/>
    </row>
    <row r="73" spans="1:25" s="222" customFormat="1">
      <c r="K73"/>
      <c r="L73"/>
      <c r="M73"/>
      <c r="N73"/>
      <c r="O73"/>
      <c r="P73"/>
      <c r="Q73"/>
      <c r="R73"/>
      <c r="S73"/>
      <c r="T73"/>
      <c r="U73"/>
      <c r="V73"/>
      <c r="W73"/>
      <c r="X73"/>
      <c r="Y73"/>
    </row>
    <row r="74" spans="1:25" s="222" customFormat="1">
      <c r="K74"/>
      <c r="L74"/>
      <c r="M74"/>
      <c r="N74"/>
      <c r="O74"/>
      <c r="P74"/>
      <c r="Q74"/>
      <c r="R74"/>
      <c r="S74"/>
      <c r="T74"/>
      <c r="U74"/>
      <c r="V74"/>
      <c r="W74"/>
      <c r="X74"/>
      <c r="Y74"/>
    </row>
    <row r="75" spans="1:25" s="222" customFormat="1">
      <c r="K75"/>
      <c r="L75"/>
      <c r="M75"/>
      <c r="N75"/>
      <c r="O75"/>
      <c r="P75"/>
      <c r="Q75"/>
      <c r="R75"/>
      <c r="S75"/>
      <c r="T75"/>
      <c r="U75"/>
      <c r="V75"/>
      <c r="W75"/>
      <c r="X75"/>
      <c r="Y75"/>
    </row>
    <row r="76" spans="1:25" s="222" customFormat="1">
      <c r="K76"/>
      <c r="L76"/>
      <c r="M76"/>
      <c r="N76"/>
      <c r="O76"/>
      <c r="P76"/>
      <c r="Q76"/>
      <c r="R76"/>
      <c r="S76"/>
      <c r="T76"/>
      <c r="U76"/>
      <c r="V76"/>
      <c r="W76"/>
      <c r="X76"/>
      <c r="Y76"/>
    </row>
    <row r="77" spans="1:25" s="222" customFormat="1">
      <c r="K77"/>
      <c r="L77"/>
      <c r="M77"/>
      <c r="N77"/>
      <c r="O77"/>
      <c r="P77"/>
      <c r="Q77"/>
      <c r="R77"/>
      <c r="S77"/>
      <c r="T77"/>
      <c r="U77"/>
      <c r="V77"/>
      <c r="W77"/>
      <c r="X77"/>
      <c r="Y77"/>
    </row>
    <row r="78" spans="1:25" s="222" customFormat="1">
      <c r="K78"/>
      <c r="L78"/>
      <c r="M78"/>
      <c r="N78"/>
      <c r="O78"/>
      <c r="P78"/>
      <c r="Q78"/>
      <c r="R78"/>
      <c r="S78"/>
      <c r="T78"/>
      <c r="U78"/>
      <c r="V78"/>
      <c r="W78"/>
      <c r="X78"/>
      <c r="Y78"/>
    </row>
    <row r="79" spans="1:25" s="222" customFormat="1">
      <c r="K79"/>
      <c r="L79"/>
      <c r="M79"/>
      <c r="N79"/>
      <c r="O79"/>
      <c r="P79"/>
      <c r="Q79"/>
      <c r="R79"/>
      <c r="S79"/>
      <c r="T79"/>
      <c r="U79"/>
      <c r="V79"/>
      <c r="W79"/>
      <c r="X79"/>
      <c r="Y79"/>
    </row>
    <row r="80" spans="1:25" s="222" customFormat="1">
      <c r="K80"/>
      <c r="L80"/>
      <c r="M80"/>
      <c r="N80"/>
      <c r="O80"/>
      <c r="P80"/>
      <c r="Q80"/>
      <c r="R80"/>
      <c r="S80"/>
      <c r="T80"/>
      <c r="U80"/>
      <c r="V80"/>
      <c r="W80"/>
      <c r="X80"/>
      <c r="Y80"/>
    </row>
    <row r="81" spans="11:25" s="222" customFormat="1">
      <c r="K81"/>
      <c r="L81"/>
      <c r="M81"/>
      <c r="N81"/>
      <c r="O81"/>
      <c r="P81"/>
      <c r="Q81"/>
      <c r="R81"/>
      <c r="S81"/>
      <c r="T81"/>
      <c r="U81"/>
      <c r="V81"/>
      <c r="W81"/>
      <c r="X81"/>
      <c r="Y81"/>
    </row>
    <row r="82" spans="11:25" s="222" customFormat="1">
      <c r="K82"/>
      <c r="L82"/>
      <c r="M82"/>
      <c r="N82"/>
      <c r="O82"/>
      <c r="P82"/>
      <c r="Q82"/>
      <c r="R82"/>
      <c r="S82"/>
      <c r="T82"/>
      <c r="U82"/>
      <c r="V82"/>
      <c r="W82"/>
      <c r="X82"/>
      <c r="Y82"/>
    </row>
    <row r="83" spans="11:25" s="222" customFormat="1">
      <c r="K83"/>
      <c r="L83"/>
      <c r="M83"/>
      <c r="N83"/>
      <c r="O83"/>
      <c r="P83"/>
      <c r="Q83"/>
      <c r="R83"/>
      <c r="S83"/>
      <c r="T83"/>
      <c r="U83"/>
      <c r="V83"/>
      <c r="W83"/>
      <c r="X83"/>
      <c r="Y83"/>
    </row>
    <row r="84" spans="11:25" s="222" customFormat="1">
      <c r="K84"/>
      <c r="L84"/>
      <c r="M84"/>
      <c r="N84"/>
      <c r="O84"/>
      <c r="P84"/>
      <c r="Q84"/>
      <c r="R84"/>
      <c r="S84"/>
      <c r="T84"/>
      <c r="U84"/>
      <c r="V84"/>
      <c r="W84"/>
      <c r="X84"/>
      <c r="Y84"/>
    </row>
    <row r="85" spans="11:25" s="222" customFormat="1">
      <c r="K85"/>
      <c r="L85"/>
      <c r="M85"/>
      <c r="N85"/>
      <c r="O85"/>
      <c r="P85"/>
      <c r="Q85"/>
      <c r="R85"/>
      <c r="S85"/>
      <c r="T85"/>
      <c r="U85"/>
      <c r="V85"/>
      <c r="W85"/>
      <c r="X85"/>
      <c r="Y85"/>
    </row>
    <row r="86" spans="11:25" s="222" customFormat="1">
      <c r="K86"/>
      <c r="L86"/>
      <c r="M86"/>
      <c r="N86"/>
      <c r="O86"/>
      <c r="P86"/>
      <c r="Q86"/>
      <c r="R86"/>
      <c r="S86"/>
      <c r="T86"/>
      <c r="U86"/>
      <c r="V86"/>
      <c r="W86"/>
      <c r="X86"/>
      <c r="Y86"/>
    </row>
    <row r="87" spans="11:25" s="222" customFormat="1">
      <c r="K87"/>
      <c r="L87"/>
      <c r="M87"/>
      <c r="N87"/>
      <c r="O87"/>
      <c r="P87"/>
      <c r="Q87"/>
      <c r="R87"/>
      <c r="S87"/>
      <c r="T87"/>
      <c r="U87"/>
      <c r="V87"/>
      <c r="W87"/>
      <c r="X87"/>
      <c r="Y87"/>
    </row>
    <row r="88" spans="11:25" s="222" customFormat="1">
      <c r="K88"/>
      <c r="L88"/>
      <c r="M88"/>
      <c r="N88"/>
      <c r="O88"/>
      <c r="P88"/>
      <c r="Q88"/>
      <c r="R88"/>
      <c r="S88"/>
      <c r="T88"/>
      <c r="U88"/>
      <c r="V88"/>
      <c r="W88"/>
      <c r="X88"/>
      <c r="Y88"/>
    </row>
    <row r="89" spans="11:25" s="222" customFormat="1">
      <c r="K89"/>
      <c r="L89"/>
      <c r="M89"/>
      <c r="N89"/>
      <c r="O89"/>
      <c r="P89"/>
      <c r="Q89"/>
      <c r="R89"/>
      <c r="S89"/>
      <c r="T89"/>
      <c r="U89"/>
      <c r="V89"/>
      <c r="W89"/>
      <c r="X89"/>
      <c r="Y89"/>
    </row>
    <row r="90" spans="11:25" s="222" customFormat="1">
      <c r="K90"/>
      <c r="L90"/>
      <c r="M90"/>
      <c r="N90"/>
      <c r="O90"/>
      <c r="P90"/>
      <c r="Q90"/>
      <c r="R90"/>
      <c r="S90"/>
      <c r="T90"/>
      <c r="U90"/>
      <c r="V90"/>
      <c r="W90"/>
      <c r="X90"/>
      <c r="Y90"/>
    </row>
    <row r="91" spans="11:25" s="222" customFormat="1">
      <c r="K91"/>
      <c r="L91"/>
      <c r="M91"/>
      <c r="N91"/>
      <c r="O91"/>
      <c r="P91"/>
      <c r="Q91"/>
      <c r="R91"/>
      <c r="S91"/>
      <c r="T91"/>
      <c r="U91"/>
      <c r="V91"/>
      <c r="W91"/>
      <c r="X91"/>
      <c r="Y91"/>
    </row>
    <row r="92" spans="11:25" s="222" customFormat="1">
      <c r="K92"/>
      <c r="L92"/>
      <c r="M92"/>
      <c r="N92"/>
      <c r="O92"/>
      <c r="P92"/>
      <c r="Q92"/>
      <c r="R92"/>
      <c r="S92"/>
      <c r="T92"/>
      <c r="U92"/>
      <c r="V92"/>
      <c r="W92"/>
      <c r="X92"/>
      <c r="Y92"/>
    </row>
    <row r="93" spans="11:25" s="222" customFormat="1">
      <c r="K93"/>
      <c r="L93"/>
      <c r="M93"/>
      <c r="N93"/>
      <c r="O93"/>
      <c r="P93"/>
      <c r="Q93"/>
      <c r="R93"/>
      <c r="S93"/>
      <c r="T93"/>
      <c r="U93"/>
      <c r="V93"/>
      <c r="W93"/>
      <c r="X93"/>
      <c r="Y93"/>
    </row>
    <row r="94" spans="11:25" s="222" customFormat="1" ht="12"/>
    <row r="95" spans="11:25" s="222" customFormat="1" ht="12"/>
    <row r="96" spans="11:25" s="222" customFormat="1" ht="12"/>
    <row r="97" s="222" customFormat="1" ht="12"/>
    <row r="98" s="222" customFormat="1" ht="12"/>
    <row r="99" s="222" customFormat="1" ht="12"/>
    <row r="100" s="222" customFormat="1" ht="12"/>
    <row r="101" s="222" customFormat="1" ht="12"/>
    <row r="102" s="222" customFormat="1" ht="12"/>
    <row r="103" s="222" customFormat="1" ht="12"/>
    <row r="104" s="222" customFormat="1" ht="12"/>
    <row r="105" s="222" customFormat="1" ht="12"/>
    <row r="106" s="222" customFormat="1" ht="12"/>
    <row r="107" s="222" customFormat="1" ht="12"/>
    <row r="108" s="222" customFormat="1" ht="12"/>
    <row r="109" s="222" customFormat="1" ht="12"/>
    <row r="110" s="222" customFormat="1" ht="12"/>
    <row r="111" s="222" customFormat="1" ht="12"/>
    <row r="112" s="222" customFormat="1" ht="12"/>
    <row r="113" s="222" customFormat="1" ht="12"/>
    <row r="114" s="222" customFormat="1" ht="12"/>
    <row r="115" s="222" customFormat="1" ht="12"/>
    <row r="116" s="222" customFormat="1" ht="12"/>
    <row r="117" s="222" customFormat="1" ht="12"/>
    <row r="118" s="222" customFormat="1" ht="12"/>
    <row r="119" s="222" customFormat="1" ht="12"/>
    <row r="120" s="222" customFormat="1" ht="12"/>
    <row r="121" s="222" customFormat="1" ht="12"/>
    <row r="122" s="222" customFormat="1" ht="12"/>
    <row r="123" s="222" customFormat="1" ht="12"/>
    <row r="124" s="222" customFormat="1" ht="12"/>
    <row r="125" s="222" customFormat="1" ht="12"/>
    <row r="126" s="222" customFormat="1" ht="12"/>
    <row r="127" s="222" customFormat="1" ht="12"/>
    <row r="128" s="222" customFormat="1" ht="12"/>
    <row r="129" s="222" customFormat="1" ht="12"/>
    <row r="130" s="222" customFormat="1" ht="12"/>
    <row r="131" s="222" customFormat="1" ht="12"/>
    <row r="132" s="222" customFormat="1" ht="12"/>
  </sheetData>
  <mergeCells count="1">
    <mergeCell ref="A3:E3"/>
  </mergeCells>
  <pageMargins left="0.6692913385826772" right="0.6692913385826772" top="0.51181102362204722" bottom="0.51181102362204722" header="0.27559055118110237" footer="0.27559055118110237"/>
  <pageSetup paperSize="9" orientation="portrait"/>
  <headerFooter alignWithMargins="0">
    <oddFooter>&amp;C54</oddFooter>
  </headerFooter>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enableFormatConditionsCalculation="0">
    <pageSetUpPr fitToPage="1"/>
  </sheetPr>
  <dimension ref="A1:Q119"/>
  <sheetViews>
    <sheetView workbookViewId="0"/>
  </sheetViews>
  <sheetFormatPr baseColWidth="10" defaultColWidth="8.83203125" defaultRowHeight="13" x14ac:dyDescent="0"/>
  <cols>
    <col min="1" max="1" width="27.1640625" style="319" customWidth="1"/>
    <col min="2" max="5" width="10.5" style="318" customWidth="1"/>
    <col min="6" max="6" width="10.5" style="319" customWidth="1"/>
    <col min="7" max="9" width="10.5" style="320" customWidth="1"/>
    <col min="10" max="10" width="10.5" style="319" customWidth="1"/>
    <col min="11" max="12" width="12.6640625" style="319" customWidth="1"/>
    <col min="13" max="256" width="8.83203125" style="319"/>
    <col min="257" max="266" width="10.5" style="319" customWidth="1"/>
    <col min="267" max="268" width="12.6640625" style="319" customWidth="1"/>
    <col min="269" max="512" width="8.83203125" style="319"/>
    <col min="513" max="522" width="10.5" style="319" customWidth="1"/>
    <col min="523" max="524" width="12.6640625" style="319" customWidth="1"/>
    <col min="525" max="768" width="8.83203125" style="319"/>
    <col min="769" max="778" width="10.5" style="319" customWidth="1"/>
    <col min="779" max="780" width="12.6640625" style="319" customWidth="1"/>
    <col min="781" max="1024" width="8.83203125" style="319"/>
    <col min="1025" max="1034" width="10.5" style="319" customWidth="1"/>
    <col min="1035" max="1036" width="12.6640625" style="319" customWidth="1"/>
    <col min="1037" max="1280" width="8.83203125" style="319"/>
    <col min="1281" max="1290" width="10.5" style="319" customWidth="1"/>
    <col min="1291" max="1292" width="12.6640625" style="319" customWidth="1"/>
    <col min="1293" max="1536" width="8.83203125" style="319"/>
    <col min="1537" max="1546" width="10.5" style="319" customWidth="1"/>
    <col min="1547" max="1548" width="12.6640625" style="319" customWidth="1"/>
    <col min="1549" max="1792" width="8.83203125" style="319"/>
    <col min="1793" max="1802" width="10.5" style="319" customWidth="1"/>
    <col min="1803" max="1804" width="12.6640625" style="319" customWidth="1"/>
    <col min="1805" max="2048" width="8.83203125" style="319"/>
    <col min="2049" max="2058" width="10.5" style="319" customWidth="1"/>
    <col min="2059" max="2060" width="12.6640625" style="319" customWidth="1"/>
    <col min="2061" max="2304" width="8.83203125" style="319"/>
    <col min="2305" max="2314" width="10.5" style="319" customWidth="1"/>
    <col min="2315" max="2316" width="12.6640625" style="319" customWidth="1"/>
    <col min="2317" max="2560" width="8.83203125" style="319"/>
    <col min="2561" max="2570" width="10.5" style="319" customWidth="1"/>
    <col min="2571" max="2572" width="12.6640625" style="319" customWidth="1"/>
    <col min="2573" max="2816" width="8.83203125" style="319"/>
    <col min="2817" max="2826" width="10.5" style="319" customWidth="1"/>
    <col min="2827" max="2828" width="12.6640625" style="319" customWidth="1"/>
    <col min="2829" max="3072" width="8.83203125" style="319"/>
    <col min="3073" max="3082" width="10.5" style="319" customWidth="1"/>
    <col min="3083" max="3084" width="12.6640625" style="319" customWidth="1"/>
    <col min="3085" max="3328" width="8.83203125" style="319"/>
    <col min="3329" max="3338" width="10.5" style="319" customWidth="1"/>
    <col min="3339" max="3340" width="12.6640625" style="319" customWidth="1"/>
    <col min="3341" max="3584" width="8.83203125" style="319"/>
    <col min="3585" max="3594" width="10.5" style="319" customWidth="1"/>
    <col min="3595" max="3596" width="12.6640625" style="319" customWidth="1"/>
    <col min="3597" max="3840" width="8.83203125" style="319"/>
    <col min="3841" max="3850" width="10.5" style="319" customWidth="1"/>
    <col min="3851" max="3852" width="12.6640625" style="319" customWidth="1"/>
    <col min="3853" max="4096" width="8.83203125" style="319"/>
    <col min="4097" max="4106" width="10.5" style="319" customWidth="1"/>
    <col min="4107" max="4108" width="12.6640625" style="319" customWidth="1"/>
    <col min="4109" max="4352" width="8.83203125" style="319"/>
    <col min="4353" max="4362" width="10.5" style="319" customWidth="1"/>
    <col min="4363" max="4364" width="12.6640625" style="319" customWidth="1"/>
    <col min="4365" max="4608" width="8.83203125" style="319"/>
    <col min="4609" max="4618" width="10.5" style="319" customWidth="1"/>
    <col min="4619" max="4620" width="12.6640625" style="319" customWidth="1"/>
    <col min="4621" max="4864" width="8.83203125" style="319"/>
    <col min="4865" max="4874" width="10.5" style="319" customWidth="1"/>
    <col min="4875" max="4876" width="12.6640625" style="319" customWidth="1"/>
    <col min="4877" max="5120" width="8.83203125" style="319"/>
    <col min="5121" max="5130" width="10.5" style="319" customWidth="1"/>
    <col min="5131" max="5132" width="12.6640625" style="319" customWidth="1"/>
    <col min="5133" max="5376" width="8.83203125" style="319"/>
    <col min="5377" max="5386" width="10.5" style="319" customWidth="1"/>
    <col min="5387" max="5388" width="12.6640625" style="319" customWidth="1"/>
    <col min="5389" max="5632" width="8.83203125" style="319"/>
    <col min="5633" max="5642" width="10.5" style="319" customWidth="1"/>
    <col min="5643" max="5644" width="12.6640625" style="319" customWidth="1"/>
    <col min="5645" max="5888" width="8.83203125" style="319"/>
    <col min="5889" max="5898" width="10.5" style="319" customWidth="1"/>
    <col min="5899" max="5900" width="12.6640625" style="319" customWidth="1"/>
    <col min="5901" max="6144" width="8.83203125" style="319"/>
    <col min="6145" max="6154" width="10.5" style="319" customWidth="1"/>
    <col min="6155" max="6156" width="12.6640625" style="319" customWidth="1"/>
    <col min="6157" max="6400" width="8.83203125" style="319"/>
    <col min="6401" max="6410" width="10.5" style="319" customWidth="1"/>
    <col min="6411" max="6412" width="12.6640625" style="319" customWidth="1"/>
    <col min="6413" max="6656" width="8.83203125" style="319"/>
    <col min="6657" max="6666" width="10.5" style="319" customWidth="1"/>
    <col min="6667" max="6668" width="12.6640625" style="319" customWidth="1"/>
    <col min="6669" max="6912" width="8.83203125" style="319"/>
    <col min="6913" max="6922" width="10.5" style="319" customWidth="1"/>
    <col min="6923" max="6924" width="12.6640625" style="319" customWidth="1"/>
    <col min="6925" max="7168" width="8.83203125" style="319"/>
    <col min="7169" max="7178" width="10.5" style="319" customWidth="1"/>
    <col min="7179" max="7180" width="12.6640625" style="319" customWidth="1"/>
    <col min="7181" max="7424" width="8.83203125" style="319"/>
    <col min="7425" max="7434" width="10.5" style="319" customWidth="1"/>
    <col min="7435" max="7436" width="12.6640625" style="319" customWidth="1"/>
    <col min="7437" max="7680" width="8.83203125" style="319"/>
    <col min="7681" max="7690" width="10.5" style="319" customWidth="1"/>
    <col min="7691" max="7692" width="12.6640625" style="319" customWidth="1"/>
    <col min="7693" max="7936" width="8.83203125" style="319"/>
    <col min="7937" max="7946" width="10.5" style="319" customWidth="1"/>
    <col min="7947" max="7948" width="12.6640625" style="319" customWidth="1"/>
    <col min="7949" max="8192" width="8.83203125" style="319"/>
    <col min="8193" max="8202" width="10.5" style="319" customWidth="1"/>
    <col min="8203" max="8204" width="12.6640625" style="319" customWidth="1"/>
    <col min="8205" max="8448" width="8.83203125" style="319"/>
    <col min="8449" max="8458" width="10.5" style="319" customWidth="1"/>
    <col min="8459" max="8460" width="12.6640625" style="319" customWidth="1"/>
    <col min="8461" max="8704" width="8.83203125" style="319"/>
    <col min="8705" max="8714" width="10.5" style="319" customWidth="1"/>
    <col min="8715" max="8716" width="12.6640625" style="319" customWidth="1"/>
    <col min="8717" max="8960" width="8.83203125" style="319"/>
    <col min="8961" max="8970" width="10.5" style="319" customWidth="1"/>
    <col min="8971" max="8972" width="12.6640625" style="319" customWidth="1"/>
    <col min="8973" max="9216" width="8.83203125" style="319"/>
    <col min="9217" max="9226" width="10.5" style="319" customWidth="1"/>
    <col min="9227" max="9228" width="12.6640625" style="319" customWidth="1"/>
    <col min="9229" max="9472" width="8.83203125" style="319"/>
    <col min="9473" max="9482" width="10.5" style="319" customWidth="1"/>
    <col min="9483" max="9484" width="12.6640625" style="319" customWidth="1"/>
    <col min="9485" max="9728" width="8.83203125" style="319"/>
    <col min="9729" max="9738" width="10.5" style="319" customWidth="1"/>
    <col min="9739" max="9740" width="12.6640625" style="319" customWidth="1"/>
    <col min="9741" max="9984" width="8.83203125" style="319"/>
    <col min="9985" max="9994" width="10.5" style="319" customWidth="1"/>
    <col min="9995" max="9996" width="12.6640625" style="319" customWidth="1"/>
    <col min="9997" max="10240" width="8.83203125" style="319"/>
    <col min="10241" max="10250" width="10.5" style="319" customWidth="1"/>
    <col min="10251" max="10252" width="12.6640625" style="319" customWidth="1"/>
    <col min="10253" max="10496" width="8.83203125" style="319"/>
    <col min="10497" max="10506" width="10.5" style="319" customWidth="1"/>
    <col min="10507" max="10508" width="12.6640625" style="319" customWidth="1"/>
    <col min="10509" max="10752" width="8.83203125" style="319"/>
    <col min="10753" max="10762" width="10.5" style="319" customWidth="1"/>
    <col min="10763" max="10764" width="12.6640625" style="319" customWidth="1"/>
    <col min="10765" max="11008" width="8.83203125" style="319"/>
    <col min="11009" max="11018" width="10.5" style="319" customWidth="1"/>
    <col min="11019" max="11020" width="12.6640625" style="319" customWidth="1"/>
    <col min="11021" max="11264" width="8.83203125" style="319"/>
    <col min="11265" max="11274" width="10.5" style="319" customWidth="1"/>
    <col min="11275" max="11276" width="12.6640625" style="319" customWidth="1"/>
    <col min="11277" max="11520" width="8.83203125" style="319"/>
    <col min="11521" max="11530" width="10.5" style="319" customWidth="1"/>
    <col min="11531" max="11532" width="12.6640625" style="319" customWidth="1"/>
    <col min="11533" max="11776" width="8.83203125" style="319"/>
    <col min="11777" max="11786" width="10.5" style="319" customWidth="1"/>
    <col min="11787" max="11788" width="12.6640625" style="319" customWidth="1"/>
    <col min="11789" max="12032" width="8.83203125" style="319"/>
    <col min="12033" max="12042" width="10.5" style="319" customWidth="1"/>
    <col min="12043" max="12044" width="12.6640625" style="319" customWidth="1"/>
    <col min="12045" max="12288" width="8.83203125" style="319"/>
    <col min="12289" max="12298" width="10.5" style="319" customWidth="1"/>
    <col min="12299" max="12300" width="12.6640625" style="319" customWidth="1"/>
    <col min="12301" max="12544" width="8.83203125" style="319"/>
    <col min="12545" max="12554" width="10.5" style="319" customWidth="1"/>
    <col min="12555" max="12556" width="12.6640625" style="319" customWidth="1"/>
    <col min="12557" max="12800" width="8.83203125" style="319"/>
    <col min="12801" max="12810" width="10.5" style="319" customWidth="1"/>
    <col min="12811" max="12812" width="12.6640625" style="319" customWidth="1"/>
    <col min="12813" max="13056" width="8.83203125" style="319"/>
    <col min="13057" max="13066" width="10.5" style="319" customWidth="1"/>
    <col min="13067" max="13068" width="12.6640625" style="319" customWidth="1"/>
    <col min="13069" max="13312" width="8.83203125" style="319"/>
    <col min="13313" max="13322" width="10.5" style="319" customWidth="1"/>
    <col min="13323" max="13324" width="12.6640625" style="319" customWidth="1"/>
    <col min="13325" max="13568" width="8.83203125" style="319"/>
    <col min="13569" max="13578" width="10.5" style="319" customWidth="1"/>
    <col min="13579" max="13580" width="12.6640625" style="319" customWidth="1"/>
    <col min="13581" max="13824" width="8.83203125" style="319"/>
    <col min="13825" max="13834" width="10.5" style="319" customWidth="1"/>
    <col min="13835" max="13836" width="12.6640625" style="319" customWidth="1"/>
    <col min="13837" max="14080" width="8.83203125" style="319"/>
    <col min="14081" max="14090" width="10.5" style="319" customWidth="1"/>
    <col min="14091" max="14092" width="12.6640625" style="319" customWidth="1"/>
    <col min="14093" max="14336" width="8.83203125" style="319"/>
    <col min="14337" max="14346" width="10.5" style="319" customWidth="1"/>
    <col min="14347" max="14348" width="12.6640625" style="319" customWidth="1"/>
    <col min="14349" max="14592" width="8.83203125" style="319"/>
    <col min="14593" max="14602" width="10.5" style="319" customWidth="1"/>
    <col min="14603" max="14604" width="12.6640625" style="319" customWidth="1"/>
    <col min="14605" max="14848" width="8.83203125" style="319"/>
    <col min="14849" max="14858" width="10.5" style="319" customWidth="1"/>
    <col min="14859" max="14860" width="12.6640625" style="319" customWidth="1"/>
    <col min="14861" max="15104" width="8.83203125" style="319"/>
    <col min="15105" max="15114" width="10.5" style="319" customWidth="1"/>
    <col min="15115" max="15116" width="12.6640625" style="319" customWidth="1"/>
    <col min="15117" max="15360" width="8.83203125" style="319"/>
    <col min="15361" max="15370" width="10.5" style="319" customWidth="1"/>
    <col min="15371" max="15372" width="12.6640625" style="319" customWidth="1"/>
    <col min="15373" max="15616" width="8.83203125" style="319"/>
    <col min="15617" max="15626" width="10.5" style="319" customWidth="1"/>
    <col min="15627" max="15628" width="12.6640625" style="319" customWidth="1"/>
    <col min="15629" max="15872" width="8.83203125" style="319"/>
    <col min="15873" max="15882" width="10.5" style="319" customWidth="1"/>
    <col min="15883" max="15884" width="12.6640625" style="319" customWidth="1"/>
    <col min="15885" max="16128" width="8.83203125" style="319"/>
    <col min="16129" max="16138" width="10.5" style="319" customWidth="1"/>
    <col min="16139" max="16140" width="12.6640625" style="319" customWidth="1"/>
    <col min="16141" max="16384" width="8.83203125" style="319"/>
  </cols>
  <sheetData>
    <row r="1" spans="1:17" s="316" customFormat="1" ht="26">
      <c r="A1" s="310" t="s">
        <v>429</v>
      </c>
      <c r="B1" s="311"/>
      <c r="C1" s="311"/>
      <c r="D1" s="311"/>
      <c r="E1" s="311"/>
      <c r="F1" s="312"/>
      <c r="G1" s="312"/>
      <c r="H1" s="313"/>
      <c r="I1" s="314"/>
      <c r="J1" s="315"/>
      <c r="K1" s="315"/>
      <c r="L1" s="315"/>
    </row>
    <row r="2" spans="1:17" ht="18" customHeight="1">
      <c r="A2" s="317" t="s">
        <v>5</v>
      </c>
      <c r="H2" s="321"/>
      <c r="I2" s="314"/>
      <c r="J2" s="322"/>
      <c r="K2" s="322"/>
      <c r="L2" s="322"/>
    </row>
    <row r="3" spans="1:17" ht="12.75" customHeight="1" thickBot="1">
      <c r="A3" s="323"/>
      <c r="B3" s="323"/>
      <c r="C3" s="323"/>
      <c r="D3" s="323"/>
      <c r="E3" s="323"/>
      <c r="I3" s="324"/>
      <c r="K3" s="324"/>
      <c r="L3" s="324" t="s">
        <v>372</v>
      </c>
    </row>
    <row r="4" spans="1:17" ht="14" thickTop="1">
      <c r="A4" s="325"/>
      <c r="B4" s="326">
        <v>1998</v>
      </c>
      <c r="C4" s="326">
        <v>1999</v>
      </c>
      <c r="D4" s="326">
        <v>2000</v>
      </c>
      <c r="E4" s="326">
        <v>2001</v>
      </c>
      <c r="F4" s="326">
        <v>2002</v>
      </c>
      <c r="G4" s="327">
        <v>2003</v>
      </c>
      <c r="H4" s="327">
        <v>2004</v>
      </c>
      <c r="I4" s="327">
        <v>2005</v>
      </c>
      <c r="J4" s="327">
        <v>2006</v>
      </c>
      <c r="K4" s="328">
        <v>2007</v>
      </c>
      <c r="L4" s="328">
        <v>2008</v>
      </c>
    </row>
    <row r="5" spans="1:17" ht="11.25" customHeight="1">
      <c r="A5" s="329" t="s">
        <v>430</v>
      </c>
      <c r="B5" s="330"/>
      <c r="C5" s="330"/>
      <c r="D5" s="330"/>
      <c r="E5" s="330"/>
      <c r="F5" s="330"/>
      <c r="G5" s="331"/>
      <c r="H5" s="331"/>
      <c r="I5" s="331"/>
      <c r="J5" s="331"/>
      <c r="K5" s="332"/>
      <c r="L5" s="332"/>
    </row>
    <row r="6" spans="1:17" ht="10.5" customHeight="1">
      <c r="A6" s="329" t="s">
        <v>66</v>
      </c>
      <c r="B6" s="330"/>
      <c r="C6" s="330"/>
      <c r="D6" s="330"/>
      <c r="E6" s="330"/>
      <c r="F6" s="330"/>
      <c r="G6" s="331"/>
      <c r="H6" s="331"/>
      <c r="I6" s="331"/>
      <c r="J6" s="331"/>
      <c r="K6" s="333"/>
      <c r="L6" s="333"/>
    </row>
    <row r="7" spans="1:17" ht="10.5" customHeight="1">
      <c r="A7" s="334" t="s">
        <v>229</v>
      </c>
      <c r="B7" s="335">
        <v>361078</v>
      </c>
      <c r="C7" s="335">
        <v>365250</v>
      </c>
      <c r="D7" s="335">
        <v>374374</v>
      </c>
      <c r="E7" s="335">
        <v>382356</v>
      </c>
      <c r="F7" s="335">
        <v>384594</v>
      </c>
      <c r="G7" s="335">
        <v>395475</v>
      </c>
      <c r="H7" s="336">
        <v>391218.6877095456</v>
      </c>
      <c r="I7" s="336">
        <v>395382.84676819755</v>
      </c>
      <c r="J7" s="337">
        <v>393439.74485443806</v>
      </c>
      <c r="K7" s="338">
        <v>393184.3387592379</v>
      </c>
      <c r="L7" s="339">
        <v>385560.22494830529</v>
      </c>
      <c r="N7" s="339"/>
      <c r="O7" s="338"/>
      <c r="P7" s="338"/>
      <c r="Q7" s="339"/>
    </row>
    <row r="8" spans="1:17" ht="10.5" customHeight="1">
      <c r="A8" s="334" t="s">
        <v>431</v>
      </c>
      <c r="B8" s="335">
        <v>1624</v>
      </c>
      <c r="C8" s="335">
        <v>2902</v>
      </c>
      <c r="D8" s="335">
        <v>2694</v>
      </c>
      <c r="E8" s="335">
        <v>2422</v>
      </c>
      <c r="F8" s="335">
        <v>2652</v>
      </c>
      <c r="G8" s="335">
        <v>2734</v>
      </c>
      <c r="H8" s="336">
        <v>2648.5490306581578</v>
      </c>
      <c r="I8" s="336">
        <v>2929.7584574999996</v>
      </c>
      <c r="J8" s="336">
        <v>3852.6022349999998</v>
      </c>
      <c r="K8" s="339">
        <v>3859.226181</v>
      </c>
      <c r="L8" s="339">
        <v>4088.9413800000007</v>
      </c>
      <c r="N8" s="339"/>
      <c r="O8" s="339"/>
      <c r="P8" s="339"/>
      <c r="Q8" s="339"/>
    </row>
    <row r="9" spans="1:17" ht="10.5" customHeight="1">
      <c r="A9" s="334" t="s">
        <v>4</v>
      </c>
      <c r="B9" s="335">
        <v>12599</v>
      </c>
      <c r="C9" s="335">
        <v>14507</v>
      </c>
      <c r="D9" s="335">
        <v>14308</v>
      </c>
      <c r="E9" s="335">
        <v>10663</v>
      </c>
      <c r="F9" s="335">
        <v>9182</v>
      </c>
      <c r="G9" s="335">
        <v>5119</v>
      </c>
      <c r="H9" s="336">
        <v>9783.8487368421065</v>
      </c>
      <c r="I9" s="336">
        <v>11160.064999999999</v>
      </c>
      <c r="J9" s="336">
        <v>10281.69605</v>
      </c>
      <c r="K9" s="339">
        <v>8612.8860000000022</v>
      </c>
      <c r="L9" s="339">
        <v>12293.68098323957</v>
      </c>
      <c r="N9" s="339"/>
      <c r="O9" s="339"/>
      <c r="P9" s="339"/>
      <c r="Q9" s="339"/>
    </row>
    <row r="10" spans="1:17" ht="10.5" customHeight="1">
      <c r="A10" s="334" t="s">
        <v>135</v>
      </c>
      <c r="B10" s="335">
        <v>-131</v>
      </c>
      <c r="C10" s="335">
        <v>-263</v>
      </c>
      <c r="D10" s="335">
        <v>-134</v>
      </c>
      <c r="E10" s="335">
        <v>-264</v>
      </c>
      <c r="F10" s="335">
        <v>-768</v>
      </c>
      <c r="G10" s="335">
        <v>-2959</v>
      </c>
      <c r="H10" s="336">
        <v>-2294</v>
      </c>
      <c r="I10" s="336">
        <v>-2839.2</v>
      </c>
      <c r="J10" s="336">
        <v>-2764.7199000000001</v>
      </c>
      <c r="K10" s="339">
        <v>-3398.3617500000014</v>
      </c>
      <c r="L10" s="339">
        <v>-1271.5793242227455</v>
      </c>
      <c r="N10" s="339"/>
      <c r="O10" s="339"/>
      <c r="P10" s="339"/>
      <c r="Q10" s="339"/>
    </row>
    <row r="11" spans="1:17" ht="10.5" customHeight="1">
      <c r="A11" s="334" t="s">
        <v>136</v>
      </c>
      <c r="B11" s="335">
        <v>0</v>
      </c>
      <c r="C11" s="335">
        <v>0</v>
      </c>
      <c r="D11" s="335" t="s">
        <v>432</v>
      </c>
      <c r="E11" s="335" t="s">
        <v>432</v>
      </c>
      <c r="F11" s="335" t="s">
        <v>432</v>
      </c>
      <c r="G11" s="335">
        <v>0</v>
      </c>
      <c r="H11" s="336">
        <v>0</v>
      </c>
      <c r="I11" s="336">
        <v>0</v>
      </c>
      <c r="J11" s="336">
        <v>0</v>
      </c>
      <c r="K11" s="339">
        <v>0</v>
      </c>
      <c r="L11" s="339">
        <v>0</v>
      </c>
      <c r="N11" s="339"/>
      <c r="O11" s="339"/>
      <c r="P11" s="339"/>
      <c r="Q11" s="339"/>
    </row>
    <row r="12" spans="1:17" ht="10.5" customHeight="1">
      <c r="A12" s="334" t="s">
        <v>433</v>
      </c>
      <c r="B12" s="335">
        <v>0</v>
      </c>
      <c r="C12" s="335">
        <v>0</v>
      </c>
      <c r="D12" s="335" t="s">
        <v>432</v>
      </c>
      <c r="E12" s="335" t="s">
        <v>432</v>
      </c>
      <c r="F12" s="335" t="s">
        <v>432</v>
      </c>
      <c r="G12" s="335">
        <v>0</v>
      </c>
      <c r="H12" s="336">
        <v>0</v>
      </c>
      <c r="I12" s="336">
        <v>0</v>
      </c>
      <c r="J12" s="336">
        <v>0</v>
      </c>
      <c r="K12" s="339">
        <v>0</v>
      </c>
      <c r="L12" s="339">
        <v>0</v>
      </c>
      <c r="N12" s="339"/>
      <c r="O12" s="339"/>
      <c r="P12" s="339"/>
      <c r="Q12" s="339"/>
    </row>
    <row r="13" spans="1:17" ht="10.5" customHeight="1">
      <c r="A13" s="340" t="s">
        <v>141</v>
      </c>
      <c r="B13" s="335">
        <v>0</v>
      </c>
      <c r="C13" s="335">
        <v>0</v>
      </c>
      <c r="D13" s="335" t="s">
        <v>432</v>
      </c>
      <c r="E13" s="335" t="s">
        <v>432</v>
      </c>
      <c r="F13" s="335" t="s">
        <v>432</v>
      </c>
      <c r="G13" s="335">
        <v>0</v>
      </c>
      <c r="H13" s="336">
        <v>0</v>
      </c>
      <c r="I13" s="336">
        <v>0</v>
      </c>
      <c r="J13" s="336">
        <v>0</v>
      </c>
      <c r="K13" s="341">
        <v>0</v>
      </c>
      <c r="L13" s="339">
        <v>0</v>
      </c>
      <c r="N13" s="339"/>
      <c r="O13" s="339"/>
      <c r="P13" s="339"/>
      <c r="Q13" s="339"/>
    </row>
    <row r="14" spans="1:17" s="346" customFormat="1" ht="10.5" customHeight="1">
      <c r="A14" s="342" t="s">
        <v>233</v>
      </c>
      <c r="B14" s="343">
        <v>375170</v>
      </c>
      <c r="C14" s="343">
        <v>382396</v>
      </c>
      <c r="D14" s="343">
        <v>391243</v>
      </c>
      <c r="E14" s="343">
        <v>395177</v>
      </c>
      <c r="F14" s="343">
        <v>395661</v>
      </c>
      <c r="G14" s="343">
        <v>400369</v>
      </c>
      <c r="H14" s="344">
        <v>401356.91205599322</v>
      </c>
      <c r="I14" s="344">
        <v>406633.49122569757</v>
      </c>
      <c r="J14" s="345">
        <v>404809.32323943806</v>
      </c>
      <c r="K14" s="345">
        <v>402258.08919023792</v>
      </c>
      <c r="L14" s="344">
        <v>400671.26798732206</v>
      </c>
      <c r="N14" s="339"/>
      <c r="O14" s="338"/>
      <c r="P14" s="338"/>
      <c r="Q14" s="339"/>
    </row>
    <row r="15" spans="1:17" s="346" customFormat="1" ht="10.5" customHeight="1">
      <c r="A15" s="342" t="s">
        <v>434</v>
      </c>
      <c r="B15" s="347">
        <v>1861</v>
      </c>
      <c r="C15" s="347">
        <v>1564</v>
      </c>
      <c r="D15" s="347">
        <v>1497</v>
      </c>
      <c r="E15" s="347">
        <v>1167</v>
      </c>
      <c r="F15" s="347">
        <v>983</v>
      </c>
      <c r="G15" s="347">
        <v>2208</v>
      </c>
      <c r="H15" s="348">
        <v>2386.7683979548747</v>
      </c>
      <c r="I15" s="348">
        <v>2382.2539049094776</v>
      </c>
      <c r="J15" s="349">
        <v>1045.8537374696461</v>
      </c>
      <c r="K15" s="349">
        <v>983.87671508395579</v>
      </c>
      <c r="L15" s="348">
        <v>1052.5228208390181</v>
      </c>
      <c r="N15" s="339"/>
      <c r="O15" s="338"/>
      <c r="P15" s="338"/>
      <c r="Q15" s="339"/>
    </row>
    <row r="16" spans="1:17" s="346" customFormat="1" ht="10.5" customHeight="1">
      <c r="A16" s="342" t="s">
        <v>236</v>
      </c>
      <c r="B16" s="343">
        <v>373309</v>
      </c>
      <c r="C16" s="343">
        <v>380832</v>
      </c>
      <c r="D16" s="343">
        <v>389746</v>
      </c>
      <c r="E16" s="343">
        <v>394010</v>
      </c>
      <c r="F16" s="343">
        <v>394678</v>
      </c>
      <c r="G16" s="343">
        <v>398161</v>
      </c>
      <c r="H16" s="344">
        <v>398970.14365803835</v>
      </c>
      <c r="I16" s="344">
        <v>404251.23732078809</v>
      </c>
      <c r="J16" s="345">
        <v>403763.46950196841</v>
      </c>
      <c r="K16" s="345">
        <v>401274.21247515397</v>
      </c>
      <c r="L16" s="344">
        <v>399618.74516648304</v>
      </c>
      <c r="N16" s="339"/>
      <c r="O16" s="338"/>
      <c r="P16" s="338"/>
      <c r="Q16" s="339"/>
    </row>
    <row r="17" spans="1:17" ht="10.5" customHeight="1">
      <c r="A17" s="329" t="s">
        <v>142</v>
      </c>
      <c r="B17" s="335">
        <v>0</v>
      </c>
      <c r="C17" s="335">
        <v>0</v>
      </c>
      <c r="D17" s="335"/>
      <c r="E17" s="335"/>
      <c r="F17" s="335"/>
      <c r="G17" s="335">
        <v>0</v>
      </c>
      <c r="H17" s="336">
        <v>0</v>
      </c>
      <c r="I17" s="336">
        <v>0</v>
      </c>
      <c r="J17" s="336">
        <v>0</v>
      </c>
      <c r="K17" s="336">
        <v>0</v>
      </c>
      <c r="L17" s="339">
        <v>0</v>
      </c>
      <c r="N17" s="339"/>
      <c r="O17" s="339"/>
      <c r="P17" s="339"/>
      <c r="Q17" s="339"/>
    </row>
    <row r="18" spans="1:17" ht="10.5" customHeight="1">
      <c r="A18" s="334" t="s">
        <v>143</v>
      </c>
      <c r="B18" s="335">
        <v>0</v>
      </c>
      <c r="C18" s="335">
        <v>0</v>
      </c>
      <c r="D18" s="335" t="s">
        <v>432</v>
      </c>
      <c r="E18" s="335" t="s">
        <v>432</v>
      </c>
      <c r="F18" s="335" t="s">
        <v>432</v>
      </c>
      <c r="G18" s="335">
        <v>0</v>
      </c>
      <c r="H18" s="336">
        <v>0</v>
      </c>
      <c r="I18" s="336">
        <v>0</v>
      </c>
      <c r="J18" s="336">
        <v>0</v>
      </c>
      <c r="K18" s="336">
        <v>0</v>
      </c>
      <c r="L18" s="339">
        <v>0</v>
      </c>
      <c r="N18" s="339"/>
      <c r="O18" s="339"/>
      <c r="P18" s="339"/>
      <c r="Q18" s="339"/>
    </row>
    <row r="19" spans="1:17" ht="10.5" customHeight="1">
      <c r="A19" s="334" t="s">
        <v>237</v>
      </c>
      <c r="B19" s="335">
        <v>0</v>
      </c>
      <c r="C19" s="335">
        <v>0</v>
      </c>
      <c r="D19" s="335" t="s">
        <v>432</v>
      </c>
      <c r="E19" s="335" t="s">
        <v>432</v>
      </c>
      <c r="F19" s="335" t="s">
        <v>432</v>
      </c>
      <c r="G19" s="335">
        <v>0</v>
      </c>
      <c r="H19" s="336">
        <v>0</v>
      </c>
      <c r="I19" s="336">
        <v>0</v>
      </c>
      <c r="J19" s="336">
        <v>0</v>
      </c>
      <c r="K19" s="336">
        <v>0</v>
      </c>
      <c r="L19" s="339">
        <v>0</v>
      </c>
      <c r="N19" s="339"/>
      <c r="O19" s="339"/>
      <c r="P19" s="339"/>
      <c r="Q19" s="339"/>
    </row>
    <row r="20" spans="1:17" ht="10.5" customHeight="1">
      <c r="A20" s="334" t="s">
        <v>435</v>
      </c>
      <c r="B20" s="335">
        <v>0</v>
      </c>
      <c r="C20" s="335">
        <v>0</v>
      </c>
      <c r="D20" s="335" t="s">
        <v>432</v>
      </c>
      <c r="E20" s="335" t="s">
        <v>432</v>
      </c>
      <c r="F20" s="335" t="s">
        <v>432</v>
      </c>
      <c r="G20" s="335">
        <v>0</v>
      </c>
      <c r="H20" s="336">
        <v>0</v>
      </c>
      <c r="I20" s="336">
        <v>0</v>
      </c>
      <c r="J20" s="336">
        <v>0</v>
      </c>
      <c r="K20" s="336">
        <v>0</v>
      </c>
      <c r="L20" s="339">
        <v>0</v>
      </c>
      <c r="N20" s="339"/>
      <c r="O20" s="339"/>
      <c r="P20" s="339"/>
      <c r="Q20" s="339"/>
    </row>
    <row r="21" spans="1:17" ht="10.5" customHeight="1">
      <c r="A21" s="334" t="s">
        <v>145</v>
      </c>
      <c r="B21" s="335">
        <v>0</v>
      </c>
      <c r="C21" s="335">
        <v>0</v>
      </c>
      <c r="D21" s="335" t="s">
        <v>432</v>
      </c>
      <c r="E21" s="335" t="s">
        <v>432</v>
      </c>
      <c r="F21" s="335" t="s">
        <v>432</v>
      </c>
      <c r="G21" s="335">
        <v>0</v>
      </c>
      <c r="H21" s="336">
        <v>0</v>
      </c>
      <c r="I21" s="336">
        <v>0</v>
      </c>
      <c r="J21" s="336">
        <v>0</v>
      </c>
      <c r="K21" s="336">
        <v>0</v>
      </c>
      <c r="L21" s="339">
        <v>0</v>
      </c>
      <c r="N21" s="339"/>
      <c r="O21" s="339"/>
      <c r="P21" s="339"/>
      <c r="Q21" s="339"/>
    </row>
    <row r="22" spans="1:17" ht="10.5" customHeight="1">
      <c r="A22" s="334" t="s">
        <v>146</v>
      </c>
      <c r="B22" s="335">
        <v>0</v>
      </c>
      <c r="C22" s="335">
        <v>0</v>
      </c>
      <c r="D22" s="335" t="s">
        <v>432</v>
      </c>
      <c r="E22" s="335" t="s">
        <v>432</v>
      </c>
      <c r="F22" s="335" t="s">
        <v>432</v>
      </c>
      <c r="G22" s="335">
        <v>0</v>
      </c>
      <c r="H22" s="336">
        <v>0</v>
      </c>
      <c r="I22" s="336">
        <v>0</v>
      </c>
      <c r="J22" s="336">
        <v>0</v>
      </c>
      <c r="K22" s="336">
        <v>0</v>
      </c>
      <c r="L22" s="339">
        <v>0</v>
      </c>
      <c r="N22" s="339"/>
      <c r="O22" s="339"/>
      <c r="P22" s="339"/>
      <c r="Q22" s="339"/>
    </row>
    <row r="23" spans="1:17" ht="10.5" customHeight="1">
      <c r="A23" s="334" t="s">
        <v>147</v>
      </c>
      <c r="B23" s="335">
        <v>0</v>
      </c>
      <c r="C23" s="335">
        <v>0</v>
      </c>
      <c r="D23" s="335" t="s">
        <v>432</v>
      </c>
      <c r="E23" s="335" t="s">
        <v>432</v>
      </c>
      <c r="F23" s="335" t="s">
        <v>432</v>
      </c>
      <c r="G23" s="335">
        <v>0</v>
      </c>
      <c r="H23" s="336">
        <v>0</v>
      </c>
      <c r="I23" s="336">
        <v>0</v>
      </c>
      <c r="J23" s="336">
        <v>0</v>
      </c>
      <c r="K23" s="336">
        <v>0</v>
      </c>
      <c r="L23" s="339">
        <v>0</v>
      </c>
      <c r="N23" s="339"/>
      <c r="O23" s="339"/>
      <c r="P23" s="339"/>
      <c r="Q23" s="339"/>
    </row>
    <row r="24" spans="1:17" ht="10.5" customHeight="1">
      <c r="A24" s="334" t="s">
        <v>115</v>
      </c>
      <c r="B24" s="335">
        <v>0</v>
      </c>
      <c r="C24" s="335">
        <v>0</v>
      </c>
      <c r="D24" s="335" t="s">
        <v>432</v>
      </c>
      <c r="E24" s="335" t="s">
        <v>432</v>
      </c>
      <c r="F24" s="335" t="s">
        <v>432</v>
      </c>
      <c r="G24" s="335">
        <v>0</v>
      </c>
      <c r="H24" s="336">
        <v>0</v>
      </c>
      <c r="I24" s="336">
        <v>0</v>
      </c>
      <c r="J24" s="336">
        <v>0</v>
      </c>
      <c r="K24" s="336">
        <v>0</v>
      </c>
      <c r="L24" s="339">
        <v>0</v>
      </c>
      <c r="N24" s="339"/>
      <c r="O24" s="339"/>
      <c r="P24" s="339"/>
      <c r="Q24" s="339"/>
    </row>
    <row r="25" spans="1:17" ht="10.5" customHeight="1">
      <c r="A25" s="334" t="s">
        <v>148</v>
      </c>
      <c r="B25" s="335">
        <v>0</v>
      </c>
      <c r="C25" s="335">
        <v>0</v>
      </c>
      <c r="D25" s="335" t="s">
        <v>432</v>
      </c>
      <c r="E25" s="335" t="s">
        <v>432</v>
      </c>
      <c r="F25" s="335" t="s">
        <v>432</v>
      </c>
      <c r="G25" s="335">
        <v>0</v>
      </c>
      <c r="H25" s="336">
        <v>0</v>
      </c>
      <c r="I25" s="336">
        <v>0</v>
      </c>
      <c r="J25" s="336">
        <v>0</v>
      </c>
      <c r="K25" s="336">
        <v>0</v>
      </c>
      <c r="L25" s="339">
        <v>0</v>
      </c>
      <c r="N25" s="339"/>
      <c r="O25" s="339"/>
      <c r="P25" s="339"/>
      <c r="Q25" s="339"/>
    </row>
    <row r="26" spans="1:17" ht="10.5" customHeight="1">
      <c r="A26" s="334" t="s">
        <v>113</v>
      </c>
      <c r="B26" s="350">
        <v>0</v>
      </c>
      <c r="C26" s="350">
        <v>0</v>
      </c>
      <c r="D26" s="350" t="s">
        <v>432</v>
      </c>
      <c r="E26" s="350" t="s">
        <v>432</v>
      </c>
      <c r="F26" s="350" t="s">
        <v>432</v>
      </c>
      <c r="G26" s="350">
        <v>0</v>
      </c>
      <c r="H26" s="341">
        <v>0</v>
      </c>
      <c r="I26" s="341">
        <v>0</v>
      </c>
      <c r="J26" s="341">
        <v>0</v>
      </c>
      <c r="K26" s="341">
        <v>0</v>
      </c>
      <c r="L26" s="341">
        <v>0</v>
      </c>
      <c r="N26" s="339"/>
      <c r="O26" s="339"/>
      <c r="P26" s="339"/>
      <c r="Q26" s="339"/>
    </row>
    <row r="27" spans="1:17" ht="10.5" customHeight="1">
      <c r="A27" s="351" t="s">
        <v>149</v>
      </c>
      <c r="B27" s="352">
        <v>29674</v>
      </c>
      <c r="C27" s="353">
        <v>29790</v>
      </c>
      <c r="D27" s="353">
        <v>30680</v>
      </c>
      <c r="E27" s="353">
        <v>30387</v>
      </c>
      <c r="F27" s="353">
        <v>31297</v>
      </c>
      <c r="G27" s="353">
        <v>32081</v>
      </c>
      <c r="H27" s="354">
        <v>29293.615522453129</v>
      </c>
      <c r="I27" s="354">
        <v>30102.476169496709</v>
      </c>
      <c r="J27" s="355">
        <v>32055.399004121558</v>
      </c>
      <c r="K27" s="356">
        <v>33440.802512267299</v>
      </c>
      <c r="L27" s="357">
        <v>30631.914397338212</v>
      </c>
      <c r="N27" s="339"/>
      <c r="O27" s="338"/>
      <c r="P27" s="338"/>
      <c r="Q27" s="339"/>
    </row>
    <row r="28" spans="1:17" ht="10.5" customHeight="1">
      <c r="A28" s="334" t="s">
        <v>143</v>
      </c>
      <c r="B28" s="335">
        <v>17408</v>
      </c>
      <c r="C28" s="335">
        <v>16707</v>
      </c>
      <c r="D28" s="335">
        <v>16304</v>
      </c>
      <c r="E28" s="335">
        <v>17394</v>
      </c>
      <c r="F28" s="335">
        <v>17126</v>
      </c>
      <c r="G28" s="335">
        <v>18136</v>
      </c>
      <c r="H28" s="336">
        <v>17029.87770255061</v>
      </c>
      <c r="I28" s="336">
        <v>17870.819478206584</v>
      </c>
      <c r="J28" s="337">
        <v>18503.65157384261</v>
      </c>
      <c r="K28" s="337">
        <v>17698.703740064098</v>
      </c>
      <c r="L28" s="336">
        <v>16317.073155912076</v>
      </c>
      <c r="N28" s="339"/>
      <c r="O28" s="338"/>
      <c r="P28" s="338"/>
      <c r="Q28" s="339"/>
    </row>
    <row r="29" spans="1:17" ht="10.5" customHeight="1">
      <c r="A29" s="334" t="s">
        <v>150</v>
      </c>
      <c r="B29" s="335">
        <v>537</v>
      </c>
      <c r="C29" s="335">
        <v>408</v>
      </c>
      <c r="D29" s="335">
        <v>527</v>
      </c>
      <c r="E29" s="335">
        <v>675</v>
      </c>
      <c r="F29" s="335">
        <v>540</v>
      </c>
      <c r="G29" s="335">
        <v>551</v>
      </c>
      <c r="H29" s="336">
        <v>557.81400000000008</v>
      </c>
      <c r="I29" s="336">
        <v>505.30099999999999</v>
      </c>
      <c r="J29" s="336">
        <v>545.75172797805396</v>
      </c>
      <c r="K29" s="336">
        <v>560.38416424020738</v>
      </c>
      <c r="L29" s="336">
        <v>598.16165095818883</v>
      </c>
      <c r="N29" s="339"/>
      <c r="O29" s="339"/>
      <c r="P29" s="339"/>
      <c r="Q29" s="339"/>
    </row>
    <row r="30" spans="1:17" ht="10.5" customHeight="1">
      <c r="A30" s="334" t="s">
        <v>146</v>
      </c>
      <c r="B30" s="335">
        <v>5136</v>
      </c>
      <c r="C30" s="335">
        <v>4981</v>
      </c>
      <c r="D30" s="335">
        <v>6362</v>
      </c>
      <c r="E30" s="335">
        <v>5231</v>
      </c>
      <c r="F30" s="335">
        <v>6553</v>
      </c>
      <c r="G30" s="335">
        <v>5769</v>
      </c>
      <c r="H30" s="336">
        <v>4680.7694584707706</v>
      </c>
      <c r="I30" s="336">
        <v>4459.0197418678472</v>
      </c>
      <c r="J30" s="337">
        <v>4660.3413291404404</v>
      </c>
      <c r="K30" s="337">
        <v>6695.5015551946326</v>
      </c>
      <c r="L30" s="336">
        <v>5099.3465471477793</v>
      </c>
      <c r="N30" s="339"/>
      <c r="O30" s="339"/>
      <c r="P30" s="338"/>
      <c r="Q30" s="339"/>
    </row>
    <row r="31" spans="1:17" ht="10.5" customHeight="1">
      <c r="A31" s="334" t="s">
        <v>436</v>
      </c>
      <c r="B31" s="335">
        <v>1334</v>
      </c>
      <c r="C31" s="335">
        <v>1358</v>
      </c>
      <c r="D31" s="335">
        <v>1283</v>
      </c>
      <c r="E31" s="335">
        <v>1223</v>
      </c>
      <c r="F31" s="335">
        <v>1163</v>
      </c>
      <c r="G31" s="335">
        <v>1190</v>
      </c>
      <c r="H31" s="336">
        <v>1118.4720384121426</v>
      </c>
      <c r="I31" s="336">
        <v>1164.5939865789617</v>
      </c>
      <c r="J31" s="339">
        <v>1132.8524079633023</v>
      </c>
      <c r="K31" s="339">
        <v>1072.7425235078895</v>
      </c>
      <c r="L31" s="339">
        <v>1057.9655040797359</v>
      </c>
      <c r="N31" s="339"/>
      <c r="O31" s="339"/>
      <c r="P31" s="339"/>
      <c r="Q31" s="339"/>
    </row>
    <row r="32" spans="1:17" ht="10.5" customHeight="1">
      <c r="A32" s="334" t="s">
        <v>115</v>
      </c>
      <c r="B32" s="335">
        <v>948</v>
      </c>
      <c r="C32" s="335">
        <v>948</v>
      </c>
      <c r="D32" s="335">
        <v>877</v>
      </c>
      <c r="E32" s="335">
        <v>885</v>
      </c>
      <c r="F32" s="335">
        <v>502</v>
      </c>
      <c r="G32" s="335">
        <v>492</v>
      </c>
      <c r="H32" s="336">
        <v>467.53666612231899</v>
      </c>
      <c r="I32" s="336">
        <v>514.53054136496291</v>
      </c>
      <c r="J32" s="339">
        <v>496.61216070798349</v>
      </c>
      <c r="K32" s="339">
        <v>478.78538460714367</v>
      </c>
      <c r="L32" s="339">
        <v>452.04373382916361</v>
      </c>
      <c r="N32" s="339"/>
      <c r="O32" s="339"/>
      <c r="P32" s="339"/>
      <c r="Q32" s="339"/>
    </row>
    <row r="33" spans="1:17" ht="10.5" customHeight="1">
      <c r="A33" s="334" t="s">
        <v>148</v>
      </c>
      <c r="B33" s="335">
        <v>0</v>
      </c>
      <c r="C33" s="335">
        <v>0</v>
      </c>
      <c r="D33" s="335" t="s">
        <v>432</v>
      </c>
      <c r="E33" s="335" t="s">
        <v>432</v>
      </c>
      <c r="F33" s="335" t="s">
        <v>432</v>
      </c>
      <c r="G33" s="335">
        <v>0</v>
      </c>
      <c r="H33" s="336">
        <v>0</v>
      </c>
      <c r="I33" s="336">
        <v>0</v>
      </c>
      <c r="J33" s="339">
        <v>0</v>
      </c>
      <c r="K33" s="339">
        <v>0</v>
      </c>
      <c r="L33" s="339">
        <v>0</v>
      </c>
      <c r="N33" s="339"/>
      <c r="O33" s="339"/>
      <c r="P33" s="339"/>
      <c r="Q33" s="339"/>
    </row>
    <row r="34" spans="1:17" ht="10.5" customHeight="1">
      <c r="A34" s="334" t="s">
        <v>152</v>
      </c>
      <c r="B34" s="335">
        <v>2594</v>
      </c>
      <c r="C34" s="335">
        <v>3774</v>
      </c>
      <c r="D34" s="335">
        <v>3499</v>
      </c>
      <c r="E34" s="335">
        <v>3210</v>
      </c>
      <c r="F34" s="335">
        <v>3463</v>
      </c>
      <c r="G34" s="335">
        <v>3546</v>
      </c>
      <c r="H34" s="336">
        <v>3497.1021796315795</v>
      </c>
      <c r="I34" s="336">
        <v>3706.8240499999997</v>
      </c>
      <c r="J34" s="339">
        <v>4917.84</v>
      </c>
      <c r="K34" s="339">
        <v>5071.2659999999996</v>
      </c>
      <c r="L34" s="339">
        <v>5371.3050000000003</v>
      </c>
      <c r="N34" s="339"/>
      <c r="O34" s="339"/>
      <c r="P34" s="339"/>
      <c r="Q34" s="339"/>
    </row>
    <row r="35" spans="1:17" ht="10.5" customHeight="1">
      <c r="A35" s="334" t="s">
        <v>113</v>
      </c>
      <c r="B35" s="358">
        <v>1717</v>
      </c>
      <c r="C35" s="335">
        <v>1614</v>
      </c>
      <c r="D35" s="335">
        <v>1828</v>
      </c>
      <c r="E35" s="335">
        <v>1769</v>
      </c>
      <c r="F35" s="335">
        <v>1950</v>
      </c>
      <c r="G35" s="335">
        <v>2398</v>
      </c>
      <c r="H35" s="359">
        <v>1942.0434772657059</v>
      </c>
      <c r="I35" s="359">
        <v>1881.387371478356</v>
      </c>
      <c r="J35" s="338">
        <v>1798.3498044891694</v>
      </c>
      <c r="K35" s="338">
        <v>1863.4191446533296</v>
      </c>
      <c r="L35" s="339">
        <v>1736.0188054112691</v>
      </c>
      <c r="N35" s="339"/>
      <c r="O35" s="339"/>
      <c r="P35" s="339"/>
      <c r="Q35" s="339"/>
    </row>
    <row r="36" spans="1:17" s="361" customFormat="1" ht="10.5" customHeight="1">
      <c r="A36" s="329" t="s">
        <v>52</v>
      </c>
      <c r="B36" s="360">
        <v>27957</v>
      </c>
      <c r="C36" s="352">
        <v>28298</v>
      </c>
      <c r="D36" s="352">
        <v>29649</v>
      </c>
      <c r="E36" s="352">
        <v>30902</v>
      </c>
      <c r="F36" s="352">
        <v>29980</v>
      </c>
      <c r="G36" s="352">
        <v>29862</v>
      </c>
      <c r="H36" s="359">
        <v>30727.769540000001</v>
      </c>
      <c r="I36" s="359">
        <v>27674.096887604406</v>
      </c>
      <c r="J36" s="356">
        <v>27410.40361586582</v>
      </c>
      <c r="K36" s="356">
        <v>26469.290502553951</v>
      </c>
      <c r="L36" s="357">
        <v>27425.373767889629</v>
      </c>
      <c r="N36" s="357"/>
      <c r="O36" s="356"/>
      <c r="P36" s="356"/>
      <c r="Q36" s="357"/>
    </row>
    <row r="37" spans="1:17" ht="10.5" customHeight="1">
      <c r="A37" s="362" t="s">
        <v>153</v>
      </c>
      <c r="B37" s="363">
        <v>315678</v>
      </c>
      <c r="C37" s="363">
        <v>322744</v>
      </c>
      <c r="D37" s="363">
        <v>329420</v>
      </c>
      <c r="E37" s="363">
        <v>332721</v>
      </c>
      <c r="F37" s="363">
        <v>333401</v>
      </c>
      <c r="G37" s="363">
        <v>336218</v>
      </c>
      <c r="H37" s="364">
        <v>338948.75859558518</v>
      </c>
      <c r="I37" s="364">
        <v>346474.66426368686</v>
      </c>
      <c r="J37" s="365">
        <v>344297.66688198101</v>
      </c>
      <c r="K37" s="365">
        <v>341364.11946033273</v>
      </c>
      <c r="L37" s="364">
        <v>341561.45700125524</v>
      </c>
      <c r="N37" s="339"/>
      <c r="O37" s="339"/>
      <c r="P37" s="339"/>
      <c r="Q37" s="339"/>
    </row>
    <row r="38" spans="1:17" ht="10.5" customHeight="1">
      <c r="A38" s="329" t="s">
        <v>39</v>
      </c>
      <c r="B38" s="352">
        <v>107177</v>
      </c>
      <c r="C38" s="352">
        <v>110978</v>
      </c>
      <c r="D38" s="352">
        <v>114112</v>
      </c>
      <c r="E38" s="352">
        <v>111337</v>
      </c>
      <c r="F38" s="352">
        <v>112648</v>
      </c>
      <c r="G38" s="352">
        <v>113358</v>
      </c>
      <c r="H38" s="359">
        <v>115841.51833333072</v>
      </c>
      <c r="I38" s="359">
        <v>120524.0726028827</v>
      </c>
      <c r="J38" s="366">
        <v>117918.29797803715</v>
      </c>
      <c r="K38" s="366">
        <v>117007.12613076654</v>
      </c>
      <c r="L38" s="359">
        <v>113557.62327594195</v>
      </c>
      <c r="N38" s="339"/>
      <c r="O38" s="338"/>
      <c r="P38" s="339"/>
      <c r="Q38" s="339"/>
    </row>
    <row r="39" spans="1:17" ht="10.5" customHeight="1">
      <c r="A39" s="334" t="s">
        <v>154</v>
      </c>
      <c r="B39" s="335">
        <v>0</v>
      </c>
      <c r="C39" s="335">
        <v>0</v>
      </c>
      <c r="D39" s="335" t="s">
        <v>432</v>
      </c>
      <c r="E39" s="335" t="s">
        <v>432</v>
      </c>
      <c r="F39" s="335" t="s">
        <v>432</v>
      </c>
      <c r="G39" s="335">
        <v>0</v>
      </c>
      <c r="H39" s="336">
        <v>0</v>
      </c>
      <c r="I39" s="336">
        <v>0</v>
      </c>
      <c r="J39" s="336">
        <v>0</v>
      </c>
      <c r="K39" s="339">
        <v>0</v>
      </c>
      <c r="L39" s="339">
        <v>0</v>
      </c>
      <c r="N39" s="338"/>
      <c r="O39" s="338"/>
      <c r="P39" s="339"/>
      <c r="Q39" s="339"/>
    </row>
    <row r="40" spans="1:17" ht="10.5" customHeight="1">
      <c r="A40" s="334" t="s">
        <v>155</v>
      </c>
      <c r="B40" s="335">
        <v>9571</v>
      </c>
      <c r="C40" s="335">
        <v>9779</v>
      </c>
      <c r="D40" s="335">
        <v>6349</v>
      </c>
      <c r="E40" s="335">
        <v>5303</v>
      </c>
      <c r="F40" s="335">
        <v>5092</v>
      </c>
      <c r="G40" s="335">
        <v>5434</v>
      </c>
      <c r="H40" s="336">
        <v>5412.0479423420047</v>
      </c>
      <c r="I40" s="336">
        <v>5019.622590539966</v>
      </c>
      <c r="J40" s="339">
        <v>5860.2420852934556</v>
      </c>
      <c r="K40" s="339">
        <v>4923.6735106492706</v>
      </c>
      <c r="L40" s="339">
        <v>4868.0210075868335</v>
      </c>
      <c r="N40" s="338"/>
      <c r="O40" s="339"/>
      <c r="P40" s="339"/>
      <c r="Q40" s="339"/>
    </row>
    <row r="41" spans="1:17" ht="10.5" customHeight="1">
      <c r="A41" s="334" t="s">
        <v>156</v>
      </c>
      <c r="B41" s="335">
        <v>5698</v>
      </c>
      <c r="C41" s="335">
        <v>5895</v>
      </c>
      <c r="D41" s="335">
        <v>6152</v>
      </c>
      <c r="E41" s="335">
        <v>7324</v>
      </c>
      <c r="F41" s="335">
        <v>6365</v>
      </c>
      <c r="G41" s="335">
        <v>7284</v>
      </c>
      <c r="H41" s="336">
        <v>7518.0129340335834</v>
      </c>
      <c r="I41" s="336">
        <v>7693.0510171705882</v>
      </c>
      <c r="J41" s="338">
        <v>7523.8348850992461</v>
      </c>
      <c r="K41" s="338">
        <v>7330.5836262747762</v>
      </c>
      <c r="L41" s="339">
        <v>7079.4689879354692</v>
      </c>
      <c r="N41" s="339"/>
      <c r="O41" s="339"/>
      <c r="P41" s="339"/>
      <c r="Q41" s="339"/>
    </row>
    <row r="42" spans="1:17" ht="10.5" customHeight="1">
      <c r="A42" s="334" t="s">
        <v>157</v>
      </c>
      <c r="B42" s="335">
        <v>7142</v>
      </c>
      <c r="C42" s="335">
        <v>7265</v>
      </c>
      <c r="D42" s="335">
        <v>8109</v>
      </c>
      <c r="E42" s="335">
        <v>7247</v>
      </c>
      <c r="F42" s="335">
        <v>7115</v>
      </c>
      <c r="G42" s="335">
        <v>7651</v>
      </c>
      <c r="H42" s="336">
        <v>7834.5353341131186</v>
      </c>
      <c r="I42" s="336">
        <v>7977.6247512643986</v>
      </c>
      <c r="J42" s="338">
        <v>7968.7229003946713</v>
      </c>
      <c r="K42" s="338">
        <v>7859.4184101510145</v>
      </c>
      <c r="L42" s="339">
        <v>7756.3785328030781</v>
      </c>
      <c r="N42" s="339"/>
      <c r="O42" s="339"/>
      <c r="P42" s="339"/>
      <c r="Q42" s="339"/>
    </row>
    <row r="43" spans="1:17" ht="10.5" customHeight="1">
      <c r="A43" s="334" t="s">
        <v>158</v>
      </c>
      <c r="B43" s="335">
        <v>20916</v>
      </c>
      <c r="C43" s="335">
        <v>21677</v>
      </c>
      <c r="D43" s="335">
        <v>23732</v>
      </c>
      <c r="E43" s="335">
        <v>21079</v>
      </c>
      <c r="F43" s="335">
        <v>22861</v>
      </c>
      <c r="G43" s="335">
        <v>20941</v>
      </c>
      <c r="H43" s="336">
        <v>21128.320448373099</v>
      </c>
      <c r="I43" s="336">
        <v>24125.229969791355</v>
      </c>
      <c r="J43" s="338">
        <v>22391.375908980175</v>
      </c>
      <c r="K43" s="338">
        <v>22199.50560292201</v>
      </c>
      <c r="L43" s="339">
        <v>21146.720296964988</v>
      </c>
      <c r="N43" s="339"/>
      <c r="O43" s="339"/>
      <c r="P43" s="339"/>
      <c r="Q43" s="339"/>
    </row>
    <row r="44" spans="1:17" ht="10.5" customHeight="1">
      <c r="A44" s="334" t="s">
        <v>239</v>
      </c>
      <c r="B44" s="335">
        <v>8520</v>
      </c>
      <c r="C44" s="335">
        <v>8824</v>
      </c>
      <c r="D44" s="335">
        <v>9420</v>
      </c>
      <c r="E44" s="335">
        <v>8569</v>
      </c>
      <c r="F44" s="335">
        <v>8794</v>
      </c>
      <c r="G44" s="335">
        <v>8839</v>
      </c>
      <c r="H44" s="336">
        <v>8509.6392729342479</v>
      </c>
      <c r="I44" s="336">
        <v>8632.7489587273994</v>
      </c>
      <c r="J44" s="338">
        <v>8490.4845424391733</v>
      </c>
      <c r="K44" s="338">
        <v>8518.0652019653517</v>
      </c>
      <c r="L44" s="339">
        <v>8283.4328588109656</v>
      </c>
      <c r="N44" s="339"/>
      <c r="O44" s="338"/>
      <c r="P44" s="338"/>
      <c r="Q44" s="339"/>
    </row>
    <row r="45" spans="1:17" ht="10.5" customHeight="1">
      <c r="A45" s="334" t="s">
        <v>240</v>
      </c>
      <c r="B45" s="335">
        <v>5996</v>
      </c>
      <c r="C45" s="335">
        <v>6006</v>
      </c>
      <c r="D45" s="335">
        <v>6196</v>
      </c>
      <c r="E45" s="335">
        <v>5697</v>
      </c>
      <c r="F45" s="335">
        <v>5880</v>
      </c>
      <c r="G45" s="335">
        <v>6019</v>
      </c>
      <c r="H45" s="336">
        <v>6809.3358722046187</v>
      </c>
      <c r="I45" s="336">
        <v>7420.1981289612722</v>
      </c>
      <c r="J45" s="338">
        <v>7341.4828569845504</v>
      </c>
      <c r="K45" s="338">
        <v>7289.4327269801088</v>
      </c>
      <c r="L45" s="339">
        <v>6979.2264927893002</v>
      </c>
      <c r="N45" s="338"/>
      <c r="O45" s="339"/>
      <c r="P45" s="338"/>
      <c r="Q45" s="339"/>
    </row>
    <row r="46" spans="1:17" ht="10.5" customHeight="1">
      <c r="A46" s="334" t="s">
        <v>161</v>
      </c>
      <c r="B46" s="335">
        <v>5586</v>
      </c>
      <c r="C46" s="335">
        <v>5615</v>
      </c>
      <c r="D46" s="335">
        <v>6316</v>
      </c>
      <c r="E46" s="335">
        <v>5824</v>
      </c>
      <c r="F46" s="335">
        <v>5625</v>
      </c>
      <c r="G46" s="335">
        <v>5660</v>
      </c>
      <c r="H46" s="336">
        <v>5682.4651912204517</v>
      </c>
      <c r="I46" s="336">
        <v>5840.5845400835515</v>
      </c>
      <c r="J46" s="338">
        <v>5847.6023531338597</v>
      </c>
      <c r="K46" s="338">
        <v>5731.0286487550929</v>
      </c>
      <c r="L46" s="339">
        <v>5594.5087386077876</v>
      </c>
      <c r="N46" s="339"/>
      <c r="O46" s="338"/>
      <c r="P46" s="338"/>
      <c r="Q46" s="339"/>
    </row>
    <row r="47" spans="1:17" ht="10.5" customHeight="1">
      <c r="A47" s="334" t="s">
        <v>241</v>
      </c>
      <c r="B47" s="335">
        <v>11852</v>
      </c>
      <c r="C47" s="335">
        <v>12524</v>
      </c>
      <c r="D47" s="335">
        <v>11724</v>
      </c>
      <c r="E47" s="335">
        <v>11570</v>
      </c>
      <c r="F47" s="335">
        <v>12166</v>
      </c>
      <c r="G47" s="335">
        <v>11949</v>
      </c>
      <c r="H47" s="336">
        <v>12348.479856497714</v>
      </c>
      <c r="I47" s="336">
        <v>12772.900738176895</v>
      </c>
      <c r="J47" s="338">
        <v>12317.49108804199</v>
      </c>
      <c r="K47" s="338">
        <v>12283.410094590781</v>
      </c>
      <c r="L47" s="339">
        <v>12224.071094329163</v>
      </c>
      <c r="N47" s="338"/>
      <c r="O47" s="339"/>
      <c r="P47" s="338"/>
      <c r="Q47" s="339"/>
    </row>
    <row r="48" spans="1:17" ht="10.5" customHeight="1">
      <c r="A48" s="334" t="s">
        <v>242</v>
      </c>
      <c r="B48" s="335">
        <v>3666</v>
      </c>
      <c r="C48" s="335">
        <v>3751</v>
      </c>
      <c r="D48" s="335">
        <v>3599</v>
      </c>
      <c r="E48" s="335">
        <v>3303</v>
      </c>
      <c r="F48" s="335">
        <v>3463</v>
      </c>
      <c r="G48" s="335">
        <v>3443</v>
      </c>
      <c r="H48" s="336">
        <v>3407.3189197838924</v>
      </c>
      <c r="I48" s="336">
        <v>3392.9221760377268</v>
      </c>
      <c r="J48" s="339">
        <v>3381.9049531484989</v>
      </c>
      <c r="K48" s="339">
        <v>3349.4086136065312</v>
      </c>
      <c r="L48" s="339">
        <v>3183.7444043000105</v>
      </c>
      <c r="N48" s="339"/>
      <c r="O48" s="339"/>
      <c r="P48" s="338"/>
      <c r="Q48" s="339"/>
    </row>
    <row r="49" spans="1:17" ht="10.5" customHeight="1">
      <c r="A49" s="334" t="s">
        <v>243</v>
      </c>
      <c r="B49" s="335">
        <v>10684</v>
      </c>
      <c r="C49" s="335">
        <v>10989</v>
      </c>
      <c r="D49" s="335">
        <v>11416</v>
      </c>
      <c r="E49" s="335">
        <v>11511</v>
      </c>
      <c r="F49" s="335">
        <v>11988</v>
      </c>
      <c r="G49" s="335">
        <v>12750</v>
      </c>
      <c r="H49" s="336">
        <v>13670.960109294876</v>
      </c>
      <c r="I49" s="336">
        <v>13724.905195023706</v>
      </c>
      <c r="J49" s="338">
        <v>13406.161825213951</v>
      </c>
      <c r="K49" s="338">
        <v>13356.076571372963</v>
      </c>
      <c r="L49" s="339">
        <v>13219.536668303863</v>
      </c>
      <c r="N49" s="339"/>
      <c r="O49" s="339"/>
      <c r="P49" s="339"/>
      <c r="Q49" s="339"/>
    </row>
    <row r="50" spans="1:17" ht="10.5" customHeight="1">
      <c r="A50" s="334" t="s">
        <v>165</v>
      </c>
      <c r="B50" s="335">
        <v>16012</v>
      </c>
      <c r="C50" s="335">
        <v>17125</v>
      </c>
      <c r="D50" s="335">
        <v>19514</v>
      </c>
      <c r="E50" s="335">
        <v>22213</v>
      </c>
      <c r="F50" s="335">
        <v>21599</v>
      </c>
      <c r="G50" s="335">
        <v>21686</v>
      </c>
      <c r="H50" s="336">
        <v>21716.023784332941</v>
      </c>
      <c r="I50" s="336">
        <v>21995.290247903973</v>
      </c>
      <c r="J50" s="338">
        <v>21749.292017854783</v>
      </c>
      <c r="K50" s="338">
        <v>22568.014350701702</v>
      </c>
      <c r="L50" s="339">
        <v>21717.34893084181</v>
      </c>
      <c r="N50" s="339"/>
      <c r="O50" s="338"/>
      <c r="P50" s="338"/>
      <c r="Q50" s="339"/>
    </row>
    <row r="51" spans="1:17" ht="10.5" customHeight="1">
      <c r="A51" s="334" t="s">
        <v>166</v>
      </c>
      <c r="B51" s="335">
        <v>1534</v>
      </c>
      <c r="C51" s="335">
        <v>1528</v>
      </c>
      <c r="D51" s="335">
        <v>1586</v>
      </c>
      <c r="E51" s="335">
        <v>1698</v>
      </c>
      <c r="F51" s="335">
        <v>1700</v>
      </c>
      <c r="G51" s="335">
        <v>1701</v>
      </c>
      <c r="H51" s="336">
        <v>1804.3786682001769</v>
      </c>
      <c r="I51" s="336">
        <v>1928.9942892018773</v>
      </c>
      <c r="J51" s="339">
        <v>1639.702561452817</v>
      </c>
      <c r="K51" s="339">
        <v>1598.5087727969405</v>
      </c>
      <c r="L51" s="339">
        <v>1505.1652626686828</v>
      </c>
      <c r="N51" s="338"/>
      <c r="O51" s="338"/>
      <c r="P51" s="338"/>
      <c r="Q51" s="339"/>
    </row>
    <row r="52" spans="1:17" s="361" customFormat="1" ht="10.5" customHeight="1">
      <c r="A52" s="329" t="s">
        <v>244</v>
      </c>
      <c r="B52" s="352">
        <v>8511</v>
      </c>
      <c r="C52" s="352">
        <v>8579</v>
      </c>
      <c r="D52" s="352">
        <v>8623</v>
      </c>
      <c r="E52" s="352">
        <v>8828</v>
      </c>
      <c r="F52" s="352">
        <v>8454</v>
      </c>
      <c r="G52" s="352">
        <v>8212</v>
      </c>
      <c r="H52" s="359">
        <v>8462.8548305909935</v>
      </c>
      <c r="I52" s="359">
        <v>8816.0524606569907</v>
      </c>
      <c r="J52" s="356">
        <v>8232.2698681467773</v>
      </c>
      <c r="K52" s="356">
        <v>8100.2794197444309</v>
      </c>
      <c r="L52" s="357">
        <v>8434.2653645828595</v>
      </c>
      <c r="N52" s="356"/>
      <c r="O52" s="357"/>
      <c r="P52" s="357"/>
      <c r="Q52" s="357"/>
    </row>
    <row r="53" spans="1:17" ht="10.5" customHeight="1">
      <c r="A53" s="334" t="s">
        <v>168</v>
      </c>
      <c r="B53" s="335">
        <v>0</v>
      </c>
      <c r="C53" s="335">
        <v>0</v>
      </c>
      <c r="D53" s="335" t="s">
        <v>432</v>
      </c>
      <c r="E53" s="335" t="s">
        <v>432</v>
      </c>
      <c r="F53" s="335" t="s">
        <v>432</v>
      </c>
      <c r="G53" s="335">
        <v>0</v>
      </c>
      <c r="H53" s="336">
        <v>0</v>
      </c>
      <c r="I53" s="336">
        <v>0</v>
      </c>
      <c r="J53" s="339">
        <v>0</v>
      </c>
      <c r="K53" s="339">
        <v>0</v>
      </c>
      <c r="L53" s="339">
        <v>0</v>
      </c>
      <c r="N53" s="339"/>
      <c r="O53" s="338"/>
      <c r="P53" s="338"/>
      <c r="Q53" s="339"/>
    </row>
    <row r="54" spans="1:17" ht="10.5" customHeight="1">
      <c r="A54" s="334" t="s">
        <v>437</v>
      </c>
      <c r="B54" s="335">
        <v>2700</v>
      </c>
      <c r="C54" s="335">
        <v>2700</v>
      </c>
      <c r="D54" s="358">
        <v>2700</v>
      </c>
      <c r="E54" s="358">
        <v>2700</v>
      </c>
      <c r="F54" s="358">
        <v>2700</v>
      </c>
      <c r="G54" s="358">
        <v>2700</v>
      </c>
      <c r="H54" s="339">
        <v>2750</v>
      </c>
      <c r="I54" s="339">
        <v>2800</v>
      </c>
      <c r="J54" s="339">
        <v>2900</v>
      </c>
      <c r="K54" s="339">
        <v>2900</v>
      </c>
      <c r="L54" s="339">
        <v>2900</v>
      </c>
      <c r="N54" s="338"/>
      <c r="O54" s="339"/>
      <c r="P54" s="339"/>
      <c r="Q54" s="339"/>
    </row>
    <row r="55" spans="1:17" ht="10.5" customHeight="1">
      <c r="A55" s="334" t="s">
        <v>23</v>
      </c>
      <c r="B55" s="335">
        <v>0</v>
      </c>
      <c r="C55" s="335">
        <v>0</v>
      </c>
      <c r="D55" s="335" t="s">
        <v>432</v>
      </c>
      <c r="E55" s="335" t="s">
        <v>432</v>
      </c>
      <c r="F55" s="335" t="s">
        <v>432</v>
      </c>
      <c r="G55" s="335">
        <v>0</v>
      </c>
      <c r="H55" s="336">
        <v>0</v>
      </c>
      <c r="I55" s="336">
        <v>0</v>
      </c>
      <c r="J55" s="336"/>
      <c r="K55" s="336"/>
      <c r="L55" s="336"/>
      <c r="N55" s="339"/>
      <c r="O55" s="339"/>
      <c r="P55" s="339"/>
      <c r="Q55" s="339"/>
    </row>
    <row r="56" spans="1:17" ht="10.5" customHeight="1">
      <c r="A56" s="334" t="s">
        <v>169</v>
      </c>
      <c r="B56" s="335">
        <v>0</v>
      </c>
      <c r="C56" s="335">
        <v>0</v>
      </c>
      <c r="D56" s="335" t="s">
        <v>432</v>
      </c>
      <c r="E56" s="335" t="s">
        <v>432</v>
      </c>
      <c r="F56" s="335" t="s">
        <v>432</v>
      </c>
      <c r="G56" s="335">
        <v>0</v>
      </c>
      <c r="H56" s="336">
        <v>0</v>
      </c>
      <c r="I56" s="336">
        <v>0</v>
      </c>
      <c r="J56" s="336">
        <v>0</v>
      </c>
      <c r="K56" s="336">
        <v>0</v>
      </c>
      <c r="L56" s="336">
        <v>0</v>
      </c>
      <c r="N56" s="339"/>
      <c r="O56" s="339"/>
      <c r="P56" s="339"/>
      <c r="Q56" s="339"/>
    </row>
    <row r="57" spans="1:17" ht="10.5" customHeight="1">
      <c r="A57" s="334" t="s">
        <v>170</v>
      </c>
      <c r="B57" s="335">
        <v>0</v>
      </c>
      <c r="C57" s="335">
        <v>0</v>
      </c>
      <c r="D57" s="335" t="s">
        <v>432</v>
      </c>
      <c r="E57" s="335" t="s">
        <v>432</v>
      </c>
      <c r="F57" s="335" t="s">
        <v>432</v>
      </c>
      <c r="G57" s="335">
        <v>0</v>
      </c>
      <c r="H57" s="336">
        <v>0</v>
      </c>
      <c r="I57" s="336">
        <v>0</v>
      </c>
      <c r="J57" s="336">
        <v>0</v>
      </c>
      <c r="K57" s="336">
        <v>0</v>
      </c>
      <c r="L57" s="336">
        <v>0</v>
      </c>
      <c r="N57" s="339"/>
      <c r="O57" s="339"/>
      <c r="P57" s="339"/>
      <c r="Q57" s="339"/>
    </row>
    <row r="58" spans="1:17" ht="10.5" customHeight="1">
      <c r="A58" s="329" t="s">
        <v>113</v>
      </c>
      <c r="B58" s="352">
        <v>199990</v>
      </c>
      <c r="C58" s="352">
        <v>203187</v>
      </c>
      <c r="D58" s="352">
        <v>206685</v>
      </c>
      <c r="E58" s="352">
        <v>212557</v>
      </c>
      <c r="F58" s="352">
        <v>212299</v>
      </c>
      <c r="G58" s="352">
        <v>214648</v>
      </c>
      <c r="H58" s="359">
        <v>214644.38543166345</v>
      </c>
      <c r="I58" s="359">
        <v>217134.53920014724</v>
      </c>
      <c r="J58" s="366">
        <v>218147.09903579712</v>
      </c>
      <c r="K58" s="356">
        <v>216256.71390982179</v>
      </c>
      <c r="L58" s="357">
        <v>219569.56836073045</v>
      </c>
      <c r="N58" s="339"/>
      <c r="O58" s="339"/>
      <c r="P58" s="339"/>
      <c r="Q58" s="339"/>
    </row>
    <row r="59" spans="1:17" ht="10.5" customHeight="1">
      <c r="A59" s="334" t="s">
        <v>38</v>
      </c>
      <c r="B59" s="335">
        <v>109410</v>
      </c>
      <c r="C59" s="335">
        <v>110308</v>
      </c>
      <c r="D59" s="335">
        <v>111842</v>
      </c>
      <c r="E59" s="335">
        <v>115337</v>
      </c>
      <c r="F59" s="335">
        <v>114534</v>
      </c>
      <c r="G59" s="335">
        <v>115761</v>
      </c>
      <c r="H59" s="336">
        <v>115526.46921370001</v>
      </c>
      <c r="I59" s="336">
        <v>116811.13800000001</v>
      </c>
      <c r="J59" s="339">
        <v>116449.34407919725</v>
      </c>
      <c r="K59" s="338">
        <v>115050.58481504503</v>
      </c>
      <c r="L59" s="339">
        <v>117840.56376318811</v>
      </c>
      <c r="N59" s="339"/>
      <c r="O59" s="338"/>
      <c r="P59" s="339"/>
      <c r="Q59" s="339"/>
    </row>
    <row r="60" spans="1:17" ht="10.5" customHeight="1">
      <c r="A60" s="334" t="s">
        <v>171</v>
      </c>
      <c r="B60" s="335">
        <v>21577</v>
      </c>
      <c r="C60" s="335">
        <v>21951</v>
      </c>
      <c r="D60" s="335">
        <v>20913</v>
      </c>
      <c r="E60" s="335">
        <v>21105</v>
      </c>
      <c r="F60" s="335">
        <v>20657</v>
      </c>
      <c r="G60" s="335">
        <v>20623</v>
      </c>
      <c r="H60" s="336">
        <v>20708.475621763446</v>
      </c>
      <c r="I60" s="336">
        <v>20877.873200147227</v>
      </c>
      <c r="J60" s="338">
        <v>22192.227093003883</v>
      </c>
      <c r="K60" s="338">
        <v>22346.706525398607</v>
      </c>
      <c r="L60" s="339">
        <v>22108.109904346249</v>
      </c>
      <c r="N60" s="338"/>
      <c r="O60" s="339"/>
      <c r="P60" s="338"/>
      <c r="Q60" s="339"/>
    </row>
    <row r="61" spans="1:17" ht="10.5" customHeight="1">
      <c r="A61" s="334" t="s">
        <v>47</v>
      </c>
      <c r="B61" s="335">
        <v>64952</v>
      </c>
      <c r="C61" s="335">
        <v>66748</v>
      </c>
      <c r="D61" s="335">
        <v>69571</v>
      </c>
      <c r="E61" s="335">
        <v>72014</v>
      </c>
      <c r="F61" s="335">
        <v>72963</v>
      </c>
      <c r="G61" s="335">
        <v>74238</v>
      </c>
      <c r="H61" s="336">
        <v>74215.490578199999</v>
      </c>
      <c r="I61" s="336">
        <v>75293.784999999989</v>
      </c>
      <c r="J61" s="339">
        <v>75375.651138594418</v>
      </c>
      <c r="K61" s="338">
        <v>74734.564003202337</v>
      </c>
      <c r="L61" s="339">
        <v>75554.036767056037</v>
      </c>
      <c r="N61" s="339"/>
      <c r="O61" s="338"/>
      <c r="P61" s="339"/>
      <c r="Q61" s="339"/>
    </row>
    <row r="62" spans="1:17" ht="10.5" customHeight="1">
      <c r="A62" s="334" t="s">
        <v>172</v>
      </c>
      <c r="B62" s="335">
        <v>4051</v>
      </c>
      <c r="C62" s="335">
        <v>4180</v>
      </c>
      <c r="D62" s="335">
        <v>4358</v>
      </c>
      <c r="E62" s="335">
        <v>4100</v>
      </c>
      <c r="F62" s="335">
        <v>4145</v>
      </c>
      <c r="G62" s="335">
        <v>4025</v>
      </c>
      <c r="H62" s="336">
        <v>4193.9500180000005</v>
      </c>
      <c r="I62" s="336">
        <v>4151.7429999999995</v>
      </c>
      <c r="J62" s="339">
        <v>4129.8767250015444</v>
      </c>
      <c r="K62" s="338">
        <v>4124.8585661758043</v>
      </c>
      <c r="L62" s="339">
        <v>4066.8579261400328</v>
      </c>
      <c r="N62" s="338"/>
      <c r="O62" s="339"/>
      <c r="P62" s="339"/>
      <c r="Q62" s="339"/>
    </row>
    <row r="63" spans="1:17" ht="10.5" customHeight="1">
      <c r="A63" s="334" t="s">
        <v>173</v>
      </c>
      <c r="B63" s="367">
        <v>0</v>
      </c>
      <c r="C63" s="367">
        <v>0</v>
      </c>
      <c r="D63" s="367" t="s">
        <v>432</v>
      </c>
      <c r="E63" s="367" t="s">
        <v>432</v>
      </c>
      <c r="F63" s="367" t="s">
        <v>432</v>
      </c>
      <c r="G63" s="367">
        <v>0</v>
      </c>
      <c r="H63" s="357">
        <v>0</v>
      </c>
      <c r="I63" s="357">
        <v>0</v>
      </c>
      <c r="J63" s="357">
        <v>0</v>
      </c>
      <c r="K63" s="336">
        <v>0</v>
      </c>
      <c r="L63" s="336">
        <v>0</v>
      </c>
      <c r="N63" s="339"/>
      <c r="O63" s="339"/>
      <c r="P63" s="339"/>
      <c r="Q63" s="339"/>
    </row>
    <row r="64" spans="1:17" ht="10.5" customHeight="1" thickBot="1">
      <c r="A64" s="368" t="s">
        <v>174</v>
      </c>
      <c r="B64" s="369">
        <v>0</v>
      </c>
      <c r="C64" s="369">
        <v>0</v>
      </c>
      <c r="D64" s="369">
        <v>0</v>
      </c>
      <c r="E64" s="369">
        <v>0</v>
      </c>
      <c r="F64" s="369">
        <v>0</v>
      </c>
      <c r="G64" s="369">
        <v>0</v>
      </c>
      <c r="H64" s="370">
        <v>0</v>
      </c>
      <c r="I64" s="370">
        <v>0</v>
      </c>
      <c r="J64" s="370">
        <v>0</v>
      </c>
      <c r="K64" s="370">
        <v>0</v>
      </c>
      <c r="L64" s="370"/>
      <c r="N64" s="339"/>
      <c r="O64" s="339"/>
      <c r="P64" s="339"/>
      <c r="Q64" s="339"/>
    </row>
    <row r="65" spans="1:17" ht="24.75" customHeight="1" thickTop="1">
      <c r="A65" s="371"/>
      <c r="B65" s="372"/>
      <c r="C65" s="367"/>
      <c r="D65" s="367"/>
      <c r="E65" s="320"/>
      <c r="F65" s="320"/>
      <c r="J65" s="320"/>
      <c r="N65" s="339"/>
      <c r="O65" s="339"/>
      <c r="P65" s="339"/>
      <c r="Q65" s="339"/>
    </row>
    <row r="66" spans="1:17" s="316" customFormat="1" ht="27.75" customHeight="1">
      <c r="A66" s="310" t="s">
        <v>438</v>
      </c>
      <c r="B66" s="312"/>
      <c r="C66" s="312"/>
      <c r="D66" s="312"/>
      <c r="E66" s="312"/>
      <c r="F66" s="312"/>
      <c r="G66" s="312"/>
      <c r="H66" s="312"/>
      <c r="I66" s="312"/>
      <c r="J66" s="320"/>
      <c r="N66" s="339"/>
      <c r="O66" s="339"/>
      <c r="P66" s="339"/>
      <c r="Q66" s="339"/>
    </row>
    <row r="67" spans="1:17" ht="18" customHeight="1">
      <c r="A67" s="317" t="s">
        <v>5</v>
      </c>
      <c r="B67" s="373"/>
      <c r="C67" s="320"/>
      <c r="D67" s="320"/>
      <c r="E67" s="320"/>
      <c r="F67" s="320"/>
      <c r="J67" s="320"/>
      <c r="N67" s="339"/>
      <c r="O67" s="339"/>
      <c r="P67" s="339"/>
      <c r="Q67" s="339"/>
    </row>
    <row r="68" spans="1:17" ht="14" thickBot="1">
      <c r="A68" s="374"/>
      <c r="B68" s="373"/>
      <c r="C68" s="373"/>
      <c r="D68" s="373"/>
      <c r="E68" s="372"/>
      <c r="F68" s="375"/>
      <c r="G68" s="375"/>
      <c r="I68" s="324"/>
      <c r="K68" s="324"/>
      <c r="L68" s="324" t="s">
        <v>372</v>
      </c>
      <c r="N68" s="339"/>
      <c r="O68" s="339"/>
      <c r="P68" s="339"/>
      <c r="Q68" s="339"/>
    </row>
    <row r="69" spans="1:17" ht="14" thickTop="1">
      <c r="A69" s="325"/>
      <c r="B69" s="376">
        <v>1998</v>
      </c>
      <c r="C69" s="376">
        <v>1999</v>
      </c>
      <c r="D69" s="376">
        <v>2000</v>
      </c>
      <c r="E69" s="376">
        <v>2001</v>
      </c>
      <c r="F69" s="376">
        <v>2002</v>
      </c>
      <c r="G69" s="376">
        <v>2003</v>
      </c>
      <c r="H69" s="376">
        <v>2004</v>
      </c>
      <c r="I69" s="376">
        <v>2005</v>
      </c>
      <c r="J69" s="376">
        <v>2006</v>
      </c>
      <c r="K69" s="376">
        <v>2007</v>
      </c>
      <c r="L69" s="376">
        <v>2008</v>
      </c>
      <c r="N69" s="339"/>
      <c r="O69" s="339"/>
      <c r="P69" s="339"/>
      <c r="Q69" s="339"/>
    </row>
    <row r="70" spans="1:17" ht="11" customHeight="1">
      <c r="A70" s="329" t="s">
        <v>439</v>
      </c>
      <c r="B70" s="377"/>
      <c r="C70" s="377"/>
      <c r="D70" s="377"/>
      <c r="E70" s="377"/>
      <c r="F70" s="377"/>
      <c r="G70" s="377"/>
      <c r="H70" s="377"/>
      <c r="I70" s="377"/>
      <c r="J70" s="377"/>
      <c r="N70" s="339"/>
      <c r="O70" s="339"/>
      <c r="P70" s="339"/>
      <c r="Q70" s="339"/>
    </row>
    <row r="71" spans="1:17" ht="11" customHeight="1">
      <c r="A71" s="378" t="s">
        <v>440</v>
      </c>
      <c r="B71" s="360">
        <v>361078</v>
      </c>
      <c r="C71" s="360">
        <v>365250</v>
      </c>
      <c r="D71" s="360">
        <v>374374</v>
      </c>
      <c r="E71" s="360">
        <v>382356</v>
      </c>
      <c r="F71" s="360">
        <v>384594</v>
      </c>
      <c r="G71" s="360">
        <v>395475.21458089259</v>
      </c>
      <c r="H71" s="379">
        <v>391218.68770954566</v>
      </c>
      <c r="I71" s="379">
        <v>395382.84676819755</v>
      </c>
      <c r="J71" s="380">
        <v>393439.74485443806</v>
      </c>
      <c r="K71" s="380">
        <v>393184.3387592379</v>
      </c>
      <c r="L71" s="379">
        <v>385560.22494830529</v>
      </c>
      <c r="N71" s="339"/>
      <c r="O71" s="339"/>
      <c r="P71" s="339"/>
      <c r="Q71" s="339"/>
    </row>
    <row r="72" spans="1:17" ht="11" customHeight="1">
      <c r="A72" s="329" t="s">
        <v>131</v>
      </c>
      <c r="B72" s="335"/>
      <c r="C72" s="335"/>
      <c r="D72" s="335"/>
      <c r="E72" s="335"/>
      <c r="F72" s="335"/>
      <c r="G72" s="335"/>
      <c r="H72" s="336"/>
      <c r="I72" s="336"/>
      <c r="J72" s="336"/>
      <c r="N72" s="339"/>
      <c r="O72" s="339"/>
      <c r="P72" s="339"/>
      <c r="Q72" s="339"/>
    </row>
    <row r="73" spans="1:17" ht="11" customHeight="1">
      <c r="A73" s="329" t="s">
        <v>441</v>
      </c>
      <c r="B73" s="352">
        <v>103723</v>
      </c>
      <c r="C73" s="352">
        <v>99564</v>
      </c>
      <c r="D73" s="352">
        <v>89394</v>
      </c>
      <c r="E73" s="352">
        <v>93307</v>
      </c>
      <c r="F73" s="352">
        <v>91776</v>
      </c>
      <c r="G73" s="352">
        <v>91253.964908959999</v>
      </c>
      <c r="H73" s="359">
        <v>83906.905642214726</v>
      </c>
      <c r="I73" s="359">
        <v>85444.00284311999</v>
      </c>
      <c r="J73" s="357">
        <v>79143.956190527242</v>
      </c>
      <c r="K73" s="356">
        <v>70740.758491935005</v>
      </c>
      <c r="L73" s="357">
        <v>62066.923510424007</v>
      </c>
      <c r="N73" s="339"/>
      <c r="O73" s="338"/>
      <c r="P73" s="338"/>
      <c r="Q73" s="339"/>
    </row>
    <row r="74" spans="1:17" ht="11" customHeight="1">
      <c r="A74" s="334" t="s">
        <v>442</v>
      </c>
      <c r="B74" s="335">
        <v>99486</v>
      </c>
      <c r="C74" s="335">
        <v>95133</v>
      </c>
      <c r="D74" s="335">
        <v>85063</v>
      </c>
      <c r="E74" s="335">
        <v>90093</v>
      </c>
      <c r="F74" s="335">
        <v>87848</v>
      </c>
      <c r="G74" s="335">
        <v>88686.265908960006</v>
      </c>
      <c r="H74" s="336">
        <v>79999.105642214723</v>
      </c>
      <c r="I74" s="336">
        <v>81618.102843119996</v>
      </c>
      <c r="J74" s="339">
        <v>75450.656932527243</v>
      </c>
      <c r="K74" s="339">
        <v>63028.342696935004</v>
      </c>
      <c r="L74" s="339">
        <v>52485.808334757006</v>
      </c>
      <c r="N74" s="339"/>
      <c r="O74" s="339"/>
      <c r="P74" s="339"/>
      <c r="Q74" s="339"/>
    </row>
    <row r="75" spans="1:17" ht="11" customHeight="1">
      <c r="A75" s="334" t="s">
        <v>443</v>
      </c>
      <c r="B75" s="335">
        <v>4237</v>
      </c>
      <c r="C75" s="335">
        <v>4431</v>
      </c>
      <c r="D75" s="335">
        <v>4331</v>
      </c>
      <c r="E75" s="335">
        <v>3215</v>
      </c>
      <c r="F75" s="335">
        <v>3927</v>
      </c>
      <c r="G75" s="335">
        <v>2523.4169999999999</v>
      </c>
      <c r="H75" s="336">
        <v>3772.9229999999998</v>
      </c>
      <c r="I75" s="336">
        <v>3636.5909999999999</v>
      </c>
      <c r="J75" s="339">
        <v>3481.4458</v>
      </c>
      <c r="K75" s="339">
        <v>3906.0243</v>
      </c>
      <c r="L75" s="339">
        <v>3970.6443829999994</v>
      </c>
      <c r="N75" s="339"/>
      <c r="O75" s="339"/>
      <c r="P75" s="338"/>
      <c r="Q75" s="339"/>
    </row>
    <row r="76" spans="1:17" ht="11" customHeight="1">
      <c r="A76" s="334" t="s">
        <v>444</v>
      </c>
      <c r="B76" s="335" t="s">
        <v>263</v>
      </c>
      <c r="C76" s="335" t="s">
        <v>263</v>
      </c>
      <c r="D76" s="335" t="s">
        <v>263</v>
      </c>
      <c r="E76" s="335" t="s">
        <v>263</v>
      </c>
      <c r="F76" s="335" t="s">
        <v>445</v>
      </c>
      <c r="G76" s="335">
        <v>44.281999999999996</v>
      </c>
      <c r="H76" s="336">
        <v>134.87700000000001</v>
      </c>
      <c r="I76" s="336">
        <v>189.309</v>
      </c>
      <c r="J76" s="339">
        <v>211.85345800000002</v>
      </c>
      <c r="K76" s="339">
        <v>237.55471</v>
      </c>
      <c r="L76" s="339">
        <v>253.16842419999998</v>
      </c>
      <c r="N76" s="339"/>
      <c r="O76" s="339"/>
      <c r="P76" s="339"/>
      <c r="Q76" s="339"/>
    </row>
    <row r="77" spans="1:17" ht="11" customHeight="1">
      <c r="A77" s="334" t="s">
        <v>446</v>
      </c>
      <c r="B77" s="335">
        <v>0</v>
      </c>
      <c r="C77" s="335">
        <v>0</v>
      </c>
      <c r="D77" s="335">
        <v>0</v>
      </c>
      <c r="E77" s="335">
        <v>0</v>
      </c>
      <c r="F77" s="335">
        <v>0</v>
      </c>
      <c r="G77" s="335">
        <v>0</v>
      </c>
      <c r="H77" s="336">
        <v>0</v>
      </c>
      <c r="I77" s="336">
        <v>0</v>
      </c>
      <c r="J77" s="339">
        <v>0</v>
      </c>
      <c r="K77" s="338">
        <v>3568.836785</v>
      </c>
      <c r="L77" s="339">
        <v>5357.3023684669988</v>
      </c>
      <c r="N77" s="339"/>
      <c r="O77" s="339"/>
      <c r="P77" s="339"/>
      <c r="Q77" s="339"/>
    </row>
    <row r="78" spans="1:17" ht="11" customHeight="1">
      <c r="A78" s="351" t="s">
        <v>447</v>
      </c>
      <c r="B78" s="353">
        <v>1757</v>
      </c>
      <c r="C78" s="353">
        <v>1756</v>
      </c>
      <c r="D78" s="353">
        <v>1701</v>
      </c>
      <c r="E78" s="353">
        <v>1805</v>
      </c>
      <c r="F78" s="353">
        <v>2119</v>
      </c>
      <c r="G78" s="353">
        <v>1948.26424288</v>
      </c>
      <c r="H78" s="354">
        <v>2875.3148679999999</v>
      </c>
      <c r="I78" s="354">
        <v>4007.6876100000009</v>
      </c>
      <c r="J78" s="354">
        <v>5135.6080887905991</v>
      </c>
      <c r="K78" s="355">
        <v>2663.8500299999996</v>
      </c>
      <c r="L78" s="354">
        <v>2700.9290995199999</v>
      </c>
      <c r="N78" s="339"/>
      <c r="O78" s="339"/>
      <c r="P78" s="339"/>
      <c r="Q78" s="339"/>
    </row>
    <row r="79" spans="1:17" ht="11" customHeight="1">
      <c r="A79" s="334" t="s">
        <v>442</v>
      </c>
      <c r="B79" s="335">
        <v>0</v>
      </c>
      <c r="C79" s="335">
        <v>0</v>
      </c>
      <c r="D79" s="335">
        <v>0</v>
      </c>
      <c r="E79" s="335">
        <v>0</v>
      </c>
      <c r="F79" s="335">
        <v>0</v>
      </c>
      <c r="G79" s="335">
        <v>0</v>
      </c>
      <c r="H79" s="336">
        <v>0</v>
      </c>
      <c r="I79" s="336">
        <v>0</v>
      </c>
      <c r="J79" s="336">
        <v>0</v>
      </c>
      <c r="K79" s="336">
        <v>0</v>
      </c>
      <c r="L79" s="336">
        <v>0</v>
      </c>
      <c r="N79" s="339"/>
      <c r="O79" s="339"/>
      <c r="P79" s="339"/>
      <c r="Q79" s="339"/>
    </row>
    <row r="80" spans="1:17" ht="11" customHeight="1">
      <c r="A80" s="334" t="s">
        <v>448</v>
      </c>
      <c r="B80" s="335">
        <v>674</v>
      </c>
      <c r="C80" s="335">
        <v>698</v>
      </c>
      <c r="D80" s="335">
        <v>540</v>
      </c>
      <c r="E80" s="335">
        <v>630</v>
      </c>
      <c r="F80" s="335">
        <v>657</v>
      </c>
      <c r="G80" s="335">
        <v>561.26700000000005</v>
      </c>
      <c r="H80" s="336">
        <v>788.37699999999995</v>
      </c>
      <c r="I80" s="336">
        <v>841.1</v>
      </c>
      <c r="J80" s="336">
        <v>634.10599999999999</v>
      </c>
      <c r="K80" s="336">
        <v>647.96900000000005</v>
      </c>
      <c r="L80" s="336">
        <v>629.29</v>
      </c>
      <c r="N80" s="339"/>
      <c r="O80" s="339"/>
      <c r="P80" s="339"/>
      <c r="Q80" s="339"/>
    </row>
    <row r="81" spans="1:17" ht="11" customHeight="1">
      <c r="A81" s="334" t="s">
        <v>444</v>
      </c>
      <c r="B81" s="335">
        <v>206</v>
      </c>
      <c r="C81" s="335">
        <v>207</v>
      </c>
      <c r="D81" s="335">
        <v>214</v>
      </c>
      <c r="E81" s="335">
        <v>210</v>
      </c>
      <c r="F81" s="335" t="s">
        <v>449</v>
      </c>
      <c r="G81" s="335">
        <v>98.703000000000003</v>
      </c>
      <c r="H81" s="336">
        <v>147.82300000000001</v>
      </c>
      <c r="I81" s="336">
        <v>254.49100000000001</v>
      </c>
      <c r="J81" s="336">
        <v>265.74948839059988</v>
      </c>
      <c r="K81" s="336">
        <v>296.84633000000002</v>
      </c>
      <c r="L81" s="336">
        <v>314.6890995199999</v>
      </c>
      <c r="N81" s="339"/>
      <c r="O81" s="339"/>
      <c r="P81" s="339"/>
      <c r="Q81" s="339"/>
    </row>
    <row r="82" spans="1:17" ht="11" customHeight="1">
      <c r="A82" s="334" t="s">
        <v>450</v>
      </c>
      <c r="B82" s="335">
        <v>877</v>
      </c>
      <c r="C82" s="335">
        <v>851</v>
      </c>
      <c r="D82" s="335">
        <v>947</v>
      </c>
      <c r="E82" s="335">
        <v>965</v>
      </c>
      <c r="F82" s="335">
        <v>1259</v>
      </c>
      <c r="G82" s="335">
        <v>1288.29424288</v>
      </c>
      <c r="H82" s="336">
        <v>1939.1148680000001</v>
      </c>
      <c r="I82" s="336">
        <v>2912.0966100000005</v>
      </c>
      <c r="J82" s="336">
        <v>4235.7526003999992</v>
      </c>
      <c r="K82" s="337">
        <v>1719.0346999999992</v>
      </c>
      <c r="L82" s="336">
        <v>1756.95</v>
      </c>
      <c r="N82" s="339"/>
      <c r="O82" s="339"/>
      <c r="P82" s="339"/>
      <c r="Q82" s="339"/>
    </row>
    <row r="83" spans="1:17" ht="11" customHeight="1">
      <c r="A83" s="351" t="s">
        <v>451</v>
      </c>
      <c r="B83" s="353"/>
      <c r="C83" s="353"/>
      <c r="D83" s="353"/>
      <c r="E83" s="353"/>
      <c r="F83" s="353"/>
      <c r="G83" s="353"/>
      <c r="H83" s="354"/>
      <c r="I83" s="354"/>
      <c r="J83" s="354"/>
      <c r="K83" s="381"/>
      <c r="L83" s="381"/>
      <c r="N83" s="339"/>
      <c r="O83" s="339"/>
      <c r="P83" s="339"/>
      <c r="Q83" s="339"/>
    </row>
    <row r="84" spans="1:17" ht="11" customHeight="1">
      <c r="A84" s="329" t="s">
        <v>441</v>
      </c>
      <c r="B84" s="352">
        <v>228417</v>
      </c>
      <c r="C84" s="352">
        <v>234142</v>
      </c>
      <c r="D84" s="352">
        <v>249695</v>
      </c>
      <c r="E84" s="352">
        <v>257328</v>
      </c>
      <c r="F84" s="352">
        <v>259566</v>
      </c>
      <c r="G84" s="352">
        <v>268612.48844193254</v>
      </c>
      <c r="H84" s="359">
        <v>271757.74328143988</v>
      </c>
      <c r="I84" s="359">
        <v>273838.37128507759</v>
      </c>
      <c r="J84" s="366">
        <v>278235.50677552022</v>
      </c>
      <c r="K84" s="366">
        <v>286810.01516630291</v>
      </c>
      <c r="L84" s="359">
        <v>289128.37003453728</v>
      </c>
      <c r="N84" s="339"/>
      <c r="O84" s="339"/>
      <c r="P84" s="339"/>
      <c r="Q84" s="339"/>
    </row>
    <row r="85" spans="1:17" ht="11" customHeight="1">
      <c r="A85" s="334" t="s">
        <v>452</v>
      </c>
      <c r="B85" s="335">
        <v>118595</v>
      </c>
      <c r="C85" s="335">
        <v>102074</v>
      </c>
      <c r="D85" s="335">
        <v>117025</v>
      </c>
      <c r="E85" s="335">
        <v>127128</v>
      </c>
      <c r="F85" s="335">
        <v>120958</v>
      </c>
      <c r="G85" s="335">
        <v>134023.27733377001</v>
      </c>
      <c r="H85" s="336">
        <v>127826.56739997381</v>
      </c>
      <c r="I85" s="336">
        <v>130894.12502656282</v>
      </c>
      <c r="J85" s="337">
        <v>145311.14019007739</v>
      </c>
      <c r="K85" s="337">
        <v>132675.3202097828</v>
      </c>
      <c r="L85" s="336">
        <v>121251.34408201941</v>
      </c>
      <c r="N85" s="339"/>
      <c r="O85" s="339"/>
      <c r="P85" s="339"/>
      <c r="Q85" s="339"/>
    </row>
    <row r="86" spans="1:17" ht="11" customHeight="1">
      <c r="A86" s="334" t="s">
        <v>453</v>
      </c>
      <c r="B86" s="335">
        <v>3442</v>
      </c>
      <c r="C86" s="335">
        <v>2943</v>
      </c>
      <c r="D86" s="335">
        <v>2415</v>
      </c>
      <c r="E86" s="335">
        <v>2472</v>
      </c>
      <c r="F86" s="335">
        <v>2011</v>
      </c>
      <c r="G86" s="335">
        <v>2197.1121243455473</v>
      </c>
      <c r="H86" s="336">
        <v>1882.7795449292664</v>
      </c>
      <c r="I86" s="336">
        <v>2715.9101354587806</v>
      </c>
      <c r="J86" s="337">
        <v>3358.643967753716</v>
      </c>
      <c r="K86" s="337">
        <v>2400.7626921524643</v>
      </c>
      <c r="L86" s="336">
        <v>3666.9736194967227</v>
      </c>
      <c r="N86" s="339"/>
      <c r="O86" s="339"/>
      <c r="P86" s="339"/>
      <c r="Q86" s="339"/>
    </row>
    <row r="87" spans="1:17" ht="11" customHeight="1">
      <c r="A87" s="334" t="s">
        <v>454</v>
      </c>
      <c r="B87" s="335">
        <v>105804</v>
      </c>
      <c r="C87" s="335">
        <v>128365</v>
      </c>
      <c r="D87" s="335">
        <v>129558</v>
      </c>
      <c r="E87" s="335">
        <v>126999</v>
      </c>
      <c r="F87" s="335">
        <v>135741</v>
      </c>
      <c r="G87" s="335">
        <v>131237.87312454908</v>
      </c>
      <c r="H87" s="336">
        <v>140576.96700778682</v>
      </c>
      <c r="I87" s="336">
        <v>137482.74212305597</v>
      </c>
      <c r="J87" s="336">
        <v>126637.23964240288</v>
      </c>
      <c r="K87" s="336">
        <v>149345.94597440778</v>
      </c>
      <c r="L87" s="336">
        <v>161578.75647814601</v>
      </c>
      <c r="N87" s="339"/>
      <c r="O87" s="339"/>
      <c r="P87" s="339"/>
      <c r="Q87" s="339"/>
    </row>
    <row r="88" spans="1:17" ht="11" customHeight="1">
      <c r="A88" s="334" t="s">
        <v>455</v>
      </c>
      <c r="B88" s="335">
        <v>576</v>
      </c>
      <c r="C88" s="335">
        <v>760</v>
      </c>
      <c r="D88" s="335">
        <v>698</v>
      </c>
      <c r="E88" s="335">
        <v>729</v>
      </c>
      <c r="F88" s="335">
        <v>856</v>
      </c>
      <c r="G88" s="335">
        <v>1154.2258592679364</v>
      </c>
      <c r="H88" s="336">
        <v>1471.4293287500002</v>
      </c>
      <c r="I88" s="336">
        <v>2745.5940000000005</v>
      </c>
      <c r="J88" s="337">
        <v>2928.4829752862515</v>
      </c>
      <c r="K88" s="337">
        <v>2387.9862899598402</v>
      </c>
      <c r="L88" s="336">
        <v>2631.2958548751403</v>
      </c>
      <c r="N88" s="339"/>
      <c r="O88" s="339"/>
      <c r="P88" s="339"/>
      <c r="Q88" s="339"/>
    </row>
    <row r="89" spans="1:17" ht="11" customHeight="1">
      <c r="A89" s="334" t="s">
        <v>456</v>
      </c>
      <c r="B89" s="335">
        <v>0</v>
      </c>
      <c r="C89" s="335">
        <v>0</v>
      </c>
      <c r="D89" s="335">
        <v>0</v>
      </c>
      <c r="E89" s="335">
        <v>0</v>
      </c>
      <c r="F89" s="335">
        <v>0</v>
      </c>
      <c r="G89" s="335">
        <v>0</v>
      </c>
      <c r="H89" s="336">
        <v>0</v>
      </c>
      <c r="I89" s="336">
        <v>0</v>
      </c>
      <c r="J89" s="336">
        <v>0</v>
      </c>
      <c r="K89" s="336">
        <v>0</v>
      </c>
      <c r="L89" s="336">
        <v>0</v>
      </c>
      <c r="N89" s="339"/>
      <c r="O89" s="339"/>
      <c r="P89" s="339"/>
      <c r="Q89" s="339"/>
    </row>
    <row r="90" spans="1:17" ht="11" customHeight="1">
      <c r="A90" s="351" t="s">
        <v>447</v>
      </c>
      <c r="B90" s="353">
        <v>27181</v>
      </c>
      <c r="C90" s="353">
        <v>29788</v>
      </c>
      <c r="D90" s="353">
        <v>33584</v>
      </c>
      <c r="E90" s="353">
        <v>29915</v>
      </c>
      <c r="F90" s="353">
        <v>31133</v>
      </c>
      <c r="G90" s="353">
        <v>33660.496987120001</v>
      </c>
      <c r="H90" s="354">
        <v>32678.723917891028</v>
      </c>
      <c r="I90" s="354">
        <v>32092.785029999995</v>
      </c>
      <c r="J90" s="355">
        <v>30924.673799600012</v>
      </c>
      <c r="K90" s="355">
        <v>32969.715071000006</v>
      </c>
      <c r="L90" s="354">
        <v>31664.002303824</v>
      </c>
      <c r="N90" s="339"/>
      <c r="O90" s="339"/>
      <c r="P90" s="339"/>
      <c r="Q90" s="339"/>
    </row>
    <row r="91" spans="1:17" ht="11" customHeight="1">
      <c r="A91" s="334" t="s">
        <v>452</v>
      </c>
      <c r="B91" s="335">
        <v>4376</v>
      </c>
      <c r="C91" s="335">
        <v>4106</v>
      </c>
      <c r="D91" s="335">
        <v>2925</v>
      </c>
      <c r="E91" s="335">
        <v>4333</v>
      </c>
      <c r="F91" s="335">
        <v>3321</v>
      </c>
      <c r="G91" s="335">
        <v>4281.7669999999998</v>
      </c>
      <c r="H91" s="336">
        <v>3961.076</v>
      </c>
      <c r="I91" s="336">
        <v>3947.0029999999997</v>
      </c>
      <c r="J91" s="337">
        <v>3902.5950000000003</v>
      </c>
      <c r="K91" s="337">
        <v>3869.7619999999997</v>
      </c>
      <c r="L91" s="336">
        <v>4063.2869000000001</v>
      </c>
      <c r="N91" s="339"/>
      <c r="O91" s="339"/>
      <c r="P91" s="339"/>
      <c r="Q91" s="339"/>
    </row>
    <row r="92" spans="1:17" ht="11" customHeight="1">
      <c r="A92" s="334" t="s">
        <v>453</v>
      </c>
      <c r="B92" s="335">
        <v>3913</v>
      </c>
      <c r="C92" s="335">
        <v>3606</v>
      </c>
      <c r="D92" s="335">
        <v>4109</v>
      </c>
      <c r="E92" s="335">
        <v>2781</v>
      </c>
      <c r="F92" s="335">
        <v>2788</v>
      </c>
      <c r="G92" s="335">
        <v>2397.319676267377</v>
      </c>
      <c r="H92" s="336">
        <v>2761.3800951661628</v>
      </c>
      <c r="I92" s="336">
        <v>2416.9940900000001</v>
      </c>
      <c r="J92" s="337">
        <v>2450.3803648934645</v>
      </c>
      <c r="K92" s="337">
        <v>2331.1226537924636</v>
      </c>
      <c r="L92" s="336">
        <v>2434.0878562624562</v>
      </c>
      <c r="N92" s="339"/>
      <c r="O92" s="339"/>
      <c r="P92" s="339"/>
      <c r="Q92" s="339"/>
    </row>
    <row r="93" spans="1:17" ht="11" customHeight="1">
      <c r="A93" s="334" t="s">
        <v>454</v>
      </c>
      <c r="B93" s="335">
        <v>11994</v>
      </c>
      <c r="C93" s="335">
        <v>14537</v>
      </c>
      <c r="D93" s="335">
        <v>18519</v>
      </c>
      <c r="E93" s="335">
        <v>14906</v>
      </c>
      <c r="F93" s="335">
        <v>16536</v>
      </c>
      <c r="G93" s="335">
        <v>17643.475185891035</v>
      </c>
      <c r="H93" s="336">
        <v>16487.340785891032</v>
      </c>
      <c r="I93" s="336">
        <v>15159.249</v>
      </c>
      <c r="J93" s="337">
        <v>14190.624374695259</v>
      </c>
      <c r="K93" s="337">
        <v>16437.823011263517</v>
      </c>
      <c r="L93" s="336">
        <v>15170.196937211573</v>
      </c>
      <c r="N93" s="339"/>
      <c r="O93" s="339"/>
      <c r="P93" s="339"/>
      <c r="Q93" s="339"/>
    </row>
    <row r="94" spans="1:17" ht="11" customHeight="1">
      <c r="A94" s="334" t="s">
        <v>455</v>
      </c>
      <c r="B94" s="335">
        <v>2661</v>
      </c>
      <c r="C94" s="335">
        <v>3227</v>
      </c>
      <c r="D94" s="335">
        <v>3630</v>
      </c>
      <c r="E94" s="335">
        <v>4318</v>
      </c>
      <c r="F94" s="335">
        <v>4769</v>
      </c>
      <c r="G94" s="335">
        <v>5537.4619871200011</v>
      </c>
      <c r="H94" s="336">
        <v>6407.0661319999981</v>
      </c>
      <c r="I94" s="336">
        <v>6893.6605899999959</v>
      </c>
      <c r="J94" s="337">
        <v>7009.668099600005</v>
      </c>
      <c r="K94" s="337">
        <v>7588.9023000000025</v>
      </c>
      <c r="L94" s="336">
        <v>7703.5211838240002</v>
      </c>
      <c r="N94" s="339"/>
      <c r="O94" s="339"/>
      <c r="P94" s="339"/>
      <c r="Q94" s="339"/>
    </row>
    <row r="95" spans="1:17" ht="11" customHeight="1" thickBot="1">
      <c r="A95" s="334" t="s">
        <v>456</v>
      </c>
      <c r="B95" s="335">
        <v>4237</v>
      </c>
      <c r="C95" s="335">
        <v>4312</v>
      </c>
      <c r="D95" s="335">
        <v>4401</v>
      </c>
      <c r="E95" s="335">
        <v>3577</v>
      </c>
      <c r="F95" s="335">
        <v>3719</v>
      </c>
      <c r="G95" s="335">
        <v>3800.4731378415877</v>
      </c>
      <c r="H95" s="336">
        <v>3061.8609048338367</v>
      </c>
      <c r="I95" s="336">
        <v>3675.8783499999995</v>
      </c>
      <c r="J95" s="337">
        <v>3371.4059604112795</v>
      </c>
      <c r="K95" s="337">
        <v>2742.1051059440215</v>
      </c>
      <c r="L95" s="336">
        <v>2292.9094265259737</v>
      </c>
      <c r="N95" s="339"/>
      <c r="O95" s="339"/>
      <c r="P95" s="339"/>
      <c r="Q95" s="339"/>
    </row>
    <row r="96" spans="1:17" ht="11" customHeight="1" thickTop="1" thickBot="1">
      <c r="A96" s="382"/>
      <c r="B96" s="383"/>
      <c r="C96" s="383"/>
      <c r="D96" s="383"/>
      <c r="E96" s="383"/>
      <c r="F96" s="383"/>
      <c r="G96" s="383"/>
      <c r="H96" s="384"/>
      <c r="I96" s="384"/>
      <c r="J96" s="384"/>
      <c r="K96" s="385"/>
      <c r="L96" s="385"/>
      <c r="N96" s="339"/>
      <c r="O96" s="339"/>
      <c r="P96" s="339"/>
      <c r="Q96" s="339"/>
    </row>
    <row r="97" spans="1:17" s="346" customFormat="1" ht="11" customHeight="1" thickTop="1">
      <c r="A97" s="386" t="s">
        <v>457</v>
      </c>
      <c r="B97" s="387"/>
      <c r="C97" s="387"/>
      <c r="D97" s="387"/>
      <c r="E97" s="387"/>
      <c r="F97" s="387"/>
      <c r="G97" s="387"/>
      <c r="H97" s="388"/>
      <c r="I97" s="388"/>
      <c r="J97" s="388"/>
      <c r="N97" s="339"/>
      <c r="O97" s="339"/>
      <c r="P97" s="339"/>
      <c r="Q97" s="339"/>
    </row>
    <row r="98" spans="1:17" ht="11" customHeight="1">
      <c r="A98" s="334" t="s">
        <v>0</v>
      </c>
      <c r="B98" s="335">
        <v>99486</v>
      </c>
      <c r="C98" s="335">
        <v>95133</v>
      </c>
      <c r="D98" s="335">
        <v>85063</v>
      </c>
      <c r="E98" s="335">
        <v>90093</v>
      </c>
      <c r="F98" s="335">
        <v>87848</v>
      </c>
      <c r="G98" s="335">
        <v>88686.265908960006</v>
      </c>
      <c r="H98" s="336">
        <v>79999.105642214723</v>
      </c>
      <c r="I98" s="336">
        <v>81618.102843119996</v>
      </c>
      <c r="J98" s="336">
        <v>75450.656932527199</v>
      </c>
      <c r="K98" s="336">
        <v>63028.342696935004</v>
      </c>
      <c r="L98" s="336">
        <v>52485.808334757006</v>
      </c>
      <c r="N98" s="339"/>
      <c r="O98" s="339"/>
      <c r="P98" s="339"/>
      <c r="Q98" s="339"/>
    </row>
    <row r="99" spans="1:17" ht="11" customHeight="1">
      <c r="A99" s="334" t="s">
        <v>19</v>
      </c>
      <c r="B99" s="335">
        <v>5117</v>
      </c>
      <c r="C99" s="335">
        <v>5336</v>
      </c>
      <c r="D99" s="335">
        <v>5085</v>
      </c>
      <c r="E99" s="335">
        <v>4055</v>
      </c>
      <c r="F99" s="335">
        <v>4788</v>
      </c>
      <c r="G99" s="335">
        <v>3227.6690000000003</v>
      </c>
      <c r="H99" s="336">
        <v>4844</v>
      </c>
      <c r="I99" s="336">
        <v>4921.491</v>
      </c>
      <c r="J99" s="336">
        <v>4593.1547463905999</v>
      </c>
      <c r="K99" s="336">
        <v>5088.3943400000007</v>
      </c>
      <c r="L99" s="336">
        <v>5167.7919067199991</v>
      </c>
      <c r="N99" s="339"/>
      <c r="O99" s="339"/>
      <c r="P99" s="339"/>
      <c r="Q99" s="339"/>
    </row>
    <row r="100" spans="1:17" ht="11" customHeight="1">
      <c r="A100" s="334" t="s">
        <v>458</v>
      </c>
      <c r="B100" s="335">
        <v>877</v>
      </c>
      <c r="C100" s="335">
        <v>851</v>
      </c>
      <c r="D100" s="335">
        <v>947</v>
      </c>
      <c r="E100" s="335">
        <v>965</v>
      </c>
      <c r="F100" s="335">
        <v>1259</v>
      </c>
      <c r="G100" s="335">
        <v>1288.29424288</v>
      </c>
      <c r="H100" s="336">
        <v>1939.1148680000001</v>
      </c>
      <c r="I100" s="336">
        <v>2912.0966100000005</v>
      </c>
      <c r="J100" s="336">
        <v>4235.7526003999992</v>
      </c>
      <c r="K100" s="337">
        <v>5287.8714849999997</v>
      </c>
      <c r="L100" s="336">
        <v>7114.2523684669986</v>
      </c>
      <c r="N100" s="339"/>
      <c r="O100" s="339"/>
      <c r="P100" s="339"/>
      <c r="Q100" s="339"/>
    </row>
    <row r="101" spans="1:17" ht="11" customHeight="1">
      <c r="A101" s="334" t="s">
        <v>125</v>
      </c>
      <c r="B101" s="335">
        <v>122971</v>
      </c>
      <c r="C101" s="335">
        <v>106180</v>
      </c>
      <c r="D101" s="335">
        <v>119950</v>
      </c>
      <c r="E101" s="335">
        <v>131461</v>
      </c>
      <c r="F101" s="335">
        <v>124279</v>
      </c>
      <c r="G101" s="335">
        <v>138305.04433377</v>
      </c>
      <c r="H101" s="336">
        <v>131787.64339997381</v>
      </c>
      <c r="I101" s="336">
        <v>134841.12802656283</v>
      </c>
      <c r="J101" s="337">
        <v>149213.73519007739</v>
      </c>
      <c r="K101" s="336">
        <v>136545.08220978279</v>
      </c>
      <c r="L101" s="336">
        <v>125314.63098201941</v>
      </c>
      <c r="N101" s="339"/>
      <c r="O101" s="339"/>
      <c r="P101" s="339"/>
      <c r="Q101" s="339"/>
    </row>
    <row r="102" spans="1:17" ht="11" customHeight="1">
      <c r="A102" s="334" t="s">
        <v>186</v>
      </c>
      <c r="B102" s="335">
        <v>7355</v>
      </c>
      <c r="C102" s="335">
        <v>6549</v>
      </c>
      <c r="D102" s="335">
        <v>6524</v>
      </c>
      <c r="E102" s="335">
        <v>5253</v>
      </c>
      <c r="F102" s="335">
        <v>4799</v>
      </c>
      <c r="G102" s="335">
        <v>4594.4318006129242</v>
      </c>
      <c r="H102" s="336">
        <v>4644.1596400954295</v>
      </c>
      <c r="I102" s="336">
        <v>5132.9042254587803</v>
      </c>
      <c r="J102" s="337">
        <v>5809.0243326471809</v>
      </c>
      <c r="K102" s="337">
        <v>4731.8853459449274</v>
      </c>
      <c r="L102" s="336">
        <v>6101.0614757591793</v>
      </c>
      <c r="N102" s="339"/>
      <c r="O102" s="339"/>
      <c r="P102" s="339"/>
      <c r="Q102" s="339"/>
    </row>
    <row r="103" spans="1:17" ht="11" customHeight="1">
      <c r="A103" s="334" t="s">
        <v>14</v>
      </c>
      <c r="B103" s="335">
        <v>117798</v>
      </c>
      <c r="C103" s="335">
        <v>142902</v>
      </c>
      <c r="D103" s="335">
        <v>148077</v>
      </c>
      <c r="E103" s="335">
        <v>141905</v>
      </c>
      <c r="F103" s="335">
        <v>152277</v>
      </c>
      <c r="G103" s="335">
        <v>148881.34831044011</v>
      </c>
      <c r="H103" s="336">
        <v>157064.30779367784</v>
      </c>
      <c r="I103" s="336">
        <v>152641.99112305598</v>
      </c>
      <c r="J103" s="337">
        <v>140827.86401709815</v>
      </c>
      <c r="K103" s="337">
        <v>165783.76898567128</v>
      </c>
      <c r="L103" s="336">
        <v>176748.9534153576</v>
      </c>
      <c r="N103" s="339"/>
      <c r="O103" s="339"/>
      <c r="P103" s="339"/>
      <c r="Q103" s="339"/>
    </row>
    <row r="104" spans="1:17" ht="11" customHeight="1">
      <c r="A104" s="334" t="s">
        <v>459</v>
      </c>
      <c r="B104" s="335">
        <v>3237</v>
      </c>
      <c r="C104" s="335">
        <v>3987</v>
      </c>
      <c r="D104" s="335">
        <v>4328</v>
      </c>
      <c r="E104" s="335">
        <v>5048</v>
      </c>
      <c r="F104" s="335">
        <v>5625</v>
      </c>
      <c r="G104" s="335">
        <v>6691.6878463879375</v>
      </c>
      <c r="H104" s="336">
        <v>7878.4954607499985</v>
      </c>
      <c r="I104" s="336">
        <v>9639.2545899999968</v>
      </c>
      <c r="J104" s="337">
        <v>9938.1510748862565</v>
      </c>
      <c r="K104" s="337">
        <v>9976.8885899598426</v>
      </c>
      <c r="L104" s="336">
        <v>10334.817038699141</v>
      </c>
      <c r="N104" s="339"/>
      <c r="O104" s="339"/>
      <c r="P104" s="339"/>
      <c r="Q104" s="339"/>
    </row>
    <row r="105" spans="1:17" ht="11" customHeight="1">
      <c r="A105" s="334" t="s">
        <v>113</v>
      </c>
      <c r="B105" s="335">
        <v>4237</v>
      </c>
      <c r="C105" s="335">
        <v>4312</v>
      </c>
      <c r="D105" s="335">
        <v>4401</v>
      </c>
      <c r="E105" s="335">
        <v>3577</v>
      </c>
      <c r="F105" s="335">
        <v>3719</v>
      </c>
      <c r="G105" s="335">
        <v>3800.4731378415877</v>
      </c>
      <c r="H105" s="336">
        <v>3061.8609048338367</v>
      </c>
      <c r="I105" s="336">
        <v>3675.8783499999995</v>
      </c>
      <c r="J105" s="337">
        <v>3371.4059604112795</v>
      </c>
      <c r="K105" s="337">
        <v>2742.1051059440215</v>
      </c>
      <c r="L105" s="336">
        <v>2292.9094265259737</v>
      </c>
      <c r="N105" s="339"/>
      <c r="O105" s="339"/>
      <c r="P105" s="339"/>
      <c r="Q105" s="339"/>
    </row>
    <row r="106" spans="1:17" s="346" customFormat="1" ht="11.25" customHeight="1" thickBot="1">
      <c r="A106" s="389" t="s">
        <v>460</v>
      </c>
      <c r="B106" s="390">
        <v>361078</v>
      </c>
      <c r="C106" s="390">
        <v>365250</v>
      </c>
      <c r="D106" s="390">
        <v>374375</v>
      </c>
      <c r="E106" s="390">
        <v>382356</v>
      </c>
      <c r="F106" s="390">
        <v>384594</v>
      </c>
      <c r="G106" s="390">
        <v>395475.21458089253</v>
      </c>
      <c r="H106" s="391">
        <v>391218.68770954566</v>
      </c>
      <c r="I106" s="391">
        <v>395382.8467681976</v>
      </c>
      <c r="J106" s="392">
        <v>393439.74485443818</v>
      </c>
      <c r="K106" s="392">
        <v>393184.33875923784</v>
      </c>
      <c r="L106" s="391">
        <v>385560.22494830535</v>
      </c>
      <c r="N106" s="339"/>
      <c r="O106" s="339"/>
      <c r="P106" s="339"/>
      <c r="Q106" s="339"/>
    </row>
    <row r="107" spans="1:17" ht="6" customHeight="1" thickTop="1">
      <c r="A107" s="393"/>
      <c r="B107" s="340"/>
      <c r="C107" s="340"/>
      <c r="D107" s="340"/>
      <c r="E107" s="340"/>
      <c r="N107" s="339"/>
      <c r="O107" s="339"/>
      <c r="P107" s="339"/>
      <c r="Q107" s="339"/>
    </row>
    <row r="108" spans="1:17" s="312" customFormat="1" ht="10.5" customHeight="1">
      <c r="A108" s="394" t="s">
        <v>461</v>
      </c>
      <c r="B108" s="334"/>
      <c r="C108" s="334"/>
      <c r="E108" s="395"/>
      <c r="G108" s="395"/>
      <c r="N108" s="339"/>
      <c r="O108" s="339"/>
      <c r="P108" s="339"/>
      <c r="Q108" s="339"/>
    </row>
    <row r="109" spans="1:17" s="312" customFormat="1" ht="10.5" customHeight="1">
      <c r="A109" s="394" t="s">
        <v>462</v>
      </c>
      <c r="B109" s="334"/>
      <c r="C109" s="334"/>
      <c r="E109" s="334"/>
      <c r="G109" s="334"/>
    </row>
    <row r="110" spans="1:17" s="316" customFormat="1" ht="10.5" customHeight="1">
      <c r="A110" s="394" t="s">
        <v>463</v>
      </c>
      <c r="B110" s="396"/>
      <c r="C110" s="396"/>
      <c r="E110" s="396"/>
      <c r="G110" s="396"/>
    </row>
    <row r="111" spans="1:17" s="312" customFormat="1" ht="10.5" customHeight="1">
      <c r="A111" s="394" t="s">
        <v>464</v>
      </c>
      <c r="B111" s="334"/>
      <c r="C111" s="334"/>
      <c r="D111" s="334"/>
      <c r="E111" s="334"/>
      <c r="F111" s="334"/>
      <c r="G111" s="334"/>
    </row>
    <row r="112" spans="1:17" s="312" customFormat="1" ht="10.5" customHeight="1">
      <c r="A112" s="394" t="s">
        <v>465</v>
      </c>
      <c r="B112" s="334"/>
      <c r="C112" s="334"/>
      <c r="D112" s="334"/>
      <c r="E112" s="334"/>
      <c r="F112" s="334"/>
      <c r="G112" s="334"/>
    </row>
    <row r="113" spans="1:7" s="312" customFormat="1" ht="10.5" customHeight="1">
      <c r="A113" s="394" t="s">
        <v>466</v>
      </c>
      <c r="B113" s="334"/>
      <c r="C113" s="334"/>
      <c r="D113" s="334"/>
      <c r="E113" s="334"/>
      <c r="F113" s="334"/>
      <c r="G113" s="334"/>
    </row>
    <row r="114" spans="1:7" s="312" customFormat="1" ht="10.5" customHeight="1">
      <c r="A114" s="394" t="s">
        <v>467</v>
      </c>
      <c r="B114" s="334"/>
      <c r="C114" s="334"/>
      <c r="D114" s="334"/>
      <c r="E114" s="334"/>
      <c r="F114" s="334"/>
      <c r="G114" s="334"/>
    </row>
    <row r="115" spans="1:7" s="312" customFormat="1" ht="10.5" customHeight="1">
      <c r="A115" s="394" t="s">
        <v>468</v>
      </c>
      <c r="B115" s="334"/>
      <c r="C115" s="334"/>
      <c r="D115" s="334"/>
      <c r="E115" s="334"/>
      <c r="F115" s="334"/>
      <c r="G115" s="334"/>
    </row>
    <row r="116" spans="1:7" s="316" customFormat="1" ht="10.5" customHeight="1">
      <c r="A116" s="394" t="s">
        <v>469</v>
      </c>
      <c r="B116" s="396"/>
      <c r="C116" s="397"/>
      <c r="D116" s="397"/>
      <c r="E116" s="396"/>
      <c r="F116" s="396"/>
      <c r="G116" s="396"/>
    </row>
    <row r="117" spans="1:7" s="316" customFormat="1" ht="10.5" customHeight="1">
      <c r="A117" s="394" t="s">
        <v>470</v>
      </c>
      <c r="B117" s="396"/>
      <c r="C117" s="396"/>
      <c r="D117" s="396"/>
      <c r="E117" s="396"/>
      <c r="F117" s="396"/>
      <c r="G117" s="396"/>
    </row>
    <row r="118" spans="1:7">
      <c r="A118" s="394" t="s">
        <v>471</v>
      </c>
    </row>
    <row r="119" spans="1:7">
      <c r="A119" s="394" t="s">
        <v>472</v>
      </c>
    </row>
  </sheetData>
  <pageMargins left="0.6692913385826772" right="0.6692913385826772" top="0.51181102362204722" bottom="0.51181102362204722" header="0.27559055118110237" footer="0.27559055118110237"/>
  <pageSetup paperSize="9" scale="47" orientation="portrait"/>
  <headerFooter alignWithMargins="0">
    <oddFooter>&amp;C&amp;P</oddFooter>
  </headerFooter>
  <rowBreaks count="1" manualBreakCount="1">
    <brk id="65" max="11" man="1"/>
  </rowBreaks>
  <colBreaks count="1" manualBreakCount="1">
    <brk id="8" max="119" man="1"/>
  </colBreaks>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enableFormatConditionsCalculation="0">
    <pageSetUpPr fitToPage="1"/>
  </sheetPr>
  <dimension ref="A1:AK305"/>
  <sheetViews>
    <sheetView workbookViewId="0"/>
  </sheetViews>
  <sheetFormatPr baseColWidth="10" defaultColWidth="8.83203125" defaultRowHeight="13" x14ac:dyDescent="0"/>
  <cols>
    <col min="1" max="1" width="23.6640625" style="340" customWidth="1"/>
    <col min="2" max="2" width="7.6640625" style="319" customWidth="1"/>
    <col min="3" max="3" width="7" style="319" customWidth="1"/>
    <col min="4" max="4" width="8.5" style="319" customWidth="1"/>
    <col min="5" max="7" width="6.83203125" style="319" customWidth="1"/>
    <col min="8" max="8" width="8.1640625" style="319" customWidth="1"/>
    <col min="9" max="9" width="1" style="319" customWidth="1"/>
    <col min="10" max="10" width="7.1640625" style="319" customWidth="1"/>
    <col min="11" max="12" width="7.33203125" style="319" customWidth="1"/>
    <col min="13" max="13" width="8.6640625" style="319" customWidth="1"/>
    <col min="14" max="14" width="7.33203125" style="319" customWidth="1"/>
    <col min="15" max="15" width="8.6640625" style="319" customWidth="1"/>
    <col min="16" max="17" width="7.1640625" style="319" customWidth="1"/>
    <col min="18" max="18" width="7.5" style="319" customWidth="1"/>
    <col min="19" max="19" width="7.1640625" style="319" customWidth="1"/>
    <col min="20" max="20" width="8.83203125" style="319" customWidth="1"/>
    <col min="21" max="21" width="9.5" style="319" customWidth="1"/>
    <col min="22" max="22" width="5.6640625" style="319" customWidth="1"/>
    <col min="23" max="23" width="7.1640625" style="319" customWidth="1"/>
    <col min="24" max="24" width="5.6640625" style="319" customWidth="1"/>
    <col min="25" max="25" width="9.5" style="319" customWidth="1"/>
    <col min="26" max="26" width="9.6640625" style="319" customWidth="1"/>
    <col min="27" max="256" width="8.83203125" style="319"/>
    <col min="257" max="257" width="13" style="319" customWidth="1"/>
    <col min="258" max="258" width="7.6640625" style="319" customWidth="1"/>
    <col min="259" max="259" width="7" style="319" customWidth="1"/>
    <col min="260" max="260" width="8.5" style="319" customWidth="1"/>
    <col min="261" max="263" width="6.83203125" style="319" customWidth="1"/>
    <col min="264" max="264" width="8.1640625" style="319" customWidth="1"/>
    <col min="265" max="265" width="1" style="319" customWidth="1"/>
    <col min="266" max="266" width="7.1640625" style="319" customWidth="1"/>
    <col min="267" max="268" width="7.33203125" style="319" customWidth="1"/>
    <col min="269" max="269" width="8.6640625" style="319" customWidth="1"/>
    <col min="270" max="270" width="7.33203125" style="319" customWidth="1"/>
    <col min="271" max="271" width="8.6640625" style="319" customWidth="1"/>
    <col min="272" max="273" width="7.1640625" style="319" customWidth="1"/>
    <col min="274" max="274" width="7.5" style="319" customWidth="1"/>
    <col min="275" max="275" width="7.1640625" style="319" customWidth="1"/>
    <col min="276" max="276" width="8.83203125" style="319" customWidth="1"/>
    <col min="277" max="277" width="9.5" style="319" customWidth="1"/>
    <col min="278" max="278" width="5.6640625" style="319" customWidth="1"/>
    <col min="279" max="279" width="7.1640625" style="319" customWidth="1"/>
    <col min="280" max="280" width="5.6640625" style="319" customWidth="1"/>
    <col min="281" max="281" width="9.5" style="319" customWidth="1"/>
    <col min="282" max="282" width="9.6640625" style="319" customWidth="1"/>
    <col min="283" max="512" width="8.83203125" style="319"/>
    <col min="513" max="513" width="13" style="319" customWidth="1"/>
    <col min="514" max="514" width="7.6640625" style="319" customWidth="1"/>
    <col min="515" max="515" width="7" style="319" customWidth="1"/>
    <col min="516" max="516" width="8.5" style="319" customWidth="1"/>
    <col min="517" max="519" width="6.83203125" style="319" customWidth="1"/>
    <col min="520" max="520" width="8.1640625" style="319" customWidth="1"/>
    <col min="521" max="521" width="1" style="319" customWidth="1"/>
    <col min="522" max="522" width="7.1640625" style="319" customWidth="1"/>
    <col min="523" max="524" width="7.33203125" style="319" customWidth="1"/>
    <col min="525" max="525" width="8.6640625" style="319" customWidth="1"/>
    <col min="526" max="526" width="7.33203125" style="319" customWidth="1"/>
    <col min="527" max="527" width="8.6640625" style="319" customWidth="1"/>
    <col min="528" max="529" width="7.1640625" style="319" customWidth="1"/>
    <col min="530" max="530" width="7.5" style="319" customWidth="1"/>
    <col min="531" max="531" width="7.1640625" style="319" customWidth="1"/>
    <col min="532" max="532" width="8.83203125" style="319" customWidth="1"/>
    <col min="533" max="533" width="9.5" style="319" customWidth="1"/>
    <col min="534" max="534" width="5.6640625" style="319" customWidth="1"/>
    <col min="535" max="535" width="7.1640625" style="319" customWidth="1"/>
    <col min="536" max="536" width="5.6640625" style="319" customWidth="1"/>
    <col min="537" max="537" width="9.5" style="319" customWidth="1"/>
    <col min="538" max="538" width="9.6640625" style="319" customWidth="1"/>
    <col min="539" max="768" width="8.83203125" style="319"/>
    <col min="769" max="769" width="13" style="319" customWidth="1"/>
    <col min="770" max="770" width="7.6640625" style="319" customWidth="1"/>
    <col min="771" max="771" width="7" style="319" customWidth="1"/>
    <col min="772" max="772" width="8.5" style="319" customWidth="1"/>
    <col min="773" max="775" width="6.83203125" style="319" customWidth="1"/>
    <col min="776" max="776" width="8.1640625" style="319" customWidth="1"/>
    <col min="777" max="777" width="1" style="319" customWidth="1"/>
    <col min="778" max="778" width="7.1640625" style="319" customWidth="1"/>
    <col min="779" max="780" width="7.33203125" style="319" customWidth="1"/>
    <col min="781" max="781" width="8.6640625" style="319" customWidth="1"/>
    <col min="782" max="782" width="7.33203125" style="319" customWidth="1"/>
    <col min="783" max="783" width="8.6640625" style="319" customWidth="1"/>
    <col min="784" max="785" width="7.1640625" style="319" customWidth="1"/>
    <col min="786" max="786" width="7.5" style="319" customWidth="1"/>
    <col min="787" max="787" width="7.1640625" style="319" customWidth="1"/>
    <col min="788" max="788" width="8.83203125" style="319" customWidth="1"/>
    <col min="789" max="789" width="9.5" style="319" customWidth="1"/>
    <col min="790" max="790" width="5.6640625" style="319" customWidth="1"/>
    <col min="791" max="791" width="7.1640625" style="319" customWidth="1"/>
    <col min="792" max="792" width="5.6640625" style="319" customWidth="1"/>
    <col min="793" max="793" width="9.5" style="319" customWidth="1"/>
    <col min="794" max="794" width="9.6640625" style="319" customWidth="1"/>
    <col min="795" max="1024" width="8.83203125" style="319"/>
    <col min="1025" max="1025" width="13" style="319" customWidth="1"/>
    <col min="1026" max="1026" width="7.6640625" style="319" customWidth="1"/>
    <col min="1027" max="1027" width="7" style="319" customWidth="1"/>
    <col min="1028" max="1028" width="8.5" style="319" customWidth="1"/>
    <col min="1029" max="1031" width="6.83203125" style="319" customWidth="1"/>
    <col min="1032" max="1032" width="8.1640625" style="319" customWidth="1"/>
    <col min="1033" max="1033" width="1" style="319" customWidth="1"/>
    <col min="1034" max="1034" width="7.1640625" style="319" customWidth="1"/>
    <col min="1035" max="1036" width="7.33203125" style="319" customWidth="1"/>
    <col min="1037" max="1037" width="8.6640625" style="319" customWidth="1"/>
    <col min="1038" max="1038" width="7.33203125" style="319" customWidth="1"/>
    <col min="1039" max="1039" width="8.6640625" style="319" customWidth="1"/>
    <col min="1040" max="1041" width="7.1640625" style="319" customWidth="1"/>
    <col min="1042" max="1042" width="7.5" style="319" customWidth="1"/>
    <col min="1043" max="1043" width="7.1640625" style="319" customWidth="1"/>
    <col min="1044" max="1044" width="8.83203125" style="319" customWidth="1"/>
    <col min="1045" max="1045" width="9.5" style="319" customWidth="1"/>
    <col min="1046" max="1046" width="5.6640625" style="319" customWidth="1"/>
    <col min="1047" max="1047" width="7.1640625" style="319" customWidth="1"/>
    <col min="1048" max="1048" width="5.6640625" style="319" customWidth="1"/>
    <col min="1049" max="1049" width="9.5" style="319" customWidth="1"/>
    <col min="1050" max="1050" width="9.6640625" style="319" customWidth="1"/>
    <col min="1051" max="1280" width="8.83203125" style="319"/>
    <col min="1281" max="1281" width="13" style="319" customWidth="1"/>
    <col min="1282" max="1282" width="7.6640625" style="319" customWidth="1"/>
    <col min="1283" max="1283" width="7" style="319" customWidth="1"/>
    <col min="1284" max="1284" width="8.5" style="319" customWidth="1"/>
    <col min="1285" max="1287" width="6.83203125" style="319" customWidth="1"/>
    <col min="1288" max="1288" width="8.1640625" style="319" customWidth="1"/>
    <col min="1289" max="1289" width="1" style="319" customWidth="1"/>
    <col min="1290" max="1290" width="7.1640625" style="319" customWidth="1"/>
    <col min="1291" max="1292" width="7.33203125" style="319" customWidth="1"/>
    <col min="1293" max="1293" width="8.6640625" style="319" customWidth="1"/>
    <col min="1294" max="1294" width="7.33203125" style="319" customWidth="1"/>
    <col min="1295" max="1295" width="8.6640625" style="319" customWidth="1"/>
    <col min="1296" max="1297" width="7.1640625" style="319" customWidth="1"/>
    <col min="1298" max="1298" width="7.5" style="319" customWidth="1"/>
    <col min="1299" max="1299" width="7.1640625" style="319" customWidth="1"/>
    <col min="1300" max="1300" width="8.83203125" style="319" customWidth="1"/>
    <col min="1301" max="1301" width="9.5" style="319" customWidth="1"/>
    <col min="1302" max="1302" width="5.6640625" style="319" customWidth="1"/>
    <col min="1303" max="1303" width="7.1640625" style="319" customWidth="1"/>
    <col min="1304" max="1304" width="5.6640625" style="319" customWidth="1"/>
    <col min="1305" max="1305" width="9.5" style="319" customWidth="1"/>
    <col min="1306" max="1306" width="9.6640625" style="319" customWidth="1"/>
    <col min="1307" max="1536" width="8.83203125" style="319"/>
    <col min="1537" max="1537" width="13" style="319" customWidth="1"/>
    <col min="1538" max="1538" width="7.6640625" style="319" customWidth="1"/>
    <col min="1539" max="1539" width="7" style="319" customWidth="1"/>
    <col min="1540" max="1540" width="8.5" style="319" customWidth="1"/>
    <col min="1541" max="1543" width="6.83203125" style="319" customWidth="1"/>
    <col min="1544" max="1544" width="8.1640625" style="319" customWidth="1"/>
    <col min="1545" max="1545" width="1" style="319" customWidth="1"/>
    <col min="1546" max="1546" width="7.1640625" style="319" customWidth="1"/>
    <col min="1547" max="1548" width="7.33203125" style="319" customWidth="1"/>
    <col min="1549" max="1549" width="8.6640625" style="319" customWidth="1"/>
    <col min="1550" max="1550" width="7.33203125" style="319" customWidth="1"/>
    <col min="1551" max="1551" width="8.6640625" style="319" customWidth="1"/>
    <col min="1552" max="1553" width="7.1640625" style="319" customWidth="1"/>
    <col min="1554" max="1554" width="7.5" style="319" customWidth="1"/>
    <col min="1555" max="1555" width="7.1640625" style="319" customWidth="1"/>
    <col min="1556" max="1556" width="8.83203125" style="319" customWidth="1"/>
    <col min="1557" max="1557" width="9.5" style="319" customWidth="1"/>
    <col min="1558" max="1558" width="5.6640625" style="319" customWidth="1"/>
    <col min="1559" max="1559" width="7.1640625" style="319" customWidth="1"/>
    <col min="1560" max="1560" width="5.6640625" style="319" customWidth="1"/>
    <col min="1561" max="1561" width="9.5" style="319" customWidth="1"/>
    <col min="1562" max="1562" width="9.6640625" style="319" customWidth="1"/>
    <col min="1563" max="1792" width="8.83203125" style="319"/>
    <col min="1793" max="1793" width="13" style="319" customWidth="1"/>
    <col min="1794" max="1794" width="7.6640625" style="319" customWidth="1"/>
    <col min="1795" max="1795" width="7" style="319" customWidth="1"/>
    <col min="1796" max="1796" width="8.5" style="319" customWidth="1"/>
    <col min="1797" max="1799" width="6.83203125" style="319" customWidth="1"/>
    <col min="1800" max="1800" width="8.1640625" style="319" customWidth="1"/>
    <col min="1801" max="1801" width="1" style="319" customWidth="1"/>
    <col min="1802" max="1802" width="7.1640625" style="319" customWidth="1"/>
    <col min="1803" max="1804" width="7.33203125" style="319" customWidth="1"/>
    <col min="1805" max="1805" width="8.6640625" style="319" customWidth="1"/>
    <col min="1806" max="1806" width="7.33203125" style="319" customWidth="1"/>
    <col min="1807" max="1807" width="8.6640625" style="319" customWidth="1"/>
    <col min="1808" max="1809" width="7.1640625" style="319" customWidth="1"/>
    <col min="1810" max="1810" width="7.5" style="319" customWidth="1"/>
    <col min="1811" max="1811" width="7.1640625" style="319" customWidth="1"/>
    <col min="1812" max="1812" width="8.83203125" style="319" customWidth="1"/>
    <col min="1813" max="1813" width="9.5" style="319" customWidth="1"/>
    <col min="1814" max="1814" width="5.6640625" style="319" customWidth="1"/>
    <col min="1815" max="1815" width="7.1640625" style="319" customWidth="1"/>
    <col min="1816" max="1816" width="5.6640625" style="319" customWidth="1"/>
    <col min="1817" max="1817" width="9.5" style="319" customWidth="1"/>
    <col min="1818" max="1818" width="9.6640625" style="319" customWidth="1"/>
    <col min="1819" max="2048" width="8.83203125" style="319"/>
    <col min="2049" max="2049" width="13" style="319" customWidth="1"/>
    <col min="2050" max="2050" width="7.6640625" style="319" customWidth="1"/>
    <col min="2051" max="2051" width="7" style="319" customWidth="1"/>
    <col min="2052" max="2052" width="8.5" style="319" customWidth="1"/>
    <col min="2053" max="2055" width="6.83203125" style="319" customWidth="1"/>
    <col min="2056" max="2056" width="8.1640625" style="319" customWidth="1"/>
    <col min="2057" max="2057" width="1" style="319" customWidth="1"/>
    <col min="2058" max="2058" width="7.1640625" style="319" customWidth="1"/>
    <col min="2059" max="2060" width="7.33203125" style="319" customWidth="1"/>
    <col min="2061" max="2061" width="8.6640625" style="319" customWidth="1"/>
    <col min="2062" max="2062" width="7.33203125" style="319" customWidth="1"/>
    <col min="2063" max="2063" width="8.6640625" style="319" customWidth="1"/>
    <col min="2064" max="2065" width="7.1640625" style="319" customWidth="1"/>
    <col min="2066" max="2066" width="7.5" style="319" customWidth="1"/>
    <col min="2067" max="2067" width="7.1640625" style="319" customWidth="1"/>
    <col min="2068" max="2068" width="8.83203125" style="319" customWidth="1"/>
    <col min="2069" max="2069" width="9.5" style="319" customWidth="1"/>
    <col min="2070" max="2070" width="5.6640625" style="319" customWidth="1"/>
    <col min="2071" max="2071" width="7.1640625" style="319" customWidth="1"/>
    <col min="2072" max="2072" width="5.6640625" style="319" customWidth="1"/>
    <col min="2073" max="2073" width="9.5" style="319" customWidth="1"/>
    <col min="2074" max="2074" width="9.6640625" style="319" customWidth="1"/>
    <col min="2075" max="2304" width="8.83203125" style="319"/>
    <col min="2305" max="2305" width="13" style="319" customWidth="1"/>
    <col min="2306" max="2306" width="7.6640625" style="319" customWidth="1"/>
    <col min="2307" max="2307" width="7" style="319" customWidth="1"/>
    <col min="2308" max="2308" width="8.5" style="319" customWidth="1"/>
    <col min="2309" max="2311" width="6.83203125" style="319" customWidth="1"/>
    <col min="2312" max="2312" width="8.1640625" style="319" customWidth="1"/>
    <col min="2313" max="2313" width="1" style="319" customWidth="1"/>
    <col min="2314" max="2314" width="7.1640625" style="319" customWidth="1"/>
    <col min="2315" max="2316" width="7.33203125" style="319" customWidth="1"/>
    <col min="2317" max="2317" width="8.6640625" style="319" customWidth="1"/>
    <col min="2318" max="2318" width="7.33203125" style="319" customWidth="1"/>
    <col min="2319" max="2319" width="8.6640625" style="319" customWidth="1"/>
    <col min="2320" max="2321" width="7.1640625" style="319" customWidth="1"/>
    <col min="2322" max="2322" width="7.5" style="319" customWidth="1"/>
    <col min="2323" max="2323" width="7.1640625" style="319" customWidth="1"/>
    <col min="2324" max="2324" width="8.83203125" style="319" customWidth="1"/>
    <col min="2325" max="2325" width="9.5" style="319" customWidth="1"/>
    <col min="2326" max="2326" width="5.6640625" style="319" customWidth="1"/>
    <col min="2327" max="2327" width="7.1640625" style="319" customWidth="1"/>
    <col min="2328" max="2328" width="5.6640625" style="319" customWidth="1"/>
    <col min="2329" max="2329" width="9.5" style="319" customWidth="1"/>
    <col min="2330" max="2330" width="9.6640625" style="319" customWidth="1"/>
    <col min="2331" max="2560" width="8.83203125" style="319"/>
    <col min="2561" max="2561" width="13" style="319" customWidth="1"/>
    <col min="2562" max="2562" width="7.6640625" style="319" customWidth="1"/>
    <col min="2563" max="2563" width="7" style="319" customWidth="1"/>
    <col min="2564" max="2564" width="8.5" style="319" customWidth="1"/>
    <col min="2565" max="2567" width="6.83203125" style="319" customWidth="1"/>
    <col min="2568" max="2568" width="8.1640625" style="319" customWidth="1"/>
    <col min="2569" max="2569" width="1" style="319" customWidth="1"/>
    <col min="2570" max="2570" width="7.1640625" style="319" customWidth="1"/>
    <col min="2571" max="2572" width="7.33203125" style="319" customWidth="1"/>
    <col min="2573" max="2573" width="8.6640625" style="319" customWidth="1"/>
    <col min="2574" max="2574" width="7.33203125" style="319" customWidth="1"/>
    <col min="2575" max="2575" width="8.6640625" style="319" customWidth="1"/>
    <col min="2576" max="2577" width="7.1640625" style="319" customWidth="1"/>
    <col min="2578" max="2578" width="7.5" style="319" customWidth="1"/>
    <col min="2579" max="2579" width="7.1640625" style="319" customWidth="1"/>
    <col min="2580" max="2580" width="8.83203125" style="319" customWidth="1"/>
    <col min="2581" max="2581" width="9.5" style="319" customWidth="1"/>
    <col min="2582" max="2582" width="5.6640625" style="319" customWidth="1"/>
    <col min="2583" max="2583" width="7.1640625" style="319" customWidth="1"/>
    <col min="2584" max="2584" width="5.6640625" style="319" customWidth="1"/>
    <col min="2585" max="2585" width="9.5" style="319" customWidth="1"/>
    <col min="2586" max="2586" width="9.6640625" style="319" customWidth="1"/>
    <col min="2587" max="2816" width="8.83203125" style="319"/>
    <col min="2817" max="2817" width="13" style="319" customWidth="1"/>
    <col min="2818" max="2818" width="7.6640625" style="319" customWidth="1"/>
    <col min="2819" max="2819" width="7" style="319" customWidth="1"/>
    <col min="2820" max="2820" width="8.5" style="319" customWidth="1"/>
    <col min="2821" max="2823" width="6.83203125" style="319" customWidth="1"/>
    <col min="2824" max="2824" width="8.1640625" style="319" customWidth="1"/>
    <col min="2825" max="2825" width="1" style="319" customWidth="1"/>
    <col min="2826" max="2826" width="7.1640625" style="319" customWidth="1"/>
    <col min="2827" max="2828" width="7.33203125" style="319" customWidth="1"/>
    <col min="2829" max="2829" width="8.6640625" style="319" customWidth="1"/>
    <col min="2830" max="2830" width="7.33203125" style="319" customWidth="1"/>
    <col min="2831" max="2831" width="8.6640625" style="319" customWidth="1"/>
    <col min="2832" max="2833" width="7.1640625" style="319" customWidth="1"/>
    <col min="2834" max="2834" width="7.5" style="319" customWidth="1"/>
    <col min="2835" max="2835" width="7.1640625" style="319" customWidth="1"/>
    <col min="2836" max="2836" width="8.83203125" style="319" customWidth="1"/>
    <col min="2837" max="2837" width="9.5" style="319" customWidth="1"/>
    <col min="2838" max="2838" width="5.6640625" style="319" customWidth="1"/>
    <col min="2839" max="2839" width="7.1640625" style="319" customWidth="1"/>
    <col min="2840" max="2840" width="5.6640625" style="319" customWidth="1"/>
    <col min="2841" max="2841" width="9.5" style="319" customWidth="1"/>
    <col min="2842" max="2842" width="9.6640625" style="319" customWidth="1"/>
    <col min="2843" max="3072" width="8.83203125" style="319"/>
    <col min="3073" max="3073" width="13" style="319" customWidth="1"/>
    <col min="3074" max="3074" width="7.6640625" style="319" customWidth="1"/>
    <col min="3075" max="3075" width="7" style="319" customWidth="1"/>
    <col min="3076" max="3076" width="8.5" style="319" customWidth="1"/>
    <col min="3077" max="3079" width="6.83203125" style="319" customWidth="1"/>
    <col min="3080" max="3080" width="8.1640625" style="319" customWidth="1"/>
    <col min="3081" max="3081" width="1" style="319" customWidth="1"/>
    <col min="3082" max="3082" width="7.1640625" style="319" customWidth="1"/>
    <col min="3083" max="3084" width="7.33203125" style="319" customWidth="1"/>
    <col min="3085" max="3085" width="8.6640625" style="319" customWidth="1"/>
    <col min="3086" max="3086" width="7.33203125" style="319" customWidth="1"/>
    <col min="3087" max="3087" width="8.6640625" style="319" customWidth="1"/>
    <col min="3088" max="3089" width="7.1640625" style="319" customWidth="1"/>
    <col min="3090" max="3090" width="7.5" style="319" customWidth="1"/>
    <col min="3091" max="3091" width="7.1640625" style="319" customWidth="1"/>
    <col min="3092" max="3092" width="8.83203125" style="319" customWidth="1"/>
    <col min="3093" max="3093" width="9.5" style="319" customWidth="1"/>
    <col min="3094" max="3094" width="5.6640625" style="319" customWidth="1"/>
    <col min="3095" max="3095" width="7.1640625" style="319" customWidth="1"/>
    <col min="3096" max="3096" width="5.6640625" style="319" customWidth="1"/>
    <col min="3097" max="3097" width="9.5" style="319" customWidth="1"/>
    <col min="3098" max="3098" width="9.6640625" style="319" customWidth="1"/>
    <col min="3099" max="3328" width="8.83203125" style="319"/>
    <col min="3329" max="3329" width="13" style="319" customWidth="1"/>
    <col min="3330" max="3330" width="7.6640625" style="319" customWidth="1"/>
    <col min="3331" max="3331" width="7" style="319" customWidth="1"/>
    <col min="3332" max="3332" width="8.5" style="319" customWidth="1"/>
    <col min="3333" max="3335" width="6.83203125" style="319" customWidth="1"/>
    <col min="3336" max="3336" width="8.1640625" style="319" customWidth="1"/>
    <col min="3337" max="3337" width="1" style="319" customWidth="1"/>
    <col min="3338" max="3338" width="7.1640625" style="319" customWidth="1"/>
    <col min="3339" max="3340" width="7.33203125" style="319" customWidth="1"/>
    <col min="3341" max="3341" width="8.6640625" style="319" customWidth="1"/>
    <col min="3342" max="3342" width="7.33203125" style="319" customWidth="1"/>
    <col min="3343" max="3343" width="8.6640625" style="319" customWidth="1"/>
    <col min="3344" max="3345" width="7.1640625" style="319" customWidth="1"/>
    <col min="3346" max="3346" width="7.5" style="319" customWidth="1"/>
    <col min="3347" max="3347" width="7.1640625" style="319" customWidth="1"/>
    <col min="3348" max="3348" width="8.83203125" style="319" customWidth="1"/>
    <col min="3349" max="3349" width="9.5" style="319" customWidth="1"/>
    <col min="3350" max="3350" width="5.6640625" style="319" customWidth="1"/>
    <col min="3351" max="3351" width="7.1640625" style="319" customWidth="1"/>
    <col min="3352" max="3352" width="5.6640625" style="319" customWidth="1"/>
    <col min="3353" max="3353" width="9.5" style="319" customWidth="1"/>
    <col min="3354" max="3354" width="9.6640625" style="319" customWidth="1"/>
    <col min="3355" max="3584" width="8.83203125" style="319"/>
    <col min="3585" max="3585" width="13" style="319" customWidth="1"/>
    <col min="3586" max="3586" width="7.6640625" style="319" customWidth="1"/>
    <col min="3587" max="3587" width="7" style="319" customWidth="1"/>
    <col min="3588" max="3588" width="8.5" style="319" customWidth="1"/>
    <col min="3589" max="3591" width="6.83203125" style="319" customWidth="1"/>
    <col min="3592" max="3592" width="8.1640625" style="319" customWidth="1"/>
    <col min="3593" max="3593" width="1" style="319" customWidth="1"/>
    <col min="3594" max="3594" width="7.1640625" style="319" customWidth="1"/>
    <col min="3595" max="3596" width="7.33203125" style="319" customWidth="1"/>
    <col min="3597" max="3597" width="8.6640625" style="319" customWidth="1"/>
    <col min="3598" max="3598" width="7.33203125" style="319" customWidth="1"/>
    <col min="3599" max="3599" width="8.6640625" style="319" customWidth="1"/>
    <col min="3600" max="3601" width="7.1640625" style="319" customWidth="1"/>
    <col min="3602" max="3602" width="7.5" style="319" customWidth="1"/>
    <col min="3603" max="3603" width="7.1640625" style="319" customWidth="1"/>
    <col min="3604" max="3604" width="8.83203125" style="319" customWidth="1"/>
    <col min="3605" max="3605" width="9.5" style="319" customWidth="1"/>
    <col min="3606" max="3606" width="5.6640625" style="319" customWidth="1"/>
    <col min="3607" max="3607" width="7.1640625" style="319" customWidth="1"/>
    <col min="3608" max="3608" width="5.6640625" style="319" customWidth="1"/>
    <col min="3609" max="3609" width="9.5" style="319" customWidth="1"/>
    <col min="3610" max="3610" width="9.6640625" style="319" customWidth="1"/>
    <col min="3611" max="3840" width="8.83203125" style="319"/>
    <col min="3841" max="3841" width="13" style="319" customWidth="1"/>
    <col min="3842" max="3842" width="7.6640625" style="319" customWidth="1"/>
    <col min="3843" max="3843" width="7" style="319" customWidth="1"/>
    <col min="3844" max="3844" width="8.5" style="319" customWidth="1"/>
    <col min="3845" max="3847" width="6.83203125" style="319" customWidth="1"/>
    <col min="3848" max="3848" width="8.1640625" style="319" customWidth="1"/>
    <col min="3849" max="3849" width="1" style="319" customWidth="1"/>
    <col min="3850" max="3850" width="7.1640625" style="319" customWidth="1"/>
    <col min="3851" max="3852" width="7.33203125" style="319" customWidth="1"/>
    <col min="3853" max="3853" width="8.6640625" style="319" customWidth="1"/>
    <col min="3854" max="3854" width="7.33203125" style="319" customWidth="1"/>
    <col min="3855" max="3855" width="8.6640625" style="319" customWidth="1"/>
    <col min="3856" max="3857" width="7.1640625" style="319" customWidth="1"/>
    <col min="3858" max="3858" width="7.5" style="319" customWidth="1"/>
    <col min="3859" max="3859" width="7.1640625" style="319" customWidth="1"/>
    <col min="3860" max="3860" width="8.83203125" style="319" customWidth="1"/>
    <col min="3861" max="3861" width="9.5" style="319" customWidth="1"/>
    <col min="3862" max="3862" width="5.6640625" style="319" customWidth="1"/>
    <col min="3863" max="3863" width="7.1640625" style="319" customWidth="1"/>
    <col min="3864" max="3864" width="5.6640625" style="319" customWidth="1"/>
    <col min="3865" max="3865" width="9.5" style="319" customWidth="1"/>
    <col min="3866" max="3866" width="9.6640625" style="319" customWidth="1"/>
    <col min="3867" max="4096" width="8.83203125" style="319"/>
    <col min="4097" max="4097" width="13" style="319" customWidth="1"/>
    <col min="4098" max="4098" width="7.6640625" style="319" customWidth="1"/>
    <col min="4099" max="4099" width="7" style="319" customWidth="1"/>
    <col min="4100" max="4100" width="8.5" style="319" customWidth="1"/>
    <col min="4101" max="4103" width="6.83203125" style="319" customWidth="1"/>
    <col min="4104" max="4104" width="8.1640625" style="319" customWidth="1"/>
    <col min="4105" max="4105" width="1" style="319" customWidth="1"/>
    <col min="4106" max="4106" width="7.1640625" style="319" customWidth="1"/>
    <col min="4107" max="4108" width="7.33203125" style="319" customWidth="1"/>
    <col min="4109" max="4109" width="8.6640625" style="319" customWidth="1"/>
    <col min="4110" max="4110" width="7.33203125" style="319" customWidth="1"/>
    <col min="4111" max="4111" width="8.6640625" style="319" customWidth="1"/>
    <col min="4112" max="4113" width="7.1640625" style="319" customWidth="1"/>
    <col min="4114" max="4114" width="7.5" style="319" customWidth="1"/>
    <col min="4115" max="4115" width="7.1640625" style="319" customWidth="1"/>
    <col min="4116" max="4116" width="8.83203125" style="319" customWidth="1"/>
    <col min="4117" max="4117" width="9.5" style="319" customWidth="1"/>
    <col min="4118" max="4118" width="5.6640625" style="319" customWidth="1"/>
    <col min="4119" max="4119" width="7.1640625" style="319" customWidth="1"/>
    <col min="4120" max="4120" width="5.6640625" style="319" customWidth="1"/>
    <col min="4121" max="4121" width="9.5" style="319" customWidth="1"/>
    <col min="4122" max="4122" width="9.6640625" style="319" customWidth="1"/>
    <col min="4123" max="4352" width="8.83203125" style="319"/>
    <col min="4353" max="4353" width="13" style="319" customWidth="1"/>
    <col min="4354" max="4354" width="7.6640625" style="319" customWidth="1"/>
    <col min="4355" max="4355" width="7" style="319" customWidth="1"/>
    <col min="4356" max="4356" width="8.5" style="319" customWidth="1"/>
    <col min="4357" max="4359" width="6.83203125" style="319" customWidth="1"/>
    <col min="4360" max="4360" width="8.1640625" style="319" customWidth="1"/>
    <col min="4361" max="4361" width="1" style="319" customWidth="1"/>
    <col min="4362" max="4362" width="7.1640625" style="319" customWidth="1"/>
    <col min="4363" max="4364" width="7.33203125" style="319" customWidth="1"/>
    <col min="4365" max="4365" width="8.6640625" style="319" customWidth="1"/>
    <col min="4366" max="4366" width="7.33203125" style="319" customWidth="1"/>
    <col min="4367" max="4367" width="8.6640625" style="319" customWidth="1"/>
    <col min="4368" max="4369" width="7.1640625" style="319" customWidth="1"/>
    <col min="4370" max="4370" width="7.5" style="319" customWidth="1"/>
    <col min="4371" max="4371" width="7.1640625" style="319" customWidth="1"/>
    <col min="4372" max="4372" width="8.83203125" style="319" customWidth="1"/>
    <col min="4373" max="4373" width="9.5" style="319" customWidth="1"/>
    <col min="4374" max="4374" width="5.6640625" style="319" customWidth="1"/>
    <col min="4375" max="4375" width="7.1640625" style="319" customWidth="1"/>
    <col min="4376" max="4376" width="5.6640625" style="319" customWidth="1"/>
    <col min="4377" max="4377" width="9.5" style="319" customWidth="1"/>
    <col min="4378" max="4378" width="9.6640625" style="319" customWidth="1"/>
    <col min="4379" max="4608" width="8.83203125" style="319"/>
    <col min="4609" max="4609" width="13" style="319" customWidth="1"/>
    <col min="4610" max="4610" width="7.6640625" style="319" customWidth="1"/>
    <col min="4611" max="4611" width="7" style="319" customWidth="1"/>
    <col min="4612" max="4612" width="8.5" style="319" customWidth="1"/>
    <col min="4613" max="4615" width="6.83203125" style="319" customWidth="1"/>
    <col min="4616" max="4616" width="8.1640625" style="319" customWidth="1"/>
    <col min="4617" max="4617" width="1" style="319" customWidth="1"/>
    <col min="4618" max="4618" width="7.1640625" style="319" customWidth="1"/>
    <col min="4619" max="4620" width="7.33203125" style="319" customWidth="1"/>
    <col min="4621" max="4621" width="8.6640625" style="319" customWidth="1"/>
    <col min="4622" max="4622" width="7.33203125" style="319" customWidth="1"/>
    <col min="4623" max="4623" width="8.6640625" style="319" customWidth="1"/>
    <col min="4624" max="4625" width="7.1640625" style="319" customWidth="1"/>
    <col min="4626" max="4626" width="7.5" style="319" customWidth="1"/>
    <col min="4627" max="4627" width="7.1640625" style="319" customWidth="1"/>
    <col min="4628" max="4628" width="8.83203125" style="319" customWidth="1"/>
    <col min="4629" max="4629" width="9.5" style="319" customWidth="1"/>
    <col min="4630" max="4630" width="5.6640625" style="319" customWidth="1"/>
    <col min="4631" max="4631" width="7.1640625" style="319" customWidth="1"/>
    <col min="4632" max="4632" width="5.6640625" style="319" customWidth="1"/>
    <col min="4633" max="4633" width="9.5" style="319" customWidth="1"/>
    <col min="4634" max="4634" width="9.6640625" style="319" customWidth="1"/>
    <col min="4635" max="4864" width="8.83203125" style="319"/>
    <col min="4865" max="4865" width="13" style="319" customWidth="1"/>
    <col min="4866" max="4866" width="7.6640625" style="319" customWidth="1"/>
    <col min="4867" max="4867" width="7" style="319" customWidth="1"/>
    <col min="4868" max="4868" width="8.5" style="319" customWidth="1"/>
    <col min="4869" max="4871" width="6.83203125" style="319" customWidth="1"/>
    <col min="4872" max="4872" width="8.1640625" style="319" customWidth="1"/>
    <col min="4873" max="4873" width="1" style="319" customWidth="1"/>
    <col min="4874" max="4874" width="7.1640625" style="319" customWidth="1"/>
    <col min="4875" max="4876" width="7.33203125" style="319" customWidth="1"/>
    <col min="4877" max="4877" width="8.6640625" style="319" customWidth="1"/>
    <col min="4878" max="4878" width="7.33203125" style="319" customWidth="1"/>
    <col min="4879" max="4879" width="8.6640625" style="319" customWidth="1"/>
    <col min="4880" max="4881" width="7.1640625" style="319" customWidth="1"/>
    <col min="4882" max="4882" width="7.5" style="319" customWidth="1"/>
    <col min="4883" max="4883" width="7.1640625" style="319" customWidth="1"/>
    <col min="4884" max="4884" width="8.83203125" style="319" customWidth="1"/>
    <col min="4885" max="4885" width="9.5" style="319" customWidth="1"/>
    <col min="4886" max="4886" width="5.6640625" style="319" customWidth="1"/>
    <col min="4887" max="4887" width="7.1640625" style="319" customWidth="1"/>
    <col min="4888" max="4888" width="5.6640625" style="319" customWidth="1"/>
    <col min="4889" max="4889" width="9.5" style="319" customWidth="1"/>
    <col min="4890" max="4890" width="9.6640625" style="319" customWidth="1"/>
    <col min="4891" max="5120" width="8.83203125" style="319"/>
    <col min="5121" max="5121" width="13" style="319" customWidth="1"/>
    <col min="5122" max="5122" width="7.6640625" style="319" customWidth="1"/>
    <col min="5123" max="5123" width="7" style="319" customWidth="1"/>
    <col min="5124" max="5124" width="8.5" style="319" customWidth="1"/>
    <col min="5125" max="5127" width="6.83203125" style="319" customWidth="1"/>
    <col min="5128" max="5128" width="8.1640625" style="319" customWidth="1"/>
    <col min="5129" max="5129" width="1" style="319" customWidth="1"/>
    <col min="5130" max="5130" width="7.1640625" style="319" customWidth="1"/>
    <col min="5131" max="5132" width="7.33203125" style="319" customWidth="1"/>
    <col min="5133" max="5133" width="8.6640625" style="319" customWidth="1"/>
    <col min="5134" max="5134" width="7.33203125" style="319" customWidth="1"/>
    <col min="5135" max="5135" width="8.6640625" style="319" customWidth="1"/>
    <col min="5136" max="5137" width="7.1640625" style="319" customWidth="1"/>
    <col min="5138" max="5138" width="7.5" style="319" customWidth="1"/>
    <col min="5139" max="5139" width="7.1640625" style="319" customWidth="1"/>
    <col min="5140" max="5140" width="8.83203125" style="319" customWidth="1"/>
    <col min="5141" max="5141" width="9.5" style="319" customWidth="1"/>
    <col min="5142" max="5142" width="5.6640625" style="319" customWidth="1"/>
    <col min="5143" max="5143" width="7.1640625" style="319" customWidth="1"/>
    <col min="5144" max="5144" width="5.6640625" style="319" customWidth="1"/>
    <col min="5145" max="5145" width="9.5" style="319" customWidth="1"/>
    <col min="5146" max="5146" width="9.6640625" style="319" customWidth="1"/>
    <col min="5147" max="5376" width="8.83203125" style="319"/>
    <col min="5377" max="5377" width="13" style="319" customWidth="1"/>
    <col min="5378" max="5378" width="7.6640625" style="319" customWidth="1"/>
    <col min="5379" max="5379" width="7" style="319" customWidth="1"/>
    <col min="5380" max="5380" width="8.5" style="319" customWidth="1"/>
    <col min="5381" max="5383" width="6.83203125" style="319" customWidth="1"/>
    <col min="5384" max="5384" width="8.1640625" style="319" customWidth="1"/>
    <col min="5385" max="5385" width="1" style="319" customWidth="1"/>
    <col min="5386" max="5386" width="7.1640625" style="319" customWidth="1"/>
    <col min="5387" max="5388" width="7.33203125" style="319" customWidth="1"/>
    <col min="5389" max="5389" width="8.6640625" style="319" customWidth="1"/>
    <col min="5390" max="5390" width="7.33203125" style="319" customWidth="1"/>
    <col min="5391" max="5391" width="8.6640625" style="319" customWidth="1"/>
    <col min="5392" max="5393" width="7.1640625" style="319" customWidth="1"/>
    <col min="5394" max="5394" width="7.5" style="319" customWidth="1"/>
    <col min="5395" max="5395" width="7.1640625" style="319" customWidth="1"/>
    <col min="5396" max="5396" width="8.83203125" style="319" customWidth="1"/>
    <col min="5397" max="5397" width="9.5" style="319" customWidth="1"/>
    <col min="5398" max="5398" width="5.6640625" style="319" customWidth="1"/>
    <col min="5399" max="5399" width="7.1640625" style="319" customWidth="1"/>
    <col min="5400" max="5400" width="5.6640625" style="319" customWidth="1"/>
    <col min="5401" max="5401" width="9.5" style="319" customWidth="1"/>
    <col min="5402" max="5402" width="9.6640625" style="319" customWidth="1"/>
    <col min="5403" max="5632" width="8.83203125" style="319"/>
    <col min="5633" max="5633" width="13" style="319" customWidth="1"/>
    <col min="5634" max="5634" width="7.6640625" style="319" customWidth="1"/>
    <col min="5635" max="5635" width="7" style="319" customWidth="1"/>
    <col min="5636" max="5636" width="8.5" style="319" customWidth="1"/>
    <col min="5637" max="5639" width="6.83203125" style="319" customWidth="1"/>
    <col min="5640" max="5640" width="8.1640625" style="319" customWidth="1"/>
    <col min="5641" max="5641" width="1" style="319" customWidth="1"/>
    <col min="5642" max="5642" width="7.1640625" style="319" customWidth="1"/>
    <col min="5643" max="5644" width="7.33203125" style="319" customWidth="1"/>
    <col min="5645" max="5645" width="8.6640625" style="319" customWidth="1"/>
    <col min="5646" max="5646" width="7.33203125" style="319" customWidth="1"/>
    <col min="5647" max="5647" width="8.6640625" style="319" customWidth="1"/>
    <col min="5648" max="5649" width="7.1640625" style="319" customWidth="1"/>
    <col min="5650" max="5650" width="7.5" style="319" customWidth="1"/>
    <col min="5651" max="5651" width="7.1640625" style="319" customWidth="1"/>
    <col min="5652" max="5652" width="8.83203125" style="319" customWidth="1"/>
    <col min="5653" max="5653" width="9.5" style="319" customWidth="1"/>
    <col min="5654" max="5654" width="5.6640625" style="319" customWidth="1"/>
    <col min="5655" max="5655" width="7.1640625" style="319" customWidth="1"/>
    <col min="5656" max="5656" width="5.6640625" style="319" customWidth="1"/>
    <col min="5657" max="5657" width="9.5" style="319" customWidth="1"/>
    <col min="5658" max="5658" width="9.6640625" style="319" customWidth="1"/>
    <col min="5659" max="5888" width="8.83203125" style="319"/>
    <col min="5889" max="5889" width="13" style="319" customWidth="1"/>
    <col min="5890" max="5890" width="7.6640625" style="319" customWidth="1"/>
    <col min="5891" max="5891" width="7" style="319" customWidth="1"/>
    <col min="5892" max="5892" width="8.5" style="319" customWidth="1"/>
    <col min="5893" max="5895" width="6.83203125" style="319" customWidth="1"/>
    <col min="5896" max="5896" width="8.1640625" style="319" customWidth="1"/>
    <col min="5897" max="5897" width="1" style="319" customWidth="1"/>
    <col min="5898" max="5898" width="7.1640625" style="319" customWidth="1"/>
    <col min="5899" max="5900" width="7.33203125" style="319" customWidth="1"/>
    <col min="5901" max="5901" width="8.6640625" style="319" customWidth="1"/>
    <col min="5902" max="5902" width="7.33203125" style="319" customWidth="1"/>
    <col min="5903" max="5903" width="8.6640625" style="319" customWidth="1"/>
    <col min="5904" max="5905" width="7.1640625" style="319" customWidth="1"/>
    <col min="5906" max="5906" width="7.5" style="319" customWidth="1"/>
    <col min="5907" max="5907" width="7.1640625" style="319" customWidth="1"/>
    <col min="5908" max="5908" width="8.83203125" style="319" customWidth="1"/>
    <col min="5909" max="5909" width="9.5" style="319" customWidth="1"/>
    <col min="5910" max="5910" width="5.6640625" style="319" customWidth="1"/>
    <col min="5911" max="5911" width="7.1640625" style="319" customWidth="1"/>
    <col min="5912" max="5912" width="5.6640625" style="319" customWidth="1"/>
    <col min="5913" max="5913" width="9.5" style="319" customWidth="1"/>
    <col min="5914" max="5914" width="9.6640625" style="319" customWidth="1"/>
    <col min="5915" max="6144" width="8.83203125" style="319"/>
    <col min="6145" max="6145" width="13" style="319" customWidth="1"/>
    <col min="6146" max="6146" width="7.6640625" style="319" customWidth="1"/>
    <col min="6147" max="6147" width="7" style="319" customWidth="1"/>
    <col min="6148" max="6148" width="8.5" style="319" customWidth="1"/>
    <col min="6149" max="6151" width="6.83203125" style="319" customWidth="1"/>
    <col min="6152" max="6152" width="8.1640625" style="319" customWidth="1"/>
    <col min="6153" max="6153" width="1" style="319" customWidth="1"/>
    <col min="6154" max="6154" width="7.1640625" style="319" customWidth="1"/>
    <col min="6155" max="6156" width="7.33203125" style="319" customWidth="1"/>
    <col min="6157" max="6157" width="8.6640625" style="319" customWidth="1"/>
    <col min="6158" max="6158" width="7.33203125" style="319" customWidth="1"/>
    <col min="6159" max="6159" width="8.6640625" style="319" customWidth="1"/>
    <col min="6160" max="6161" width="7.1640625" style="319" customWidth="1"/>
    <col min="6162" max="6162" width="7.5" style="319" customWidth="1"/>
    <col min="6163" max="6163" width="7.1640625" style="319" customWidth="1"/>
    <col min="6164" max="6164" width="8.83203125" style="319" customWidth="1"/>
    <col min="6165" max="6165" width="9.5" style="319" customWidth="1"/>
    <col min="6166" max="6166" width="5.6640625" style="319" customWidth="1"/>
    <col min="6167" max="6167" width="7.1640625" style="319" customWidth="1"/>
    <col min="6168" max="6168" width="5.6640625" style="319" customWidth="1"/>
    <col min="6169" max="6169" width="9.5" style="319" customWidth="1"/>
    <col min="6170" max="6170" width="9.6640625" style="319" customWidth="1"/>
    <col min="6171" max="6400" width="8.83203125" style="319"/>
    <col min="6401" max="6401" width="13" style="319" customWidth="1"/>
    <col min="6402" max="6402" width="7.6640625" style="319" customWidth="1"/>
    <col min="6403" max="6403" width="7" style="319" customWidth="1"/>
    <col min="6404" max="6404" width="8.5" style="319" customWidth="1"/>
    <col min="6405" max="6407" width="6.83203125" style="319" customWidth="1"/>
    <col min="6408" max="6408" width="8.1640625" style="319" customWidth="1"/>
    <col min="6409" max="6409" width="1" style="319" customWidth="1"/>
    <col min="6410" max="6410" width="7.1640625" style="319" customWidth="1"/>
    <col min="6411" max="6412" width="7.33203125" style="319" customWidth="1"/>
    <col min="6413" max="6413" width="8.6640625" style="319" customWidth="1"/>
    <col min="6414" max="6414" width="7.33203125" style="319" customWidth="1"/>
    <col min="6415" max="6415" width="8.6640625" style="319" customWidth="1"/>
    <col min="6416" max="6417" width="7.1640625" style="319" customWidth="1"/>
    <col min="6418" max="6418" width="7.5" style="319" customWidth="1"/>
    <col min="6419" max="6419" width="7.1640625" style="319" customWidth="1"/>
    <col min="6420" max="6420" width="8.83203125" style="319" customWidth="1"/>
    <col min="6421" max="6421" width="9.5" style="319" customWidth="1"/>
    <col min="6422" max="6422" width="5.6640625" style="319" customWidth="1"/>
    <col min="6423" max="6423" width="7.1640625" style="319" customWidth="1"/>
    <col min="6424" max="6424" width="5.6640625" style="319" customWidth="1"/>
    <col min="6425" max="6425" width="9.5" style="319" customWidth="1"/>
    <col min="6426" max="6426" width="9.6640625" style="319" customWidth="1"/>
    <col min="6427" max="6656" width="8.83203125" style="319"/>
    <col min="6657" max="6657" width="13" style="319" customWidth="1"/>
    <col min="6658" max="6658" width="7.6640625" style="319" customWidth="1"/>
    <col min="6659" max="6659" width="7" style="319" customWidth="1"/>
    <col min="6660" max="6660" width="8.5" style="319" customWidth="1"/>
    <col min="6661" max="6663" width="6.83203125" style="319" customWidth="1"/>
    <col min="6664" max="6664" width="8.1640625" style="319" customWidth="1"/>
    <col min="6665" max="6665" width="1" style="319" customWidth="1"/>
    <col min="6666" max="6666" width="7.1640625" style="319" customWidth="1"/>
    <col min="6667" max="6668" width="7.33203125" style="319" customWidth="1"/>
    <col min="6669" max="6669" width="8.6640625" style="319" customWidth="1"/>
    <col min="6670" max="6670" width="7.33203125" style="319" customWidth="1"/>
    <col min="6671" max="6671" width="8.6640625" style="319" customWidth="1"/>
    <col min="6672" max="6673" width="7.1640625" style="319" customWidth="1"/>
    <col min="6674" max="6674" width="7.5" style="319" customWidth="1"/>
    <col min="6675" max="6675" width="7.1640625" style="319" customWidth="1"/>
    <col min="6676" max="6676" width="8.83203125" style="319" customWidth="1"/>
    <col min="6677" max="6677" width="9.5" style="319" customWidth="1"/>
    <col min="6678" max="6678" width="5.6640625" style="319" customWidth="1"/>
    <col min="6679" max="6679" width="7.1640625" style="319" customWidth="1"/>
    <col min="6680" max="6680" width="5.6640625" style="319" customWidth="1"/>
    <col min="6681" max="6681" width="9.5" style="319" customWidth="1"/>
    <col min="6682" max="6682" width="9.6640625" style="319" customWidth="1"/>
    <col min="6683" max="6912" width="8.83203125" style="319"/>
    <col min="6913" max="6913" width="13" style="319" customWidth="1"/>
    <col min="6914" max="6914" width="7.6640625" style="319" customWidth="1"/>
    <col min="6915" max="6915" width="7" style="319" customWidth="1"/>
    <col min="6916" max="6916" width="8.5" style="319" customWidth="1"/>
    <col min="6917" max="6919" width="6.83203125" style="319" customWidth="1"/>
    <col min="6920" max="6920" width="8.1640625" style="319" customWidth="1"/>
    <col min="6921" max="6921" width="1" style="319" customWidth="1"/>
    <col min="6922" max="6922" width="7.1640625" style="319" customWidth="1"/>
    <col min="6923" max="6924" width="7.33203125" style="319" customWidth="1"/>
    <col min="6925" max="6925" width="8.6640625" style="319" customWidth="1"/>
    <col min="6926" max="6926" width="7.33203125" style="319" customWidth="1"/>
    <col min="6927" max="6927" width="8.6640625" style="319" customWidth="1"/>
    <col min="6928" max="6929" width="7.1640625" style="319" customWidth="1"/>
    <col min="6930" max="6930" width="7.5" style="319" customWidth="1"/>
    <col min="6931" max="6931" width="7.1640625" style="319" customWidth="1"/>
    <col min="6932" max="6932" width="8.83203125" style="319" customWidth="1"/>
    <col min="6933" max="6933" width="9.5" style="319" customWidth="1"/>
    <col min="6934" max="6934" width="5.6640625" style="319" customWidth="1"/>
    <col min="6935" max="6935" width="7.1640625" style="319" customWidth="1"/>
    <col min="6936" max="6936" width="5.6640625" style="319" customWidth="1"/>
    <col min="6937" max="6937" width="9.5" style="319" customWidth="1"/>
    <col min="6938" max="6938" width="9.6640625" style="319" customWidth="1"/>
    <col min="6939" max="7168" width="8.83203125" style="319"/>
    <col min="7169" max="7169" width="13" style="319" customWidth="1"/>
    <col min="7170" max="7170" width="7.6640625" style="319" customWidth="1"/>
    <col min="7171" max="7171" width="7" style="319" customWidth="1"/>
    <col min="7172" max="7172" width="8.5" style="319" customWidth="1"/>
    <col min="7173" max="7175" width="6.83203125" style="319" customWidth="1"/>
    <col min="7176" max="7176" width="8.1640625" style="319" customWidth="1"/>
    <col min="7177" max="7177" width="1" style="319" customWidth="1"/>
    <col min="7178" max="7178" width="7.1640625" style="319" customWidth="1"/>
    <col min="7179" max="7180" width="7.33203125" style="319" customWidth="1"/>
    <col min="7181" max="7181" width="8.6640625" style="319" customWidth="1"/>
    <col min="7182" max="7182" width="7.33203125" style="319" customWidth="1"/>
    <col min="7183" max="7183" width="8.6640625" style="319" customWidth="1"/>
    <col min="7184" max="7185" width="7.1640625" style="319" customWidth="1"/>
    <col min="7186" max="7186" width="7.5" style="319" customWidth="1"/>
    <col min="7187" max="7187" width="7.1640625" style="319" customWidth="1"/>
    <col min="7188" max="7188" width="8.83203125" style="319" customWidth="1"/>
    <col min="7189" max="7189" width="9.5" style="319" customWidth="1"/>
    <col min="7190" max="7190" width="5.6640625" style="319" customWidth="1"/>
    <col min="7191" max="7191" width="7.1640625" style="319" customWidth="1"/>
    <col min="7192" max="7192" width="5.6640625" style="319" customWidth="1"/>
    <col min="7193" max="7193" width="9.5" style="319" customWidth="1"/>
    <col min="7194" max="7194" width="9.6640625" style="319" customWidth="1"/>
    <col min="7195" max="7424" width="8.83203125" style="319"/>
    <col min="7425" max="7425" width="13" style="319" customWidth="1"/>
    <col min="7426" max="7426" width="7.6640625" style="319" customWidth="1"/>
    <col min="7427" max="7427" width="7" style="319" customWidth="1"/>
    <col min="7428" max="7428" width="8.5" style="319" customWidth="1"/>
    <col min="7429" max="7431" width="6.83203125" style="319" customWidth="1"/>
    <col min="7432" max="7432" width="8.1640625" style="319" customWidth="1"/>
    <col min="7433" max="7433" width="1" style="319" customWidth="1"/>
    <col min="7434" max="7434" width="7.1640625" style="319" customWidth="1"/>
    <col min="7435" max="7436" width="7.33203125" style="319" customWidth="1"/>
    <col min="7437" max="7437" width="8.6640625" style="319" customWidth="1"/>
    <col min="7438" max="7438" width="7.33203125" style="319" customWidth="1"/>
    <col min="7439" max="7439" width="8.6640625" style="319" customWidth="1"/>
    <col min="7440" max="7441" width="7.1640625" style="319" customWidth="1"/>
    <col min="7442" max="7442" width="7.5" style="319" customWidth="1"/>
    <col min="7443" max="7443" width="7.1640625" style="319" customWidth="1"/>
    <col min="7444" max="7444" width="8.83203125" style="319" customWidth="1"/>
    <col min="7445" max="7445" width="9.5" style="319" customWidth="1"/>
    <col min="7446" max="7446" width="5.6640625" style="319" customWidth="1"/>
    <col min="7447" max="7447" width="7.1640625" style="319" customWidth="1"/>
    <col min="7448" max="7448" width="5.6640625" style="319" customWidth="1"/>
    <col min="7449" max="7449" width="9.5" style="319" customWidth="1"/>
    <col min="7450" max="7450" width="9.6640625" style="319" customWidth="1"/>
    <col min="7451" max="7680" width="8.83203125" style="319"/>
    <col min="7681" max="7681" width="13" style="319" customWidth="1"/>
    <col min="7682" max="7682" width="7.6640625" style="319" customWidth="1"/>
    <col min="7683" max="7683" width="7" style="319" customWidth="1"/>
    <col min="7684" max="7684" width="8.5" style="319" customWidth="1"/>
    <col min="7685" max="7687" width="6.83203125" style="319" customWidth="1"/>
    <col min="7688" max="7688" width="8.1640625" style="319" customWidth="1"/>
    <col min="7689" max="7689" width="1" style="319" customWidth="1"/>
    <col min="7690" max="7690" width="7.1640625" style="319" customWidth="1"/>
    <col min="7691" max="7692" width="7.33203125" style="319" customWidth="1"/>
    <col min="7693" max="7693" width="8.6640625" style="319" customWidth="1"/>
    <col min="7694" max="7694" width="7.33203125" style="319" customWidth="1"/>
    <col min="7695" max="7695" width="8.6640625" style="319" customWidth="1"/>
    <col min="7696" max="7697" width="7.1640625" style="319" customWidth="1"/>
    <col min="7698" max="7698" width="7.5" style="319" customWidth="1"/>
    <col min="7699" max="7699" width="7.1640625" style="319" customWidth="1"/>
    <col min="7700" max="7700" width="8.83203125" style="319" customWidth="1"/>
    <col min="7701" max="7701" width="9.5" style="319" customWidth="1"/>
    <col min="7702" max="7702" width="5.6640625" style="319" customWidth="1"/>
    <col min="7703" max="7703" width="7.1640625" style="319" customWidth="1"/>
    <col min="7704" max="7704" width="5.6640625" style="319" customWidth="1"/>
    <col min="7705" max="7705" width="9.5" style="319" customWidth="1"/>
    <col min="7706" max="7706" width="9.6640625" style="319" customWidth="1"/>
    <col min="7707" max="7936" width="8.83203125" style="319"/>
    <col min="7937" max="7937" width="13" style="319" customWidth="1"/>
    <col min="7938" max="7938" width="7.6640625" style="319" customWidth="1"/>
    <col min="7939" max="7939" width="7" style="319" customWidth="1"/>
    <col min="7940" max="7940" width="8.5" style="319" customWidth="1"/>
    <col min="7941" max="7943" width="6.83203125" style="319" customWidth="1"/>
    <col min="7944" max="7944" width="8.1640625" style="319" customWidth="1"/>
    <col min="7945" max="7945" width="1" style="319" customWidth="1"/>
    <col min="7946" max="7946" width="7.1640625" style="319" customWidth="1"/>
    <col min="7947" max="7948" width="7.33203125" style="319" customWidth="1"/>
    <col min="7949" max="7949" width="8.6640625" style="319" customWidth="1"/>
    <col min="7950" max="7950" width="7.33203125" style="319" customWidth="1"/>
    <col min="7951" max="7951" width="8.6640625" style="319" customWidth="1"/>
    <col min="7952" max="7953" width="7.1640625" style="319" customWidth="1"/>
    <col min="7954" max="7954" width="7.5" style="319" customWidth="1"/>
    <col min="7955" max="7955" width="7.1640625" style="319" customWidth="1"/>
    <col min="7956" max="7956" width="8.83203125" style="319" customWidth="1"/>
    <col min="7957" max="7957" width="9.5" style="319" customWidth="1"/>
    <col min="7958" max="7958" width="5.6640625" style="319" customWidth="1"/>
    <col min="7959" max="7959" width="7.1640625" style="319" customWidth="1"/>
    <col min="7960" max="7960" width="5.6640625" style="319" customWidth="1"/>
    <col min="7961" max="7961" width="9.5" style="319" customWidth="1"/>
    <col min="7962" max="7962" width="9.6640625" style="319" customWidth="1"/>
    <col min="7963" max="8192" width="8.83203125" style="319"/>
    <col min="8193" max="8193" width="13" style="319" customWidth="1"/>
    <col min="8194" max="8194" width="7.6640625" style="319" customWidth="1"/>
    <col min="8195" max="8195" width="7" style="319" customWidth="1"/>
    <col min="8196" max="8196" width="8.5" style="319" customWidth="1"/>
    <col min="8197" max="8199" width="6.83203125" style="319" customWidth="1"/>
    <col min="8200" max="8200" width="8.1640625" style="319" customWidth="1"/>
    <col min="8201" max="8201" width="1" style="319" customWidth="1"/>
    <col min="8202" max="8202" width="7.1640625" style="319" customWidth="1"/>
    <col min="8203" max="8204" width="7.33203125" style="319" customWidth="1"/>
    <col min="8205" max="8205" width="8.6640625" style="319" customWidth="1"/>
    <col min="8206" max="8206" width="7.33203125" style="319" customWidth="1"/>
    <col min="8207" max="8207" width="8.6640625" style="319" customWidth="1"/>
    <col min="8208" max="8209" width="7.1640625" style="319" customWidth="1"/>
    <col min="8210" max="8210" width="7.5" style="319" customWidth="1"/>
    <col min="8211" max="8211" width="7.1640625" style="319" customWidth="1"/>
    <col min="8212" max="8212" width="8.83203125" style="319" customWidth="1"/>
    <col min="8213" max="8213" width="9.5" style="319" customWidth="1"/>
    <col min="8214" max="8214" width="5.6640625" style="319" customWidth="1"/>
    <col min="8215" max="8215" width="7.1640625" style="319" customWidth="1"/>
    <col min="8216" max="8216" width="5.6640625" style="319" customWidth="1"/>
    <col min="8217" max="8217" width="9.5" style="319" customWidth="1"/>
    <col min="8218" max="8218" width="9.6640625" style="319" customWidth="1"/>
    <col min="8219" max="8448" width="8.83203125" style="319"/>
    <col min="8449" max="8449" width="13" style="319" customWidth="1"/>
    <col min="8450" max="8450" width="7.6640625" style="319" customWidth="1"/>
    <col min="8451" max="8451" width="7" style="319" customWidth="1"/>
    <col min="8452" max="8452" width="8.5" style="319" customWidth="1"/>
    <col min="8453" max="8455" width="6.83203125" style="319" customWidth="1"/>
    <col min="8456" max="8456" width="8.1640625" style="319" customWidth="1"/>
    <col min="8457" max="8457" width="1" style="319" customWidth="1"/>
    <col min="8458" max="8458" width="7.1640625" style="319" customWidth="1"/>
    <col min="8459" max="8460" width="7.33203125" style="319" customWidth="1"/>
    <col min="8461" max="8461" width="8.6640625" style="319" customWidth="1"/>
    <col min="8462" max="8462" width="7.33203125" style="319" customWidth="1"/>
    <col min="8463" max="8463" width="8.6640625" style="319" customWidth="1"/>
    <col min="8464" max="8465" width="7.1640625" style="319" customWidth="1"/>
    <col min="8466" max="8466" width="7.5" style="319" customWidth="1"/>
    <col min="8467" max="8467" width="7.1640625" style="319" customWidth="1"/>
    <col min="8468" max="8468" width="8.83203125" style="319" customWidth="1"/>
    <col min="8469" max="8469" width="9.5" style="319" customWidth="1"/>
    <col min="8470" max="8470" width="5.6640625" style="319" customWidth="1"/>
    <col min="8471" max="8471" width="7.1640625" style="319" customWidth="1"/>
    <col min="8472" max="8472" width="5.6640625" style="319" customWidth="1"/>
    <col min="8473" max="8473" width="9.5" style="319" customWidth="1"/>
    <col min="8474" max="8474" width="9.6640625" style="319" customWidth="1"/>
    <col min="8475" max="8704" width="8.83203125" style="319"/>
    <col min="8705" max="8705" width="13" style="319" customWidth="1"/>
    <col min="8706" max="8706" width="7.6640625" style="319" customWidth="1"/>
    <col min="8707" max="8707" width="7" style="319" customWidth="1"/>
    <col min="8708" max="8708" width="8.5" style="319" customWidth="1"/>
    <col min="8709" max="8711" width="6.83203125" style="319" customWidth="1"/>
    <col min="8712" max="8712" width="8.1640625" style="319" customWidth="1"/>
    <col min="8713" max="8713" width="1" style="319" customWidth="1"/>
    <col min="8714" max="8714" width="7.1640625" style="319" customWidth="1"/>
    <col min="8715" max="8716" width="7.33203125" style="319" customWidth="1"/>
    <col min="8717" max="8717" width="8.6640625" style="319" customWidth="1"/>
    <col min="8718" max="8718" width="7.33203125" style="319" customWidth="1"/>
    <col min="8719" max="8719" width="8.6640625" style="319" customWidth="1"/>
    <col min="8720" max="8721" width="7.1640625" style="319" customWidth="1"/>
    <col min="8722" max="8722" width="7.5" style="319" customWidth="1"/>
    <col min="8723" max="8723" width="7.1640625" style="319" customWidth="1"/>
    <col min="8724" max="8724" width="8.83203125" style="319" customWidth="1"/>
    <col min="8725" max="8725" width="9.5" style="319" customWidth="1"/>
    <col min="8726" max="8726" width="5.6640625" style="319" customWidth="1"/>
    <col min="8727" max="8727" width="7.1640625" style="319" customWidth="1"/>
    <col min="8728" max="8728" width="5.6640625" style="319" customWidth="1"/>
    <col min="8729" max="8729" width="9.5" style="319" customWidth="1"/>
    <col min="8730" max="8730" width="9.6640625" style="319" customWidth="1"/>
    <col min="8731" max="8960" width="8.83203125" style="319"/>
    <col min="8961" max="8961" width="13" style="319" customWidth="1"/>
    <col min="8962" max="8962" width="7.6640625" style="319" customWidth="1"/>
    <col min="8963" max="8963" width="7" style="319" customWidth="1"/>
    <col min="8964" max="8964" width="8.5" style="319" customWidth="1"/>
    <col min="8965" max="8967" width="6.83203125" style="319" customWidth="1"/>
    <col min="8968" max="8968" width="8.1640625" style="319" customWidth="1"/>
    <col min="8969" max="8969" width="1" style="319" customWidth="1"/>
    <col min="8970" max="8970" width="7.1640625" style="319" customWidth="1"/>
    <col min="8971" max="8972" width="7.33203125" style="319" customWidth="1"/>
    <col min="8973" max="8973" width="8.6640625" style="319" customWidth="1"/>
    <col min="8974" max="8974" width="7.33203125" style="319" customWidth="1"/>
    <col min="8975" max="8975" width="8.6640625" style="319" customWidth="1"/>
    <col min="8976" max="8977" width="7.1640625" style="319" customWidth="1"/>
    <col min="8978" max="8978" width="7.5" style="319" customWidth="1"/>
    <col min="8979" max="8979" width="7.1640625" style="319" customWidth="1"/>
    <col min="8980" max="8980" width="8.83203125" style="319" customWidth="1"/>
    <col min="8981" max="8981" width="9.5" style="319" customWidth="1"/>
    <col min="8982" max="8982" width="5.6640625" style="319" customWidth="1"/>
    <col min="8983" max="8983" width="7.1640625" style="319" customWidth="1"/>
    <col min="8984" max="8984" width="5.6640625" style="319" customWidth="1"/>
    <col min="8985" max="8985" width="9.5" style="319" customWidth="1"/>
    <col min="8986" max="8986" width="9.6640625" style="319" customWidth="1"/>
    <col min="8987" max="9216" width="8.83203125" style="319"/>
    <col min="9217" max="9217" width="13" style="319" customWidth="1"/>
    <col min="9218" max="9218" width="7.6640625" style="319" customWidth="1"/>
    <col min="9219" max="9219" width="7" style="319" customWidth="1"/>
    <col min="9220" max="9220" width="8.5" style="319" customWidth="1"/>
    <col min="9221" max="9223" width="6.83203125" style="319" customWidth="1"/>
    <col min="9224" max="9224" width="8.1640625" style="319" customWidth="1"/>
    <col min="9225" max="9225" width="1" style="319" customWidth="1"/>
    <col min="9226" max="9226" width="7.1640625" style="319" customWidth="1"/>
    <col min="9227" max="9228" width="7.33203125" style="319" customWidth="1"/>
    <col min="9229" max="9229" width="8.6640625" style="319" customWidth="1"/>
    <col min="9230" max="9230" width="7.33203125" style="319" customWidth="1"/>
    <col min="9231" max="9231" width="8.6640625" style="319" customWidth="1"/>
    <col min="9232" max="9233" width="7.1640625" style="319" customWidth="1"/>
    <col min="9234" max="9234" width="7.5" style="319" customWidth="1"/>
    <col min="9235" max="9235" width="7.1640625" style="319" customWidth="1"/>
    <col min="9236" max="9236" width="8.83203125" style="319" customWidth="1"/>
    <col min="9237" max="9237" width="9.5" style="319" customWidth="1"/>
    <col min="9238" max="9238" width="5.6640625" style="319" customWidth="1"/>
    <col min="9239" max="9239" width="7.1640625" style="319" customWidth="1"/>
    <col min="9240" max="9240" width="5.6640625" style="319" customWidth="1"/>
    <col min="9241" max="9241" width="9.5" style="319" customWidth="1"/>
    <col min="9242" max="9242" width="9.6640625" style="319" customWidth="1"/>
    <col min="9243" max="9472" width="8.83203125" style="319"/>
    <col min="9473" max="9473" width="13" style="319" customWidth="1"/>
    <col min="9474" max="9474" width="7.6640625" style="319" customWidth="1"/>
    <col min="9475" max="9475" width="7" style="319" customWidth="1"/>
    <col min="9476" max="9476" width="8.5" style="319" customWidth="1"/>
    <col min="9477" max="9479" width="6.83203125" style="319" customWidth="1"/>
    <col min="9480" max="9480" width="8.1640625" style="319" customWidth="1"/>
    <col min="9481" max="9481" width="1" style="319" customWidth="1"/>
    <col min="9482" max="9482" width="7.1640625" style="319" customWidth="1"/>
    <col min="9483" max="9484" width="7.33203125" style="319" customWidth="1"/>
    <col min="9485" max="9485" width="8.6640625" style="319" customWidth="1"/>
    <col min="9486" max="9486" width="7.33203125" style="319" customWidth="1"/>
    <col min="9487" max="9487" width="8.6640625" style="319" customWidth="1"/>
    <col min="9488" max="9489" width="7.1640625" style="319" customWidth="1"/>
    <col min="9490" max="9490" width="7.5" style="319" customWidth="1"/>
    <col min="9491" max="9491" width="7.1640625" style="319" customWidth="1"/>
    <col min="9492" max="9492" width="8.83203125" style="319" customWidth="1"/>
    <col min="9493" max="9493" width="9.5" style="319" customWidth="1"/>
    <col min="9494" max="9494" width="5.6640625" style="319" customWidth="1"/>
    <col min="9495" max="9495" width="7.1640625" style="319" customWidth="1"/>
    <col min="9496" max="9496" width="5.6640625" style="319" customWidth="1"/>
    <col min="9497" max="9497" width="9.5" style="319" customWidth="1"/>
    <col min="9498" max="9498" width="9.6640625" style="319" customWidth="1"/>
    <col min="9499" max="9728" width="8.83203125" style="319"/>
    <col min="9729" max="9729" width="13" style="319" customWidth="1"/>
    <col min="9730" max="9730" width="7.6640625" style="319" customWidth="1"/>
    <col min="9731" max="9731" width="7" style="319" customWidth="1"/>
    <col min="9732" max="9732" width="8.5" style="319" customWidth="1"/>
    <col min="9733" max="9735" width="6.83203125" style="319" customWidth="1"/>
    <col min="9736" max="9736" width="8.1640625" style="319" customWidth="1"/>
    <col min="9737" max="9737" width="1" style="319" customWidth="1"/>
    <col min="9738" max="9738" width="7.1640625" style="319" customWidth="1"/>
    <col min="9739" max="9740" width="7.33203125" style="319" customWidth="1"/>
    <col min="9741" max="9741" width="8.6640625" style="319" customWidth="1"/>
    <col min="9742" max="9742" width="7.33203125" style="319" customWidth="1"/>
    <col min="9743" max="9743" width="8.6640625" style="319" customWidth="1"/>
    <col min="9744" max="9745" width="7.1640625" style="319" customWidth="1"/>
    <col min="9746" max="9746" width="7.5" style="319" customWidth="1"/>
    <col min="9747" max="9747" width="7.1640625" style="319" customWidth="1"/>
    <col min="9748" max="9748" width="8.83203125" style="319" customWidth="1"/>
    <col min="9749" max="9749" width="9.5" style="319" customWidth="1"/>
    <col min="9750" max="9750" width="5.6640625" style="319" customWidth="1"/>
    <col min="9751" max="9751" width="7.1640625" style="319" customWidth="1"/>
    <col min="9752" max="9752" width="5.6640625" style="319" customWidth="1"/>
    <col min="9753" max="9753" width="9.5" style="319" customWidth="1"/>
    <col min="9754" max="9754" width="9.6640625" style="319" customWidth="1"/>
    <col min="9755" max="9984" width="8.83203125" style="319"/>
    <col min="9985" max="9985" width="13" style="319" customWidth="1"/>
    <col min="9986" max="9986" width="7.6640625" style="319" customWidth="1"/>
    <col min="9987" max="9987" width="7" style="319" customWidth="1"/>
    <col min="9988" max="9988" width="8.5" style="319" customWidth="1"/>
    <col min="9989" max="9991" width="6.83203125" style="319" customWidth="1"/>
    <col min="9992" max="9992" width="8.1640625" style="319" customWidth="1"/>
    <col min="9993" max="9993" width="1" style="319" customWidth="1"/>
    <col min="9994" max="9994" width="7.1640625" style="319" customWidth="1"/>
    <col min="9995" max="9996" width="7.33203125" style="319" customWidth="1"/>
    <col min="9997" max="9997" width="8.6640625" style="319" customWidth="1"/>
    <col min="9998" max="9998" width="7.33203125" style="319" customWidth="1"/>
    <col min="9999" max="9999" width="8.6640625" style="319" customWidth="1"/>
    <col min="10000" max="10001" width="7.1640625" style="319" customWidth="1"/>
    <col min="10002" max="10002" width="7.5" style="319" customWidth="1"/>
    <col min="10003" max="10003" width="7.1640625" style="319" customWidth="1"/>
    <col min="10004" max="10004" width="8.83203125" style="319" customWidth="1"/>
    <col min="10005" max="10005" width="9.5" style="319" customWidth="1"/>
    <col min="10006" max="10006" width="5.6640625" style="319" customWidth="1"/>
    <col min="10007" max="10007" width="7.1640625" style="319" customWidth="1"/>
    <col min="10008" max="10008" width="5.6640625" style="319" customWidth="1"/>
    <col min="10009" max="10009" width="9.5" style="319" customWidth="1"/>
    <col min="10010" max="10010" width="9.6640625" style="319" customWidth="1"/>
    <col min="10011" max="10240" width="8.83203125" style="319"/>
    <col min="10241" max="10241" width="13" style="319" customWidth="1"/>
    <col min="10242" max="10242" width="7.6640625" style="319" customWidth="1"/>
    <col min="10243" max="10243" width="7" style="319" customWidth="1"/>
    <col min="10244" max="10244" width="8.5" style="319" customWidth="1"/>
    <col min="10245" max="10247" width="6.83203125" style="319" customWidth="1"/>
    <col min="10248" max="10248" width="8.1640625" style="319" customWidth="1"/>
    <col min="10249" max="10249" width="1" style="319" customWidth="1"/>
    <col min="10250" max="10250" width="7.1640625" style="319" customWidth="1"/>
    <col min="10251" max="10252" width="7.33203125" style="319" customWidth="1"/>
    <col min="10253" max="10253" width="8.6640625" style="319" customWidth="1"/>
    <col min="10254" max="10254" width="7.33203125" style="319" customWidth="1"/>
    <col min="10255" max="10255" width="8.6640625" style="319" customWidth="1"/>
    <col min="10256" max="10257" width="7.1640625" style="319" customWidth="1"/>
    <col min="10258" max="10258" width="7.5" style="319" customWidth="1"/>
    <col min="10259" max="10259" width="7.1640625" style="319" customWidth="1"/>
    <col min="10260" max="10260" width="8.83203125" style="319" customWidth="1"/>
    <col min="10261" max="10261" width="9.5" style="319" customWidth="1"/>
    <col min="10262" max="10262" width="5.6640625" style="319" customWidth="1"/>
    <col min="10263" max="10263" width="7.1640625" style="319" customWidth="1"/>
    <col min="10264" max="10264" width="5.6640625" style="319" customWidth="1"/>
    <col min="10265" max="10265" width="9.5" style="319" customWidth="1"/>
    <col min="10266" max="10266" width="9.6640625" style="319" customWidth="1"/>
    <col min="10267" max="10496" width="8.83203125" style="319"/>
    <col min="10497" max="10497" width="13" style="319" customWidth="1"/>
    <col min="10498" max="10498" width="7.6640625" style="319" customWidth="1"/>
    <col min="10499" max="10499" width="7" style="319" customWidth="1"/>
    <col min="10500" max="10500" width="8.5" style="319" customWidth="1"/>
    <col min="10501" max="10503" width="6.83203125" style="319" customWidth="1"/>
    <col min="10504" max="10504" width="8.1640625" style="319" customWidth="1"/>
    <col min="10505" max="10505" width="1" style="319" customWidth="1"/>
    <col min="10506" max="10506" width="7.1640625" style="319" customWidth="1"/>
    <col min="10507" max="10508" width="7.33203125" style="319" customWidth="1"/>
    <col min="10509" max="10509" width="8.6640625" style="319" customWidth="1"/>
    <col min="10510" max="10510" width="7.33203125" style="319" customWidth="1"/>
    <col min="10511" max="10511" width="8.6640625" style="319" customWidth="1"/>
    <col min="10512" max="10513" width="7.1640625" style="319" customWidth="1"/>
    <col min="10514" max="10514" width="7.5" style="319" customWidth="1"/>
    <col min="10515" max="10515" width="7.1640625" style="319" customWidth="1"/>
    <col min="10516" max="10516" width="8.83203125" style="319" customWidth="1"/>
    <col min="10517" max="10517" width="9.5" style="319" customWidth="1"/>
    <col min="10518" max="10518" width="5.6640625" style="319" customWidth="1"/>
    <col min="10519" max="10519" width="7.1640625" style="319" customWidth="1"/>
    <col min="10520" max="10520" width="5.6640625" style="319" customWidth="1"/>
    <col min="10521" max="10521" width="9.5" style="319" customWidth="1"/>
    <col min="10522" max="10522" width="9.6640625" style="319" customWidth="1"/>
    <col min="10523" max="10752" width="8.83203125" style="319"/>
    <col min="10753" max="10753" width="13" style="319" customWidth="1"/>
    <col min="10754" max="10754" width="7.6640625" style="319" customWidth="1"/>
    <col min="10755" max="10755" width="7" style="319" customWidth="1"/>
    <col min="10756" max="10756" width="8.5" style="319" customWidth="1"/>
    <col min="10757" max="10759" width="6.83203125" style="319" customWidth="1"/>
    <col min="10760" max="10760" width="8.1640625" style="319" customWidth="1"/>
    <col min="10761" max="10761" width="1" style="319" customWidth="1"/>
    <col min="10762" max="10762" width="7.1640625" style="319" customWidth="1"/>
    <col min="10763" max="10764" width="7.33203125" style="319" customWidth="1"/>
    <col min="10765" max="10765" width="8.6640625" style="319" customWidth="1"/>
    <col min="10766" max="10766" width="7.33203125" style="319" customWidth="1"/>
    <col min="10767" max="10767" width="8.6640625" style="319" customWidth="1"/>
    <col min="10768" max="10769" width="7.1640625" style="319" customWidth="1"/>
    <col min="10770" max="10770" width="7.5" style="319" customWidth="1"/>
    <col min="10771" max="10771" width="7.1640625" style="319" customWidth="1"/>
    <col min="10772" max="10772" width="8.83203125" style="319" customWidth="1"/>
    <col min="10773" max="10773" width="9.5" style="319" customWidth="1"/>
    <col min="10774" max="10774" width="5.6640625" style="319" customWidth="1"/>
    <col min="10775" max="10775" width="7.1640625" style="319" customWidth="1"/>
    <col min="10776" max="10776" width="5.6640625" style="319" customWidth="1"/>
    <col min="10777" max="10777" width="9.5" style="319" customWidth="1"/>
    <col min="10778" max="10778" width="9.6640625" style="319" customWidth="1"/>
    <col min="10779" max="11008" width="8.83203125" style="319"/>
    <col min="11009" max="11009" width="13" style="319" customWidth="1"/>
    <col min="11010" max="11010" width="7.6640625" style="319" customWidth="1"/>
    <col min="11011" max="11011" width="7" style="319" customWidth="1"/>
    <col min="11012" max="11012" width="8.5" style="319" customWidth="1"/>
    <col min="11013" max="11015" width="6.83203125" style="319" customWidth="1"/>
    <col min="11016" max="11016" width="8.1640625" style="319" customWidth="1"/>
    <col min="11017" max="11017" width="1" style="319" customWidth="1"/>
    <col min="11018" max="11018" width="7.1640625" style="319" customWidth="1"/>
    <col min="11019" max="11020" width="7.33203125" style="319" customWidth="1"/>
    <col min="11021" max="11021" width="8.6640625" style="319" customWidth="1"/>
    <col min="11022" max="11022" width="7.33203125" style="319" customWidth="1"/>
    <col min="11023" max="11023" width="8.6640625" style="319" customWidth="1"/>
    <col min="11024" max="11025" width="7.1640625" style="319" customWidth="1"/>
    <col min="11026" max="11026" width="7.5" style="319" customWidth="1"/>
    <col min="11027" max="11027" width="7.1640625" style="319" customWidth="1"/>
    <col min="11028" max="11028" width="8.83203125" style="319" customWidth="1"/>
    <col min="11029" max="11029" width="9.5" style="319" customWidth="1"/>
    <col min="11030" max="11030" width="5.6640625" style="319" customWidth="1"/>
    <col min="11031" max="11031" width="7.1640625" style="319" customWidth="1"/>
    <col min="11032" max="11032" width="5.6640625" style="319" customWidth="1"/>
    <col min="11033" max="11033" width="9.5" style="319" customWidth="1"/>
    <col min="11034" max="11034" width="9.6640625" style="319" customWidth="1"/>
    <col min="11035" max="11264" width="8.83203125" style="319"/>
    <col min="11265" max="11265" width="13" style="319" customWidth="1"/>
    <col min="11266" max="11266" width="7.6640625" style="319" customWidth="1"/>
    <col min="11267" max="11267" width="7" style="319" customWidth="1"/>
    <col min="11268" max="11268" width="8.5" style="319" customWidth="1"/>
    <col min="11269" max="11271" width="6.83203125" style="319" customWidth="1"/>
    <col min="11272" max="11272" width="8.1640625" style="319" customWidth="1"/>
    <col min="11273" max="11273" width="1" style="319" customWidth="1"/>
    <col min="11274" max="11274" width="7.1640625" style="319" customWidth="1"/>
    <col min="11275" max="11276" width="7.33203125" style="319" customWidth="1"/>
    <col min="11277" max="11277" width="8.6640625" style="319" customWidth="1"/>
    <col min="11278" max="11278" width="7.33203125" style="319" customWidth="1"/>
    <col min="11279" max="11279" width="8.6640625" style="319" customWidth="1"/>
    <col min="11280" max="11281" width="7.1640625" style="319" customWidth="1"/>
    <col min="11282" max="11282" width="7.5" style="319" customWidth="1"/>
    <col min="11283" max="11283" width="7.1640625" style="319" customWidth="1"/>
    <col min="11284" max="11284" width="8.83203125" style="319" customWidth="1"/>
    <col min="11285" max="11285" width="9.5" style="319" customWidth="1"/>
    <col min="11286" max="11286" width="5.6640625" style="319" customWidth="1"/>
    <col min="11287" max="11287" width="7.1640625" style="319" customWidth="1"/>
    <col min="11288" max="11288" width="5.6640625" style="319" customWidth="1"/>
    <col min="11289" max="11289" width="9.5" style="319" customWidth="1"/>
    <col min="11290" max="11290" width="9.6640625" style="319" customWidth="1"/>
    <col min="11291" max="11520" width="8.83203125" style="319"/>
    <col min="11521" max="11521" width="13" style="319" customWidth="1"/>
    <col min="11522" max="11522" width="7.6640625" style="319" customWidth="1"/>
    <col min="11523" max="11523" width="7" style="319" customWidth="1"/>
    <col min="11524" max="11524" width="8.5" style="319" customWidth="1"/>
    <col min="11525" max="11527" width="6.83203125" style="319" customWidth="1"/>
    <col min="11528" max="11528" width="8.1640625" style="319" customWidth="1"/>
    <col min="11529" max="11529" width="1" style="319" customWidth="1"/>
    <col min="11530" max="11530" width="7.1640625" style="319" customWidth="1"/>
    <col min="11531" max="11532" width="7.33203125" style="319" customWidth="1"/>
    <col min="11533" max="11533" width="8.6640625" style="319" customWidth="1"/>
    <col min="11534" max="11534" width="7.33203125" style="319" customWidth="1"/>
    <col min="11535" max="11535" width="8.6640625" style="319" customWidth="1"/>
    <col min="11536" max="11537" width="7.1640625" style="319" customWidth="1"/>
    <col min="11538" max="11538" width="7.5" style="319" customWidth="1"/>
    <col min="11539" max="11539" width="7.1640625" style="319" customWidth="1"/>
    <col min="11540" max="11540" width="8.83203125" style="319" customWidth="1"/>
    <col min="11541" max="11541" width="9.5" style="319" customWidth="1"/>
    <col min="11542" max="11542" width="5.6640625" style="319" customWidth="1"/>
    <col min="11543" max="11543" width="7.1640625" style="319" customWidth="1"/>
    <col min="11544" max="11544" width="5.6640625" style="319" customWidth="1"/>
    <col min="11545" max="11545" width="9.5" style="319" customWidth="1"/>
    <col min="11546" max="11546" width="9.6640625" style="319" customWidth="1"/>
    <col min="11547" max="11776" width="8.83203125" style="319"/>
    <col min="11777" max="11777" width="13" style="319" customWidth="1"/>
    <col min="11778" max="11778" width="7.6640625" style="319" customWidth="1"/>
    <col min="11779" max="11779" width="7" style="319" customWidth="1"/>
    <col min="11780" max="11780" width="8.5" style="319" customWidth="1"/>
    <col min="11781" max="11783" width="6.83203125" style="319" customWidth="1"/>
    <col min="11784" max="11784" width="8.1640625" style="319" customWidth="1"/>
    <col min="11785" max="11785" width="1" style="319" customWidth="1"/>
    <col min="11786" max="11786" width="7.1640625" style="319" customWidth="1"/>
    <col min="11787" max="11788" width="7.33203125" style="319" customWidth="1"/>
    <col min="11789" max="11789" width="8.6640625" style="319" customWidth="1"/>
    <col min="11790" max="11790" width="7.33203125" style="319" customWidth="1"/>
    <col min="11791" max="11791" width="8.6640625" style="319" customWidth="1"/>
    <col min="11792" max="11793" width="7.1640625" style="319" customWidth="1"/>
    <col min="11794" max="11794" width="7.5" style="319" customWidth="1"/>
    <col min="11795" max="11795" width="7.1640625" style="319" customWidth="1"/>
    <col min="11796" max="11796" width="8.83203125" style="319" customWidth="1"/>
    <col min="11797" max="11797" width="9.5" style="319" customWidth="1"/>
    <col min="11798" max="11798" width="5.6640625" style="319" customWidth="1"/>
    <col min="11799" max="11799" width="7.1640625" style="319" customWidth="1"/>
    <col min="11800" max="11800" width="5.6640625" style="319" customWidth="1"/>
    <col min="11801" max="11801" width="9.5" style="319" customWidth="1"/>
    <col min="11802" max="11802" width="9.6640625" style="319" customWidth="1"/>
    <col min="11803" max="12032" width="8.83203125" style="319"/>
    <col min="12033" max="12033" width="13" style="319" customWidth="1"/>
    <col min="12034" max="12034" width="7.6640625" style="319" customWidth="1"/>
    <col min="12035" max="12035" width="7" style="319" customWidth="1"/>
    <col min="12036" max="12036" width="8.5" style="319" customWidth="1"/>
    <col min="12037" max="12039" width="6.83203125" style="319" customWidth="1"/>
    <col min="12040" max="12040" width="8.1640625" style="319" customWidth="1"/>
    <col min="12041" max="12041" width="1" style="319" customWidth="1"/>
    <col min="12042" max="12042" width="7.1640625" style="319" customWidth="1"/>
    <col min="12043" max="12044" width="7.33203125" style="319" customWidth="1"/>
    <col min="12045" max="12045" width="8.6640625" style="319" customWidth="1"/>
    <col min="12046" max="12046" width="7.33203125" style="319" customWidth="1"/>
    <col min="12047" max="12047" width="8.6640625" style="319" customWidth="1"/>
    <col min="12048" max="12049" width="7.1640625" style="319" customWidth="1"/>
    <col min="12050" max="12050" width="7.5" style="319" customWidth="1"/>
    <col min="12051" max="12051" width="7.1640625" style="319" customWidth="1"/>
    <col min="12052" max="12052" width="8.83203125" style="319" customWidth="1"/>
    <col min="12053" max="12053" width="9.5" style="319" customWidth="1"/>
    <col min="12054" max="12054" width="5.6640625" style="319" customWidth="1"/>
    <col min="12055" max="12055" width="7.1640625" style="319" customWidth="1"/>
    <col min="12056" max="12056" width="5.6640625" style="319" customWidth="1"/>
    <col min="12057" max="12057" width="9.5" style="319" customWidth="1"/>
    <col min="12058" max="12058" width="9.6640625" style="319" customWidth="1"/>
    <col min="12059" max="12288" width="8.83203125" style="319"/>
    <col min="12289" max="12289" width="13" style="319" customWidth="1"/>
    <col min="12290" max="12290" width="7.6640625" style="319" customWidth="1"/>
    <col min="12291" max="12291" width="7" style="319" customWidth="1"/>
    <col min="12292" max="12292" width="8.5" style="319" customWidth="1"/>
    <col min="12293" max="12295" width="6.83203125" style="319" customWidth="1"/>
    <col min="12296" max="12296" width="8.1640625" style="319" customWidth="1"/>
    <col min="12297" max="12297" width="1" style="319" customWidth="1"/>
    <col min="12298" max="12298" width="7.1640625" style="319" customWidth="1"/>
    <col min="12299" max="12300" width="7.33203125" style="319" customWidth="1"/>
    <col min="12301" max="12301" width="8.6640625" style="319" customWidth="1"/>
    <col min="12302" max="12302" width="7.33203125" style="319" customWidth="1"/>
    <col min="12303" max="12303" width="8.6640625" style="319" customWidth="1"/>
    <col min="12304" max="12305" width="7.1640625" style="319" customWidth="1"/>
    <col min="12306" max="12306" width="7.5" style="319" customWidth="1"/>
    <col min="12307" max="12307" width="7.1640625" style="319" customWidth="1"/>
    <col min="12308" max="12308" width="8.83203125" style="319" customWidth="1"/>
    <col min="12309" max="12309" width="9.5" style="319" customWidth="1"/>
    <col min="12310" max="12310" width="5.6640625" style="319" customWidth="1"/>
    <col min="12311" max="12311" width="7.1640625" style="319" customWidth="1"/>
    <col min="12312" max="12312" width="5.6640625" style="319" customWidth="1"/>
    <col min="12313" max="12313" width="9.5" style="319" customWidth="1"/>
    <col min="12314" max="12314" width="9.6640625" style="319" customWidth="1"/>
    <col min="12315" max="12544" width="8.83203125" style="319"/>
    <col min="12545" max="12545" width="13" style="319" customWidth="1"/>
    <col min="12546" max="12546" width="7.6640625" style="319" customWidth="1"/>
    <col min="12547" max="12547" width="7" style="319" customWidth="1"/>
    <col min="12548" max="12548" width="8.5" style="319" customWidth="1"/>
    <col min="12549" max="12551" width="6.83203125" style="319" customWidth="1"/>
    <col min="12552" max="12552" width="8.1640625" style="319" customWidth="1"/>
    <col min="12553" max="12553" width="1" style="319" customWidth="1"/>
    <col min="12554" max="12554" width="7.1640625" style="319" customWidth="1"/>
    <col min="12555" max="12556" width="7.33203125" style="319" customWidth="1"/>
    <col min="12557" max="12557" width="8.6640625" style="319" customWidth="1"/>
    <col min="12558" max="12558" width="7.33203125" style="319" customWidth="1"/>
    <col min="12559" max="12559" width="8.6640625" style="319" customWidth="1"/>
    <col min="12560" max="12561" width="7.1640625" style="319" customWidth="1"/>
    <col min="12562" max="12562" width="7.5" style="319" customWidth="1"/>
    <col min="12563" max="12563" width="7.1640625" style="319" customWidth="1"/>
    <col min="12564" max="12564" width="8.83203125" style="319" customWidth="1"/>
    <col min="12565" max="12565" width="9.5" style="319" customWidth="1"/>
    <col min="12566" max="12566" width="5.6640625" style="319" customWidth="1"/>
    <col min="12567" max="12567" width="7.1640625" style="319" customWidth="1"/>
    <col min="12568" max="12568" width="5.6640625" style="319" customWidth="1"/>
    <col min="12569" max="12569" width="9.5" style="319" customWidth="1"/>
    <col min="12570" max="12570" width="9.6640625" style="319" customWidth="1"/>
    <col min="12571" max="12800" width="8.83203125" style="319"/>
    <col min="12801" max="12801" width="13" style="319" customWidth="1"/>
    <col min="12802" max="12802" width="7.6640625" style="319" customWidth="1"/>
    <col min="12803" max="12803" width="7" style="319" customWidth="1"/>
    <col min="12804" max="12804" width="8.5" style="319" customWidth="1"/>
    <col min="12805" max="12807" width="6.83203125" style="319" customWidth="1"/>
    <col min="12808" max="12808" width="8.1640625" style="319" customWidth="1"/>
    <col min="12809" max="12809" width="1" style="319" customWidth="1"/>
    <col min="12810" max="12810" width="7.1640625" style="319" customWidth="1"/>
    <col min="12811" max="12812" width="7.33203125" style="319" customWidth="1"/>
    <col min="12813" max="12813" width="8.6640625" style="319" customWidth="1"/>
    <col min="12814" max="12814" width="7.33203125" style="319" customWidth="1"/>
    <col min="12815" max="12815" width="8.6640625" style="319" customWidth="1"/>
    <col min="12816" max="12817" width="7.1640625" style="319" customWidth="1"/>
    <col min="12818" max="12818" width="7.5" style="319" customWidth="1"/>
    <col min="12819" max="12819" width="7.1640625" style="319" customWidth="1"/>
    <col min="12820" max="12820" width="8.83203125" style="319" customWidth="1"/>
    <col min="12821" max="12821" width="9.5" style="319" customWidth="1"/>
    <col min="12822" max="12822" width="5.6640625" style="319" customWidth="1"/>
    <col min="12823" max="12823" width="7.1640625" style="319" customWidth="1"/>
    <col min="12824" max="12824" width="5.6640625" style="319" customWidth="1"/>
    <col min="12825" max="12825" width="9.5" style="319" customWidth="1"/>
    <col min="12826" max="12826" width="9.6640625" style="319" customWidth="1"/>
    <col min="12827" max="13056" width="8.83203125" style="319"/>
    <col min="13057" max="13057" width="13" style="319" customWidth="1"/>
    <col min="13058" max="13058" width="7.6640625" style="319" customWidth="1"/>
    <col min="13059" max="13059" width="7" style="319" customWidth="1"/>
    <col min="13060" max="13060" width="8.5" style="319" customWidth="1"/>
    <col min="13061" max="13063" width="6.83203125" style="319" customWidth="1"/>
    <col min="13064" max="13064" width="8.1640625" style="319" customWidth="1"/>
    <col min="13065" max="13065" width="1" style="319" customWidth="1"/>
    <col min="13066" max="13066" width="7.1640625" style="319" customWidth="1"/>
    <col min="13067" max="13068" width="7.33203125" style="319" customWidth="1"/>
    <col min="13069" max="13069" width="8.6640625" style="319" customWidth="1"/>
    <col min="13070" max="13070" width="7.33203125" style="319" customWidth="1"/>
    <col min="13071" max="13071" width="8.6640625" style="319" customWidth="1"/>
    <col min="13072" max="13073" width="7.1640625" style="319" customWidth="1"/>
    <col min="13074" max="13074" width="7.5" style="319" customWidth="1"/>
    <col min="13075" max="13075" width="7.1640625" style="319" customWidth="1"/>
    <col min="13076" max="13076" width="8.83203125" style="319" customWidth="1"/>
    <col min="13077" max="13077" width="9.5" style="319" customWidth="1"/>
    <col min="13078" max="13078" width="5.6640625" style="319" customWidth="1"/>
    <col min="13079" max="13079" width="7.1640625" style="319" customWidth="1"/>
    <col min="13080" max="13080" width="5.6640625" style="319" customWidth="1"/>
    <col min="13081" max="13081" width="9.5" style="319" customWidth="1"/>
    <col min="13082" max="13082" width="9.6640625" style="319" customWidth="1"/>
    <col min="13083" max="13312" width="8.83203125" style="319"/>
    <col min="13313" max="13313" width="13" style="319" customWidth="1"/>
    <col min="13314" max="13314" width="7.6640625" style="319" customWidth="1"/>
    <col min="13315" max="13315" width="7" style="319" customWidth="1"/>
    <col min="13316" max="13316" width="8.5" style="319" customWidth="1"/>
    <col min="13317" max="13319" width="6.83203125" style="319" customWidth="1"/>
    <col min="13320" max="13320" width="8.1640625" style="319" customWidth="1"/>
    <col min="13321" max="13321" width="1" style="319" customWidth="1"/>
    <col min="13322" max="13322" width="7.1640625" style="319" customWidth="1"/>
    <col min="13323" max="13324" width="7.33203125" style="319" customWidth="1"/>
    <col min="13325" max="13325" width="8.6640625" style="319" customWidth="1"/>
    <col min="13326" max="13326" width="7.33203125" style="319" customWidth="1"/>
    <col min="13327" max="13327" width="8.6640625" style="319" customWidth="1"/>
    <col min="13328" max="13329" width="7.1640625" style="319" customWidth="1"/>
    <col min="13330" max="13330" width="7.5" style="319" customWidth="1"/>
    <col min="13331" max="13331" width="7.1640625" style="319" customWidth="1"/>
    <col min="13332" max="13332" width="8.83203125" style="319" customWidth="1"/>
    <col min="13333" max="13333" width="9.5" style="319" customWidth="1"/>
    <col min="13334" max="13334" width="5.6640625" style="319" customWidth="1"/>
    <col min="13335" max="13335" width="7.1640625" style="319" customWidth="1"/>
    <col min="13336" max="13336" width="5.6640625" style="319" customWidth="1"/>
    <col min="13337" max="13337" width="9.5" style="319" customWidth="1"/>
    <col min="13338" max="13338" width="9.6640625" style="319" customWidth="1"/>
    <col min="13339" max="13568" width="8.83203125" style="319"/>
    <col min="13569" max="13569" width="13" style="319" customWidth="1"/>
    <col min="13570" max="13570" width="7.6640625" style="319" customWidth="1"/>
    <col min="13571" max="13571" width="7" style="319" customWidth="1"/>
    <col min="13572" max="13572" width="8.5" style="319" customWidth="1"/>
    <col min="13573" max="13575" width="6.83203125" style="319" customWidth="1"/>
    <col min="13576" max="13576" width="8.1640625" style="319" customWidth="1"/>
    <col min="13577" max="13577" width="1" style="319" customWidth="1"/>
    <col min="13578" max="13578" width="7.1640625" style="319" customWidth="1"/>
    <col min="13579" max="13580" width="7.33203125" style="319" customWidth="1"/>
    <col min="13581" max="13581" width="8.6640625" style="319" customWidth="1"/>
    <col min="13582" max="13582" width="7.33203125" style="319" customWidth="1"/>
    <col min="13583" max="13583" width="8.6640625" style="319" customWidth="1"/>
    <col min="13584" max="13585" width="7.1640625" style="319" customWidth="1"/>
    <col min="13586" max="13586" width="7.5" style="319" customWidth="1"/>
    <col min="13587" max="13587" width="7.1640625" style="319" customWidth="1"/>
    <col min="13588" max="13588" width="8.83203125" style="319" customWidth="1"/>
    <col min="13589" max="13589" width="9.5" style="319" customWidth="1"/>
    <col min="13590" max="13590" width="5.6640625" style="319" customWidth="1"/>
    <col min="13591" max="13591" width="7.1640625" style="319" customWidth="1"/>
    <col min="13592" max="13592" width="5.6640625" style="319" customWidth="1"/>
    <col min="13593" max="13593" width="9.5" style="319" customWidth="1"/>
    <col min="13594" max="13594" width="9.6640625" style="319" customWidth="1"/>
    <col min="13595" max="13824" width="8.83203125" style="319"/>
    <col min="13825" max="13825" width="13" style="319" customWidth="1"/>
    <col min="13826" max="13826" width="7.6640625" style="319" customWidth="1"/>
    <col min="13827" max="13827" width="7" style="319" customWidth="1"/>
    <col min="13828" max="13828" width="8.5" style="319" customWidth="1"/>
    <col min="13829" max="13831" width="6.83203125" style="319" customWidth="1"/>
    <col min="13832" max="13832" width="8.1640625" style="319" customWidth="1"/>
    <col min="13833" max="13833" width="1" style="319" customWidth="1"/>
    <col min="13834" max="13834" width="7.1640625" style="319" customWidth="1"/>
    <col min="13835" max="13836" width="7.33203125" style="319" customWidth="1"/>
    <col min="13837" max="13837" width="8.6640625" style="319" customWidth="1"/>
    <col min="13838" max="13838" width="7.33203125" style="319" customWidth="1"/>
    <col min="13839" max="13839" width="8.6640625" style="319" customWidth="1"/>
    <col min="13840" max="13841" width="7.1640625" style="319" customWidth="1"/>
    <col min="13842" max="13842" width="7.5" style="319" customWidth="1"/>
    <col min="13843" max="13843" width="7.1640625" style="319" customWidth="1"/>
    <col min="13844" max="13844" width="8.83203125" style="319" customWidth="1"/>
    <col min="13845" max="13845" width="9.5" style="319" customWidth="1"/>
    <col min="13846" max="13846" width="5.6640625" style="319" customWidth="1"/>
    <col min="13847" max="13847" width="7.1640625" style="319" customWidth="1"/>
    <col min="13848" max="13848" width="5.6640625" style="319" customWidth="1"/>
    <col min="13849" max="13849" width="9.5" style="319" customWidth="1"/>
    <col min="13850" max="13850" width="9.6640625" style="319" customWidth="1"/>
    <col min="13851" max="14080" width="8.83203125" style="319"/>
    <col min="14081" max="14081" width="13" style="319" customWidth="1"/>
    <col min="14082" max="14082" width="7.6640625" style="319" customWidth="1"/>
    <col min="14083" max="14083" width="7" style="319" customWidth="1"/>
    <col min="14084" max="14084" width="8.5" style="319" customWidth="1"/>
    <col min="14085" max="14087" width="6.83203125" style="319" customWidth="1"/>
    <col min="14088" max="14088" width="8.1640625" style="319" customWidth="1"/>
    <col min="14089" max="14089" width="1" style="319" customWidth="1"/>
    <col min="14090" max="14090" width="7.1640625" style="319" customWidth="1"/>
    <col min="14091" max="14092" width="7.33203125" style="319" customWidth="1"/>
    <col min="14093" max="14093" width="8.6640625" style="319" customWidth="1"/>
    <col min="14094" max="14094" width="7.33203125" style="319" customWidth="1"/>
    <col min="14095" max="14095" width="8.6640625" style="319" customWidth="1"/>
    <col min="14096" max="14097" width="7.1640625" style="319" customWidth="1"/>
    <col min="14098" max="14098" width="7.5" style="319" customWidth="1"/>
    <col min="14099" max="14099" width="7.1640625" style="319" customWidth="1"/>
    <col min="14100" max="14100" width="8.83203125" style="319" customWidth="1"/>
    <col min="14101" max="14101" width="9.5" style="319" customWidth="1"/>
    <col min="14102" max="14102" width="5.6640625" style="319" customWidth="1"/>
    <col min="14103" max="14103" width="7.1640625" style="319" customWidth="1"/>
    <col min="14104" max="14104" width="5.6640625" style="319" customWidth="1"/>
    <col min="14105" max="14105" width="9.5" style="319" customWidth="1"/>
    <col min="14106" max="14106" width="9.6640625" style="319" customWidth="1"/>
    <col min="14107" max="14336" width="8.83203125" style="319"/>
    <col min="14337" max="14337" width="13" style="319" customWidth="1"/>
    <col min="14338" max="14338" width="7.6640625" style="319" customWidth="1"/>
    <col min="14339" max="14339" width="7" style="319" customWidth="1"/>
    <col min="14340" max="14340" width="8.5" style="319" customWidth="1"/>
    <col min="14341" max="14343" width="6.83203125" style="319" customWidth="1"/>
    <col min="14344" max="14344" width="8.1640625" style="319" customWidth="1"/>
    <col min="14345" max="14345" width="1" style="319" customWidth="1"/>
    <col min="14346" max="14346" width="7.1640625" style="319" customWidth="1"/>
    <col min="14347" max="14348" width="7.33203125" style="319" customWidth="1"/>
    <col min="14349" max="14349" width="8.6640625" style="319" customWidth="1"/>
    <col min="14350" max="14350" width="7.33203125" style="319" customWidth="1"/>
    <col min="14351" max="14351" width="8.6640625" style="319" customWidth="1"/>
    <col min="14352" max="14353" width="7.1640625" style="319" customWidth="1"/>
    <col min="14354" max="14354" width="7.5" style="319" customWidth="1"/>
    <col min="14355" max="14355" width="7.1640625" style="319" customWidth="1"/>
    <col min="14356" max="14356" width="8.83203125" style="319" customWidth="1"/>
    <col min="14357" max="14357" width="9.5" style="319" customWidth="1"/>
    <col min="14358" max="14358" width="5.6640625" style="319" customWidth="1"/>
    <col min="14359" max="14359" width="7.1640625" style="319" customWidth="1"/>
    <col min="14360" max="14360" width="5.6640625" style="319" customWidth="1"/>
    <col min="14361" max="14361" width="9.5" style="319" customWidth="1"/>
    <col min="14362" max="14362" width="9.6640625" style="319" customWidth="1"/>
    <col min="14363" max="14592" width="8.83203125" style="319"/>
    <col min="14593" max="14593" width="13" style="319" customWidth="1"/>
    <col min="14594" max="14594" width="7.6640625" style="319" customWidth="1"/>
    <col min="14595" max="14595" width="7" style="319" customWidth="1"/>
    <col min="14596" max="14596" width="8.5" style="319" customWidth="1"/>
    <col min="14597" max="14599" width="6.83203125" style="319" customWidth="1"/>
    <col min="14600" max="14600" width="8.1640625" style="319" customWidth="1"/>
    <col min="14601" max="14601" width="1" style="319" customWidth="1"/>
    <col min="14602" max="14602" width="7.1640625" style="319" customWidth="1"/>
    <col min="14603" max="14604" width="7.33203125" style="319" customWidth="1"/>
    <col min="14605" max="14605" width="8.6640625" style="319" customWidth="1"/>
    <col min="14606" max="14606" width="7.33203125" style="319" customWidth="1"/>
    <col min="14607" max="14607" width="8.6640625" style="319" customWidth="1"/>
    <col min="14608" max="14609" width="7.1640625" style="319" customWidth="1"/>
    <col min="14610" max="14610" width="7.5" style="319" customWidth="1"/>
    <col min="14611" max="14611" width="7.1640625" style="319" customWidth="1"/>
    <col min="14612" max="14612" width="8.83203125" style="319" customWidth="1"/>
    <col min="14613" max="14613" width="9.5" style="319" customWidth="1"/>
    <col min="14614" max="14614" width="5.6640625" style="319" customWidth="1"/>
    <col min="14615" max="14615" width="7.1640625" style="319" customWidth="1"/>
    <col min="14616" max="14616" width="5.6640625" style="319" customWidth="1"/>
    <col min="14617" max="14617" width="9.5" style="319" customWidth="1"/>
    <col min="14618" max="14618" width="9.6640625" style="319" customWidth="1"/>
    <col min="14619" max="14848" width="8.83203125" style="319"/>
    <col min="14849" max="14849" width="13" style="319" customWidth="1"/>
    <col min="14850" max="14850" width="7.6640625" style="319" customWidth="1"/>
    <col min="14851" max="14851" width="7" style="319" customWidth="1"/>
    <col min="14852" max="14852" width="8.5" style="319" customWidth="1"/>
    <col min="14853" max="14855" width="6.83203125" style="319" customWidth="1"/>
    <col min="14856" max="14856" width="8.1640625" style="319" customWidth="1"/>
    <col min="14857" max="14857" width="1" style="319" customWidth="1"/>
    <col min="14858" max="14858" width="7.1640625" style="319" customWidth="1"/>
    <col min="14859" max="14860" width="7.33203125" style="319" customWidth="1"/>
    <col min="14861" max="14861" width="8.6640625" style="319" customWidth="1"/>
    <col min="14862" max="14862" width="7.33203125" style="319" customWidth="1"/>
    <col min="14863" max="14863" width="8.6640625" style="319" customWidth="1"/>
    <col min="14864" max="14865" width="7.1640625" style="319" customWidth="1"/>
    <col min="14866" max="14866" width="7.5" style="319" customWidth="1"/>
    <col min="14867" max="14867" width="7.1640625" style="319" customWidth="1"/>
    <col min="14868" max="14868" width="8.83203125" style="319" customWidth="1"/>
    <col min="14869" max="14869" width="9.5" style="319" customWidth="1"/>
    <col min="14870" max="14870" width="5.6640625" style="319" customWidth="1"/>
    <col min="14871" max="14871" width="7.1640625" style="319" customWidth="1"/>
    <col min="14872" max="14872" width="5.6640625" style="319" customWidth="1"/>
    <col min="14873" max="14873" width="9.5" style="319" customWidth="1"/>
    <col min="14874" max="14874" width="9.6640625" style="319" customWidth="1"/>
    <col min="14875" max="15104" width="8.83203125" style="319"/>
    <col min="15105" max="15105" width="13" style="319" customWidth="1"/>
    <col min="15106" max="15106" width="7.6640625" style="319" customWidth="1"/>
    <col min="15107" max="15107" width="7" style="319" customWidth="1"/>
    <col min="15108" max="15108" width="8.5" style="319" customWidth="1"/>
    <col min="15109" max="15111" width="6.83203125" style="319" customWidth="1"/>
    <col min="15112" max="15112" width="8.1640625" style="319" customWidth="1"/>
    <col min="15113" max="15113" width="1" style="319" customWidth="1"/>
    <col min="15114" max="15114" width="7.1640625" style="319" customWidth="1"/>
    <col min="15115" max="15116" width="7.33203125" style="319" customWidth="1"/>
    <col min="15117" max="15117" width="8.6640625" style="319" customWidth="1"/>
    <col min="15118" max="15118" width="7.33203125" style="319" customWidth="1"/>
    <col min="15119" max="15119" width="8.6640625" style="319" customWidth="1"/>
    <col min="15120" max="15121" width="7.1640625" style="319" customWidth="1"/>
    <col min="15122" max="15122" width="7.5" style="319" customWidth="1"/>
    <col min="15123" max="15123" width="7.1640625" style="319" customWidth="1"/>
    <col min="15124" max="15124" width="8.83203125" style="319" customWidth="1"/>
    <col min="15125" max="15125" width="9.5" style="319" customWidth="1"/>
    <col min="15126" max="15126" width="5.6640625" style="319" customWidth="1"/>
    <col min="15127" max="15127" width="7.1640625" style="319" customWidth="1"/>
    <col min="15128" max="15128" width="5.6640625" style="319" customWidth="1"/>
    <col min="15129" max="15129" width="9.5" style="319" customWidth="1"/>
    <col min="15130" max="15130" width="9.6640625" style="319" customWidth="1"/>
    <col min="15131" max="15360" width="8.83203125" style="319"/>
    <col min="15361" max="15361" width="13" style="319" customWidth="1"/>
    <col min="15362" max="15362" width="7.6640625" style="319" customWidth="1"/>
    <col min="15363" max="15363" width="7" style="319" customWidth="1"/>
    <col min="15364" max="15364" width="8.5" style="319" customWidth="1"/>
    <col min="15365" max="15367" width="6.83203125" style="319" customWidth="1"/>
    <col min="15368" max="15368" width="8.1640625" style="319" customWidth="1"/>
    <col min="15369" max="15369" width="1" style="319" customWidth="1"/>
    <col min="15370" max="15370" width="7.1640625" style="319" customWidth="1"/>
    <col min="15371" max="15372" width="7.33203125" style="319" customWidth="1"/>
    <col min="15373" max="15373" width="8.6640625" style="319" customWidth="1"/>
    <col min="15374" max="15374" width="7.33203125" style="319" customWidth="1"/>
    <col min="15375" max="15375" width="8.6640625" style="319" customWidth="1"/>
    <col min="15376" max="15377" width="7.1640625" style="319" customWidth="1"/>
    <col min="15378" max="15378" width="7.5" style="319" customWidth="1"/>
    <col min="15379" max="15379" width="7.1640625" style="319" customWidth="1"/>
    <col min="15380" max="15380" width="8.83203125" style="319" customWidth="1"/>
    <col min="15381" max="15381" width="9.5" style="319" customWidth="1"/>
    <col min="15382" max="15382" width="5.6640625" style="319" customWidth="1"/>
    <col min="15383" max="15383" width="7.1640625" style="319" customWidth="1"/>
    <col min="15384" max="15384" width="5.6640625" style="319" customWidth="1"/>
    <col min="15385" max="15385" width="9.5" style="319" customWidth="1"/>
    <col min="15386" max="15386" width="9.6640625" style="319" customWidth="1"/>
    <col min="15387" max="15616" width="8.83203125" style="319"/>
    <col min="15617" max="15617" width="13" style="319" customWidth="1"/>
    <col min="15618" max="15618" width="7.6640625" style="319" customWidth="1"/>
    <col min="15619" max="15619" width="7" style="319" customWidth="1"/>
    <col min="15620" max="15620" width="8.5" style="319" customWidth="1"/>
    <col min="15621" max="15623" width="6.83203125" style="319" customWidth="1"/>
    <col min="15624" max="15624" width="8.1640625" style="319" customWidth="1"/>
    <col min="15625" max="15625" width="1" style="319" customWidth="1"/>
    <col min="15626" max="15626" width="7.1640625" style="319" customWidth="1"/>
    <col min="15627" max="15628" width="7.33203125" style="319" customWidth="1"/>
    <col min="15629" max="15629" width="8.6640625" style="319" customWidth="1"/>
    <col min="15630" max="15630" width="7.33203125" style="319" customWidth="1"/>
    <col min="15631" max="15631" width="8.6640625" style="319" customWidth="1"/>
    <col min="15632" max="15633" width="7.1640625" style="319" customWidth="1"/>
    <col min="15634" max="15634" width="7.5" style="319" customWidth="1"/>
    <col min="15635" max="15635" width="7.1640625" style="319" customWidth="1"/>
    <col min="15636" max="15636" width="8.83203125" style="319" customWidth="1"/>
    <col min="15637" max="15637" width="9.5" style="319" customWidth="1"/>
    <col min="15638" max="15638" width="5.6640625" style="319" customWidth="1"/>
    <col min="15639" max="15639" width="7.1640625" style="319" customWidth="1"/>
    <col min="15640" max="15640" width="5.6640625" style="319" customWidth="1"/>
    <col min="15641" max="15641" width="9.5" style="319" customWidth="1"/>
    <col min="15642" max="15642" width="9.6640625" style="319" customWidth="1"/>
    <col min="15643" max="15872" width="8.83203125" style="319"/>
    <col min="15873" max="15873" width="13" style="319" customWidth="1"/>
    <col min="15874" max="15874" width="7.6640625" style="319" customWidth="1"/>
    <col min="15875" max="15875" width="7" style="319" customWidth="1"/>
    <col min="15876" max="15876" width="8.5" style="319" customWidth="1"/>
    <col min="15877" max="15879" width="6.83203125" style="319" customWidth="1"/>
    <col min="15880" max="15880" width="8.1640625" style="319" customWidth="1"/>
    <col min="15881" max="15881" width="1" style="319" customWidth="1"/>
    <col min="15882" max="15882" width="7.1640625" style="319" customWidth="1"/>
    <col min="15883" max="15884" width="7.33203125" style="319" customWidth="1"/>
    <col min="15885" max="15885" width="8.6640625" style="319" customWidth="1"/>
    <col min="15886" max="15886" width="7.33203125" style="319" customWidth="1"/>
    <col min="15887" max="15887" width="8.6640625" style="319" customWidth="1"/>
    <col min="15888" max="15889" width="7.1640625" style="319" customWidth="1"/>
    <col min="15890" max="15890" width="7.5" style="319" customWidth="1"/>
    <col min="15891" max="15891" width="7.1640625" style="319" customWidth="1"/>
    <col min="15892" max="15892" width="8.83203125" style="319" customWidth="1"/>
    <col min="15893" max="15893" width="9.5" style="319" customWidth="1"/>
    <col min="15894" max="15894" width="5.6640625" style="319" customWidth="1"/>
    <col min="15895" max="15895" width="7.1640625" style="319" customWidth="1"/>
    <col min="15896" max="15896" width="5.6640625" style="319" customWidth="1"/>
    <col min="15897" max="15897" width="9.5" style="319" customWidth="1"/>
    <col min="15898" max="15898" width="9.6640625" style="319" customWidth="1"/>
    <col min="15899" max="16128" width="8.83203125" style="319"/>
    <col min="16129" max="16129" width="13" style="319" customWidth="1"/>
    <col min="16130" max="16130" width="7.6640625" style="319" customWidth="1"/>
    <col min="16131" max="16131" width="7" style="319" customWidth="1"/>
    <col min="16132" max="16132" width="8.5" style="319" customWidth="1"/>
    <col min="16133" max="16135" width="6.83203125" style="319" customWidth="1"/>
    <col min="16136" max="16136" width="8.1640625" style="319" customWidth="1"/>
    <col min="16137" max="16137" width="1" style="319" customWidth="1"/>
    <col min="16138" max="16138" width="7.1640625" style="319" customWidth="1"/>
    <col min="16139" max="16140" width="7.33203125" style="319" customWidth="1"/>
    <col min="16141" max="16141" width="8.6640625" style="319" customWidth="1"/>
    <col min="16142" max="16142" width="7.33203125" style="319" customWidth="1"/>
    <col min="16143" max="16143" width="8.6640625" style="319" customWidth="1"/>
    <col min="16144" max="16145" width="7.1640625" style="319" customWidth="1"/>
    <col min="16146" max="16146" width="7.5" style="319" customWidth="1"/>
    <col min="16147" max="16147" width="7.1640625" style="319" customWidth="1"/>
    <col min="16148" max="16148" width="8.83203125" style="319" customWidth="1"/>
    <col min="16149" max="16149" width="9.5" style="319" customWidth="1"/>
    <col min="16150" max="16150" width="5.6640625" style="319" customWidth="1"/>
    <col min="16151" max="16151" width="7.1640625" style="319" customWidth="1"/>
    <col min="16152" max="16152" width="5.6640625" style="319" customWidth="1"/>
    <col min="16153" max="16153" width="9.5" style="319" customWidth="1"/>
    <col min="16154" max="16154" width="9.6640625" style="319" customWidth="1"/>
    <col min="16155" max="16384" width="8.83203125" style="319"/>
  </cols>
  <sheetData>
    <row r="1" spans="1:29" s="400" customFormat="1" ht="26">
      <c r="A1" s="310" t="s">
        <v>473</v>
      </c>
      <c r="N1" s="401"/>
      <c r="O1" s="401"/>
      <c r="P1" s="401"/>
      <c r="Q1" s="401"/>
      <c r="R1" s="401"/>
      <c r="S1" s="401"/>
      <c r="T1" s="401"/>
      <c r="U1" s="401"/>
      <c r="V1" s="401"/>
      <c r="W1" s="401"/>
      <c r="X1" s="401"/>
      <c r="Y1" s="401"/>
      <c r="Z1" s="401"/>
    </row>
    <row r="2" spans="1:29" ht="18.75" customHeight="1" thickBot="1">
      <c r="A2" s="402"/>
      <c r="B2" s="323"/>
      <c r="C2" s="323"/>
      <c r="D2" s="323"/>
      <c r="E2" s="323"/>
      <c r="F2" s="323"/>
      <c r="G2" s="323"/>
      <c r="H2" s="323"/>
      <c r="I2" s="323"/>
      <c r="J2" s="323"/>
      <c r="K2" s="323"/>
      <c r="L2" s="323"/>
      <c r="M2" s="323" t="s">
        <v>372</v>
      </c>
      <c r="N2" s="403"/>
      <c r="O2" s="403"/>
      <c r="P2" s="403"/>
      <c r="Q2" s="403"/>
      <c r="R2" s="403"/>
      <c r="S2" s="403"/>
      <c r="T2" s="403"/>
      <c r="U2" s="403"/>
      <c r="V2" s="403"/>
      <c r="W2" s="403"/>
      <c r="X2" s="403"/>
      <c r="Y2" s="403"/>
      <c r="Z2" s="403"/>
    </row>
    <row r="3" spans="1:29" ht="11" customHeight="1" thickTop="1">
      <c r="A3" s="404"/>
      <c r="B3" s="1979" t="s">
        <v>474</v>
      </c>
      <c r="C3" s="1979"/>
      <c r="D3" s="1979"/>
      <c r="E3" s="1979"/>
      <c r="F3" s="1979"/>
      <c r="G3" s="1979"/>
      <c r="H3" s="1979"/>
      <c r="I3" s="405"/>
      <c r="J3" s="1979" t="s">
        <v>475</v>
      </c>
      <c r="K3" s="1979"/>
      <c r="L3" s="1979"/>
      <c r="M3" s="1979"/>
      <c r="N3" s="1983"/>
      <c r="O3" s="1983"/>
      <c r="P3" s="1983"/>
      <c r="Q3" s="1983"/>
      <c r="R3" s="1983"/>
      <c r="S3" s="1983"/>
      <c r="T3" s="1983"/>
      <c r="U3" s="1983"/>
      <c r="V3" s="1983"/>
      <c r="W3" s="1983"/>
      <c r="X3" s="1983"/>
      <c r="Y3" s="1983"/>
      <c r="Z3" s="1983"/>
      <c r="AA3" s="340"/>
      <c r="AB3" s="340"/>
      <c r="AC3" s="340"/>
    </row>
    <row r="4" spans="1:29" s="346" customFormat="1" ht="11.25" customHeight="1">
      <c r="A4" s="406"/>
      <c r="B4" s="407" t="s">
        <v>125</v>
      </c>
      <c r="C4" s="407" t="s">
        <v>186</v>
      </c>
      <c r="D4" s="407" t="s">
        <v>14</v>
      </c>
      <c r="E4" s="407" t="s">
        <v>0</v>
      </c>
      <c r="F4" s="407" t="s">
        <v>476</v>
      </c>
      <c r="G4" s="407" t="s">
        <v>373</v>
      </c>
      <c r="H4" s="407" t="s">
        <v>132</v>
      </c>
      <c r="I4" s="407"/>
      <c r="J4" s="407" t="s">
        <v>477</v>
      </c>
      <c r="K4" s="407" t="s">
        <v>477</v>
      </c>
      <c r="L4" s="408" t="s">
        <v>113</v>
      </c>
      <c r="M4" s="409" t="s">
        <v>132</v>
      </c>
      <c r="N4" s="410"/>
      <c r="O4" s="1984"/>
      <c r="P4" s="1984"/>
      <c r="Q4" s="1984"/>
      <c r="R4" s="1984"/>
      <c r="S4" s="1984"/>
      <c r="T4" s="1984"/>
      <c r="U4" s="1984"/>
      <c r="V4" s="410"/>
      <c r="W4" s="1984"/>
      <c r="X4" s="1984"/>
      <c r="Y4" s="1984"/>
      <c r="Z4" s="411"/>
      <c r="AA4" s="406"/>
      <c r="AB4" s="406"/>
      <c r="AC4" s="406"/>
    </row>
    <row r="5" spans="1:29" s="346" customFormat="1" ht="11.25" customHeight="1">
      <c r="A5" s="406"/>
      <c r="B5" s="412"/>
      <c r="C5" s="413"/>
      <c r="D5" s="413"/>
      <c r="E5" s="413"/>
      <c r="F5" s="407" t="s">
        <v>478</v>
      </c>
      <c r="G5" s="414" t="s">
        <v>479</v>
      </c>
      <c r="H5" s="413"/>
      <c r="I5" s="413"/>
      <c r="J5" s="407" t="s">
        <v>480</v>
      </c>
      <c r="K5" s="407" t="s">
        <v>481</v>
      </c>
      <c r="L5" s="415" t="s">
        <v>482</v>
      </c>
      <c r="M5" s="408" t="s">
        <v>483</v>
      </c>
      <c r="N5" s="410"/>
      <c r="O5" s="416"/>
      <c r="P5" s="416"/>
      <c r="Q5" s="416"/>
      <c r="R5" s="416"/>
      <c r="S5" s="416"/>
      <c r="T5" s="416"/>
      <c r="U5" s="416"/>
      <c r="V5" s="416"/>
      <c r="W5" s="416"/>
      <c r="X5" s="416"/>
      <c r="Y5" s="416"/>
      <c r="Z5" s="416"/>
      <c r="AA5" s="406"/>
      <c r="AB5" s="406"/>
      <c r="AC5" s="406"/>
    </row>
    <row r="6" spans="1:29" s="346" customFormat="1" ht="9.75" customHeight="1">
      <c r="A6" s="417"/>
      <c r="B6" s="418"/>
      <c r="C6" s="418"/>
      <c r="D6" s="419"/>
      <c r="E6" s="419"/>
      <c r="F6" s="420" t="s">
        <v>484</v>
      </c>
      <c r="G6" s="419"/>
      <c r="H6" s="419"/>
      <c r="I6" s="419"/>
      <c r="J6" s="421" t="s">
        <v>485</v>
      </c>
      <c r="K6" s="421" t="s">
        <v>486</v>
      </c>
      <c r="L6" s="422"/>
      <c r="M6" s="423" t="s">
        <v>487</v>
      </c>
      <c r="N6" s="410"/>
      <c r="O6" s="416"/>
      <c r="P6" s="416"/>
      <c r="Q6" s="416"/>
      <c r="R6" s="416"/>
      <c r="S6" s="416"/>
      <c r="T6" s="424"/>
      <c r="U6" s="416"/>
      <c r="V6" s="416"/>
      <c r="W6" s="416"/>
      <c r="X6" s="416"/>
      <c r="Y6" s="424"/>
      <c r="Z6" s="416"/>
      <c r="AA6" s="406"/>
      <c r="AB6" s="406"/>
      <c r="AC6" s="406"/>
    </row>
    <row r="7" spans="1:29" ht="14.25" hidden="1" customHeight="1">
      <c r="A7" s="425">
        <v>1996</v>
      </c>
      <c r="B7" s="312"/>
      <c r="C7" s="312"/>
      <c r="D7" s="312"/>
      <c r="E7" s="312"/>
      <c r="F7" s="312"/>
      <c r="G7" s="312"/>
      <c r="H7" s="312"/>
      <c r="I7" s="312"/>
      <c r="J7" s="312"/>
      <c r="K7" s="312"/>
      <c r="L7" s="312"/>
      <c r="M7" s="312"/>
      <c r="N7" s="332"/>
      <c r="O7" s="426"/>
      <c r="P7" s="426"/>
      <c r="Q7" s="426"/>
      <c r="R7" s="426"/>
      <c r="S7" s="427"/>
      <c r="T7" s="426"/>
      <c r="U7" s="426"/>
      <c r="V7" s="426"/>
      <c r="W7" s="426"/>
      <c r="X7" s="426"/>
      <c r="Y7" s="426"/>
      <c r="Z7" s="426"/>
    </row>
    <row r="8" spans="1:29" ht="10.5" hidden="1" customHeight="1">
      <c r="A8" s="329" t="s">
        <v>488</v>
      </c>
      <c r="B8" s="312"/>
      <c r="C8" s="312"/>
      <c r="D8" s="312"/>
      <c r="E8" s="312"/>
      <c r="F8" s="312"/>
      <c r="G8" s="312"/>
      <c r="H8" s="312"/>
      <c r="I8" s="312"/>
      <c r="J8" s="312"/>
      <c r="K8" s="312"/>
      <c r="L8" s="312"/>
      <c r="M8" s="312"/>
      <c r="N8" s="428"/>
      <c r="O8" s="322"/>
      <c r="P8" s="322"/>
      <c r="Q8" s="322"/>
      <c r="R8" s="322"/>
      <c r="S8" s="322"/>
      <c r="T8" s="322"/>
      <c r="U8" s="322"/>
      <c r="V8" s="322"/>
      <c r="W8" s="322"/>
      <c r="X8" s="322"/>
      <c r="Y8" s="322"/>
      <c r="Z8" s="322"/>
    </row>
    <row r="9" spans="1:29" ht="10.5" hidden="1" customHeight="1">
      <c r="A9" s="334" t="s">
        <v>489</v>
      </c>
      <c r="B9" s="336">
        <v>376812</v>
      </c>
      <c r="C9" s="336">
        <v>35099</v>
      </c>
      <c r="D9" s="336">
        <v>176702</v>
      </c>
      <c r="E9" s="336">
        <v>257953</v>
      </c>
      <c r="F9" s="336">
        <v>1524</v>
      </c>
      <c r="G9" s="336">
        <v>0</v>
      </c>
      <c r="H9" s="336">
        <v>848090</v>
      </c>
      <c r="I9" s="336"/>
      <c r="J9" s="336">
        <v>2801</v>
      </c>
      <c r="K9" s="336">
        <v>1556</v>
      </c>
      <c r="L9" s="336">
        <v>0</v>
      </c>
      <c r="M9" s="336">
        <v>852447</v>
      </c>
      <c r="N9" s="371"/>
      <c r="O9" s="322"/>
      <c r="P9" s="322"/>
      <c r="Q9" s="322"/>
      <c r="R9" s="322"/>
      <c r="S9" s="322"/>
      <c r="T9" s="322"/>
      <c r="U9" s="322"/>
      <c r="V9" s="322"/>
      <c r="W9" s="322"/>
      <c r="X9" s="322"/>
      <c r="Y9" s="322"/>
      <c r="Z9" s="322"/>
    </row>
    <row r="10" spans="1:29" ht="10.5" hidden="1" customHeight="1">
      <c r="A10" s="334" t="s">
        <v>490</v>
      </c>
      <c r="B10" s="336">
        <v>140238</v>
      </c>
      <c r="C10" s="336">
        <v>11132</v>
      </c>
      <c r="D10" s="336">
        <v>75301</v>
      </c>
      <c r="E10" s="336">
        <v>94671</v>
      </c>
      <c r="F10" s="336">
        <v>536</v>
      </c>
      <c r="G10" s="336">
        <v>0</v>
      </c>
      <c r="H10" s="336">
        <v>321878</v>
      </c>
      <c r="I10" s="336"/>
      <c r="J10" s="336">
        <v>2801</v>
      </c>
      <c r="K10" s="336">
        <v>1556</v>
      </c>
      <c r="L10" s="336">
        <v>0</v>
      </c>
      <c r="M10" s="336">
        <v>326235</v>
      </c>
      <c r="N10" s="332"/>
      <c r="O10" s="429"/>
      <c r="P10" s="429"/>
      <c r="Q10" s="429"/>
      <c r="R10" s="429"/>
      <c r="S10" s="429"/>
      <c r="T10" s="429"/>
      <c r="U10" s="429"/>
      <c r="V10" s="429"/>
      <c r="W10" s="429"/>
      <c r="X10" s="430"/>
      <c r="Y10" s="429"/>
      <c r="Z10" s="429"/>
    </row>
    <row r="11" spans="1:29" ht="10.5" hidden="1" customHeight="1">
      <c r="A11" s="334" t="s">
        <v>491</v>
      </c>
      <c r="B11" s="336">
        <v>4244</v>
      </c>
      <c r="C11" s="336">
        <v>800</v>
      </c>
      <c r="D11" s="336">
        <v>937</v>
      </c>
      <c r="E11" s="336">
        <v>8851</v>
      </c>
      <c r="F11" s="336">
        <v>48</v>
      </c>
      <c r="G11" s="336">
        <v>0</v>
      </c>
      <c r="H11" s="336">
        <v>14880</v>
      </c>
      <c r="I11" s="336"/>
      <c r="J11" s="336">
        <v>38</v>
      </c>
      <c r="K11" s="336">
        <v>49</v>
      </c>
      <c r="L11" s="336">
        <v>0</v>
      </c>
      <c r="M11" s="336">
        <v>14967</v>
      </c>
      <c r="N11" s="332"/>
      <c r="O11" s="429"/>
      <c r="P11" s="429"/>
      <c r="Q11" s="429"/>
      <c r="R11" s="429"/>
      <c r="S11" s="429"/>
      <c r="T11" s="429"/>
      <c r="U11" s="429"/>
      <c r="V11" s="429"/>
      <c r="W11" s="429"/>
      <c r="X11" s="430"/>
      <c r="Y11" s="429"/>
      <c r="Z11" s="429"/>
    </row>
    <row r="12" spans="1:29" ht="10.5" hidden="1" customHeight="1">
      <c r="A12" s="334" t="s">
        <v>492</v>
      </c>
      <c r="B12" s="336">
        <v>135994</v>
      </c>
      <c r="C12" s="336">
        <v>10332</v>
      </c>
      <c r="D12" s="336">
        <v>74364</v>
      </c>
      <c r="E12" s="336">
        <v>85820</v>
      </c>
      <c r="F12" s="336">
        <v>488</v>
      </c>
      <c r="G12" s="336">
        <v>0</v>
      </c>
      <c r="H12" s="336">
        <v>306998</v>
      </c>
      <c r="I12" s="336"/>
      <c r="J12" s="336">
        <v>2763</v>
      </c>
      <c r="K12" s="336">
        <v>1507</v>
      </c>
      <c r="L12" s="336">
        <v>0</v>
      </c>
      <c r="M12" s="336">
        <v>311268</v>
      </c>
      <c r="N12" s="332"/>
      <c r="O12" s="429"/>
      <c r="P12" s="429"/>
      <c r="Q12" s="429"/>
      <c r="R12" s="429"/>
      <c r="S12" s="429"/>
      <c r="T12" s="429"/>
      <c r="U12" s="429"/>
      <c r="V12" s="429"/>
      <c r="W12" s="429"/>
      <c r="X12" s="429"/>
      <c r="Y12" s="429"/>
      <c r="Z12" s="429"/>
    </row>
    <row r="13" spans="1:29" ht="10.5" hidden="1" customHeight="1">
      <c r="A13" s="334" t="s">
        <v>493</v>
      </c>
      <c r="B13" s="336"/>
      <c r="C13" s="336"/>
      <c r="D13" s="336"/>
      <c r="E13" s="336"/>
      <c r="F13" s="336"/>
      <c r="G13" s="336"/>
      <c r="H13" s="336"/>
      <c r="I13" s="336"/>
      <c r="J13" s="336"/>
      <c r="K13" s="336"/>
      <c r="L13" s="336"/>
      <c r="M13" s="336">
        <v>2430</v>
      </c>
      <c r="N13" s="332"/>
      <c r="O13" s="429"/>
      <c r="P13" s="429"/>
      <c r="Q13" s="430"/>
      <c r="R13" s="430"/>
      <c r="S13" s="429"/>
      <c r="T13" s="429"/>
      <c r="U13" s="429"/>
      <c r="V13" s="429"/>
      <c r="W13" s="429"/>
      <c r="X13" s="430"/>
      <c r="Y13" s="429"/>
      <c r="Z13" s="429"/>
    </row>
    <row r="14" spans="1:29" hidden="1">
      <c r="A14" s="431" t="s">
        <v>494</v>
      </c>
      <c r="B14" s="341"/>
      <c r="C14" s="341"/>
      <c r="D14" s="341"/>
      <c r="E14" s="341"/>
      <c r="F14" s="341"/>
      <c r="G14" s="341"/>
      <c r="H14" s="341"/>
      <c r="I14" s="341"/>
      <c r="J14" s="341"/>
      <c r="K14" s="341"/>
      <c r="L14" s="341"/>
      <c r="M14" s="341">
        <v>308838</v>
      </c>
      <c r="N14" s="332"/>
      <c r="O14" s="429"/>
      <c r="P14" s="429"/>
      <c r="Q14" s="429"/>
      <c r="R14" s="429"/>
      <c r="S14" s="429"/>
      <c r="T14" s="429"/>
      <c r="U14" s="429"/>
      <c r="V14" s="429"/>
      <c r="W14" s="429"/>
      <c r="X14" s="429"/>
      <c r="Y14" s="429"/>
      <c r="Z14" s="430"/>
    </row>
    <row r="15" spans="1:29" ht="10.5" hidden="1" customHeight="1">
      <c r="A15" s="329" t="s">
        <v>495</v>
      </c>
      <c r="B15" s="432"/>
      <c r="C15" s="432"/>
      <c r="D15" s="432"/>
      <c r="E15" s="432"/>
      <c r="F15" s="432"/>
      <c r="G15" s="432"/>
      <c r="H15" s="432"/>
      <c r="I15" s="432"/>
      <c r="J15" s="432"/>
      <c r="K15" s="432"/>
      <c r="L15" s="432"/>
      <c r="M15" s="432"/>
      <c r="N15" s="332"/>
      <c r="O15" s="429"/>
      <c r="P15" s="429"/>
      <c r="Q15" s="429"/>
      <c r="R15" s="429"/>
      <c r="S15" s="429"/>
      <c r="T15" s="429"/>
      <c r="U15" s="429"/>
      <c r="V15" s="429"/>
      <c r="W15" s="429"/>
      <c r="X15" s="429"/>
      <c r="Y15" s="429"/>
      <c r="Z15" s="429"/>
    </row>
    <row r="16" spans="1:29" ht="10.5" hidden="1" customHeight="1">
      <c r="A16" s="334" t="s">
        <v>489</v>
      </c>
      <c r="B16" s="336">
        <v>14126</v>
      </c>
      <c r="C16" s="336">
        <v>10856</v>
      </c>
      <c r="D16" s="336">
        <v>25227</v>
      </c>
      <c r="E16" s="336">
        <v>0</v>
      </c>
      <c r="F16" s="336">
        <v>7140</v>
      </c>
      <c r="G16" s="336">
        <v>16066</v>
      </c>
      <c r="H16" s="336">
        <v>73415</v>
      </c>
      <c r="I16" s="336"/>
      <c r="J16" s="336">
        <v>592</v>
      </c>
      <c r="K16" s="336">
        <v>0</v>
      </c>
      <c r="L16" s="336">
        <v>486</v>
      </c>
      <c r="M16" s="336">
        <v>74492</v>
      </c>
      <c r="N16" s="371"/>
      <c r="O16" s="429"/>
      <c r="P16" s="429"/>
      <c r="Q16" s="429"/>
      <c r="R16" s="429"/>
      <c r="S16" s="429"/>
      <c r="T16" s="429"/>
      <c r="U16" s="429"/>
      <c r="V16" s="429"/>
      <c r="W16" s="429"/>
      <c r="X16" s="429"/>
      <c r="Y16" s="429"/>
      <c r="Z16" s="429"/>
    </row>
    <row r="17" spans="1:26" ht="10.5" hidden="1" customHeight="1">
      <c r="A17" s="334" t="s">
        <v>496</v>
      </c>
      <c r="B17" s="336">
        <v>4978</v>
      </c>
      <c r="C17" s="336">
        <v>3823</v>
      </c>
      <c r="D17" s="336">
        <v>8785</v>
      </c>
      <c r="E17" s="336">
        <v>0</v>
      </c>
      <c r="F17" s="336">
        <v>1685</v>
      </c>
      <c r="G17" s="336">
        <v>4283</v>
      </c>
      <c r="H17" s="336">
        <v>23554</v>
      </c>
      <c r="I17" s="336"/>
      <c r="J17" s="336">
        <v>592</v>
      </c>
      <c r="K17" s="336">
        <v>0</v>
      </c>
      <c r="L17" s="336">
        <v>486</v>
      </c>
      <c r="M17" s="336">
        <v>24632</v>
      </c>
      <c r="N17" s="332"/>
      <c r="O17" s="429"/>
      <c r="P17" s="429"/>
      <c r="Q17" s="429"/>
      <c r="R17" s="429"/>
      <c r="S17" s="429"/>
      <c r="T17" s="429"/>
      <c r="U17" s="429"/>
      <c r="V17" s="429"/>
      <c r="W17" s="429"/>
      <c r="X17" s="429"/>
      <c r="Y17" s="429"/>
      <c r="Z17" s="429"/>
    </row>
    <row r="18" spans="1:26" ht="10.5" hidden="1" customHeight="1">
      <c r="A18" s="334" t="s">
        <v>491</v>
      </c>
      <c r="B18" s="336">
        <v>252</v>
      </c>
      <c r="C18" s="336">
        <v>274</v>
      </c>
      <c r="D18" s="336">
        <v>294</v>
      </c>
      <c r="E18" s="336">
        <v>0</v>
      </c>
      <c r="F18" s="336">
        <v>86</v>
      </c>
      <c r="G18" s="336">
        <v>197</v>
      </c>
      <c r="H18" s="336">
        <v>1103</v>
      </c>
      <c r="I18" s="336"/>
      <c r="J18" s="336">
        <v>8</v>
      </c>
      <c r="K18" s="336">
        <v>0</v>
      </c>
      <c r="L18" s="336">
        <v>0</v>
      </c>
      <c r="M18" s="336">
        <v>1111</v>
      </c>
      <c r="N18" s="332"/>
      <c r="O18" s="429"/>
      <c r="P18" s="429"/>
      <c r="Q18" s="429"/>
      <c r="R18" s="429"/>
      <c r="S18" s="430"/>
      <c r="T18" s="429"/>
      <c r="U18" s="429"/>
      <c r="V18" s="429"/>
      <c r="W18" s="429"/>
      <c r="X18" s="429"/>
      <c r="Y18" s="429"/>
      <c r="Z18" s="429"/>
    </row>
    <row r="19" spans="1:26" ht="10.5" hidden="1" customHeight="1">
      <c r="A19" s="431" t="s">
        <v>497</v>
      </c>
      <c r="B19" s="341">
        <v>4726</v>
      </c>
      <c r="C19" s="341">
        <v>3549</v>
      </c>
      <c r="D19" s="341">
        <v>8491</v>
      </c>
      <c r="E19" s="341">
        <v>0</v>
      </c>
      <c r="F19" s="341">
        <v>1599</v>
      </c>
      <c r="G19" s="341">
        <v>4086</v>
      </c>
      <c r="H19" s="341">
        <v>22451</v>
      </c>
      <c r="I19" s="341"/>
      <c r="J19" s="341">
        <v>584</v>
      </c>
      <c r="K19" s="341">
        <v>0</v>
      </c>
      <c r="L19" s="341">
        <v>486</v>
      </c>
      <c r="M19" s="341">
        <v>23521</v>
      </c>
      <c r="N19" s="332"/>
      <c r="O19" s="429"/>
      <c r="P19" s="429"/>
      <c r="Q19" s="429"/>
      <c r="R19" s="429"/>
      <c r="S19" s="429"/>
      <c r="T19" s="429"/>
      <c r="U19" s="429"/>
      <c r="V19" s="429"/>
      <c r="W19" s="429"/>
      <c r="X19" s="429"/>
      <c r="Y19" s="429"/>
      <c r="Z19" s="429"/>
    </row>
    <row r="20" spans="1:26" ht="10.5" hidden="1" customHeight="1">
      <c r="A20" s="329" t="s">
        <v>498</v>
      </c>
      <c r="B20" s="336"/>
      <c r="C20" s="337"/>
      <c r="D20" s="337"/>
      <c r="E20" s="336"/>
      <c r="F20" s="336"/>
      <c r="G20" s="336"/>
      <c r="H20" s="336"/>
      <c r="I20" s="336"/>
      <c r="J20" s="336"/>
      <c r="K20" s="336"/>
      <c r="L20" s="336"/>
      <c r="M20" s="336"/>
      <c r="N20" s="332"/>
      <c r="O20" s="429"/>
      <c r="P20" s="429"/>
      <c r="Q20" s="429"/>
      <c r="R20" s="429"/>
      <c r="S20" s="429"/>
      <c r="T20" s="429"/>
      <c r="U20" s="429"/>
      <c r="V20" s="429"/>
      <c r="W20" s="429"/>
      <c r="X20" s="429"/>
      <c r="Y20" s="429"/>
      <c r="Z20" s="430"/>
    </row>
    <row r="21" spans="1:26" ht="10.5" hidden="1" customHeight="1">
      <c r="A21" s="334" t="s">
        <v>499</v>
      </c>
      <c r="B21" s="336">
        <v>390938</v>
      </c>
      <c r="C21" s="336">
        <v>45955</v>
      </c>
      <c r="D21" s="336">
        <v>201929</v>
      </c>
      <c r="E21" s="336">
        <v>257953</v>
      </c>
      <c r="F21" s="336">
        <v>8664</v>
      </c>
      <c r="G21" s="336">
        <v>16066</v>
      </c>
      <c r="H21" s="336">
        <v>921505</v>
      </c>
      <c r="I21" s="336"/>
      <c r="J21" s="336">
        <v>3393</v>
      </c>
      <c r="K21" s="336">
        <v>1556</v>
      </c>
      <c r="L21" s="336">
        <v>486</v>
      </c>
      <c r="M21" s="336">
        <v>926939</v>
      </c>
      <c r="N21" s="371"/>
      <c r="O21" s="429"/>
      <c r="P21" s="429"/>
      <c r="Q21" s="429"/>
      <c r="R21" s="429"/>
      <c r="S21" s="429"/>
      <c r="T21" s="429"/>
      <c r="U21" s="429"/>
      <c r="V21" s="429"/>
      <c r="W21" s="429"/>
      <c r="X21" s="429"/>
      <c r="Y21" s="429"/>
      <c r="Z21" s="429"/>
    </row>
    <row r="22" spans="1:26" ht="10.5" hidden="1" customHeight="1">
      <c r="A22" s="334" t="s">
        <v>496</v>
      </c>
      <c r="B22" s="336">
        <v>145216</v>
      </c>
      <c r="C22" s="336">
        <v>14955</v>
      </c>
      <c r="D22" s="336">
        <v>84086</v>
      </c>
      <c r="E22" s="336">
        <v>94671</v>
      </c>
      <c r="F22" s="336">
        <v>2221</v>
      </c>
      <c r="G22" s="336">
        <v>4283</v>
      </c>
      <c r="H22" s="336">
        <v>345432</v>
      </c>
      <c r="I22" s="336"/>
      <c r="J22" s="336">
        <v>3393</v>
      </c>
      <c r="K22" s="336">
        <v>1556</v>
      </c>
      <c r="L22" s="336">
        <v>486</v>
      </c>
      <c r="M22" s="336">
        <v>350867</v>
      </c>
      <c r="N22" s="332"/>
      <c r="O22" s="429"/>
      <c r="P22" s="429"/>
      <c r="Q22" s="429"/>
      <c r="R22" s="429"/>
      <c r="S22" s="429"/>
      <c r="T22" s="429"/>
      <c r="U22" s="429"/>
      <c r="V22" s="429"/>
      <c r="W22" s="429"/>
      <c r="X22" s="430"/>
      <c r="Y22" s="429"/>
      <c r="Z22" s="429"/>
    </row>
    <row r="23" spans="1:26" ht="10.5" hidden="1" customHeight="1">
      <c r="A23" s="334" t="s">
        <v>491</v>
      </c>
      <c r="B23" s="336">
        <v>4496</v>
      </c>
      <c r="C23" s="336">
        <v>1074</v>
      </c>
      <c r="D23" s="336">
        <v>1231</v>
      </c>
      <c r="E23" s="336">
        <v>8851</v>
      </c>
      <c r="F23" s="336">
        <v>134</v>
      </c>
      <c r="G23" s="336">
        <v>197</v>
      </c>
      <c r="H23" s="336">
        <v>15983</v>
      </c>
      <c r="I23" s="336"/>
      <c r="J23" s="336">
        <v>46</v>
      </c>
      <c r="K23" s="336">
        <v>49</v>
      </c>
      <c r="L23" s="336">
        <v>0</v>
      </c>
      <c r="M23" s="336">
        <v>16078</v>
      </c>
      <c r="N23" s="332"/>
      <c r="O23" s="429"/>
      <c r="P23" s="429"/>
      <c r="Q23" s="429"/>
      <c r="R23" s="429"/>
      <c r="S23" s="429"/>
      <c r="T23" s="429"/>
      <c r="U23" s="429"/>
      <c r="V23" s="429"/>
      <c r="W23" s="429"/>
      <c r="X23" s="430"/>
      <c r="Y23" s="429"/>
      <c r="Z23" s="429"/>
    </row>
    <row r="24" spans="1:26" ht="10.5" hidden="1" customHeight="1">
      <c r="A24" s="334" t="s">
        <v>492</v>
      </c>
      <c r="B24" s="339">
        <v>140720</v>
      </c>
      <c r="C24" s="339">
        <v>13881</v>
      </c>
      <c r="D24" s="339">
        <v>82855</v>
      </c>
      <c r="E24" s="339">
        <v>85820</v>
      </c>
      <c r="F24" s="339">
        <v>2087</v>
      </c>
      <c r="G24" s="339">
        <v>4086</v>
      </c>
      <c r="H24" s="339">
        <v>329449</v>
      </c>
      <c r="I24" s="339"/>
      <c r="J24" s="339">
        <v>3347</v>
      </c>
      <c r="K24" s="339">
        <v>1507</v>
      </c>
      <c r="L24" s="339">
        <v>486</v>
      </c>
      <c r="M24" s="339">
        <v>334789</v>
      </c>
      <c r="N24" s="332"/>
      <c r="O24" s="429"/>
      <c r="P24" s="429"/>
      <c r="Q24" s="429"/>
      <c r="R24" s="429"/>
      <c r="S24" s="429"/>
      <c r="T24" s="429"/>
      <c r="U24" s="430"/>
      <c r="V24" s="429"/>
      <c r="W24" s="429"/>
      <c r="X24" s="429"/>
      <c r="Y24" s="429"/>
      <c r="Z24" s="429"/>
    </row>
    <row r="25" spans="1:26" ht="10.5" hidden="1" customHeight="1">
      <c r="A25" s="334" t="s">
        <v>493</v>
      </c>
      <c r="B25" s="336"/>
      <c r="C25" s="336"/>
      <c r="D25" s="336"/>
      <c r="E25" s="336"/>
      <c r="F25" s="336"/>
      <c r="G25" s="336"/>
      <c r="H25" s="336"/>
      <c r="I25" s="336"/>
      <c r="J25" s="336"/>
      <c r="K25" s="336"/>
      <c r="L25" s="336"/>
      <c r="M25" s="336">
        <v>2430</v>
      </c>
      <c r="N25" s="332"/>
      <c r="O25" s="429"/>
      <c r="P25" s="429"/>
      <c r="Q25" s="429"/>
      <c r="R25" s="430"/>
      <c r="S25" s="429"/>
      <c r="T25" s="429"/>
      <c r="U25" s="429"/>
      <c r="V25" s="429"/>
      <c r="W25" s="429"/>
      <c r="X25" s="430"/>
      <c r="Y25" s="429"/>
      <c r="Z25" s="429"/>
    </row>
    <row r="26" spans="1:26" ht="10.5" hidden="1" customHeight="1" thickBot="1">
      <c r="A26" s="433" t="s">
        <v>494</v>
      </c>
      <c r="B26" s="434"/>
      <c r="C26" s="434"/>
      <c r="D26" s="434"/>
      <c r="E26" s="434"/>
      <c r="F26" s="434"/>
      <c r="G26" s="434"/>
      <c r="H26" s="434"/>
      <c r="I26" s="434"/>
      <c r="J26" s="434"/>
      <c r="K26" s="434"/>
      <c r="L26" s="434"/>
      <c r="M26" s="434">
        <v>332359</v>
      </c>
      <c r="N26" s="332"/>
      <c r="O26" s="429"/>
      <c r="P26" s="429"/>
      <c r="Q26" s="429"/>
      <c r="R26" s="429"/>
      <c r="S26" s="429"/>
      <c r="T26" s="429"/>
      <c r="U26" s="429"/>
      <c r="V26" s="429"/>
      <c r="W26" s="429"/>
      <c r="X26" s="429"/>
      <c r="Y26" s="429"/>
      <c r="Z26" s="430"/>
    </row>
    <row r="27" spans="1:26" ht="14.25" hidden="1" customHeight="1" thickTop="1">
      <c r="A27" s="425">
        <v>1997</v>
      </c>
      <c r="B27" s="336"/>
      <c r="C27" s="336"/>
      <c r="D27" s="336"/>
      <c r="E27" s="336"/>
      <c r="F27" s="336"/>
      <c r="G27" s="336"/>
      <c r="H27" s="336"/>
      <c r="I27" s="336"/>
      <c r="J27" s="336"/>
      <c r="K27" s="336"/>
      <c r="L27" s="336"/>
      <c r="M27" s="336"/>
      <c r="N27" s="332"/>
      <c r="O27" s="429"/>
      <c r="P27" s="429"/>
      <c r="Q27" s="429"/>
      <c r="R27" s="429"/>
      <c r="S27" s="429"/>
      <c r="T27" s="429"/>
      <c r="U27" s="429"/>
      <c r="V27" s="429"/>
      <c r="W27" s="429"/>
      <c r="X27" s="429"/>
      <c r="Y27" s="429"/>
      <c r="Z27" s="429"/>
    </row>
    <row r="28" spans="1:26" ht="10.5" hidden="1" customHeight="1">
      <c r="A28" s="329" t="s">
        <v>488</v>
      </c>
      <c r="B28" s="336"/>
      <c r="C28" s="336"/>
      <c r="D28" s="336"/>
      <c r="E28" s="336"/>
      <c r="F28" s="336"/>
      <c r="G28" s="336"/>
      <c r="H28" s="336"/>
      <c r="I28" s="336"/>
      <c r="J28" s="336"/>
      <c r="K28" s="336"/>
      <c r="L28" s="336"/>
      <c r="M28" s="336"/>
      <c r="N28" s="428"/>
      <c r="O28" s="429"/>
      <c r="P28" s="429"/>
      <c r="Q28" s="429"/>
      <c r="R28" s="429"/>
      <c r="S28" s="429"/>
      <c r="T28" s="429"/>
      <c r="U28" s="429"/>
      <c r="V28" s="429"/>
      <c r="W28" s="429"/>
      <c r="X28" s="429"/>
      <c r="Y28" s="429"/>
      <c r="Z28" s="429"/>
    </row>
    <row r="29" spans="1:26" ht="10.5" hidden="1" customHeight="1">
      <c r="A29" s="334" t="s">
        <v>489</v>
      </c>
      <c r="B29" s="336">
        <v>322302</v>
      </c>
      <c r="C29" s="336">
        <v>16015</v>
      </c>
      <c r="D29" s="336">
        <v>223691</v>
      </c>
      <c r="E29" s="336">
        <v>267428</v>
      </c>
      <c r="F29" s="336">
        <v>1617</v>
      </c>
      <c r="G29" s="336">
        <v>0</v>
      </c>
      <c r="H29" s="336">
        <v>831053</v>
      </c>
      <c r="I29" s="336"/>
      <c r="J29" s="336">
        <v>3337</v>
      </c>
      <c r="K29" s="336">
        <v>1486</v>
      </c>
      <c r="L29" s="336">
        <v>0</v>
      </c>
      <c r="M29" s="336">
        <v>835876</v>
      </c>
      <c r="N29" s="371"/>
      <c r="O29" s="429"/>
      <c r="P29" s="429"/>
      <c r="Q29" s="429"/>
      <c r="R29" s="429"/>
      <c r="S29" s="429"/>
      <c r="T29" s="429"/>
      <c r="U29" s="429"/>
      <c r="V29" s="429"/>
      <c r="W29" s="429"/>
      <c r="X29" s="429"/>
      <c r="Y29" s="429"/>
      <c r="Z29" s="429"/>
    </row>
    <row r="30" spans="1:26" ht="10.5" hidden="1" customHeight="1">
      <c r="A30" s="334" t="s">
        <v>490</v>
      </c>
      <c r="B30" s="336">
        <v>114968</v>
      </c>
      <c r="C30" s="336">
        <v>5267</v>
      </c>
      <c r="D30" s="336">
        <v>100330</v>
      </c>
      <c r="E30" s="336">
        <v>98146</v>
      </c>
      <c r="F30" s="336">
        <v>599</v>
      </c>
      <c r="G30" s="336">
        <v>0</v>
      </c>
      <c r="H30" s="336">
        <v>319310</v>
      </c>
      <c r="I30" s="336"/>
      <c r="J30" s="336">
        <v>3337</v>
      </c>
      <c r="K30" s="336">
        <v>1486</v>
      </c>
      <c r="L30" s="336">
        <v>0</v>
      </c>
      <c r="M30" s="336">
        <v>324133</v>
      </c>
      <c r="N30" s="332"/>
      <c r="O30" s="430"/>
      <c r="P30" s="430"/>
      <c r="Q30" s="430"/>
      <c r="R30" s="430"/>
      <c r="S30" s="430"/>
      <c r="T30" s="429"/>
      <c r="U30" s="430"/>
      <c r="V30" s="429"/>
      <c r="W30" s="430"/>
      <c r="X30" s="430"/>
      <c r="Y30" s="429"/>
      <c r="Z30" s="430"/>
    </row>
    <row r="31" spans="1:26" ht="10.5" hidden="1" customHeight="1">
      <c r="A31" s="334" t="s">
        <v>491</v>
      </c>
      <c r="B31" s="336">
        <v>4909</v>
      </c>
      <c r="C31" s="336">
        <v>378</v>
      </c>
      <c r="D31" s="336">
        <v>1177</v>
      </c>
      <c r="E31" s="336">
        <v>8805</v>
      </c>
      <c r="F31" s="336">
        <v>57</v>
      </c>
      <c r="G31" s="336">
        <v>0</v>
      </c>
      <c r="H31" s="336">
        <v>15326</v>
      </c>
      <c r="I31" s="336"/>
      <c r="J31" s="336">
        <v>38</v>
      </c>
      <c r="K31" s="336">
        <v>47</v>
      </c>
      <c r="L31" s="336">
        <v>0</v>
      </c>
      <c r="M31" s="336">
        <v>15411</v>
      </c>
      <c r="N31" s="332"/>
      <c r="O31" s="430"/>
      <c r="P31" s="430"/>
      <c r="Q31" s="430"/>
      <c r="R31" s="430"/>
      <c r="S31" s="429"/>
      <c r="T31" s="429"/>
      <c r="U31" s="430"/>
      <c r="V31" s="429"/>
      <c r="W31" s="430"/>
      <c r="X31" s="430"/>
      <c r="Y31" s="429"/>
      <c r="Z31" s="430"/>
    </row>
    <row r="32" spans="1:26" ht="10.5" hidden="1" customHeight="1">
      <c r="A32" s="334" t="s">
        <v>492</v>
      </c>
      <c r="B32" s="336">
        <v>110059</v>
      </c>
      <c r="C32" s="336">
        <v>4889</v>
      </c>
      <c r="D32" s="336">
        <v>99153</v>
      </c>
      <c r="E32" s="336">
        <v>89341</v>
      </c>
      <c r="F32" s="336">
        <v>542</v>
      </c>
      <c r="G32" s="336">
        <v>0</v>
      </c>
      <c r="H32" s="336">
        <v>303984</v>
      </c>
      <c r="I32" s="336"/>
      <c r="J32" s="336">
        <v>3299</v>
      </c>
      <c r="K32" s="336">
        <v>1439</v>
      </c>
      <c r="L32" s="336">
        <v>0</v>
      </c>
      <c r="M32" s="336">
        <v>308722</v>
      </c>
      <c r="N32" s="332"/>
      <c r="O32" s="430"/>
      <c r="P32" s="429"/>
      <c r="Q32" s="430"/>
      <c r="R32" s="430"/>
      <c r="S32" s="429"/>
      <c r="T32" s="429"/>
      <c r="U32" s="430"/>
      <c r="V32" s="429"/>
      <c r="W32" s="429"/>
      <c r="X32" s="429"/>
      <c r="Y32" s="429"/>
      <c r="Z32" s="430"/>
    </row>
    <row r="33" spans="1:26" ht="10.5" hidden="1" customHeight="1">
      <c r="A33" s="334" t="s">
        <v>493</v>
      </c>
      <c r="B33" s="336"/>
      <c r="C33" s="336"/>
      <c r="D33" s="336"/>
      <c r="E33" s="336"/>
      <c r="F33" s="336"/>
      <c r="G33" s="336"/>
      <c r="H33" s="336"/>
      <c r="I33" s="336"/>
      <c r="J33" s="336"/>
      <c r="K33" s="336"/>
      <c r="L33" s="336"/>
      <c r="M33" s="336">
        <v>2477</v>
      </c>
      <c r="N33" s="332"/>
      <c r="O33" s="430"/>
      <c r="P33" s="430"/>
      <c r="Q33" s="430"/>
      <c r="R33" s="430"/>
      <c r="S33" s="429"/>
      <c r="T33" s="429"/>
      <c r="U33" s="430"/>
      <c r="V33" s="429"/>
      <c r="W33" s="430"/>
      <c r="X33" s="430"/>
      <c r="Y33" s="429"/>
      <c r="Z33" s="430"/>
    </row>
    <row r="34" spans="1:26" ht="10.5" hidden="1" customHeight="1">
      <c r="A34" s="431" t="s">
        <v>494</v>
      </c>
      <c r="B34" s="341"/>
      <c r="C34" s="341"/>
      <c r="D34" s="341"/>
      <c r="E34" s="341"/>
      <c r="F34" s="341"/>
      <c r="G34" s="341"/>
      <c r="H34" s="341"/>
      <c r="I34" s="341"/>
      <c r="J34" s="341"/>
      <c r="K34" s="341"/>
      <c r="L34" s="341"/>
      <c r="M34" s="341">
        <v>306245</v>
      </c>
      <c r="N34" s="332"/>
      <c r="O34" s="429"/>
      <c r="P34" s="429"/>
      <c r="Q34" s="429"/>
      <c r="R34" s="429"/>
      <c r="S34" s="429"/>
      <c r="T34" s="429"/>
      <c r="U34" s="429"/>
      <c r="V34" s="429"/>
      <c r="W34" s="429"/>
      <c r="X34" s="429"/>
      <c r="Y34" s="429"/>
      <c r="Z34" s="430"/>
    </row>
    <row r="35" spans="1:26" s="346" customFormat="1" ht="11.5" hidden="1" customHeight="1">
      <c r="A35" s="386" t="s">
        <v>495</v>
      </c>
      <c r="B35" s="388"/>
      <c r="C35" s="388"/>
      <c r="D35" s="388"/>
      <c r="E35" s="388"/>
      <c r="F35" s="388"/>
      <c r="G35" s="388"/>
      <c r="H35" s="388"/>
      <c r="I35" s="388"/>
      <c r="J35" s="388"/>
      <c r="K35" s="388"/>
      <c r="L35" s="388"/>
      <c r="M35" s="388"/>
      <c r="N35" s="410"/>
      <c r="O35" s="435"/>
      <c r="P35" s="435"/>
      <c r="Q35" s="435"/>
      <c r="R35" s="435"/>
      <c r="S35" s="435"/>
      <c r="T35" s="435"/>
      <c r="U35" s="435"/>
      <c r="V35" s="435"/>
      <c r="W35" s="435"/>
      <c r="X35" s="435"/>
      <c r="Y35" s="435"/>
      <c r="Z35" s="436"/>
    </row>
    <row r="36" spans="1:26" ht="10.5" hidden="1" customHeight="1">
      <c r="A36" s="334" t="s">
        <v>489</v>
      </c>
      <c r="B36" s="336">
        <v>14312</v>
      </c>
      <c r="C36" s="336">
        <v>9238</v>
      </c>
      <c r="D36" s="336">
        <v>28096</v>
      </c>
      <c r="E36" s="336">
        <v>0</v>
      </c>
      <c r="F36" s="336">
        <v>8695</v>
      </c>
      <c r="G36" s="336">
        <v>16066</v>
      </c>
      <c r="H36" s="336">
        <v>76407</v>
      </c>
      <c r="I36" s="336"/>
      <c r="J36" s="336">
        <v>832</v>
      </c>
      <c r="K36" s="336">
        <v>0</v>
      </c>
      <c r="L36" s="336">
        <v>667</v>
      </c>
      <c r="M36" s="336">
        <v>77907</v>
      </c>
      <c r="N36" s="371"/>
      <c r="O36" s="429"/>
      <c r="P36" s="429"/>
      <c r="Q36" s="429"/>
      <c r="R36" s="429"/>
      <c r="S36" s="429"/>
      <c r="T36" s="429"/>
      <c r="U36" s="429"/>
      <c r="V36" s="429"/>
      <c r="W36" s="429"/>
      <c r="X36" s="429"/>
      <c r="Y36" s="429"/>
      <c r="Z36" s="429"/>
    </row>
    <row r="37" spans="1:26" ht="10.5" hidden="1" customHeight="1">
      <c r="A37" s="334" t="s">
        <v>496</v>
      </c>
      <c r="B37" s="336">
        <v>4750</v>
      </c>
      <c r="C37" s="336">
        <v>3419</v>
      </c>
      <c r="D37" s="336">
        <v>10633</v>
      </c>
      <c r="E37" s="336">
        <v>0</v>
      </c>
      <c r="F37" s="336">
        <v>1994</v>
      </c>
      <c r="G37" s="336">
        <v>4239</v>
      </c>
      <c r="H37" s="336">
        <v>25035</v>
      </c>
      <c r="I37" s="336"/>
      <c r="J37" s="336">
        <v>832</v>
      </c>
      <c r="K37" s="336">
        <v>0</v>
      </c>
      <c r="L37" s="336">
        <v>667</v>
      </c>
      <c r="M37" s="336">
        <v>26534</v>
      </c>
      <c r="N37" s="332"/>
      <c r="O37" s="430"/>
      <c r="P37" s="430"/>
      <c r="Q37" s="430"/>
      <c r="R37" s="429"/>
      <c r="S37" s="430"/>
      <c r="T37" s="430"/>
      <c r="U37" s="430"/>
      <c r="V37" s="429"/>
      <c r="W37" s="429"/>
      <c r="X37" s="429"/>
      <c r="Y37" s="429"/>
      <c r="Z37" s="430"/>
    </row>
    <row r="38" spans="1:26" ht="10.5" hidden="1" customHeight="1">
      <c r="A38" s="334" t="s">
        <v>491</v>
      </c>
      <c r="B38" s="336">
        <v>242</v>
      </c>
      <c r="C38" s="336">
        <v>245</v>
      </c>
      <c r="D38" s="336">
        <v>351</v>
      </c>
      <c r="E38" s="336">
        <v>0</v>
      </c>
      <c r="F38" s="336">
        <v>106</v>
      </c>
      <c r="G38" s="336">
        <v>195</v>
      </c>
      <c r="H38" s="336">
        <v>1139</v>
      </c>
      <c r="I38" s="336"/>
      <c r="J38" s="336">
        <v>10</v>
      </c>
      <c r="K38" s="336">
        <v>0</v>
      </c>
      <c r="L38" s="336">
        <v>0</v>
      </c>
      <c r="M38" s="336">
        <v>1149</v>
      </c>
      <c r="N38" s="332"/>
      <c r="O38" s="430"/>
      <c r="P38" s="430"/>
      <c r="Q38" s="430"/>
      <c r="R38" s="429"/>
      <c r="S38" s="430"/>
      <c r="T38" s="430"/>
      <c r="U38" s="430"/>
      <c r="V38" s="429"/>
      <c r="W38" s="429"/>
      <c r="X38" s="429"/>
      <c r="Y38" s="429"/>
      <c r="Z38" s="430"/>
    </row>
    <row r="39" spans="1:26" ht="10.5" hidden="1" customHeight="1">
      <c r="A39" s="431" t="s">
        <v>497</v>
      </c>
      <c r="B39" s="341">
        <v>4508</v>
      </c>
      <c r="C39" s="341">
        <v>3174</v>
      </c>
      <c r="D39" s="341">
        <v>10282</v>
      </c>
      <c r="E39" s="341">
        <v>0</v>
      </c>
      <c r="F39" s="341">
        <v>1888</v>
      </c>
      <c r="G39" s="341">
        <v>4044</v>
      </c>
      <c r="H39" s="341">
        <v>23896</v>
      </c>
      <c r="I39" s="341"/>
      <c r="J39" s="341">
        <v>822</v>
      </c>
      <c r="K39" s="341">
        <v>0</v>
      </c>
      <c r="L39" s="341">
        <v>667</v>
      </c>
      <c r="M39" s="341">
        <v>25385</v>
      </c>
      <c r="N39" s="332"/>
      <c r="O39" s="429"/>
      <c r="P39" s="429"/>
      <c r="Q39" s="429"/>
      <c r="R39" s="429"/>
      <c r="S39" s="429"/>
      <c r="T39" s="429"/>
      <c r="U39" s="430"/>
      <c r="V39" s="429"/>
      <c r="W39" s="429"/>
      <c r="X39" s="429"/>
      <c r="Y39" s="429"/>
      <c r="Z39" s="430"/>
    </row>
    <row r="40" spans="1:26" ht="10.5" hidden="1" customHeight="1">
      <c r="A40" s="329" t="s">
        <v>498</v>
      </c>
      <c r="B40" s="336"/>
      <c r="C40" s="336"/>
      <c r="D40" s="336"/>
      <c r="E40" s="336"/>
      <c r="F40" s="336"/>
      <c r="G40" s="336"/>
      <c r="H40" s="336"/>
      <c r="I40" s="336"/>
      <c r="J40" s="336"/>
      <c r="K40" s="336"/>
      <c r="L40" s="336"/>
      <c r="M40" s="336"/>
      <c r="N40" s="332"/>
      <c r="O40" s="430"/>
      <c r="P40" s="430"/>
      <c r="Q40" s="430"/>
      <c r="R40" s="429"/>
      <c r="S40" s="430"/>
      <c r="T40" s="430"/>
      <c r="U40" s="430"/>
      <c r="V40" s="429"/>
      <c r="W40" s="429"/>
      <c r="X40" s="429"/>
      <c r="Y40" s="429"/>
      <c r="Z40" s="430"/>
    </row>
    <row r="41" spans="1:26" ht="10.5" hidden="1" customHeight="1">
      <c r="A41" s="334" t="s">
        <v>499</v>
      </c>
      <c r="B41" s="336">
        <v>336614</v>
      </c>
      <c r="C41" s="336">
        <v>25253</v>
      </c>
      <c r="D41" s="336">
        <v>251787</v>
      </c>
      <c r="E41" s="336">
        <v>267428</v>
      </c>
      <c r="F41" s="336">
        <v>10312</v>
      </c>
      <c r="G41" s="336">
        <v>16066</v>
      </c>
      <c r="H41" s="336">
        <v>907460</v>
      </c>
      <c r="I41" s="336"/>
      <c r="J41" s="336">
        <v>4169</v>
      </c>
      <c r="K41" s="336">
        <v>1486</v>
      </c>
      <c r="L41" s="336">
        <v>667</v>
      </c>
      <c r="M41" s="336">
        <v>913783</v>
      </c>
      <c r="N41" s="371"/>
      <c r="O41" s="429"/>
      <c r="P41" s="429"/>
      <c r="Q41" s="429"/>
      <c r="R41" s="429"/>
      <c r="S41" s="429"/>
      <c r="T41" s="429"/>
      <c r="U41" s="429"/>
      <c r="V41" s="429"/>
      <c r="W41" s="429"/>
      <c r="X41" s="429"/>
      <c r="Y41" s="429"/>
      <c r="Z41" s="429"/>
    </row>
    <row r="42" spans="1:26" ht="10.5" hidden="1" customHeight="1">
      <c r="A42" s="334" t="s">
        <v>496</v>
      </c>
      <c r="B42" s="336">
        <v>119718</v>
      </c>
      <c r="C42" s="336">
        <v>8686</v>
      </c>
      <c r="D42" s="336">
        <v>110963</v>
      </c>
      <c r="E42" s="336">
        <v>98146</v>
      </c>
      <c r="F42" s="336">
        <v>2593</v>
      </c>
      <c r="G42" s="336">
        <v>4239</v>
      </c>
      <c r="H42" s="336">
        <v>344345</v>
      </c>
      <c r="I42" s="336"/>
      <c r="J42" s="336">
        <v>4169</v>
      </c>
      <c r="K42" s="336">
        <v>1486</v>
      </c>
      <c r="L42" s="336">
        <v>667</v>
      </c>
      <c r="M42" s="336">
        <v>350667</v>
      </c>
      <c r="N42" s="332"/>
      <c r="O42" s="430"/>
      <c r="P42" s="430"/>
      <c r="Q42" s="430"/>
      <c r="R42" s="430"/>
      <c r="S42" s="430"/>
      <c r="T42" s="430"/>
      <c r="U42" s="430"/>
      <c r="V42" s="429"/>
      <c r="W42" s="430"/>
      <c r="X42" s="430"/>
      <c r="Y42" s="429"/>
      <c r="Z42" s="430"/>
    </row>
    <row r="43" spans="1:26" ht="10.5" hidden="1" customHeight="1">
      <c r="A43" s="334" t="s">
        <v>491</v>
      </c>
      <c r="B43" s="336">
        <v>5151</v>
      </c>
      <c r="C43" s="336">
        <v>623</v>
      </c>
      <c r="D43" s="336">
        <v>1528</v>
      </c>
      <c r="E43" s="336">
        <v>8805</v>
      </c>
      <c r="F43" s="336">
        <v>163</v>
      </c>
      <c r="G43" s="336">
        <v>195</v>
      </c>
      <c r="H43" s="336">
        <v>16465</v>
      </c>
      <c r="I43" s="336"/>
      <c r="J43" s="336">
        <v>48</v>
      </c>
      <c r="K43" s="336">
        <v>47</v>
      </c>
      <c r="L43" s="336">
        <v>0</v>
      </c>
      <c r="M43" s="336">
        <v>16560</v>
      </c>
      <c r="N43" s="332"/>
      <c r="O43" s="430"/>
      <c r="P43" s="430"/>
      <c r="Q43" s="430"/>
      <c r="R43" s="430"/>
      <c r="S43" s="430"/>
      <c r="T43" s="430"/>
      <c r="U43" s="430"/>
      <c r="V43" s="429"/>
      <c r="W43" s="430"/>
      <c r="X43" s="430"/>
      <c r="Y43" s="429"/>
      <c r="Z43" s="430"/>
    </row>
    <row r="44" spans="1:26" ht="10.5" hidden="1" customHeight="1">
      <c r="A44" s="334" t="s">
        <v>492</v>
      </c>
      <c r="B44" s="339">
        <v>114567</v>
      </c>
      <c r="C44" s="339">
        <v>8063</v>
      </c>
      <c r="D44" s="339">
        <v>109435</v>
      </c>
      <c r="E44" s="339">
        <v>89341</v>
      </c>
      <c r="F44" s="339">
        <v>2430</v>
      </c>
      <c r="G44" s="339">
        <v>4044</v>
      </c>
      <c r="H44" s="339">
        <v>327880</v>
      </c>
      <c r="I44" s="339"/>
      <c r="J44" s="339">
        <v>4121</v>
      </c>
      <c r="K44" s="339">
        <v>1439</v>
      </c>
      <c r="L44" s="339">
        <v>667</v>
      </c>
      <c r="M44" s="339">
        <v>334107</v>
      </c>
      <c r="N44" s="332"/>
      <c r="O44" s="430"/>
      <c r="P44" s="429"/>
      <c r="Q44" s="430"/>
      <c r="R44" s="430"/>
      <c r="S44" s="429"/>
      <c r="T44" s="429"/>
      <c r="U44" s="430"/>
      <c r="V44" s="429"/>
      <c r="W44" s="429"/>
      <c r="X44" s="429"/>
      <c r="Y44" s="429"/>
      <c r="Z44" s="430"/>
    </row>
    <row r="45" spans="1:26" ht="10.5" hidden="1" customHeight="1">
      <c r="A45" s="334" t="s">
        <v>493</v>
      </c>
      <c r="B45" s="336"/>
      <c r="C45" s="336"/>
      <c r="D45" s="336"/>
      <c r="E45" s="336"/>
      <c r="F45" s="336"/>
      <c r="G45" s="336"/>
      <c r="H45" s="336"/>
      <c r="I45" s="336"/>
      <c r="J45" s="336"/>
      <c r="K45" s="336"/>
      <c r="L45" s="336"/>
      <c r="M45" s="336">
        <v>2477</v>
      </c>
      <c r="N45" s="332"/>
      <c r="O45" s="430"/>
      <c r="P45" s="430"/>
      <c r="Q45" s="430"/>
      <c r="R45" s="430"/>
      <c r="S45" s="430"/>
      <c r="T45" s="430"/>
      <c r="U45" s="430"/>
      <c r="V45" s="429"/>
      <c r="W45" s="430"/>
      <c r="X45" s="430"/>
      <c r="Y45" s="429"/>
      <c r="Z45" s="430"/>
    </row>
    <row r="46" spans="1:26" ht="10.5" hidden="1" customHeight="1" thickBot="1">
      <c r="A46" s="433" t="s">
        <v>494</v>
      </c>
      <c r="B46" s="434"/>
      <c r="C46" s="434"/>
      <c r="D46" s="434"/>
      <c r="E46" s="434"/>
      <c r="F46" s="434"/>
      <c r="G46" s="434"/>
      <c r="H46" s="434"/>
      <c r="I46" s="434"/>
      <c r="J46" s="434"/>
      <c r="K46" s="434"/>
      <c r="L46" s="434"/>
      <c r="M46" s="434">
        <v>331630</v>
      </c>
      <c r="N46" s="332"/>
      <c r="O46" s="429"/>
      <c r="P46" s="429"/>
      <c r="Q46" s="429"/>
      <c r="R46" s="429"/>
      <c r="S46" s="429"/>
      <c r="T46" s="429"/>
      <c r="U46" s="429"/>
      <c r="V46" s="429"/>
      <c r="W46" s="429"/>
      <c r="X46" s="429"/>
      <c r="Y46" s="429"/>
      <c r="Z46" s="430"/>
    </row>
    <row r="47" spans="1:26" ht="14.25" hidden="1" customHeight="1" thickTop="1">
      <c r="A47" s="425">
        <v>1998</v>
      </c>
      <c r="B47" s="336"/>
      <c r="C47" s="336"/>
      <c r="D47" s="336"/>
      <c r="E47" s="336"/>
      <c r="F47" s="336"/>
      <c r="G47" s="336"/>
      <c r="H47" s="336"/>
      <c r="I47" s="336"/>
      <c r="J47" s="336"/>
      <c r="K47" s="336"/>
      <c r="L47" s="336"/>
      <c r="M47" s="336"/>
      <c r="N47" s="332"/>
      <c r="O47" s="429"/>
      <c r="P47" s="429"/>
      <c r="Q47" s="429"/>
      <c r="R47" s="429"/>
      <c r="S47" s="429"/>
      <c r="T47" s="429"/>
      <c r="U47" s="429"/>
      <c r="V47" s="429"/>
      <c r="W47" s="429"/>
      <c r="X47" s="429"/>
      <c r="Y47" s="429"/>
      <c r="Z47" s="430"/>
    </row>
    <row r="48" spans="1:26" ht="10.5" hidden="1" customHeight="1">
      <c r="A48" s="329" t="s">
        <v>488</v>
      </c>
      <c r="B48" s="336"/>
      <c r="C48" s="336"/>
      <c r="D48" s="336"/>
      <c r="E48" s="336"/>
      <c r="F48" s="336"/>
      <c r="G48" s="336"/>
      <c r="H48" s="336"/>
      <c r="I48" s="336"/>
      <c r="J48" s="336"/>
      <c r="K48" s="336"/>
      <c r="L48" s="336"/>
      <c r="M48" s="336"/>
      <c r="N48" s="332"/>
      <c r="O48" s="429"/>
      <c r="P48" s="429"/>
      <c r="Q48" s="429"/>
      <c r="R48" s="429"/>
      <c r="S48" s="429"/>
      <c r="T48" s="429"/>
      <c r="U48" s="429"/>
      <c r="V48" s="429"/>
      <c r="W48" s="429"/>
      <c r="X48" s="429"/>
      <c r="Y48" s="429"/>
      <c r="Z48" s="429"/>
    </row>
    <row r="49" spans="1:26" ht="10.5" hidden="1" customHeight="1">
      <c r="A49" s="334" t="s">
        <v>489</v>
      </c>
      <c r="B49" s="336">
        <v>334037</v>
      </c>
      <c r="C49" s="336">
        <v>9827</v>
      </c>
      <c r="D49" s="336">
        <v>236298</v>
      </c>
      <c r="E49" s="336">
        <v>272642</v>
      </c>
      <c r="F49" s="336">
        <v>2338</v>
      </c>
      <c r="G49" s="336">
        <v>0</v>
      </c>
      <c r="H49" s="336">
        <v>855142</v>
      </c>
      <c r="I49" s="336"/>
      <c r="J49" s="336">
        <v>4237</v>
      </c>
      <c r="K49" s="336">
        <v>1624</v>
      </c>
      <c r="L49" s="336">
        <v>0</v>
      </c>
      <c r="M49" s="336">
        <v>861003</v>
      </c>
      <c r="N49" s="332"/>
      <c r="O49" s="429"/>
      <c r="P49" s="437"/>
      <c r="Q49" s="429"/>
      <c r="R49" s="437"/>
      <c r="S49" s="429"/>
      <c r="T49" s="437"/>
      <c r="U49" s="429"/>
      <c r="V49" s="437"/>
      <c r="W49" s="429"/>
      <c r="X49" s="437"/>
      <c r="Y49" s="437"/>
      <c r="Z49" s="429"/>
    </row>
    <row r="50" spans="1:26" ht="10.5" hidden="1" customHeight="1">
      <c r="A50" s="334" t="s">
        <v>490</v>
      </c>
      <c r="B50" s="336">
        <v>118595</v>
      </c>
      <c r="C50" s="336">
        <v>3442</v>
      </c>
      <c r="D50" s="336">
        <v>105804</v>
      </c>
      <c r="E50" s="336">
        <v>99486</v>
      </c>
      <c r="F50" s="336">
        <v>576</v>
      </c>
      <c r="G50" s="336">
        <v>0</v>
      </c>
      <c r="H50" s="336">
        <v>327903</v>
      </c>
      <c r="I50" s="336"/>
      <c r="J50" s="336">
        <v>4237</v>
      </c>
      <c r="K50" s="336">
        <v>1624</v>
      </c>
      <c r="L50" s="336">
        <v>0</v>
      </c>
      <c r="M50" s="336">
        <v>333764</v>
      </c>
      <c r="N50" s="332"/>
      <c r="O50" s="438"/>
      <c r="P50" s="439"/>
      <c r="Q50" s="438"/>
      <c r="R50" s="439"/>
      <c r="S50" s="438"/>
      <c r="T50" s="439"/>
      <c r="U50" s="438"/>
      <c r="V50" s="439"/>
      <c r="W50" s="438"/>
      <c r="X50" s="439"/>
      <c r="Y50" s="437"/>
      <c r="Z50" s="429"/>
    </row>
    <row r="51" spans="1:26" ht="10.5" hidden="1" customHeight="1">
      <c r="A51" s="334" t="s">
        <v>491</v>
      </c>
      <c r="B51" s="336">
        <v>5701</v>
      </c>
      <c r="C51" s="336">
        <v>231</v>
      </c>
      <c r="D51" s="336">
        <v>1116</v>
      </c>
      <c r="E51" s="336">
        <v>8896</v>
      </c>
      <c r="F51" s="336">
        <v>129</v>
      </c>
      <c r="G51" s="336">
        <v>0</v>
      </c>
      <c r="H51" s="336">
        <v>16072</v>
      </c>
      <c r="I51" s="336"/>
      <c r="J51" s="336">
        <v>12</v>
      </c>
      <c r="K51" s="336">
        <v>55</v>
      </c>
      <c r="L51" s="336">
        <v>0</v>
      </c>
      <c r="M51" s="336">
        <v>16140</v>
      </c>
      <c r="N51" s="332"/>
      <c r="O51" s="438"/>
      <c r="P51" s="437"/>
      <c r="Q51" s="438"/>
      <c r="R51" s="437"/>
      <c r="S51" s="438"/>
      <c r="T51" s="437"/>
      <c r="U51" s="438"/>
      <c r="V51" s="437"/>
      <c r="W51" s="438"/>
      <c r="X51" s="437"/>
      <c r="Y51" s="437"/>
      <c r="Z51" s="429"/>
    </row>
    <row r="52" spans="1:26" ht="10.5" hidden="1" customHeight="1">
      <c r="A52" s="334" t="s">
        <v>492</v>
      </c>
      <c r="B52" s="336">
        <v>112894</v>
      </c>
      <c r="C52" s="336">
        <v>3211</v>
      </c>
      <c r="D52" s="336">
        <v>104688</v>
      </c>
      <c r="E52" s="336">
        <v>90590</v>
      </c>
      <c r="F52" s="336">
        <v>447</v>
      </c>
      <c r="G52" s="336">
        <v>0</v>
      </c>
      <c r="H52" s="336">
        <v>311830</v>
      </c>
      <c r="I52" s="336"/>
      <c r="J52" s="336">
        <v>4225</v>
      </c>
      <c r="K52" s="336">
        <v>1569</v>
      </c>
      <c r="L52" s="336">
        <v>0</v>
      </c>
      <c r="M52" s="336">
        <v>317624</v>
      </c>
      <c r="N52" s="332"/>
      <c r="O52" s="438"/>
      <c r="P52" s="437"/>
      <c r="Q52" s="438"/>
      <c r="R52" s="437"/>
      <c r="S52" s="438"/>
      <c r="T52" s="437"/>
      <c r="U52" s="438"/>
      <c r="V52" s="437"/>
      <c r="W52" s="438"/>
      <c r="X52" s="437"/>
      <c r="Y52" s="437"/>
      <c r="Z52" s="429"/>
    </row>
    <row r="53" spans="1:26" ht="10.5" hidden="1" customHeight="1">
      <c r="A53" s="334" t="s">
        <v>493</v>
      </c>
      <c r="B53" s="336"/>
      <c r="C53" s="336"/>
      <c r="D53" s="336"/>
      <c r="E53" s="336"/>
      <c r="F53" s="336"/>
      <c r="G53" s="336"/>
      <c r="H53" s="336"/>
      <c r="I53" s="336"/>
      <c r="J53" s="336"/>
      <c r="K53" s="336"/>
      <c r="L53" s="336"/>
      <c r="M53" s="336">
        <v>2594</v>
      </c>
      <c r="N53" s="332"/>
      <c r="O53" s="440"/>
      <c r="P53" s="437"/>
      <c r="Q53" s="440"/>
      <c r="R53" s="437"/>
      <c r="S53" s="440"/>
      <c r="T53" s="437"/>
      <c r="U53" s="440"/>
      <c r="V53" s="437"/>
      <c r="W53" s="440"/>
      <c r="X53" s="437"/>
      <c r="Y53" s="437"/>
      <c r="Z53" s="429"/>
    </row>
    <row r="54" spans="1:26" ht="10.5" hidden="1" customHeight="1">
      <c r="A54" s="431" t="s">
        <v>494</v>
      </c>
      <c r="B54" s="341"/>
      <c r="C54" s="341"/>
      <c r="D54" s="341"/>
      <c r="E54" s="341"/>
      <c r="F54" s="341"/>
      <c r="G54" s="341"/>
      <c r="H54" s="341"/>
      <c r="I54" s="341"/>
      <c r="J54" s="341"/>
      <c r="K54" s="341"/>
      <c r="L54" s="341"/>
      <c r="M54" s="341">
        <v>315030</v>
      </c>
      <c r="N54" s="371"/>
      <c r="O54" s="429"/>
      <c r="P54" s="429"/>
      <c r="Q54" s="429"/>
      <c r="R54" s="429"/>
      <c r="S54" s="429"/>
      <c r="T54" s="429"/>
      <c r="U54" s="429"/>
      <c r="V54" s="429"/>
      <c r="W54" s="437"/>
      <c r="X54" s="437"/>
      <c r="Y54" s="437"/>
      <c r="Z54" s="429"/>
    </row>
    <row r="55" spans="1:26" s="346" customFormat="1" ht="11.5" hidden="1" customHeight="1">
      <c r="A55" s="386" t="s">
        <v>495</v>
      </c>
      <c r="B55" s="388"/>
      <c r="C55" s="388"/>
      <c r="D55" s="388"/>
      <c r="E55" s="388"/>
      <c r="F55" s="388"/>
      <c r="G55" s="388"/>
      <c r="H55" s="388"/>
      <c r="I55" s="388"/>
      <c r="J55" s="388"/>
      <c r="K55" s="388"/>
      <c r="L55" s="388"/>
      <c r="M55" s="388"/>
      <c r="N55" s="410"/>
      <c r="O55" s="436"/>
      <c r="P55" s="436"/>
      <c r="Q55" s="436"/>
      <c r="R55" s="436"/>
      <c r="S55" s="436"/>
      <c r="T55" s="436"/>
      <c r="U55" s="436"/>
      <c r="V55" s="436"/>
      <c r="W55" s="441"/>
      <c r="X55" s="441"/>
      <c r="Y55" s="442"/>
      <c r="Z55" s="435"/>
    </row>
    <row r="56" spans="1:26" ht="10.5" hidden="1" customHeight="1">
      <c r="A56" s="334" t="s">
        <v>489</v>
      </c>
      <c r="B56" s="336">
        <v>13659</v>
      </c>
      <c r="C56" s="336">
        <v>7966</v>
      </c>
      <c r="D56" s="336">
        <v>31433</v>
      </c>
      <c r="E56" s="336">
        <v>0</v>
      </c>
      <c r="F56" s="336">
        <v>11221</v>
      </c>
      <c r="G56" s="336">
        <v>16046</v>
      </c>
      <c r="H56" s="336">
        <v>80325</v>
      </c>
      <c r="I56" s="336"/>
      <c r="J56" s="336">
        <v>881</v>
      </c>
      <c r="K56" s="336">
        <v>0</v>
      </c>
      <c r="L56" s="336">
        <v>877</v>
      </c>
      <c r="M56" s="336">
        <v>82083</v>
      </c>
      <c r="N56" s="332"/>
      <c r="O56" s="430"/>
      <c r="P56" s="430"/>
      <c r="Q56" s="430"/>
      <c r="R56" s="430"/>
      <c r="S56" s="430"/>
      <c r="T56" s="430"/>
      <c r="U56" s="430"/>
      <c r="V56" s="430"/>
      <c r="W56" s="443"/>
      <c r="X56" s="443"/>
      <c r="Y56" s="437"/>
      <c r="Z56" s="429"/>
    </row>
    <row r="57" spans="1:26" ht="10.5" hidden="1" customHeight="1">
      <c r="A57" s="334" t="s">
        <v>496</v>
      </c>
      <c r="B57" s="336">
        <v>4376</v>
      </c>
      <c r="C57" s="336">
        <v>3913</v>
      </c>
      <c r="D57" s="336">
        <v>11994</v>
      </c>
      <c r="E57" s="336">
        <v>0</v>
      </c>
      <c r="F57" s="336">
        <v>2661</v>
      </c>
      <c r="G57" s="336">
        <v>4236</v>
      </c>
      <c r="H57" s="336">
        <v>27180</v>
      </c>
      <c r="I57" s="336"/>
      <c r="J57" s="336">
        <v>881</v>
      </c>
      <c r="K57" s="336">
        <v>0</v>
      </c>
      <c r="L57" s="336">
        <v>877</v>
      </c>
      <c r="M57" s="336">
        <v>28938</v>
      </c>
      <c r="N57" s="371"/>
      <c r="O57" s="429"/>
      <c r="P57" s="429"/>
      <c r="Q57" s="429"/>
      <c r="R57" s="429"/>
      <c r="S57" s="429"/>
      <c r="T57" s="429"/>
      <c r="U57" s="429"/>
      <c r="V57" s="429"/>
      <c r="W57" s="437"/>
      <c r="X57" s="437"/>
      <c r="Y57" s="437"/>
      <c r="Z57" s="429"/>
    </row>
    <row r="58" spans="1:26" ht="10.5" hidden="1" customHeight="1">
      <c r="A58" s="334" t="s">
        <v>491</v>
      </c>
      <c r="B58" s="336">
        <v>235</v>
      </c>
      <c r="C58" s="336">
        <v>290</v>
      </c>
      <c r="D58" s="336">
        <v>392</v>
      </c>
      <c r="E58" s="336">
        <v>0</v>
      </c>
      <c r="F58" s="336">
        <v>145</v>
      </c>
      <c r="G58" s="336">
        <v>194</v>
      </c>
      <c r="H58" s="336">
        <v>1256</v>
      </c>
      <c r="I58" s="336"/>
      <c r="J58" s="336">
        <v>12</v>
      </c>
      <c r="K58" s="336">
        <v>0</v>
      </c>
      <c r="L58" s="336">
        <v>0</v>
      </c>
      <c r="M58" s="336">
        <v>1268</v>
      </c>
      <c r="N58" s="332"/>
      <c r="O58" s="430"/>
      <c r="P58" s="430"/>
      <c r="Q58" s="430"/>
      <c r="R58" s="430"/>
      <c r="S58" s="430"/>
      <c r="T58" s="430"/>
      <c r="U58" s="430"/>
      <c r="V58" s="430"/>
      <c r="W58" s="443"/>
      <c r="X58" s="443"/>
      <c r="Y58" s="437"/>
      <c r="Z58" s="429"/>
    </row>
    <row r="59" spans="1:26" ht="10.5" hidden="1" customHeight="1">
      <c r="A59" s="431" t="s">
        <v>497</v>
      </c>
      <c r="B59" s="341">
        <v>4141</v>
      </c>
      <c r="C59" s="341">
        <v>3623</v>
      </c>
      <c r="D59" s="341">
        <v>11602</v>
      </c>
      <c r="E59" s="341">
        <v>0</v>
      </c>
      <c r="F59" s="341">
        <v>2516</v>
      </c>
      <c r="G59" s="341">
        <v>4042</v>
      </c>
      <c r="H59" s="341">
        <v>25924</v>
      </c>
      <c r="I59" s="341"/>
      <c r="J59" s="341">
        <v>869</v>
      </c>
      <c r="K59" s="341">
        <v>0</v>
      </c>
      <c r="L59" s="341">
        <v>877</v>
      </c>
      <c r="M59" s="341">
        <v>27670</v>
      </c>
      <c r="N59" s="332"/>
      <c r="O59" s="430"/>
      <c r="P59" s="430"/>
      <c r="Q59" s="430"/>
      <c r="R59" s="430"/>
      <c r="S59" s="430"/>
      <c r="T59" s="430"/>
      <c r="U59" s="430"/>
      <c r="V59" s="430"/>
      <c r="W59" s="443"/>
      <c r="X59" s="443"/>
      <c r="Y59" s="437"/>
      <c r="Z59" s="429"/>
    </row>
    <row r="60" spans="1:26" ht="10.5" hidden="1" customHeight="1">
      <c r="A60" s="329" t="s">
        <v>498</v>
      </c>
      <c r="B60" s="336"/>
      <c r="C60" s="336"/>
      <c r="D60" s="336"/>
      <c r="E60" s="336"/>
      <c r="F60" s="336"/>
      <c r="G60" s="336"/>
      <c r="H60" s="336"/>
      <c r="I60" s="336"/>
      <c r="J60" s="336"/>
      <c r="K60" s="336"/>
      <c r="L60" s="336"/>
      <c r="M60" s="336"/>
      <c r="N60" s="371"/>
      <c r="O60" s="429"/>
      <c r="P60" s="429"/>
      <c r="Q60" s="429"/>
      <c r="R60" s="429"/>
      <c r="S60" s="429"/>
      <c r="T60" s="429"/>
      <c r="U60" s="429"/>
      <c r="V60" s="429"/>
      <c r="W60" s="437"/>
      <c r="X60" s="437"/>
      <c r="Y60" s="437"/>
      <c r="Z60" s="429"/>
    </row>
    <row r="61" spans="1:26" ht="10.5" hidden="1" customHeight="1">
      <c r="A61" s="334" t="s">
        <v>499</v>
      </c>
      <c r="B61" s="336">
        <v>347696</v>
      </c>
      <c r="C61" s="336">
        <v>17793</v>
      </c>
      <c r="D61" s="336">
        <v>267731</v>
      </c>
      <c r="E61" s="336">
        <v>272642</v>
      </c>
      <c r="F61" s="336">
        <v>13559</v>
      </c>
      <c r="G61" s="336">
        <v>16046</v>
      </c>
      <c r="H61" s="336">
        <v>935467</v>
      </c>
      <c r="I61" s="336"/>
      <c r="J61" s="336">
        <v>5118</v>
      </c>
      <c r="K61" s="336">
        <v>1624</v>
      </c>
      <c r="L61" s="336">
        <v>877</v>
      </c>
      <c r="M61" s="336">
        <v>943086</v>
      </c>
      <c r="N61" s="332"/>
      <c r="O61" s="430"/>
      <c r="P61" s="430"/>
      <c r="Q61" s="430"/>
      <c r="R61" s="430"/>
      <c r="S61" s="430"/>
      <c r="T61" s="430"/>
      <c r="U61" s="430"/>
      <c r="V61" s="430"/>
      <c r="W61" s="443"/>
      <c r="X61" s="443"/>
      <c r="Y61" s="437"/>
      <c r="Z61" s="429"/>
    </row>
    <row r="62" spans="1:26" ht="10.5" hidden="1" customHeight="1">
      <c r="A62" s="334" t="s">
        <v>496</v>
      </c>
      <c r="B62" s="336">
        <v>122971</v>
      </c>
      <c r="C62" s="336">
        <v>7355</v>
      </c>
      <c r="D62" s="336">
        <v>117798</v>
      </c>
      <c r="E62" s="336">
        <v>99486</v>
      </c>
      <c r="F62" s="336">
        <v>3237</v>
      </c>
      <c r="G62" s="336">
        <v>4236</v>
      </c>
      <c r="H62" s="336">
        <v>355083</v>
      </c>
      <c r="I62" s="336"/>
      <c r="J62" s="336">
        <v>5118</v>
      </c>
      <c r="K62" s="336">
        <v>1624</v>
      </c>
      <c r="L62" s="336">
        <v>877</v>
      </c>
      <c r="M62" s="336">
        <v>362702</v>
      </c>
      <c r="N62" s="332"/>
      <c r="O62" s="430"/>
      <c r="P62" s="430"/>
      <c r="Q62" s="430"/>
      <c r="R62" s="430"/>
      <c r="S62" s="430"/>
      <c r="T62" s="430"/>
      <c r="U62" s="430"/>
      <c r="V62" s="430"/>
      <c r="W62" s="443"/>
      <c r="X62" s="443"/>
      <c r="Y62" s="437"/>
      <c r="Z62" s="429"/>
    </row>
    <row r="63" spans="1:26" ht="10.5" hidden="1" customHeight="1">
      <c r="A63" s="334" t="s">
        <v>491</v>
      </c>
      <c r="B63" s="336">
        <v>5936</v>
      </c>
      <c r="C63" s="336">
        <v>521</v>
      </c>
      <c r="D63" s="336">
        <v>1508</v>
      </c>
      <c r="E63" s="336">
        <v>8896</v>
      </c>
      <c r="F63" s="336">
        <v>274</v>
      </c>
      <c r="G63" s="336">
        <v>194</v>
      </c>
      <c r="H63" s="336">
        <v>17329</v>
      </c>
      <c r="I63" s="336"/>
      <c r="J63" s="336">
        <v>24</v>
      </c>
      <c r="K63" s="336">
        <v>55</v>
      </c>
      <c r="L63" s="336">
        <v>0</v>
      </c>
      <c r="M63" s="336">
        <v>17408</v>
      </c>
      <c r="N63" s="444"/>
      <c r="O63" s="429"/>
      <c r="P63" s="429"/>
      <c r="Q63" s="429"/>
      <c r="R63" s="429"/>
      <c r="S63" s="429"/>
      <c r="T63" s="429"/>
      <c r="U63" s="429"/>
      <c r="V63" s="429"/>
      <c r="W63" s="437"/>
      <c r="X63" s="437"/>
      <c r="Y63" s="429"/>
      <c r="Z63" s="429"/>
    </row>
    <row r="64" spans="1:26" ht="10.5" hidden="1" customHeight="1">
      <c r="A64" s="334" t="s">
        <v>492</v>
      </c>
      <c r="B64" s="339">
        <v>117035</v>
      </c>
      <c r="C64" s="339">
        <v>6834</v>
      </c>
      <c r="D64" s="339">
        <v>116290</v>
      </c>
      <c r="E64" s="339">
        <v>90590</v>
      </c>
      <c r="F64" s="339">
        <v>2963</v>
      </c>
      <c r="G64" s="339">
        <v>4042</v>
      </c>
      <c r="H64" s="339">
        <v>337754</v>
      </c>
      <c r="I64" s="339"/>
      <c r="J64" s="339">
        <v>5094</v>
      </c>
      <c r="K64" s="339">
        <v>1569</v>
      </c>
      <c r="L64" s="339">
        <v>877</v>
      </c>
      <c r="M64" s="339">
        <v>345294</v>
      </c>
      <c r="N64" s="444"/>
      <c r="O64" s="437"/>
      <c r="P64" s="437"/>
      <c r="Q64" s="437"/>
      <c r="R64" s="437"/>
      <c r="S64" s="437"/>
      <c r="T64" s="437"/>
      <c r="U64" s="437"/>
      <c r="V64" s="437"/>
      <c r="W64" s="437"/>
      <c r="X64" s="437"/>
      <c r="Y64" s="437"/>
      <c r="Z64" s="429"/>
    </row>
    <row r="65" spans="1:26" ht="10.5" hidden="1" customHeight="1">
      <c r="A65" s="334" t="s">
        <v>493</v>
      </c>
      <c r="B65" s="336"/>
      <c r="C65" s="336"/>
      <c r="D65" s="336"/>
      <c r="E65" s="336"/>
      <c r="F65" s="336"/>
      <c r="G65" s="336"/>
      <c r="H65" s="336"/>
      <c r="I65" s="336"/>
      <c r="J65" s="336"/>
      <c r="K65" s="336"/>
      <c r="L65" s="336"/>
      <c r="M65" s="336">
        <v>2594</v>
      </c>
      <c r="N65" s="444"/>
      <c r="O65" s="437"/>
      <c r="P65" s="437"/>
      <c r="Q65" s="437"/>
      <c r="R65" s="437"/>
      <c r="S65" s="437"/>
      <c r="T65" s="437"/>
      <c r="U65" s="437"/>
      <c r="V65" s="437"/>
      <c r="W65" s="437"/>
      <c r="X65" s="437"/>
      <c r="Y65" s="437"/>
      <c r="Z65" s="429"/>
    </row>
    <row r="66" spans="1:26" ht="10.5" hidden="1" customHeight="1" thickBot="1">
      <c r="A66" s="433" t="s">
        <v>494</v>
      </c>
      <c r="B66" s="434"/>
      <c r="C66" s="434"/>
      <c r="D66" s="434"/>
      <c r="E66" s="434"/>
      <c r="F66" s="434"/>
      <c r="G66" s="434"/>
      <c r="H66" s="434"/>
      <c r="I66" s="434"/>
      <c r="J66" s="434"/>
      <c r="K66" s="434"/>
      <c r="L66" s="434"/>
      <c r="M66" s="434">
        <v>342700</v>
      </c>
      <c r="N66" s="444"/>
      <c r="O66" s="437"/>
      <c r="P66" s="437"/>
      <c r="Q66" s="437"/>
      <c r="R66" s="437"/>
      <c r="S66" s="437"/>
      <c r="T66" s="437"/>
      <c r="U66" s="437"/>
      <c r="V66" s="437"/>
      <c r="W66" s="437"/>
      <c r="X66" s="437"/>
      <c r="Y66" s="437"/>
      <c r="Z66" s="437"/>
    </row>
    <row r="67" spans="1:26" ht="14.25" hidden="1" customHeight="1" thickTop="1">
      <c r="A67" s="404"/>
      <c r="B67" s="1979" t="s">
        <v>474</v>
      </c>
      <c r="C67" s="1979"/>
      <c r="D67" s="1979"/>
      <c r="E67" s="1979"/>
      <c r="F67" s="1979"/>
      <c r="G67" s="1979"/>
      <c r="H67" s="1979"/>
      <c r="I67" s="404"/>
      <c r="J67" s="1979" t="s">
        <v>475</v>
      </c>
      <c r="K67" s="1979"/>
      <c r="L67" s="1979"/>
      <c r="M67" s="1979"/>
    </row>
    <row r="68" spans="1:26" ht="10.5" hidden="1" customHeight="1">
      <c r="A68" s="329"/>
      <c r="B68" s="408" t="s">
        <v>125</v>
      </c>
      <c r="C68" s="408" t="s">
        <v>186</v>
      </c>
      <c r="D68" s="408" t="s">
        <v>14</v>
      </c>
      <c r="E68" s="408" t="s">
        <v>0</v>
      </c>
      <c r="F68" s="408" t="s">
        <v>476</v>
      </c>
      <c r="G68" s="408" t="s">
        <v>373</v>
      </c>
      <c r="H68" s="408" t="s">
        <v>132</v>
      </c>
      <c r="I68" s="408"/>
      <c r="J68" s="408" t="s">
        <v>477</v>
      </c>
      <c r="K68" s="408" t="s">
        <v>477</v>
      </c>
      <c r="L68" s="408" t="s">
        <v>113</v>
      </c>
      <c r="M68" s="409" t="s">
        <v>132</v>
      </c>
    </row>
    <row r="69" spans="1:26" ht="10.5" hidden="1" customHeight="1">
      <c r="B69" s="330"/>
      <c r="C69" s="330"/>
      <c r="D69" s="330"/>
      <c r="E69" s="330"/>
      <c r="F69" s="408" t="s">
        <v>478</v>
      </c>
      <c r="G69" s="415" t="s">
        <v>479</v>
      </c>
      <c r="H69" s="330"/>
      <c r="I69" s="330"/>
      <c r="J69" s="408" t="s">
        <v>480</v>
      </c>
      <c r="K69" s="408" t="s">
        <v>481</v>
      </c>
      <c r="L69" s="415" t="s">
        <v>482</v>
      </c>
      <c r="M69" s="408" t="s">
        <v>483</v>
      </c>
    </row>
    <row r="70" spans="1:26" ht="10.5" hidden="1" customHeight="1">
      <c r="A70" s="445"/>
      <c r="B70" s="422"/>
      <c r="C70" s="422"/>
      <c r="D70" s="422"/>
      <c r="E70" s="422"/>
      <c r="F70" s="446" t="s">
        <v>484</v>
      </c>
      <c r="G70" s="422"/>
      <c r="H70" s="422"/>
      <c r="I70" s="422"/>
      <c r="J70" s="423" t="s">
        <v>485</v>
      </c>
      <c r="K70" s="423" t="s">
        <v>486</v>
      </c>
      <c r="L70" s="422"/>
      <c r="M70" s="423" t="s">
        <v>487</v>
      </c>
    </row>
    <row r="71" spans="1:26" s="346" customFormat="1" ht="13.5" hidden="1" customHeight="1">
      <c r="A71" s="447">
        <v>1999</v>
      </c>
      <c r="B71" s="388"/>
      <c r="C71" s="388"/>
      <c r="D71" s="388"/>
      <c r="E71" s="388"/>
      <c r="F71" s="388"/>
      <c r="G71" s="388"/>
      <c r="H71" s="388"/>
      <c r="I71" s="388"/>
      <c r="J71" s="388"/>
      <c r="K71" s="388"/>
      <c r="L71" s="388"/>
      <c r="M71" s="388"/>
    </row>
    <row r="72" spans="1:26" ht="10.5" hidden="1" customHeight="1">
      <c r="A72" s="329" t="s">
        <v>500</v>
      </c>
      <c r="B72" s="336"/>
      <c r="C72" s="336"/>
      <c r="D72" s="336"/>
      <c r="E72" s="336"/>
      <c r="F72" s="336"/>
      <c r="G72" s="336"/>
      <c r="H72" s="336"/>
      <c r="I72" s="336"/>
      <c r="J72" s="336"/>
      <c r="K72" s="336"/>
      <c r="L72" s="336"/>
      <c r="M72" s="336"/>
    </row>
    <row r="73" spans="1:26" ht="10.5" hidden="1" customHeight="1">
      <c r="A73" s="334" t="s">
        <v>489</v>
      </c>
      <c r="B73" s="336">
        <v>285004</v>
      </c>
      <c r="C73" s="336">
        <v>9500</v>
      </c>
      <c r="D73" s="336">
        <v>281986</v>
      </c>
      <c r="E73" s="336">
        <v>258374</v>
      </c>
      <c r="F73" s="336">
        <v>2546</v>
      </c>
      <c r="G73" s="336">
        <v>0</v>
      </c>
      <c r="H73" s="336">
        <v>837410</v>
      </c>
      <c r="I73" s="336">
        <v>0</v>
      </c>
      <c r="J73" s="336">
        <v>4431</v>
      </c>
      <c r="K73" s="336">
        <v>2902</v>
      </c>
      <c r="L73" s="336">
        <v>0</v>
      </c>
      <c r="M73" s="336">
        <v>844744</v>
      </c>
    </row>
    <row r="74" spans="1:26" ht="10.5" hidden="1" customHeight="1">
      <c r="A74" s="334" t="s">
        <v>490</v>
      </c>
      <c r="B74" s="336">
        <v>102074</v>
      </c>
      <c r="C74" s="336">
        <v>2943</v>
      </c>
      <c r="D74" s="336">
        <v>128365</v>
      </c>
      <c r="E74" s="336">
        <v>95133</v>
      </c>
      <c r="F74" s="336">
        <v>761</v>
      </c>
      <c r="G74" s="336">
        <v>0</v>
      </c>
      <c r="H74" s="336">
        <v>329276</v>
      </c>
      <c r="I74" s="336">
        <v>0</v>
      </c>
      <c r="J74" s="336">
        <v>4431</v>
      </c>
      <c r="K74" s="336">
        <v>2902</v>
      </c>
      <c r="L74" s="336">
        <v>0</v>
      </c>
      <c r="M74" s="336">
        <v>336608</v>
      </c>
    </row>
    <row r="75" spans="1:26" s="346" customFormat="1" ht="10.5" hidden="1" customHeight="1">
      <c r="A75" s="334" t="s">
        <v>491</v>
      </c>
      <c r="B75" s="336">
        <v>4725</v>
      </c>
      <c r="C75" s="336">
        <v>210</v>
      </c>
      <c r="D75" s="336">
        <v>2759</v>
      </c>
      <c r="E75" s="336">
        <v>7461</v>
      </c>
      <c r="F75" s="336">
        <v>187</v>
      </c>
      <c r="G75" s="336">
        <v>0</v>
      </c>
      <c r="H75" s="336">
        <v>15342</v>
      </c>
      <c r="I75" s="336">
        <v>0</v>
      </c>
      <c r="J75" s="336">
        <v>21</v>
      </c>
      <c r="K75" s="336">
        <v>98</v>
      </c>
      <c r="L75" s="336">
        <v>0</v>
      </c>
      <c r="M75" s="336">
        <v>15461</v>
      </c>
    </row>
    <row r="76" spans="1:26" ht="10.5" hidden="1" customHeight="1">
      <c r="A76" s="334" t="s">
        <v>492</v>
      </c>
      <c r="B76" s="336">
        <v>97348</v>
      </c>
      <c r="C76" s="336">
        <v>2733</v>
      </c>
      <c r="D76" s="336">
        <v>125606</v>
      </c>
      <c r="E76" s="336">
        <v>87672</v>
      </c>
      <c r="F76" s="336">
        <v>574</v>
      </c>
      <c r="G76" s="336">
        <v>0</v>
      </c>
      <c r="H76" s="336">
        <v>313933</v>
      </c>
      <c r="I76" s="336">
        <v>0</v>
      </c>
      <c r="J76" s="336">
        <v>4409</v>
      </c>
      <c r="K76" s="336">
        <v>2804</v>
      </c>
      <c r="L76" s="336">
        <v>0</v>
      </c>
      <c r="M76" s="336">
        <v>321147</v>
      </c>
    </row>
    <row r="77" spans="1:26" ht="10.5" hidden="1" customHeight="1">
      <c r="A77" s="334" t="s">
        <v>493</v>
      </c>
      <c r="B77" s="336"/>
      <c r="C77" s="336"/>
      <c r="D77" s="336"/>
      <c r="E77" s="336"/>
      <c r="F77" s="336"/>
      <c r="G77" s="336"/>
      <c r="H77" s="336"/>
      <c r="I77" s="336"/>
      <c r="J77" s="336"/>
      <c r="K77" s="336"/>
      <c r="L77" s="336"/>
      <c r="M77" s="336">
        <v>3774</v>
      </c>
    </row>
    <row r="78" spans="1:26" ht="10.5" hidden="1" customHeight="1">
      <c r="A78" s="431" t="s">
        <v>494</v>
      </c>
      <c r="B78" s="341"/>
      <c r="C78" s="341"/>
      <c r="D78" s="341"/>
      <c r="E78" s="341"/>
      <c r="F78" s="341"/>
      <c r="G78" s="341"/>
      <c r="H78" s="341"/>
      <c r="I78" s="341"/>
      <c r="J78" s="341"/>
      <c r="K78" s="341"/>
      <c r="L78" s="341"/>
      <c r="M78" s="341">
        <v>317373</v>
      </c>
    </row>
    <row r="79" spans="1:26" ht="10.5" hidden="1" customHeight="1">
      <c r="A79" s="386" t="s">
        <v>501</v>
      </c>
      <c r="B79" s="388"/>
      <c r="C79" s="388"/>
      <c r="D79" s="388"/>
      <c r="E79" s="388"/>
      <c r="F79" s="388"/>
      <c r="G79" s="388"/>
      <c r="H79" s="388"/>
      <c r="I79" s="388"/>
      <c r="J79" s="388"/>
      <c r="K79" s="388"/>
      <c r="L79" s="388"/>
      <c r="M79" s="388"/>
    </row>
    <row r="80" spans="1:26" s="346" customFormat="1" ht="11.25" hidden="1" customHeight="1">
      <c r="A80" s="334" t="s">
        <v>489</v>
      </c>
      <c r="B80" s="336">
        <v>11702</v>
      </c>
      <c r="C80" s="336">
        <v>8420</v>
      </c>
      <c r="D80" s="336">
        <v>33562</v>
      </c>
      <c r="E80" s="336">
        <v>0</v>
      </c>
      <c r="F80" s="336">
        <v>13659</v>
      </c>
      <c r="G80" s="336">
        <v>16187</v>
      </c>
      <c r="H80" s="336">
        <v>83531</v>
      </c>
      <c r="I80" s="336">
        <v>0</v>
      </c>
      <c r="J80" s="336">
        <v>905</v>
      </c>
      <c r="K80" s="336">
        <v>0</v>
      </c>
      <c r="L80" s="336">
        <v>851</v>
      </c>
      <c r="M80" s="336">
        <v>85287</v>
      </c>
    </row>
    <row r="81" spans="1:13" ht="10.5" hidden="1" customHeight="1">
      <c r="A81" s="334" t="s">
        <v>496</v>
      </c>
      <c r="B81" s="336">
        <v>4106</v>
      </c>
      <c r="C81" s="336">
        <v>3606</v>
      </c>
      <c r="D81" s="336">
        <v>14537</v>
      </c>
      <c r="E81" s="336">
        <v>0</v>
      </c>
      <c r="F81" s="336">
        <v>3227</v>
      </c>
      <c r="G81" s="336">
        <v>4312</v>
      </c>
      <c r="H81" s="336">
        <v>29787</v>
      </c>
      <c r="I81" s="336">
        <v>0</v>
      </c>
      <c r="J81" s="336">
        <v>905</v>
      </c>
      <c r="K81" s="336">
        <v>0</v>
      </c>
      <c r="L81" s="336">
        <v>851</v>
      </c>
      <c r="M81" s="336">
        <v>31543</v>
      </c>
    </row>
    <row r="82" spans="1:13" ht="10.5" hidden="1" customHeight="1">
      <c r="A82" s="334" t="s">
        <v>491</v>
      </c>
      <c r="B82" s="336">
        <v>197</v>
      </c>
      <c r="C82" s="336">
        <v>267</v>
      </c>
      <c r="D82" s="336">
        <v>471</v>
      </c>
      <c r="E82" s="336">
        <v>0</v>
      </c>
      <c r="F82" s="336">
        <v>100</v>
      </c>
      <c r="G82" s="336">
        <v>198</v>
      </c>
      <c r="H82" s="336">
        <v>1233</v>
      </c>
      <c r="I82" s="336">
        <v>0</v>
      </c>
      <c r="J82" s="336">
        <v>11</v>
      </c>
      <c r="K82" s="336">
        <v>0</v>
      </c>
      <c r="L82" s="336">
        <v>0</v>
      </c>
      <c r="M82" s="336">
        <v>1245</v>
      </c>
    </row>
    <row r="83" spans="1:13" ht="10.5" hidden="1" customHeight="1">
      <c r="A83" s="431" t="s">
        <v>497</v>
      </c>
      <c r="B83" s="341">
        <v>3909</v>
      </c>
      <c r="C83" s="341">
        <v>3339</v>
      </c>
      <c r="D83" s="341">
        <v>14066</v>
      </c>
      <c r="E83" s="341">
        <v>0</v>
      </c>
      <c r="F83" s="341">
        <v>3126</v>
      </c>
      <c r="G83" s="341">
        <v>4113</v>
      </c>
      <c r="H83" s="341">
        <v>28554</v>
      </c>
      <c r="I83" s="341">
        <v>0</v>
      </c>
      <c r="J83" s="341">
        <v>894</v>
      </c>
      <c r="K83" s="341">
        <v>0</v>
      </c>
      <c r="L83" s="341">
        <v>851</v>
      </c>
      <c r="M83" s="341">
        <v>30298</v>
      </c>
    </row>
    <row r="84" spans="1:13" ht="10.5" hidden="1" customHeight="1">
      <c r="A84" s="386" t="s">
        <v>498</v>
      </c>
      <c r="B84" s="388"/>
      <c r="C84" s="388"/>
      <c r="D84" s="388"/>
      <c r="E84" s="388"/>
      <c r="F84" s="388"/>
      <c r="G84" s="388"/>
      <c r="H84" s="388"/>
      <c r="I84" s="388"/>
      <c r="J84" s="388"/>
      <c r="K84" s="388"/>
      <c r="L84" s="388"/>
      <c r="M84" s="388"/>
    </row>
    <row r="85" spans="1:13" ht="10.5" hidden="1" customHeight="1">
      <c r="A85" s="334" t="s">
        <v>499</v>
      </c>
      <c r="B85" s="336">
        <v>296706</v>
      </c>
      <c r="C85" s="336">
        <v>17920</v>
      </c>
      <c r="D85" s="336">
        <v>315548</v>
      </c>
      <c r="E85" s="336">
        <v>258374</v>
      </c>
      <c r="F85" s="336">
        <v>16205</v>
      </c>
      <c r="G85" s="336">
        <v>16187</v>
      </c>
      <c r="H85" s="336">
        <v>920941</v>
      </c>
      <c r="I85" s="336">
        <v>0</v>
      </c>
      <c r="J85" s="336">
        <v>5336</v>
      </c>
      <c r="K85" s="336">
        <v>2902</v>
      </c>
      <c r="L85" s="336">
        <v>851</v>
      </c>
      <c r="M85" s="336">
        <v>930030</v>
      </c>
    </row>
    <row r="86" spans="1:13" ht="10.5" hidden="1" customHeight="1">
      <c r="A86" s="334" t="s">
        <v>496</v>
      </c>
      <c r="B86" s="336">
        <v>106179</v>
      </c>
      <c r="C86" s="336">
        <v>6549</v>
      </c>
      <c r="D86" s="336">
        <v>142902</v>
      </c>
      <c r="E86" s="336">
        <v>95133</v>
      </c>
      <c r="F86" s="336">
        <v>3988</v>
      </c>
      <c r="G86" s="336">
        <v>4312</v>
      </c>
      <c r="H86" s="336">
        <v>359063</v>
      </c>
      <c r="I86" s="336">
        <v>0</v>
      </c>
      <c r="J86" s="336">
        <v>5336</v>
      </c>
      <c r="K86" s="336">
        <v>2902</v>
      </c>
      <c r="L86" s="336">
        <v>851</v>
      </c>
      <c r="M86" s="336">
        <v>368151</v>
      </c>
    </row>
    <row r="87" spans="1:13" ht="10.5" hidden="1" customHeight="1">
      <c r="A87" s="334" t="s">
        <v>491</v>
      </c>
      <c r="B87" s="336">
        <v>4922</v>
      </c>
      <c r="C87" s="336">
        <v>477</v>
      </c>
      <c r="D87" s="336">
        <v>3230</v>
      </c>
      <c r="E87" s="336">
        <v>7461</v>
      </c>
      <c r="F87" s="336">
        <v>287</v>
      </c>
      <c r="G87" s="336">
        <v>198</v>
      </c>
      <c r="H87" s="336">
        <v>16576</v>
      </c>
      <c r="I87" s="336">
        <v>0</v>
      </c>
      <c r="J87" s="336">
        <v>33</v>
      </c>
      <c r="K87" s="336">
        <v>98</v>
      </c>
      <c r="L87" s="336">
        <v>0</v>
      </c>
      <c r="M87" s="336">
        <v>16706</v>
      </c>
    </row>
    <row r="88" spans="1:13" ht="10.5" hidden="1" customHeight="1">
      <c r="A88" s="334" t="s">
        <v>492</v>
      </c>
      <c r="B88" s="339">
        <v>101257</v>
      </c>
      <c r="C88" s="339">
        <v>6072</v>
      </c>
      <c r="D88" s="339">
        <v>139672</v>
      </c>
      <c r="E88" s="339">
        <v>87672</v>
      </c>
      <c r="F88" s="339">
        <v>3700</v>
      </c>
      <c r="G88" s="339">
        <v>4113</v>
      </c>
      <c r="H88" s="339">
        <v>342487</v>
      </c>
      <c r="I88" s="339">
        <v>0</v>
      </c>
      <c r="J88" s="339">
        <v>5303</v>
      </c>
      <c r="K88" s="339">
        <v>2804</v>
      </c>
      <c r="L88" s="339">
        <v>851</v>
      </c>
      <c r="M88" s="339">
        <v>351445</v>
      </c>
    </row>
    <row r="89" spans="1:13" ht="10.5" hidden="1" customHeight="1">
      <c r="A89" s="334" t="s">
        <v>493</v>
      </c>
      <c r="B89" s="336"/>
      <c r="C89" s="336"/>
      <c r="D89" s="336"/>
      <c r="E89" s="336"/>
      <c r="F89" s="336"/>
      <c r="G89" s="336"/>
      <c r="H89" s="336"/>
      <c r="I89" s="336"/>
      <c r="J89" s="336"/>
      <c r="K89" s="336"/>
      <c r="L89" s="336"/>
      <c r="M89" s="336">
        <v>3774</v>
      </c>
    </row>
    <row r="90" spans="1:13" ht="10.5" hidden="1" customHeight="1" thickBot="1">
      <c r="A90" s="433" t="s">
        <v>494</v>
      </c>
      <c r="B90" s="434"/>
      <c r="C90" s="434"/>
      <c r="D90" s="434"/>
      <c r="E90" s="434"/>
      <c r="F90" s="434"/>
      <c r="G90" s="434"/>
      <c r="H90" s="434"/>
      <c r="I90" s="434"/>
      <c r="J90" s="434"/>
      <c r="K90" s="434"/>
      <c r="L90" s="434"/>
      <c r="M90" s="434">
        <v>347671</v>
      </c>
    </row>
    <row r="91" spans="1:13" s="346" customFormat="1" hidden="1">
      <c r="A91" s="447">
        <v>2000</v>
      </c>
      <c r="B91" s="448"/>
      <c r="C91" s="448"/>
      <c r="D91" s="448"/>
      <c r="E91" s="448"/>
      <c r="F91" s="448"/>
      <c r="G91" s="448"/>
      <c r="H91" s="448"/>
      <c r="I91" s="448"/>
      <c r="J91" s="448"/>
      <c r="K91" s="448"/>
      <c r="L91" s="448"/>
      <c r="M91" s="448"/>
    </row>
    <row r="92" spans="1:13" ht="10.5" hidden="1" customHeight="1">
      <c r="A92" s="329" t="s">
        <v>488</v>
      </c>
      <c r="B92" s="432"/>
      <c r="C92" s="432"/>
      <c r="D92" s="432"/>
      <c r="E92" s="432"/>
      <c r="F92" s="432"/>
      <c r="G92" s="432"/>
      <c r="H92" s="432"/>
      <c r="I92" s="432"/>
      <c r="J92" s="432"/>
      <c r="K92" s="432"/>
      <c r="L92" s="432"/>
      <c r="M92" s="432"/>
    </row>
    <row r="93" spans="1:13" ht="10.5" hidden="1" customHeight="1">
      <c r="A93" s="334" t="s">
        <v>489</v>
      </c>
      <c r="B93" s="336">
        <v>322907</v>
      </c>
      <c r="C93" s="336">
        <v>8981</v>
      </c>
      <c r="D93" s="336">
        <v>283781</v>
      </c>
      <c r="E93" s="336">
        <v>228358</v>
      </c>
      <c r="F93" s="336">
        <v>2921</v>
      </c>
      <c r="G93" s="336" t="s">
        <v>502</v>
      </c>
      <c r="H93" s="336">
        <v>846949</v>
      </c>
      <c r="I93" s="336" t="s">
        <v>502</v>
      </c>
      <c r="J93" s="336">
        <v>4331</v>
      </c>
      <c r="K93" s="336">
        <v>2694</v>
      </c>
      <c r="L93" s="336" t="s">
        <v>502</v>
      </c>
      <c r="M93" s="336">
        <v>853974</v>
      </c>
    </row>
    <row r="94" spans="1:13" ht="10.5" hidden="1" customHeight="1">
      <c r="A94" s="334" t="s">
        <v>490</v>
      </c>
      <c r="B94" s="336">
        <v>117025</v>
      </c>
      <c r="C94" s="336">
        <v>2415</v>
      </c>
      <c r="D94" s="336">
        <v>129558</v>
      </c>
      <c r="E94" s="336">
        <v>85063</v>
      </c>
      <c r="F94" s="336">
        <v>698</v>
      </c>
      <c r="G94" s="336" t="s">
        <v>502</v>
      </c>
      <c r="H94" s="336">
        <v>334758</v>
      </c>
      <c r="I94" s="336" t="s">
        <v>502</v>
      </c>
      <c r="J94" s="336">
        <v>4331</v>
      </c>
      <c r="K94" s="336">
        <v>2694</v>
      </c>
      <c r="L94" s="336" t="s">
        <v>502</v>
      </c>
      <c r="M94" s="336">
        <v>341783</v>
      </c>
    </row>
    <row r="95" spans="1:13" ht="10.5" hidden="1" customHeight="1">
      <c r="A95" s="334" t="s">
        <v>491</v>
      </c>
      <c r="B95" s="336">
        <v>5175</v>
      </c>
      <c r="C95" s="336">
        <v>292</v>
      </c>
      <c r="D95" s="336">
        <v>2592</v>
      </c>
      <c r="E95" s="336">
        <v>6729</v>
      </c>
      <c r="F95" s="336">
        <v>58</v>
      </c>
      <c r="G95" s="336" t="s">
        <v>502</v>
      </c>
      <c r="H95" s="336">
        <v>14846</v>
      </c>
      <c r="I95" s="336" t="s">
        <v>502</v>
      </c>
      <c r="J95" s="336">
        <v>15</v>
      </c>
      <c r="K95" s="336">
        <v>91</v>
      </c>
      <c r="L95" s="336" t="s">
        <v>502</v>
      </c>
      <c r="M95" s="336">
        <v>14952</v>
      </c>
    </row>
    <row r="96" spans="1:13" ht="10.5" hidden="1" customHeight="1">
      <c r="A96" s="334" t="s">
        <v>492</v>
      </c>
      <c r="B96" s="336">
        <v>111850</v>
      </c>
      <c r="C96" s="336">
        <v>2123</v>
      </c>
      <c r="D96" s="336">
        <v>126965</v>
      </c>
      <c r="E96" s="336">
        <v>78334</v>
      </c>
      <c r="F96" s="336">
        <v>640</v>
      </c>
      <c r="G96" s="336" t="s">
        <v>502</v>
      </c>
      <c r="H96" s="336">
        <v>319912</v>
      </c>
      <c r="I96" s="336" t="s">
        <v>502</v>
      </c>
      <c r="J96" s="336">
        <v>4316</v>
      </c>
      <c r="K96" s="336">
        <v>2603</v>
      </c>
      <c r="L96" s="336" t="s">
        <v>502</v>
      </c>
      <c r="M96" s="336">
        <v>326831</v>
      </c>
    </row>
    <row r="97" spans="1:13" ht="10.5" hidden="1" customHeight="1">
      <c r="A97" s="334" t="s">
        <v>493</v>
      </c>
      <c r="B97" s="336"/>
      <c r="C97" s="336"/>
      <c r="D97" s="336"/>
      <c r="E97" s="336"/>
      <c r="F97" s="336"/>
      <c r="G97" s="336"/>
      <c r="H97" s="336"/>
      <c r="I97" s="336"/>
      <c r="J97" s="336"/>
      <c r="K97" s="336"/>
      <c r="L97" s="336"/>
      <c r="M97" s="336">
        <v>3499</v>
      </c>
    </row>
    <row r="98" spans="1:13" ht="10.5" hidden="1" customHeight="1">
      <c r="A98" s="431" t="s">
        <v>494</v>
      </c>
      <c r="B98" s="341"/>
      <c r="C98" s="341"/>
      <c r="D98" s="341"/>
      <c r="E98" s="341"/>
      <c r="F98" s="341"/>
      <c r="G98" s="341"/>
      <c r="H98" s="341"/>
      <c r="I98" s="341"/>
      <c r="J98" s="341"/>
      <c r="K98" s="341"/>
      <c r="L98" s="341"/>
      <c r="M98" s="341">
        <v>323332</v>
      </c>
    </row>
    <row r="99" spans="1:13" ht="10.5" hidden="1" customHeight="1">
      <c r="A99" s="329" t="s">
        <v>503</v>
      </c>
      <c r="B99" s="336"/>
      <c r="C99" s="336"/>
      <c r="D99" s="336"/>
      <c r="E99" s="336"/>
      <c r="F99" s="336"/>
      <c r="G99" s="336"/>
      <c r="H99" s="336"/>
      <c r="I99" s="336"/>
      <c r="J99" s="336"/>
      <c r="K99" s="336"/>
      <c r="L99" s="336"/>
      <c r="M99" s="336"/>
    </row>
    <row r="100" spans="1:13" ht="10.5" hidden="1" customHeight="1">
      <c r="A100" s="334" t="s">
        <v>489</v>
      </c>
      <c r="B100" s="336">
        <v>10522</v>
      </c>
      <c r="C100" s="336">
        <v>9042</v>
      </c>
      <c r="D100" s="336">
        <v>40779</v>
      </c>
      <c r="E100" s="336" t="s">
        <v>502</v>
      </c>
      <c r="F100" s="336">
        <v>15517</v>
      </c>
      <c r="G100" s="336">
        <v>15743</v>
      </c>
      <c r="H100" s="336">
        <v>91603</v>
      </c>
      <c r="I100" s="336" t="s">
        <v>502</v>
      </c>
      <c r="J100" s="336">
        <v>755</v>
      </c>
      <c r="K100" s="336" t="s">
        <v>502</v>
      </c>
      <c r="L100" s="336">
        <v>947</v>
      </c>
      <c r="M100" s="336">
        <v>93304</v>
      </c>
    </row>
    <row r="101" spans="1:13" ht="10.5" hidden="1" customHeight="1">
      <c r="A101" s="334" t="s">
        <v>496</v>
      </c>
      <c r="B101" s="336">
        <v>2925</v>
      </c>
      <c r="C101" s="336">
        <v>4109</v>
      </c>
      <c r="D101" s="336">
        <v>18519</v>
      </c>
      <c r="E101" s="336" t="s">
        <v>502</v>
      </c>
      <c r="F101" s="336">
        <v>3630</v>
      </c>
      <c r="G101" s="336">
        <v>4401</v>
      </c>
      <c r="H101" s="336">
        <v>33584</v>
      </c>
      <c r="I101" s="336" t="s">
        <v>502</v>
      </c>
      <c r="J101" s="336">
        <v>755</v>
      </c>
      <c r="K101" s="336" t="s">
        <v>502</v>
      </c>
      <c r="L101" s="336">
        <v>947</v>
      </c>
      <c r="M101" s="336">
        <v>35285</v>
      </c>
    </row>
    <row r="102" spans="1:13" ht="10.5" hidden="1" customHeight="1">
      <c r="A102" s="334" t="s">
        <v>491</v>
      </c>
      <c r="B102" s="336">
        <v>39</v>
      </c>
      <c r="C102" s="336">
        <v>304</v>
      </c>
      <c r="D102" s="336">
        <v>592</v>
      </c>
      <c r="E102" s="336" t="s">
        <v>502</v>
      </c>
      <c r="F102" s="336">
        <v>203</v>
      </c>
      <c r="G102" s="336">
        <v>202</v>
      </c>
      <c r="H102" s="336">
        <v>1340</v>
      </c>
      <c r="I102" s="336" t="s">
        <v>502</v>
      </c>
      <c r="J102" s="336">
        <v>12</v>
      </c>
      <c r="K102" s="336" t="s">
        <v>502</v>
      </c>
      <c r="L102" s="336" t="s">
        <v>502</v>
      </c>
      <c r="M102" s="336">
        <v>1352</v>
      </c>
    </row>
    <row r="103" spans="1:13" ht="10.5" hidden="1" customHeight="1">
      <c r="A103" s="431" t="s">
        <v>497</v>
      </c>
      <c r="B103" s="341">
        <v>2887</v>
      </c>
      <c r="C103" s="341">
        <v>3805</v>
      </c>
      <c r="D103" s="341">
        <v>17927</v>
      </c>
      <c r="E103" s="341" t="s">
        <v>502</v>
      </c>
      <c r="F103" s="341">
        <v>3427</v>
      </c>
      <c r="G103" s="341">
        <v>4198</v>
      </c>
      <c r="H103" s="341">
        <v>32244</v>
      </c>
      <c r="I103" s="341" t="s">
        <v>502</v>
      </c>
      <c r="J103" s="341">
        <v>743</v>
      </c>
      <c r="K103" s="341" t="s">
        <v>502</v>
      </c>
      <c r="L103" s="341">
        <v>947</v>
      </c>
      <c r="M103" s="341">
        <v>33933</v>
      </c>
    </row>
    <row r="104" spans="1:13" ht="10.5" hidden="1" customHeight="1">
      <c r="A104" s="329" t="s">
        <v>498</v>
      </c>
      <c r="B104" s="336"/>
      <c r="C104" s="336"/>
      <c r="D104" s="336"/>
      <c r="E104" s="336"/>
      <c r="F104" s="336"/>
      <c r="G104" s="336"/>
      <c r="H104" s="336"/>
      <c r="I104" s="336"/>
      <c r="J104" s="336"/>
      <c r="K104" s="336"/>
      <c r="L104" s="336"/>
      <c r="M104" s="336"/>
    </row>
    <row r="105" spans="1:13" ht="10.5" hidden="1" customHeight="1">
      <c r="A105" s="334" t="s">
        <v>499</v>
      </c>
      <c r="B105" s="336">
        <v>333429</v>
      </c>
      <c r="C105" s="336">
        <v>18023</v>
      </c>
      <c r="D105" s="336">
        <v>324560</v>
      </c>
      <c r="E105" s="336">
        <v>228358</v>
      </c>
      <c r="F105" s="336">
        <v>18439</v>
      </c>
      <c r="G105" s="336">
        <v>15743</v>
      </c>
      <c r="H105" s="336">
        <v>938551</v>
      </c>
      <c r="I105" s="336" t="s">
        <v>502</v>
      </c>
      <c r="J105" s="336">
        <v>5085</v>
      </c>
      <c r="K105" s="336">
        <v>2694</v>
      </c>
      <c r="L105" s="336">
        <v>947</v>
      </c>
      <c r="M105" s="336">
        <v>947278</v>
      </c>
    </row>
    <row r="106" spans="1:13" ht="10.5" hidden="1" customHeight="1">
      <c r="A106" s="334" t="s">
        <v>496</v>
      </c>
      <c r="B106" s="336">
        <v>119950</v>
      </c>
      <c r="C106" s="336">
        <v>6524</v>
      </c>
      <c r="D106" s="336">
        <v>148077</v>
      </c>
      <c r="E106" s="336">
        <v>85063</v>
      </c>
      <c r="F106" s="336">
        <v>4328</v>
      </c>
      <c r="G106" s="336">
        <v>4401</v>
      </c>
      <c r="H106" s="336">
        <v>368342</v>
      </c>
      <c r="I106" s="336" t="s">
        <v>502</v>
      </c>
      <c r="J106" s="336">
        <v>5085</v>
      </c>
      <c r="K106" s="336">
        <v>2694</v>
      </c>
      <c r="L106" s="336">
        <v>947</v>
      </c>
      <c r="M106" s="336">
        <v>377069</v>
      </c>
    </row>
    <row r="107" spans="1:13" ht="10.5" hidden="1" customHeight="1">
      <c r="A107" s="334" t="s">
        <v>491</v>
      </c>
      <c r="B107" s="336">
        <v>5214</v>
      </c>
      <c r="C107" s="336">
        <v>596</v>
      </c>
      <c r="D107" s="336">
        <v>3184</v>
      </c>
      <c r="E107" s="336">
        <v>6729</v>
      </c>
      <c r="F107" s="336">
        <v>261</v>
      </c>
      <c r="G107" s="336">
        <v>202</v>
      </c>
      <c r="H107" s="336">
        <v>16186</v>
      </c>
      <c r="I107" s="336" t="s">
        <v>502</v>
      </c>
      <c r="J107" s="336">
        <v>27</v>
      </c>
      <c r="K107" s="336">
        <v>91</v>
      </c>
      <c r="L107" s="336" t="s">
        <v>502</v>
      </c>
      <c r="M107" s="336">
        <v>16304</v>
      </c>
    </row>
    <row r="108" spans="1:13" ht="10.5" hidden="1" customHeight="1">
      <c r="A108" s="334" t="s">
        <v>492</v>
      </c>
      <c r="B108" s="336">
        <v>114736</v>
      </c>
      <c r="C108" s="336">
        <v>5928</v>
      </c>
      <c r="D108" s="336">
        <v>144892</v>
      </c>
      <c r="E108" s="336">
        <v>78334</v>
      </c>
      <c r="F108" s="336">
        <v>4067</v>
      </c>
      <c r="G108" s="336">
        <v>4198</v>
      </c>
      <c r="H108" s="336">
        <v>352156</v>
      </c>
      <c r="I108" s="336" t="s">
        <v>502</v>
      </c>
      <c r="J108" s="336">
        <v>5058</v>
      </c>
      <c r="K108" s="336">
        <v>2603</v>
      </c>
      <c r="L108" s="336">
        <v>947</v>
      </c>
      <c r="M108" s="336">
        <v>360764</v>
      </c>
    </row>
    <row r="109" spans="1:13" ht="10.5" hidden="1" customHeight="1">
      <c r="A109" s="334" t="s">
        <v>493</v>
      </c>
      <c r="B109" s="336"/>
      <c r="C109" s="336"/>
      <c r="D109" s="336"/>
      <c r="E109" s="336"/>
      <c r="F109" s="336"/>
      <c r="G109" s="336"/>
      <c r="H109" s="336"/>
      <c r="I109" s="336"/>
      <c r="J109" s="336"/>
      <c r="K109" s="336"/>
      <c r="L109" s="336"/>
      <c r="M109" s="336">
        <v>3499</v>
      </c>
    </row>
    <row r="110" spans="1:13" ht="10.5" hidden="1" customHeight="1" thickBot="1">
      <c r="A110" s="433" t="s">
        <v>494</v>
      </c>
      <c r="B110" s="434"/>
      <c r="C110" s="434"/>
      <c r="D110" s="434"/>
      <c r="E110" s="434"/>
      <c r="F110" s="434"/>
      <c r="G110" s="434"/>
      <c r="H110" s="434"/>
      <c r="I110" s="434"/>
      <c r="J110" s="434"/>
      <c r="K110" s="434"/>
      <c r="L110" s="434"/>
      <c r="M110" s="434">
        <v>357266</v>
      </c>
    </row>
    <row r="111" spans="1:13" ht="14.25" hidden="1" customHeight="1" thickTop="1">
      <c r="A111" s="404"/>
      <c r="B111" s="1979" t="s">
        <v>474</v>
      </c>
      <c r="C111" s="1979"/>
      <c r="D111" s="1979"/>
      <c r="E111" s="1979"/>
      <c r="F111" s="1979"/>
      <c r="G111" s="1979"/>
      <c r="H111" s="1979"/>
      <c r="I111" s="404"/>
      <c r="J111" s="1979" t="s">
        <v>475</v>
      </c>
      <c r="K111" s="1979"/>
      <c r="L111" s="1979"/>
      <c r="M111" s="1979"/>
    </row>
    <row r="112" spans="1:13" ht="10.5" hidden="1" customHeight="1">
      <c r="A112" s="329"/>
      <c r="B112" s="408" t="s">
        <v>125</v>
      </c>
      <c r="C112" s="408" t="s">
        <v>186</v>
      </c>
      <c r="D112" s="408" t="s">
        <v>14</v>
      </c>
      <c r="E112" s="408" t="s">
        <v>0</v>
      </c>
      <c r="F112" s="408" t="s">
        <v>476</v>
      </c>
      <c r="G112" s="408" t="s">
        <v>373</v>
      </c>
      <c r="H112" s="408" t="s">
        <v>132</v>
      </c>
      <c r="I112" s="408"/>
      <c r="J112" s="408" t="s">
        <v>477</v>
      </c>
      <c r="K112" s="408" t="s">
        <v>477</v>
      </c>
      <c r="L112" s="408" t="s">
        <v>113</v>
      </c>
      <c r="M112" s="409" t="s">
        <v>132</v>
      </c>
    </row>
    <row r="113" spans="1:15" ht="10.5" hidden="1" customHeight="1">
      <c r="B113" s="330"/>
      <c r="C113" s="330"/>
      <c r="D113" s="330"/>
      <c r="E113" s="330"/>
      <c r="F113" s="408" t="s">
        <v>478</v>
      </c>
      <c r="G113" s="415" t="s">
        <v>479</v>
      </c>
      <c r="H113" s="330"/>
      <c r="I113" s="330"/>
      <c r="J113" s="408" t="s">
        <v>480</v>
      </c>
      <c r="K113" s="408" t="s">
        <v>481</v>
      </c>
      <c r="L113" s="415" t="s">
        <v>482</v>
      </c>
      <c r="M113" s="408" t="s">
        <v>483</v>
      </c>
    </row>
    <row r="114" spans="1:15" ht="10.5" hidden="1" customHeight="1">
      <c r="A114" s="445"/>
      <c r="B114" s="422"/>
      <c r="C114" s="422"/>
      <c r="D114" s="422"/>
      <c r="E114" s="422"/>
      <c r="F114" s="446" t="s">
        <v>484</v>
      </c>
      <c r="G114" s="422"/>
      <c r="H114" s="422"/>
      <c r="I114" s="422"/>
      <c r="J114" s="423" t="s">
        <v>485</v>
      </c>
      <c r="K114" s="423" t="s">
        <v>486</v>
      </c>
      <c r="L114" s="422"/>
      <c r="M114" s="423" t="s">
        <v>487</v>
      </c>
    </row>
    <row r="115" spans="1:15" s="346" customFormat="1" hidden="1">
      <c r="A115" s="447">
        <v>2001</v>
      </c>
      <c r="B115" s="388"/>
      <c r="C115" s="388"/>
      <c r="D115" s="388"/>
      <c r="E115" s="388"/>
      <c r="F115" s="388"/>
      <c r="G115" s="388"/>
      <c r="H115" s="388"/>
      <c r="I115" s="388"/>
      <c r="J115" s="388"/>
      <c r="K115" s="388"/>
      <c r="L115" s="388"/>
      <c r="M115" s="388"/>
    </row>
    <row r="116" spans="1:15" ht="10.5" hidden="1" customHeight="1">
      <c r="A116" s="329" t="s">
        <v>504</v>
      </c>
      <c r="B116" s="449"/>
      <c r="C116" s="449"/>
      <c r="D116" s="449"/>
      <c r="E116" s="449"/>
      <c r="F116" s="449"/>
      <c r="G116" s="449"/>
      <c r="H116" s="449"/>
      <c r="I116" s="449"/>
      <c r="J116" s="449"/>
      <c r="K116" s="449"/>
      <c r="L116" s="449"/>
      <c r="M116" s="449"/>
    </row>
    <row r="117" spans="1:15" ht="10.5" hidden="1" customHeight="1">
      <c r="A117" s="334" t="s">
        <v>489</v>
      </c>
      <c r="B117" s="450">
        <v>355582</v>
      </c>
      <c r="C117" s="450">
        <v>9510</v>
      </c>
      <c r="D117" s="450">
        <v>276761</v>
      </c>
      <c r="E117" s="450">
        <v>241537</v>
      </c>
      <c r="F117" s="450">
        <v>3102</v>
      </c>
      <c r="G117" s="450">
        <v>0</v>
      </c>
      <c r="H117" s="450">
        <v>886492</v>
      </c>
      <c r="I117" s="450" t="s">
        <v>502</v>
      </c>
      <c r="J117" s="450">
        <v>3215</v>
      </c>
      <c r="K117" s="450">
        <v>2422</v>
      </c>
      <c r="L117" s="450">
        <v>0</v>
      </c>
      <c r="M117" s="450">
        <v>892129</v>
      </c>
      <c r="O117" s="451"/>
    </row>
    <row r="118" spans="1:15" ht="10.5" hidden="1" customHeight="1">
      <c r="A118" s="334" t="s">
        <v>490</v>
      </c>
      <c r="B118" s="450">
        <v>127128</v>
      </c>
      <c r="C118" s="450">
        <v>2472</v>
      </c>
      <c r="D118" s="450">
        <v>126999</v>
      </c>
      <c r="E118" s="450">
        <v>90093</v>
      </c>
      <c r="F118" s="450">
        <v>738</v>
      </c>
      <c r="G118" s="450">
        <v>0</v>
      </c>
      <c r="H118" s="450">
        <v>347429</v>
      </c>
      <c r="I118" s="450" t="s">
        <v>502</v>
      </c>
      <c r="J118" s="450">
        <v>3215</v>
      </c>
      <c r="K118" s="450">
        <v>2422</v>
      </c>
      <c r="L118" s="450">
        <v>0</v>
      </c>
      <c r="M118" s="450">
        <v>353066</v>
      </c>
      <c r="O118" s="451"/>
    </row>
    <row r="119" spans="1:15" ht="10.5" hidden="1" customHeight="1">
      <c r="A119" s="334" t="s">
        <v>491</v>
      </c>
      <c r="B119" s="450">
        <v>5830</v>
      </c>
      <c r="C119" s="450">
        <v>281</v>
      </c>
      <c r="D119" s="450">
        <v>2709</v>
      </c>
      <c r="E119" s="450">
        <v>7108</v>
      </c>
      <c r="F119" s="450">
        <v>46</v>
      </c>
      <c r="G119" s="450">
        <v>0</v>
      </c>
      <c r="H119" s="450">
        <v>15973</v>
      </c>
      <c r="I119" s="450" t="s">
        <v>502</v>
      </c>
      <c r="J119" s="450">
        <v>11</v>
      </c>
      <c r="K119" s="450">
        <v>82</v>
      </c>
      <c r="L119" s="450">
        <v>0</v>
      </c>
      <c r="M119" s="450">
        <v>16066</v>
      </c>
      <c r="O119" s="451"/>
    </row>
    <row r="120" spans="1:15" ht="10.5" hidden="1" customHeight="1">
      <c r="A120" s="334" t="s">
        <v>492</v>
      </c>
      <c r="B120" s="450">
        <v>121298</v>
      </c>
      <c r="C120" s="450">
        <v>2192</v>
      </c>
      <c r="D120" s="450">
        <v>124289</v>
      </c>
      <c r="E120" s="450">
        <v>82985</v>
      </c>
      <c r="F120" s="450">
        <v>692</v>
      </c>
      <c r="G120" s="450">
        <v>0</v>
      </c>
      <c r="H120" s="450">
        <v>331456</v>
      </c>
      <c r="I120" s="450" t="s">
        <v>502</v>
      </c>
      <c r="J120" s="450">
        <v>3203</v>
      </c>
      <c r="K120" s="450">
        <v>2340</v>
      </c>
      <c r="L120" s="450">
        <v>0</v>
      </c>
      <c r="M120" s="450">
        <v>336999</v>
      </c>
      <c r="O120" s="451"/>
    </row>
    <row r="121" spans="1:15" ht="10.5" hidden="1" customHeight="1">
      <c r="A121" s="334" t="s">
        <v>493</v>
      </c>
      <c r="B121" s="452"/>
      <c r="C121" s="452"/>
      <c r="D121" s="452"/>
      <c r="E121" s="452"/>
      <c r="F121" s="452"/>
      <c r="G121" s="452"/>
      <c r="H121" s="452"/>
      <c r="I121" s="452"/>
      <c r="J121" s="452"/>
      <c r="K121" s="452"/>
      <c r="L121" s="452"/>
      <c r="M121" s="450">
        <v>3210</v>
      </c>
      <c r="O121" s="451"/>
    </row>
    <row r="122" spans="1:15" ht="10.5" hidden="1" customHeight="1">
      <c r="A122" s="431" t="s">
        <v>494</v>
      </c>
      <c r="B122" s="453"/>
      <c r="C122" s="453"/>
      <c r="D122" s="453"/>
      <c r="E122" s="453"/>
      <c r="F122" s="453"/>
      <c r="G122" s="453"/>
      <c r="H122" s="453"/>
      <c r="I122" s="453"/>
      <c r="J122" s="453"/>
      <c r="K122" s="453"/>
      <c r="L122" s="453"/>
      <c r="M122" s="453">
        <v>333789</v>
      </c>
      <c r="O122" s="451"/>
    </row>
    <row r="123" spans="1:15" ht="10.5" hidden="1" customHeight="1">
      <c r="A123" s="329" t="s">
        <v>495</v>
      </c>
      <c r="B123" s="450"/>
      <c r="C123" s="450"/>
      <c r="D123" s="450"/>
      <c r="E123" s="450"/>
      <c r="F123" s="450"/>
      <c r="G123" s="450"/>
      <c r="H123" s="450"/>
      <c r="I123" s="450"/>
      <c r="J123" s="450"/>
      <c r="K123" s="450"/>
      <c r="L123" s="450"/>
      <c r="M123" s="450"/>
      <c r="O123" s="451"/>
    </row>
    <row r="124" spans="1:15" ht="10.5" hidden="1" customHeight="1">
      <c r="A124" s="334" t="s">
        <v>489</v>
      </c>
      <c r="B124" s="450">
        <v>11987</v>
      </c>
      <c r="C124" s="450">
        <v>7035</v>
      </c>
      <c r="D124" s="450">
        <v>35757</v>
      </c>
      <c r="E124" s="450">
        <v>0</v>
      </c>
      <c r="F124" s="450">
        <v>18849</v>
      </c>
      <c r="G124" s="450">
        <v>12053</v>
      </c>
      <c r="H124" s="450">
        <v>85682</v>
      </c>
      <c r="I124" s="450" t="s">
        <v>502</v>
      </c>
      <c r="J124" s="450">
        <v>840</v>
      </c>
      <c r="K124" s="450">
        <v>0</v>
      </c>
      <c r="L124" s="450">
        <v>967</v>
      </c>
      <c r="M124" s="450">
        <v>87489</v>
      </c>
      <c r="O124" s="451"/>
    </row>
    <row r="125" spans="1:15" ht="10.5" hidden="1" customHeight="1">
      <c r="A125" s="334" t="s">
        <v>496</v>
      </c>
      <c r="B125" s="450">
        <v>4333</v>
      </c>
      <c r="C125" s="450">
        <v>2781</v>
      </c>
      <c r="D125" s="450">
        <v>14906</v>
      </c>
      <c r="E125" s="450">
        <v>0</v>
      </c>
      <c r="F125" s="450">
        <v>4316</v>
      </c>
      <c r="G125" s="450">
        <v>3577</v>
      </c>
      <c r="H125" s="450">
        <v>29913</v>
      </c>
      <c r="I125" s="450" t="s">
        <v>502</v>
      </c>
      <c r="J125" s="450">
        <v>840</v>
      </c>
      <c r="K125" s="450">
        <v>0</v>
      </c>
      <c r="L125" s="450">
        <v>967</v>
      </c>
      <c r="M125" s="450">
        <v>31721</v>
      </c>
      <c r="O125" s="451"/>
    </row>
    <row r="126" spans="1:15" ht="10.5" hidden="1" customHeight="1">
      <c r="A126" s="334" t="s">
        <v>491</v>
      </c>
      <c r="B126" s="450">
        <v>230</v>
      </c>
      <c r="C126" s="450">
        <v>196</v>
      </c>
      <c r="D126" s="450">
        <v>480</v>
      </c>
      <c r="E126" s="450">
        <v>0</v>
      </c>
      <c r="F126" s="450">
        <v>246</v>
      </c>
      <c r="G126" s="450">
        <v>165</v>
      </c>
      <c r="H126" s="450">
        <v>1316</v>
      </c>
      <c r="I126" s="450" t="s">
        <v>502</v>
      </c>
      <c r="J126" s="450">
        <v>12</v>
      </c>
      <c r="K126" s="450">
        <v>0</v>
      </c>
      <c r="L126" s="450">
        <v>0</v>
      </c>
      <c r="M126" s="450">
        <v>1328</v>
      </c>
      <c r="O126" s="451"/>
    </row>
    <row r="127" spans="1:15" ht="10.5" hidden="1" customHeight="1">
      <c r="A127" s="431" t="s">
        <v>497</v>
      </c>
      <c r="B127" s="453">
        <v>4104</v>
      </c>
      <c r="C127" s="453">
        <v>2585</v>
      </c>
      <c r="D127" s="453">
        <v>14426</v>
      </c>
      <c r="E127" s="453">
        <v>0</v>
      </c>
      <c r="F127" s="453">
        <v>4070</v>
      </c>
      <c r="G127" s="453">
        <v>3412</v>
      </c>
      <c r="H127" s="453">
        <v>28597</v>
      </c>
      <c r="I127" s="453" t="s">
        <v>502</v>
      </c>
      <c r="J127" s="453">
        <v>829</v>
      </c>
      <c r="K127" s="453">
        <v>0</v>
      </c>
      <c r="L127" s="453">
        <v>967</v>
      </c>
      <c r="M127" s="453">
        <v>30393</v>
      </c>
      <c r="O127" s="451"/>
    </row>
    <row r="128" spans="1:15" ht="10.5" hidden="1" customHeight="1">
      <c r="A128" s="329" t="s">
        <v>498</v>
      </c>
      <c r="B128" s="450"/>
      <c r="C128" s="450"/>
      <c r="D128" s="450"/>
      <c r="E128" s="450"/>
      <c r="F128" s="450"/>
      <c r="G128" s="450"/>
      <c r="H128" s="450"/>
      <c r="I128" s="450"/>
      <c r="J128" s="450"/>
      <c r="K128" s="450"/>
      <c r="L128" s="450"/>
      <c r="M128" s="450"/>
      <c r="O128" s="451"/>
    </row>
    <row r="129" spans="1:15" ht="10.5" hidden="1" customHeight="1">
      <c r="A129" s="334" t="s">
        <v>499</v>
      </c>
      <c r="B129" s="450">
        <v>367569</v>
      </c>
      <c r="C129" s="450">
        <v>16545</v>
      </c>
      <c r="D129" s="450">
        <v>312518</v>
      </c>
      <c r="E129" s="450">
        <v>241537</v>
      </c>
      <c r="F129" s="450">
        <v>21951</v>
      </c>
      <c r="G129" s="450">
        <v>12053</v>
      </c>
      <c r="H129" s="450">
        <v>972174</v>
      </c>
      <c r="I129" s="450" t="s">
        <v>502</v>
      </c>
      <c r="J129" s="450">
        <v>4055</v>
      </c>
      <c r="K129" s="450">
        <v>2422</v>
      </c>
      <c r="L129" s="450">
        <v>967</v>
      </c>
      <c r="M129" s="450">
        <v>979618</v>
      </c>
      <c r="O129" s="451"/>
    </row>
    <row r="130" spans="1:15" ht="10.5" hidden="1" customHeight="1">
      <c r="A130" s="334" t="s">
        <v>496</v>
      </c>
      <c r="B130" s="450">
        <v>131461</v>
      </c>
      <c r="C130" s="450">
        <v>5253</v>
      </c>
      <c r="D130" s="450">
        <v>141905</v>
      </c>
      <c r="E130" s="450">
        <v>90093</v>
      </c>
      <c r="F130" s="450">
        <v>5054</v>
      </c>
      <c r="G130" s="450">
        <v>3577</v>
      </c>
      <c r="H130" s="450">
        <v>377342</v>
      </c>
      <c r="I130" s="450" t="s">
        <v>502</v>
      </c>
      <c r="J130" s="450">
        <v>4055</v>
      </c>
      <c r="K130" s="450">
        <v>2422</v>
      </c>
      <c r="L130" s="450">
        <v>967</v>
      </c>
      <c r="M130" s="450">
        <v>384786</v>
      </c>
      <c r="O130" s="451"/>
    </row>
    <row r="131" spans="1:15" ht="10.5" hidden="1" customHeight="1">
      <c r="A131" s="334" t="s">
        <v>491</v>
      </c>
      <c r="B131" s="450">
        <v>6059</v>
      </c>
      <c r="C131" s="450">
        <v>476</v>
      </c>
      <c r="D131" s="450">
        <v>3189</v>
      </c>
      <c r="E131" s="450">
        <v>7108</v>
      </c>
      <c r="F131" s="450">
        <v>292</v>
      </c>
      <c r="G131" s="450">
        <v>165</v>
      </c>
      <c r="H131" s="450">
        <v>17289</v>
      </c>
      <c r="I131" s="450" t="s">
        <v>502</v>
      </c>
      <c r="J131" s="450">
        <v>23</v>
      </c>
      <c r="K131" s="450">
        <v>82</v>
      </c>
      <c r="L131" s="450">
        <v>0</v>
      </c>
      <c r="M131" s="450">
        <v>17394</v>
      </c>
      <c r="O131" s="451"/>
    </row>
    <row r="132" spans="1:15" s="316" customFormat="1" ht="10.5" hidden="1" customHeight="1">
      <c r="A132" s="334" t="s">
        <v>492</v>
      </c>
      <c r="B132" s="450">
        <v>125402</v>
      </c>
      <c r="C132" s="450">
        <v>4777</v>
      </c>
      <c r="D132" s="450">
        <v>138716</v>
      </c>
      <c r="E132" s="450">
        <v>82985</v>
      </c>
      <c r="F132" s="450">
        <v>4762</v>
      </c>
      <c r="G132" s="450">
        <v>3412</v>
      </c>
      <c r="H132" s="450">
        <v>360053</v>
      </c>
      <c r="I132" s="450" t="s">
        <v>502</v>
      </c>
      <c r="J132" s="450">
        <v>4032</v>
      </c>
      <c r="K132" s="450">
        <v>2340</v>
      </c>
      <c r="L132" s="450">
        <v>967</v>
      </c>
      <c r="M132" s="450">
        <v>367392</v>
      </c>
      <c r="O132" s="451"/>
    </row>
    <row r="133" spans="1:15" ht="10.5" hidden="1" customHeight="1">
      <c r="A133" s="334" t="s">
        <v>493</v>
      </c>
      <c r="B133" s="450"/>
      <c r="C133" s="450"/>
      <c r="D133" s="450"/>
      <c r="E133" s="450"/>
      <c r="F133" s="450"/>
      <c r="G133" s="450"/>
      <c r="H133" s="450"/>
      <c r="I133" s="450"/>
      <c r="J133" s="450"/>
      <c r="K133" s="450"/>
      <c r="L133" s="450"/>
      <c r="M133" s="450">
        <v>3210</v>
      </c>
      <c r="O133" s="451"/>
    </row>
    <row r="134" spans="1:15" s="312" customFormat="1" ht="10.5" hidden="1" customHeight="1" thickBot="1">
      <c r="A134" s="433" t="s">
        <v>494</v>
      </c>
      <c r="B134" s="454"/>
      <c r="C134" s="454"/>
      <c r="D134" s="454"/>
      <c r="E134" s="454"/>
      <c r="F134" s="454"/>
      <c r="G134" s="454"/>
      <c r="H134" s="454"/>
      <c r="I134" s="454"/>
      <c r="J134" s="454"/>
      <c r="K134" s="454"/>
      <c r="L134" s="454"/>
      <c r="M134" s="454">
        <v>364182</v>
      </c>
      <c r="O134" s="451"/>
    </row>
    <row r="135" spans="1:15" s="312" customFormat="1" ht="13.5" hidden="1" customHeight="1">
      <c r="A135" s="447">
        <v>2002</v>
      </c>
      <c r="B135" s="455"/>
      <c r="C135" s="455"/>
      <c r="D135" s="455"/>
      <c r="E135" s="455"/>
      <c r="F135" s="455"/>
      <c r="G135" s="455"/>
      <c r="H135" s="455"/>
      <c r="I135" s="455"/>
      <c r="J135" s="455"/>
      <c r="K135" s="455"/>
      <c r="L135" s="455"/>
      <c r="M135" s="455"/>
    </row>
    <row r="136" spans="1:15" s="312" customFormat="1" ht="10.5" hidden="1" customHeight="1">
      <c r="A136" s="329" t="s">
        <v>504</v>
      </c>
      <c r="B136" s="450"/>
      <c r="C136" s="450"/>
      <c r="D136" s="450"/>
      <c r="E136" s="450"/>
      <c r="F136" s="450"/>
      <c r="G136" s="450"/>
      <c r="H136" s="450"/>
      <c r="I136" s="450"/>
      <c r="J136" s="450"/>
      <c r="K136" s="450"/>
      <c r="L136" s="450"/>
      <c r="M136" s="450"/>
    </row>
    <row r="137" spans="1:15" s="312" customFormat="1" ht="10.5" hidden="1" customHeight="1">
      <c r="A137" s="334" t="s">
        <v>489</v>
      </c>
      <c r="B137" s="450">
        <v>332889</v>
      </c>
      <c r="C137" s="450">
        <v>8011</v>
      </c>
      <c r="D137" s="450">
        <v>291264</v>
      </c>
      <c r="E137" s="450">
        <v>233765</v>
      </c>
      <c r="F137" s="450">
        <v>3186</v>
      </c>
      <c r="G137" s="450">
        <v>0</v>
      </c>
      <c r="H137" s="450">
        <v>869115</v>
      </c>
      <c r="I137" s="450" t="s">
        <v>502</v>
      </c>
      <c r="J137" s="450">
        <v>3927</v>
      </c>
      <c r="K137" s="450">
        <v>2652</v>
      </c>
      <c r="L137" s="450">
        <v>0</v>
      </c>
      <c r="M137" s="450">
        <v>875694</v>
      </c>
    </row>
    <row r="138" spans="1:15" s="312" customFormat="1" ht="10.5" hidden="1" customHeight="1">
      <c r="A138" s="334" t="s">
        <v>490</v>
      </c>
      <c r="B138" s="450">
        <v>120958</v>
      </c>
      <c r="C138" s="450">
        <v>2011</v>
      </c>
      <c r="D138" s="450">
        <v>135741</v>
      </c>
      <c r="E138" s="450">
        <v>87848</v>
      </c>
      <c r="F138" s="450">
        <v>856</v>
      </c>
      <c r="G138" s="450">
        <v>0</v>
      </c>
      <c r="H138" s="450">
        <v>347414</v>
      </c>
      <c r="I138" s="450" t="s">
        <v>502</v>
      </c>
      <c r="J138" s="450">
        <v>3927</v>
      </c>
      <c r="K138" s="450">
        <v>2652</v>
      </c>
      <c r="L138" s="450">
        <v>0</v>
      </c>
      <c r="M138" s="450">
        <v>353994</v>
      </c>
    </row>
    <row r="139" spans="1:15" s="312" customFormat="1" ht="10.5" hidden="1" customHeight="1">
      <c r="A139" s="334" t="s">
        <v>491</v>
      </c>
      <c r="B139" s="450">
        <v>5574</v>
      </c>
      <c r="C139" s="450">
        <v>378</v>
      </c>
      <c r="D139" s="450">
        <v>2877</v>
      </c>
      <c r="E139" s="450">
        <v>6758</v>
      </c>
      <c r="F139" s="450">
        <v>55</v>
      </c>
      <c r="G139" s="450">
        <v>0</v>
      </c>
      <c r="H139" s="450">
        <v>15643</v>
      </c>
      <c r="I139" s="450" t="s">
        <v>502</v>
      </c>
      <c r="J139" s="450">
        <v>14</v>
      </c>
      <c r="K139" s="450">
        <v>90</v>
      </c>
      <c r="L139" s="450">
        <v>0</v>
      </c>
      <c r="M139" s="450">
        <v>15746</v>
      </c>
    </row>
    <row r="140" spans="1:15" s="312" customFormat="1" ht="10.5" hidden="1" customHeight="1">
      <c r="A140" s="334" t="s">
        <v>492</v>
      </c>
      <c r="B140" s="450">
        <v>115383</v>
      </c>
      <c r="C140" s="450">
        <v>1633</v>
      </c>
      <c r="D140" s="450">
        <v>132864</v>
      </c>
      <c r="E140" s="450">
        <v>81090</v>
      </c>
      <c r="F140" s="450">
        <v>802</v>
      </c>
      <c r="G140" s="450">
        <v>0</v>
      </c>
      <c r="H140" s="450">
        <v>331772</v>
      </c>
      <c r="I140" s="450" t="s">
        <v>502</v>
      </c>
      <c r="J140" s="450">
        <v>3914</v>
      </c>
      <c r="K140" s="450">
        <v>2562</v>
      </c>
      <c r="L140" s="450">
        <v>0</v>
      </c>
      <c r="M140" s="450">
        <v>338248</v>
      </c>
    </row>
    <row r="141" spans="1:15" s="312" customFormat="1" ht="10.5" hidden="1" customHeight="1">
      <c r="A141" s="334" t="s">
        <v>493</v>
      </c>
      <c r="B141" s="450"/>
      <c r="C141" s="450"/>
      <c r="D141" s="450"/>
      <c r="E141" s="450"/>
      <c r="F141" s="450"/>
      <c r="G141" s="450"/>
      <c r="H141" s="450"/>
      <c r="I141" s="450"/>
      <c r="J141" s="450"/>
      <c r="K141" s="450"/>
      <c r="L141" s="450"/>
      <c r="M141" s="450">
        <v>3463</v>
      </c>
    </row>
    <row r="142" spans="1:15" s="312" customFormat="1" ht="10.5" hidden="1" customHeight="1">
      <c r="A142" s="431" t="s">
        <v>494</v>
      </c>
      <c r="B142" s="453"/>
      <c r="C142" s="453"/>
      <c r="D142" s="453"/>
      <c r="E142" s="453"/>
      <c r="F142" s="453"/>
      <c r="G142" s="453"/>
      <c r="H142" s="453"/>
      <c r="I142" s="453"/>
      <c r="J142" s="453"/>
      <c r="K142" s="453"/>
      <c r="L142" s="453"/>
      <c r="M142" s="453">
        <v>334785</v>
      </c>
    </row>
    <row r="143" spans="1:15" s="312" customFormat="1" ht="10.5" hidden="1" customHeight="1">
      <c r="A143" s="329" t="s">
        <v>495</v>
      </c>
      <c r="B143" s="450"/>
      <c r="C143" s="450"/>
      <c r="D143" s="450"/>
      <c r="E143" s="450"/>
      <c r="F143" s="450"/>
      <c r="G143" s="450"/>
      <c r="H143" s="450"/>
      <c r="I143" s="450"/>
      <c r="J143" s="450"/>
      <c r="K143" s="450"/>
      <c r="L143" s="450"/>
      <c r="M143" s="450"/>
    </row>
    <row r="144" spans="1:15" s="312" customFormat="1" ht="10.5" hidden="1" customHeight="1">
      <c r="A144" s="334" t="s">
        <v>489</v>
      </c>
      <c r="B144" s="450">
        <v>11663</v>
      </c>
      <c r="C144" s="450">
        <v>6966</v>
      </c>
      <c r="D144" s="450">
        <v>38177</v>
      </c>
      <c r="E144" s="450">
        <v>0</v>
      </c>
      <c r="F144" s="450">
        <v>20922</v>
      </c>
      <c r="G144" s="450">
        <v>12343</v>
      </c>
      <c r="H144" s="450">
        <v>90071</v>
      </c>
      <c r="I144" s="450" t="s">
        <v>502</v>
      </c>
      <c r="J144" s="450">
        <v>860</v>
      </c>
      <c r="K144" s="450">
        <v>0</v>
      </c>
      <c r="L144" s="450">
        <v>1259</v>
      </c>
      <c r="M144" s="450">
        <v>92190</v>
      </c>
    </row>
    <row r="145" spans="1:14" s="312" customFormat="1" ht="10.5" hidden="1" customHeight="1">
      <c r="A145" s="334" t="s">
        <v>496</v>
      </c>
      <c r="B145" s="450">
        <v>3321</v>
      </c>
      <c r="C145" s="450">
        <v>2788</v>
      </c>
      <c r="D145" s="450">
        <v>16536</v>
      </c>
      <c r="E145" s="450">
        <v>0</v>
      </c>
      <c r="F145" s="450">
        <v>4769</v>
      </c>
      <c r="G145" s="450">
        <v>3719</v>
      </c>
      <c r="H145" s="450">
        <v>31133</v>
      </c>
      <c r="I145" s="450" t="s">
        <v>502</v>
      </c>
      <c r="J145" s="450">
        <v>860</v>
      </c>
      <c r="K145" s="450">
        <v>0</v>
      </c>
      <c r="L145" s="450">
        <v>1259</v>
      </c>
      <c r="M145" s="450">
        <v>33252</v>
      </c>
    </row>
    <row r="146" spans="1:14" s="312" customFormat="1" ht="10.5" hidden="1" customHeight="1">
      <c r="A146" s="334" t="s">
        <v>491</v>
      </c>
      <c r="B146" s="452">
        <v>230</v>
      </c>
      <c r="C146" s="452">
        <v>204</v>
      </c>
      <c r="D146" s="452">
        <v>530</v>
      </c>
      <c r="E146" s="450">
        <v>0</v>
      </c>
      <c r="F146" s="452">
        <v>264</v>
      </c>
      <c r="G146" s="452">
        <v>141</v>
      </c>
      <c r="H146" s="452">
        <v>1369</v>
      </c>
      <c r="I146" s="452" t="s">
        <v>502</v>
      </c>
      <c r="J146" s="452">
        <v>11</v>
      </c>
      <c r="K146" s="450">
        <v>0</v>
      </c>
      <c r="L146" s="450">
        <v>0</v>
      </c>
      <c r="M146" s="452">
        <v>1380</v>
      </c>
    </row>
    <row r="147" spans="1:14" s="312" customFormat="1" ht="10.5" hidden="1" customHeight="1">
      <c r="A147" s="431" t="s">
        <v>497</v>
      </c>
      <c r="B147" s="453">
        <v>3092</v>
      </c>
      <c r="C147" s="453">
        <v>2584</v>
      </c>
      <c r="D147" s="453">
        <v>16006</v>
      </c>
      <c r="E147" s="453">
        <v>0</v>
      </c>
      <c r="F147" s="453">
        <v>4505</v>
      </c>
      <c r="G147" s="453">
        <v>3578</v>
      </c>
      <c r="H147" s="453">
        <v>29765</v>
      </c>
      <c r="I147" s="453" t="s">
        <v>502</v>
      </c>
      <c r="J147" s="453">
        <v>849</v>
      </c>
      <c r="K147" s="453">
        <v>0</v>
      </c>
      <c r="L147" s="453">
        <v>1259</v>
      </c>
      <c r="M147" s="453">
        <v>31873</v>
      </c>
    </row>
    <row r="148" spans="1:14" s="312" customFormat="1" ht="10.5" hidden="1" customHeight="1">
      <c r="A148" s="329" t="s">
        <v>498</v>
      </c>
      <c r="B148" s="450"/>
      <c r="C148" s="450"/>
      <c r="D148" s="450"/>
      <c r="E148" s="450"/>
      <c r="F148" s="450"/>
      <c r="G148" s="450"/>
      <c r="H148" s="450"/>
      <c r="I148" s="450"/>
      <c r="J148" s="450"/>
      <c r="K148" s="450"/>
      <c r="L148" s="450"/>
      <c r="M148" s="450"/>
    </row>
    <row r="149" spans="1:14" s="312" customFormat="1" ht="10.5" hidden="1" customHeight="1">
      <c r="A149" s="334" t="s">
        <v>499</v>
      </c>
      <c r="B149" s="450">
        <v>344552</v>
      </c>
      <c r="C149" s="450">
        <v>14977</v>
      </c>
      <c r="D149" s="450">
        <v>329442</v>
      </c>
      <c r="E149" s="450">
        <v>233765</v>
      </c>
      <c r="F149" s="450">
        <v>24107</v>
      </c>
      <c r="G149" s="450">
        <v>12343</v>
      </c>
      <c r="H149" s="450">
        <v>959186</v>
      </c>
      <c r="I149" s="450" t="s">
        <v>502</v>
      </c>
      <c r="J149" s="450">
        <v>4788</v>
      </c>
      <c r="K149" s="450">
        <v>2652</v>
      </c>
      <c r="L149" s="450">
        <v>1259</v>
      </c>
      <c r="M149" s="450">
        <v>967884</v>
      </c>
    </row>
    <row r="150" spans="1:14" s="312" customFormat="1" ht="10.5" hidden="1" customHeight="1">
      <c r="A150" s="334" t="s">
        <v>496</v>
      </c>
      <c r="B150" s="450">
        <v>124279</v>
      </c>
      <c r="C150" s="450">
        <v>4799</v>
      </c>
      <c r="D150" s="450">
        <v>152277</v>
      </c>
      <c r="E150" s="450">
        <v>87848</v>
      </c>
      <c r="F150" s="450">
        <v>5625</v>
      </c>
      <c r="G150" s="450">
        <v>3719</v>
      </c>
      <c r="H150" s="450">
        <v>378548</v>
      </c>
      <c r="I150" s="450" t="s">
        <v>502</v>
      </c>
      <c r="J150" s="450">
        <v>4788</v>
      </c>
      <c r="K150" s="450">
        <v>2652</v>
      </c>
      <c r="L150" s="450">
        <v>1259</v>
      </c>
      <c r="M150" s="450">
        <v>387246</v>
      </c>
    </row>
    <row r="151" spans="1:14" s="312" customFormat="1" ht="10.5" hidden="1" customHeight="1">
      <c r="A151" s="334" t="s">
        <v>491</v>
      </c>
      <c r="B151" s="450">
        <v>5804</v>
      </c>
      <c r="C151" s="450">
        <v>582</v>
      </c>
      <c r="D151" s="450">
        <v>3407</v>
      </c>
      <c r="E151" s="450">
        <v>6758</v>
      </c>
      <c r="F151" s="450">
        <v>318</v>
      </c>
      <c r="G151" s="450">
        <v>141</v>
      </c>
      <c r="H151" s="450">
        <v>17011</v>
      </c>
      <c r="I151" s="450" t="s">
        <v>502</v>
      </c>
      <c r="J151" s="450">
        <v>25</v>
      </c>
      <c r="K151" s="450">
        <v>90</v>
      </c>
      <c r="L151" s="450">
        <v>0</v>
      </c>
      <c r="M151" s="450">
        <v>17126</v>
      </c>
    </row>
    <row r="152" spans="1:14" s="312" customFormat="1" ht="10.5" hidden="1" customHeight="1">
      <c r="A152" s="334" t="s">
        <v>492</v>
      </c>
      <c r="B152" s="450">
        <v>118475</v>
      </c>
      <c r="C152" s="450">
        <v>4217</v>
      </c>
      <c r="D152" s="450">
        <v>148870</v>
      </c>
      <c r="E152" s="450">
        <v>81090</v>
      </c>
      <c r="F152" s="450">
        <v>5307</v>
      </c>
      <c r="G152" s="450">
        <v>3578</v>
      </c>
      <c r="H152" s="450">
        <v>361537</v>
      </c>
      <c r="I152" s="450" t="s">
        <v>502</v>
      </c>
      <c r="J152" s="450">
        <v>4763</v>
      </c>
      <c r="K152" s="450">
        <v>2562</v>
      </c>
      <c r="L152" s="450">
        <v>1259</v>
      </c>
      <c r="M152" s="450">
        <v>370120</v>
      </c>
    </row>
    <row r="153" spans="1:14" s="312" customFormat="1" ht="10.5" hidden="1" customHeight="1">
      <c r="A153" s="334" t="s">
        <v>493</v>
      </c>
      <c r="B153" s="450"/>
      <c r="C153" s="450"/>
      <c r="D153" s="450"/>
      <c r="E153" s="450"/>
      <c r="F153" s="450"/>
      <c r="G153" s="450"/>
      <c r="H153" s="450"/>
      <c r="I153" s="450"/>
      <c r="J153" s="450"/>
      <c r="K153" s="450"/>
      <c r="L153" s="450"/>
      <c r="M153" s="450">
        <v>3463</v>
      </c>
    </row>
    <row r="154" spans="1:14" s="312" customFormat="1" ht="10.5" hidden="1" customHeight="1" thickBot="1">
      <c r="A154" s="433" t="s">
        <v>494</v>
      </c>
      <c r="B154" s="454"/>
      <c r="C154" s="454"/>
      <c r="D154" s="454"/>
      <c r="E154" s="454"/>
      <c r="F154" s="454"/>
      <c r="G154" s="454"/>
      <c r="H154" s="454"/>
      <c r="I154" s="454"/>
      <c r="J154" s="454"/>
      <c r="K154" s="454"/>
      <c r="L154" s="454"/>
      <c r="M154" s="454">
        <v>366657</v>
      </c>
    </row>
    <row r="155" spans="1:14" s="346" customFormat="1" ht="13.5" hidden="1" customHeight="1">
      <c r="A155" s="447">
        <v>2003</v>
      </c>
      <c r="B155" s="455"/>
      <c r="C155" s="455"/>
      <c r="D155" s="455"/>
      <c r="E155" s="455"/>
      <c r="F155" s="455"/>
      <c r="G155" s="455"/>
      <c r="H155" s="455"/>
      <c r="I155" s="455"/>
      <c r="J155" s="455"/>
      <c r="K155" s="455"/>
      <c r="L155" s="455"/>
      <c r="M155" s="455"/>
    </row>
    <row r="156" spans="1:14" ht="10.5" hidden="1" customHeight="1">
      <c r="A156" s="329" t="s">
        <v>504</v>
      </c>
      <c r="B156" s="450"/>
      <c r="C156" s="450"/>
      <c r="D156" s="450"/>
      <c r="E156" s="450"/>
      <c r="F156" s="450"/>
      <c r="G156" s="450"/>
      <c r="H156" s="450"/>
      <c r="I156" s="450"/>
      <c r="J156" s="450"/>
      <c r="K156" s="450"/>
      <c r="L156" s="450"/>
      <c r="M156" s="450"/>
    </row>
    <row r="157" spans="1:14" ht="10.5" hidden="1" customHeight="1">
      <c r="A157" s="334" t="s">
        <v>489</v>
      </c>
      <c r="B157" s="450">
        <v>367162</v>
      </c>
      <c r="C157" s="450">
        <v>7604</v>
      </c>
      <c r="D157" s="450">
        <v>284662</v>
      </c>
      <c r="E157" s="450">
        <v>233080</v>
      </c>
      <c r="F157" s="450">
        <v>4434</v>
      </c>
      <c r="G157" s="450">
        <v>0</v>
      </c>
      <c r="H157" s="450">
        <v>896941</v>
      </c>
      <c r="I157" s="450"/>
      <c r="J157" s="450">
        <v>2568</v>
      </c>
      <c r="K157" s="450">
        <v>2734</v>
      </c>
      <c r="L157" s="450">
        <v>0</v>
      </c>
      <c r="M157" s="450">
        <v>902243</v>
      </c>
    </row>
    <row r="158" spans="1:14" ht="10.5" hidden="1" customHeight="1">
      <c r="A158" s="334" t="s">
        <v>490</v>
      </c>
      <c r="B158" s="450">
        <v>134023</v>
      </c>
      <c r="C158" s="450">
        <v>2197</v>
      </c>
      <c r="D158" s="450">
        <v>131238</v>
      </c>
      <c r="E158" s="450">
        <v>88686</v>
      </c>
      <c r="F158" s="450">
        <v>1154</v>
      </c>
      <c r="G158" s="450">
        <v>0</v>
      </c>
      <c r="H158" s="450">
        <v>357299</v>
      </c>
      <c r="I158" s="450"/>
      <c r="J158" s="450">
        <v>2568</v>
      </c>
      <c r="K158" s="450">
        <v>2734</v>
      </c>
      <c r="L158" s="450">
        <v>0</v>
      </c>
      <c r="M158" s="450">
        <v>362600</v>
      </c>
    </row>
    <row r="159" spans="1:14" ht="10.5" hidden="1" customHeight="1">
      <c r="A159" s="334" t="s">
        <v>491</v>
      </c>
      <c r="B159" s="450">
        <v>6325</v>
      </c>
      <c r="C159" s="450">
        <v>249</v>
      </c>
      <c r="D159" s="450">
        <v>3201</v>
      </c>
      <c r="E159" s="450">
        <v>6775</v>
      </c>
      <c r="F159" s="450">
        <v>95</v>
      </c>
      <c r="G159" s="450">
        <v>0</v>
      </c>
      <c r="H159" s="450">
        <v>16645</v>
      </c>
      <c r="I159" s="450"/>
      <c r="J159" s="450">
        <v>9</v>
      </c>
      <c r="K159" s="450">
        <v>92</v>
      </c>
      <c r="L159" s="450">
        <v>0</v>
      </c>
      <c r="M159" s="450">
        <v>16747</v>
      </c>
    </row>
    <row r="160" spans="1:14" ht="10.5" hidden="1" customHeight="1">
      <c r="A160" s="334" t="s">
        <v>492</v>
      </c>
      <c r="B160" s="450">
        <v>127698</v>
      </c>
      <c r="C160" s="450">
        <v>1948</v>
      </c>
      <c r="D160" s="450">
        <v>128037</v>
      </c>
      <c r="E160" s="450">
        <v>81911</v>
      </c>
      <c r="F160" s="450">
        <v>1059</v>
      </c>
      <c r="G160" s="450">
        <v>0</v>
      </c>
      <c r="H160" s="450">
        <v>340654</v>
      </c>
      <c r="I160" s="450"/>
      <c r="J160" s="450">
        <v>2559</v>
      </c>
      <c r="K160" s="450">
        <v>2641</v>
      </c>
      <c r="L160" s="450">
        <v>0</v>
      </c>
      <c r="M160" s="450">
        <v>345854</v>
      </c>
      <c r="N160" s="456"/>
    </row>
    <row r="161" spans="1:13" ht="10.5" hidden="1" customHeight="1">
      <c r="A161" s="334" t="s">
        <v>493</v>
      </c>
      <c r="B161" s="450"/>
      <c r="C161" s="450"/>
      <c r="D161" s="450"/>
      <c r="E161" s="450"/>
      <c r="F161" s="450"/>
      <c r="G161" s="450"/>
      <c r="H161" s="450"/>
      <c r="I161" s="450"/>
      <c r="J161" s="450"/>
      <c r="K161" s="450"/>
      <c r="L161" s="450"/>
      <c r="M161" s="450">
        <v>3546</v>
      </c>
    </row>
    <row r="162" spans="1:13" ht="10.5" hidden="1" customHeight="1">
      <c r="A162" s="431" t="s">
        <v>494</v>
      </c>
      <c r="B162" s="453"/>
      <c r="C162" s="453"/>
      <c r="D162" s="453"/>
      <c r="E162" s="453"/>
      <c r="F162" s="453"/>
      <c r="G162" s="453"/>
      <c r="H162" s="453"/>
      <c r="I162" s="453"/>
      <c r="J162" s="453"/>
      <c r="K162" s="453"/>
      <c r="L162" s="453"/>
      <c r="M162" s="453">
        <v>342308</v>
      </c>
    </row>
    <row r="163" spans="1:13" ht="10.5" hidden="1" customHeight="1">
      <c r="A163" s="329" t="s">
        <v>495</v>
      </c>
      <c r="B163" s="450"/>
      <c r="C163" s="450"/>
      <c r="D163" s="450"/>
      <c r="E163" s="450"/>
      <c r="F163" s="450"/>
      <c r="G163" s="450"/>
      <c r="H163" s="450"/>
      <c r="I163" s="450"/>
      <c r="J163" s="450"/>
      <c r="K163" s="450"/>
      <c r="L163" s="450"/>
      <c r="M163" s="450"/>
    </row>
    <row r="164" spans="1:13" ht="11.25" hidden="1" customHeight="1">
      <c r="A164" s="334" t="s">
        <v>489</v>
      </c>
      <c r="B164" s="450">
        <v>11301</v>
      </c>
      <c r="C164" s="450">
        <v>6263</v>
      </c>
      <c r="D164" s="450">
        <v>39265</v>
      </c>
      <c r="E164" s="450">
        <v>0</v>
      </c>
      <c r="F164" s="450">
        <v>23574</v>
      </c>
      <c r="G164" s="450">
        <v>17703</v>
      </c>
      <c r="H164" s="450">
        <v>98106</v>
      </c>
      <c r="I164" s="450"/>
      <c r="J164" s="450">
        <v>660</v>
      </c>
      <c r="K164" s="450">
        <v>0</v>
      </c>
      <c r="L164" s="450">
        <v>1288</v>
      </c>
      <c r="M164" s="450">
        <v>100054</v>
      </c>
    </row>
    <row r="165" spans="1:13" ht="10.5" hidden="1" customHeight="1">
      <c r="A165" s="334" t="s">
        <v>496</v>
      </c>
      <c r="B165" s="450">
        <v>4282</v>
      </c>
      <c r="C165" s="450">
        <v>2397</v>
      </c>
      <c r="D165" s="450">
        <v>17643</v>
      </c>
      <c r="E165" s="450">
        <v>0</v>
      </c>
      <c r="F165" s="450">
        <v>5537</v>
      </c>
      <c r="G165" s="450">
        <v>3800</v>
      </c>
      <c r="H165" s="450">
        <v>33660</v>
      </c>
      <c r="I165" s="450"/>
      <c r="J165" s="450">
        <v>660</v>
      </c>
      <c r="K165" s="450">
        <v>0</v>
      </c>
      <c r="L165" s="450">
        <v>1288</v>
      </c>
      <c r="M165" s="450">
        <v>35609</v>
      </c>
    </row>
    <row r="166" spans="1:13" ht="10.5" hidden="1" customHeight="1">
      <c r="A166" s="334" t="s">
        <v>491</v>
      </c>
      <c r="B166" s="452">
        <v>220</v>
      </c>
      <c r="C166" s="452">
        <v>174</v>
      </c>
      <c r="D166" s="452">
        <v>547</v>
      </c>
      <c r="E166" s="450">
        <v>0</v>
      </c>
      <c r="F166" s="452">
        <v>306</v>
      </c>
      <c r="G166" s="452">
        <v>135</v>
      </c>
      <c r="H166" s="452">
        <v>1382</v>
      </c>
      <c r="I166" s="452"/>
      <c r="J166" s="452">
        <v>7</v>
      </c>
      <c r="K166" s="450">
        <v>0</v>
      </c>
      <c r="L166" s="450">
        <v>0</v>
      </c>
      <c r="M166" s="452">
        <v>1389</v>
      </c>
    </row>
    <row r="167" spans="1:13" ht="10.5" hidden="1" customHeight="1">
      <c r="A167" s="431" t="s">
        <v>497</v>
      </c>
      <c r="B167" s="453">
        <v>4062</v>
      </c>
      <c r="C167" s="453">
        <v>2223</v>
      </c>
      <c r="D167" s="453">
        <v>17097</v>
      </c>
      <c r="E167" s="453">
        <v>0</v>
      </c>
      <c r="F167" s="453">
        <v>5231</v>
      </c>
      <c r="G167" s="453">
        <v>3665</v>
      </c>
      <c r="H167" s="453">
        <v>32278</v>
      </c>
      <c r="I167" s="453"/>
      <c r="J167" s="453">
        <v>653</v>
      </c>
      <c r="K167" s="453">
        <v>0</v>
      </c>
      <c r="L167" s="453">
        <v>1288</v>
      </c>
      <c r="M167" s="453">
        <v>34220</v>
      </c>
    </row>
    <row r="168" spans="1:13" ht="10.5" hidden="1" customHeight="1">
      <c r="A168" s="329" t="s">
        <v>498</v>
      </c>
      <c r="B168" s="450"/>
      <c r="C168" s="450"/>
      <c r="D168" s="450"/>
      <c r="E168" s="450"/>
      <c r="F168" s="450"/>
      <c r="G168" s="450"/>
      <c r="H168" s="450"/>
      <c r="I168" s="450"/>
      <c r="J168" s="450"/>
      <c r="K168" s="450"/>
      <c r="L168" s="450"/>
      <c r="M168" s="450"/>
    </row>
    <row r="169" spans="1:13" ht="10.5" hidden="1" customHeight="1">
      <c r="A169" s="334" t="s">
        <v>499</v>
      </c>
      <c r="B169" s="450">
        <v>378463</v>
      </c>
      <c r="C169" s="450">
        <v>13867</v>
      </c>
      <c r="D169" s="450">
        <v>323926</v>
      </c>
      <c r="E169" s="450">
        <v>233080</v>
      </c>
      <c r="F169" s="450">
        <v>28008</v>
      </c>
      <c r="G169" s="450">
        <v>17703</v>
      </c>
      <c r="H169" s="450">
        <v>995047</v>
      </c>
      <c r="I169" s="450"/>
      <c r="J169" s="450">
        <v>3228</v>
      </c>
      <c r="K169" s="450">
        <v>2734</v>
      </c>
      <c r="L169" s="450">
        <v>1288</v>
      </c>
      <c r="M169" s="450">
        <v>1002297</v>
      </c>
    </row>
    <row r="170" spans="1:13" ht="10.5" hidden="1" customHeight="1">
      <c r="A170" s="334" t="s">
        <v>496</v>
      </c>
      <c r="B170" s="450">
        <v>138305</v>
      </c>
      <c r="C170" s="450">
        <v>4594</v>
      </c>
      <c r="D170" s="450">
        <v>148881</v>
      </c>
      <c r="E170" s="450">
        <v>88686</v>
      </c>
      <c r="F170" s="450">
        <v>6692</v>
      </c>
      <c r="G170" s="450">
        <v>3800</v>
      </c>
      <c r="H170" s="450">
        <v>390959</v>
      </c>
      <c r="I170" s="450"/>
      <c r="J170" s="450">
        <v>3228</v>
      </c>
      <c r="K170" s="450">
        <v>2734</v>
      </c>
      <c r="L170" s="450">
        <v>1288</v>
      </c>
      <c r="M170" s="450">
        <v>398209</v>
      </c>
    </row>
    <row r="171" spans="1:13" ht="10.5" hidden="1" customHeight="1">
      <c r="A171" s="334" t="s">
        <v>491</v>
      </c>
      <c r="B171" s="450">
        <v>6545</v>
      </c>
      <c r="C171" s="450">
        <v>424</v>
      </c>
      <c r="D171" s="450">
        <v>3747</v>
      </c>
      <c r="E171" s="450">
        <v>6775</v>
      </c>
      <c r="F171" s="450">
        <v>401</v>
      </c>
      <c r="G171" s="450">
        <v>135</v>
      </c>
      <c r="H171" s="450">
        <v>18027</v>
      </c>
      <c r="I171" s="450"/>
      <c r="J171" s="450">
        <v>16</v>
      </c>
      <c r="K171" s="450">
        <v>92</v>
      </c>
      <c r="L171" s="450">
        <v>0</v>
      </c>
      <c r="M171" s="450">
        <v>18136</v>
      </c>
    </row>
    <row r="172" spans="1:13" ht="10.5" hidden="1" customHeight="1">
      <c r="A172" s="334" t="s">
        <v>492</v>
      </c>
      <c r="B172" s="450">
        <v>131760</v>
      </c>
      <c r="C172" s="450">
        <v>4171</v>
      </c>
      <c r="D172" s="450">
        <v>145134</v>
      </c>
      <c r="E172" s="450">
        <v>81911</v>
      </c>
      <c r="F172" s="450">
        <v>6290</v>
      </c>
      <c r="G172" s="450">
        <v>3665</v>
      </c>
      <c r="H172" s="450">
        <v>372932</v>
      </c>
      <c r="I172" s="450"/>
      <c r="J172" s="450">
        <v>3212</v>
      </c>
      <c r="K172" s="450">
        <v>2641</v>
      </c>
      <c r="L172" s="450">
        <v>1288</v>
      </c>
      <c r="M172" s="450">
        <v>380074</v>
      </c>
    </row>
    <row r="173" spans="1:13" ht="10.5" hidden="1" customHeight="1">
      <c r="A173" s="334" t="s">
        <v>493</v>
      </c>
      <c r="B173" s="450"/>
      <c r="C173" s="450"/>
      <c r="D173" s="450"/>
      <c r="E173" s="450"/>
      <c r="F173" s="450"/>
      <c r="G173" s="450"/>
      <c r="H173" s="450"/>
      <c r="I173" s="450"/>
      <c r="J173" s="450"/>
      <c r="K173" s="450"/>
      <c r="L173" s="450"/>
      <c r="M173" s="450">
        <v>3546</v>
      </c>
    </row>
    <row r="174" spans="1:13" ht="10.5" hidden="1" customHeight="1" thickBot="1">
      <c r="A174" s="433" t="s">
        <v>494</v>
      </c>
      <c r="B174" s="454"/>
      <c r="C174" s="454"/>
      <c r="D174" s="454"/>
      <c r="E174" s="454"/>
      <c r="F174" s="454"/>
      <c r="G174" s="454"/>
      <c r="H174" s="454"/>
      <c r="I174" s="454"/>
      <c r="J174" s="454"/>
      <c r="K174" s="454"/>
      <c r="L174" s="454"/>
      <c r="M174" s="454">
        <v>376528</v>
      </c>
    </row>
    <row r="175" spans="1:13" s="346" customFormat="1" ht="13.5" customHeight="1">
      <c r="A175" s="447">
        <v>2004</v>
      </c>
      <c r="B175" s="388"/>
      <c r="C175" s="388"/>
      <c r="D175" s="388"/>
      <c r="E175" s="388"/>
      <c r="F175" s="388"/>
      <c r="G175" s="388"/>
      <c r="H175" s="388"/>
      <c r="I175" s="388"/>
      <c r="J175" s="388"/>
      <c r="K175" s="388"/>
      <c r="L175" s="388"/>
      <c r="M175" s="388"/>
    </row>
    <row r="176" spans="1:13" ht="10.5" customHeight="1">
      <c r="A176" s="329" t="s">
        <v>504</v>
      </c>
      <c r="B176" s="336"/>
      <c r="C176" s="336"/>
      <c r="D176" s="336"/>
      <c r="E176" s="336"/>
      <c r="F176" s="336"/>
      <c r="G176" s="336"/>
      <c r="H176" s="336"/>
      <c r="I176" s="336"/>
      <c r="J176" s="336"/>
      <c r="K176" s="336"/>
      <c r="L176" s="336"/>
      <c r="M176" s="336"/>
    </row>
    <row r="177" spans="1:37" ht="10.5" customHeight="1">
      <c r="A177" s="334" t="s">
        <v>489</v>
      </c>
      <c r="B177" s="449">
        <v>353256</v>
      </c>
      <c r="C177" s="449">
        <v>6708.5930325738436</v>
      </c>
      <c r="D177" s="449">
        <v>304495</v>
      </c>
      <c r="E177" s="449">
        <v>211247.8205367073</v>
      </c>
      <c r="F177" s="449">
        <v>6281.8980192600575</v>
      </c>
      <c r="G177" s="449">
        <v>0</v>
      </c>
      <c r="H177" s="449">
        <v>881989.31158854114</v>
      </c>
      <c r="I177" s="449"/>
      <c r="J177" s="449">
        <v>3907.8</v>
      </c>
      <c r="K177" s="449">
        <v>2648.5490306581578</v>
      </c>
      <c r="L177" s="449">
        <v>0</v>
      </c>
      <c r="M177" s="449">
        <v>888545.66061919939</v>
      </c>
      <c r="Z177" s="451"/>
      <c r="AA177" s="451"/>
      <c r="AB177" s="451"/>
      <c r="AC177" s="451"/>
      <c r="AD177" s="451"/>
      <c r="AE177" s="451"/>
      <c r="AF177" s="451"/>
      <c r="AG177" s="451"/>
      <c r="AH177" s="451"/>
      <c r="AI177" s="451"/>
      <c r="AJ177" s="451"/>
      <c r="AK177" s="451"/>
    </row>
    <row r="178" spans="1:37" ht="10.5" customHeight="1">
      <c r="A178" s="334" t="s">
        <v>490</v>
      </c>
      <c r="B178" s="449">
        <v>127826.56739997381</v>
      </c>
      <c r="C178" s="449">
        <v>1882.7795449292664</v>
      </c>
      <c r="D178" s="449">
        <v>140576.96700778682</v>
      </c>
      <c r="E178" s="449">
        <v>79999.105642214723</v>
      </c>
      <c r="F178" s="449">
        <v>1471.4293287500002</v>
      </c>
      <c r="G178" s="449">
        <v>0</v>
      </c>
      <c r="H178" s="449">
        <v>351756.84892365459</v>
      </c>
      <c r="I178" s="449"/>
      <c r="J178" s="449">
        <v>3907.8</v>
      </c>
      <c r="K178" s="449">
        <v>2648.5490306581578</v>
      </c>
      <c r="L178" s="449">
        <v>0</v>
      </c>
      <c r="M178" s="449">
        <v>358313.19795431272</v>
      </c>
      <c r="Z178" s="451"/>
      <c r="AA178" s="451"/>
      <c r="AB178" s="451"/>
      <c r="AC178" s="451"/>
      <c r="AD178" s="451"/>
      <c r="AE178" s="451"/>
      <c r="AF178" s="451"/>
      <c r="AG178" s="451"/>
      <c r="AH178" s="451"/>
      <c r="AI178" s="451"/>
      <c r="AJ178" s="451"/>
      <c r="AK178" s="451"/>
    </row>
    <row r="179" spans="1:37" ht="10.5" customHeight="1">
      <c r="A179" s="334" t="s">
        <v>491</v>
      </c>
      <c r="B179" s="449">
        <v>5889.917558219051</v>
      </c>
      <c r="C179" s="449">
        <v>354.44067876695226</v>
      </c>
      <c r="D179" s="449">
        <v>2819.4038414183888</v>
      </c>
      <c r="E179" s="449">
        <v>6317.4639580041985</v>
      </c>
      <c r="F179" s="449">
        <v>104.40797125664585</v>
      </c>
      <c r="G179" s="449">
        <v>0</v>
      </c>
      <c r="H179" s="449">
        <v>15485.634007665236</v>
      </c>
      <c r="I179" s="449"/>
      <c r="J179" s="449">
        <v>6.3174112814294858</v>
      </c>
      <c r="K179" s="449">
        <v>89.564459973947578</v>
      </c>
      <c r="L179" s="449">
        <v>0</v>
      </c>
      <c r="M179" s="449">
        <v>15581.515878920613</v>
      </c>
      <c r="Z179" s="451"/>
      <c r="AA179" s="451"/>
      <c r="AB179" s="451"/>
      <c r="AC179" s="451"/>
      <c r="AD179" s="451"/>
      <c r="AE179" s="451"/>
      <c r="AF179" s="451"/>
      <c r="AG179" s="451"/>
      <c r="AH179" s="451"/>
      <c r="AI179" s="451"/>
      <c r="AJ179" s="451"/>
      <c r="AK179" s="451"/>
    </row>
    <row r="180" spans="1:37" ht="10.5" customHeight="1">
      <c r="A180" s="334" t="s">
        <v>492</v>
      </c>
      <c r="B180" s="449">
        <v>121936.64984175476</v>
      </c>
      <c r="C180" s="449">
        <v>1528.3388661623142</v>
      </c>
      <c r="D180" s="449">
        <v>137757.56316636843</v>
      </c>
      <c r="E180" s="449">
        <v>73681.641684210525</v>
      </c>
      <c r="F180" s="449">
        <v>1367.0213574933543</v>
      </c>
      <c r="G180" s="449">
        <v>0</v>
      </c>
      <c r="H180" s="449">
        <v>336271.21491598937</v>
      </c>
      <c r="I180" s="449"/>
      <c r="J180" s="449">
        <v>3901.4825887185702</v>
      </c>
      <c r="K180" s="449">
        <v>2558.9845706842102</v>
      </c>
      <c r="L180" s="449">
        <v>0</v>
      </c>
      <c r="M180" s="449">
        <v>342731.68207539216</v>
      </c>
      <c r="Z180" s="451"/>
      <c r="AA180" s="451"/>
      <c r="AB180" s="451"/>
      <c r="AC180" s="451"/>
      <c r="AD180" s="451"/>
      <c r="AE180" s="451"/>
      <c r="AF180" s="451"/>
      <c r="AG180" s="451"/>
      <c r="AH180" s="451"/>
      <c r="AI180" s="451"/>
      <c r="AJ180" s="451"/>
      <c r="AK180" s="451"/>
    </row>
    <row r="181" spans="1:37" ht="10.5" customHeight="1">
      <c r="A181" s="334" t="s">
        <v>493</v>
      </c>
      <c r="B181" s="449"/>
      <c r="C181" s="449"/>
      <c r="D181" s="449"/>
      <c r="E181" s="449"/>
      <c r="F181" s="449"/>
      <c r="G181" s="449"/>
      <c r="H181" s="449"/>
      <c r="I181" s="449"/>
      <c r="J181" s="449"/>
      <c r="K181" s="449"/>
      <c r="L181" s="449"/>
      <c r="M181" s="449">
        <v>3497.1021796315795</v>
      </c>
      <c r="Z181" s="451"/>
      <c r="AA181" s="451"/>
      <c r="AB181" s="451"/>
      <c r="AC181" s="451"/>
      <c r="AD181" s="451"/>
      <c r="AE181" s="451"/>
      <c r="AF181" s="451"/>
      <c r="AG181" s="451"/>
      <c r="AH181" s="451"/>
      <c r="AI181" s="451"/>
      <c r="AJ181" s="451"/>
      <c r="AK181" s="451"/>
    </row>
    <row r="182" spans="1:37" ht="10.5" customHeight="1">
      <c r="A182" s="431" t="s">
        <v>494</v>
      </c>
      <c r="B182" s="457"/>
      <c r="C182" s="457"/>
      <c r="D182" s="457"/>
      <c r="E182" s="457"/>
      <c r="F182" s="457"/>
      <c r="G182" s="457"/>
      <c r="H182" s="457"/>
      <c r="I182" s="457"/>
      <c r="J182" s="457"/>
      <c r="K182" s="457"/>
      <c r="L182" s="457"/>
      <c r="M182" s="457">
        <v>339234.57989576057</v>
      </c>
      <c r="Z182" s="451"/>
      <c r="AA182" s="451"/>
      <c r="AB182" s="451"/>
      <c r="AC182" s="451"/>
      <c r="AD182" s="451"/>
      <c r="AE182" s="451"/>
      <c r="AF182" s="451"/>
      <c r="AG182" s="451"/>
      <c r="AH182" s="451"/>
      <c r="AI182" s="451"/>
      <c r="AJ182" s="451"/>
      <c r="AK182" s="451"/>
    </row>
    <row r="183" spans="1:37" ht="10.5" customHeight="1">
      <c r="A183" s="329" t="s">
        <v>495</v>
      </c>
      <c r="B183" s="449"/>
      <c r="C183" s="449"/>
      <c r="D183" s="449"/>
      <c r="E183" s="449"/>
      <c r="F183" s="449"/>
      <c r="G183" s="449"/>
      <c r="H183" s="449"/>
      <c r="I183" s="449"/>
      <c r="J183" s="449"/>
      <c r="K183" s="449"/>
      <c r="L183" s="449"/>
      <c r="M183" s="449"/>
      <c r="Z183" s="451"/>
      <c r="AA183" s="451"/>
      <c r="AB183" s="451"/>
      <c r="AC183" s="451"/>
      <c r="AD183" s="451"/>
      <c r="AE183" s="451"/>
      <c r="AF183" s="451"/>
      <c r="AG183" s="451"/>
      <c r="AH183" s="451"/>
      <c r="AI183" s="451"/>
      <c r="AJ183" s="451"/>
      <c r="AK183" s="451"/>
    </row>
    <row r="184" spans="1:37" ht="11.5" customHeight="1">
      <c r="A184" s="334" t="s">
        <v>489</v>
      </c>
      <c r="B184" s="449">
        <v>10901.524560357038</v>
      </c>
      <c r="C184" s="449">
        <v>6083.1605883472694</v>
      </c>
      <c r="D184" s="449">
        <v>35732.662999999993</v>
      </c>
      <c r="E184" s="449">
        <v>0</v>
      </c>
      <c r="F184" s="449">
        <v>25902.031843635745</v>
      </c>
      <c r="G184" s="449">
        <v>16131.974332247872</v>
      </c>
      <c r="H184" s="449">
        <v>94751.354324587912</v>
      </c>
      <c r="I184" s="449"/>
      <c r="J184" s="449">
        <v>936.19899999999996</v>
      </c>
      <c r="K184" s="449">
        <v>0</v>
      </c>
      <c r="L184" s="449">
        <v>1939.1148680000001</v>
      </c>
      <c r="M184" s="449">
        <v>97626.668192587909</v>
      </c>
      <c r="Z184" s="451"/>
      <c r="AA184" s="451"/>
      <c r="AB184" s="451"/>
      <c r="AC184" s="451"/>
      <c r="AD184" s="451"/>
      <c r="AE184" s="451"/>
      <c r="AF184" s="451"/>
      <c r="AG184" s="451"/>
      <c r="AH184" s="451"/>
      <c r="AI184" s="451"/>
      <c r="AJ184" s="451"/>
      <c r="AK184" s="451"/>
    </row>
    <row r="185" spans="1:37" ht="10.5" customHeight="1">
      <c r="A185" s="334" t="s">
        <v>496</v>
      </c>
      <c r="B185" s="449">
        <v>3961.076</v>
      </c>
      <c r="C185" s="449">
        <v>2761.3800951661628</v>
      </c>
      <c r="D185" s="449">
        <v>16487.340785891032</v>
      </c>
      <c r="E185" s="449">
        <v>0</v>
      </c>
      <c r="F185" s="449">
        <v>6468.5661319999981</v>
      </c>
      <c r="G185" s="449">
        <v>3061.8609048338367</v>
      </c>
      <c r="H185" s="449">
        <v>32740.223917891028</v>
      </c>
      <c r="I185" s="449"/>
      <c r="J185" s="449">
        <v>936.19900000000007</v>
      </c>
      <c r="K185" s="449">
        <v>0</v>
      </c>
      <c r="L185" s="449">
        <v>1939.1148680000001</v>
      </c>
      <c r="M185" s="449">
        <v>35615.537785891021</v>
      </c>
      <c r="Z185" s="451"/>
      <c r="AA185" s="451"/>
      <c r="AB185" s="451"/>
      <c r="AC185" s="451"/>
      <c r="AD185" s="451"/>
      <c r="AE185" s="451"/>
      <c r="AF185" s="451"/>
      <c r="AG185" s="451"/>
      <c r="AH185" s="451"/>
      <c r="AI185" s="451"/>
      <c r="AJ185" s="451"/>
      <c r="AK185" s="451"/>
    </row>
    <row r="186" spans="1:37" ht="10.5" customHeight="1">
      <c r="A186" s="334" t="s">
        <v>491</v>
      </c>
      <c r="B186" s="458">
        <v>208.38735200000019</v>
      </c>
      <c r="C186" s="458">
        <v>195.93834684229523</v>
      </c>
      <c r="D186" s="458">
        <v>510.8408707626204</v>
      </c>
      <c r="E186" s="449">
        <v>0</v>
      </c>
      <c r="F186" s="458">
        <v>408.0767586855527</v>
      </c>
      <c r="G186" s="458">
        <v>110.955499622356</v>
      </c>
      <c r="H186" s="458">
        <v>1434.19882791282</v>
      </c>
      <c r="I186" s="458"/>
      <c r="J186" s="458">
        <v>16.739999999999998</v>
      </c>
      <c r="K186" s="449">
        <v>0</v>
      </c>
      <c r="L186" s="449">
        <v>0</v>
      </c>
      <c r="M186" s="458">
        <v>1450.93882791282</v>
      </c>
      <c r="Z186" s="451"/>
      <c r="AA186" s="451"/>
      <c r="AB186" s="451"/>
      <c r="AC186" s="451"/>
      <c r="AD186" s="451"/>
      <c r="AE186" s="451"/>
      <c r="AF186" s="451"/>
      <c r="AG186" s="451"/>
      <c r="AH186" s="451"/>
      <c r="AI186" s="451"/>
      <c r="AJ186" s="451"/>
      <c r="AK186" s="451"/>
    </row>
    <row r="187" spans="1:37" ht="10.5" customHeight="1">
      <c r="A187" s="431" t="s">
        <v>497</v>
      </c>
      <c r="B187" s="457">
        <v>3752.6886479999998</v>
      </c>
      <c r="C187" s="457">
        <v>2565.4417483238676</v>
      </c>
      <c r="D187" s="457">
        <v>15976.499915128412</v>
      </c>
      <c r="E187" s="457">
        <v>0</v>
      </c>
      <c r="F187" s="457">
        <v>6060.4893733144454</v>
      </c>
      <c r="G187" s="457">
        <v>2950.9054052114807</v>
      </c>
      <c r="H187" s="457">
        <v>31306.025089978208</v>
      </c>
      <c r="I187" s="457"/>
      <c r="J187" s="457">
        <v>919.45900000000006</v>
      </c>
      <c r="K187" s="457">
        <v>0</v>
      </c>
      <c r="L187" s="457">
        <v>1939.1148680000001</v>
      </c>
      <c r="M187" s="457">
        <v>34164.598957978204</v>
      </c>
      <c r="Z187" s="451"/>
      <c r="AA187" s="451"/>
      <c r="AB187" s="451"/>
      <c r="AC187" s="451"/>
      <c r="AD187" s="451"/>
      <c r="AE187" s="451"/>
      <c r="AF187" s="451"/>
      <c r="AG187" s="451"/>
      <c r="AH187" s="451"/>
      <c r="AI187" s="451"/>
      <c r="AJ187" s="451"/>
      <c r="AK187" s="451"/>
    </row>
    <row r="188" spans="1:37" ht="10.5" customHeight="1">
      <c r="A188" s="329" t="s">
        <v>498</v>
      </c>
      <c r="B188" s="449"/>
      <c r="C188" s="449"/>
      <c r="D188" s="449"/>
      <c r="E188" s="449"/>
      <c r="F188" s="449"/>
      <c r="G188" s="449"/>
      <c r="H188" s="449"/>
      <c r="I188" s="449"/>
      <c r="J188" s="449"/>
      <c r="K188" s="449"/>
      <c r="L188" s="449"/>
      <c r="M188" s="449"/>
      <c r="Z188" s="451"/>
      <c r="AA188" s="451"/>
      <c r="AB188" s="451"/>
      <c r="AC188" s="451"/>
      <c r="AD188" s="451"/>
      <c r="AE188" s="451"/>
      <c r="AF188" s="451"/>
      <c r="AG188" s="451"/>
      <c r="AH188" s="451"/>
      <c r="AI188" s="451"/>
      <c r="AJ188" s="451"/>
      <c r="AK188" s="451"/>
    </row>
    <row r="189" spans="1:37" ht="10.5" customHeight="1">
      <c r="A189" s="334" t="s">
        <v>499</v>
      </c>
      <c r="B189" s="449">
        <v>364157.52456035704</v>
      </c>
      <c r="C189" s="449">
        <v>12791.753620921114</v>
      </c>
      <c r="D189" s="449">
        <v>340227.663</v>
      </c>
      <c r="E189" s="449">
        <v>211247.8205367073</v>
      </c>
      <c r="F189" s="449">
        <v>32183.929862895802</v>
      </c>
      <c r="G189" s="449">
        <v>16131.974332247872</v>
      </c>
      <c r="H189" s="449">
        <v>976740.66591312899</v>
      </c>
      <c r="I189" s="459"/>
      <c r="J189" s="449">
        <v>4843.9989999999998</v>
      </c>
      <c r="K189" s="449">
        <v>2648.5490306581578</v>
      </c>
      <c r="L189" s="449">
        <v>1939.1148680000001</v>
      </c>
      <c r="M189" s="449">
        <v>986172.3288117873</v>
      </c>
      <c r="Z189" s="451"/>
      <c r="AA189" s="451"/>
      <c r="AB189" s="451"/>
      <c r="AC189" s="451"/>
      <c r="AD189" s="451"/>
      <c r="AE189" s="451"/>
      <c r="AF189" s="451"/>
      <c r="AG189" s="451"/>
      <c r="AH189" s="451"/>
      <c r="AI189" s="451"/>
      <c r="AJ189" s="451"/>
      <c r="AK189" s="451"/>
    </row>
    <row r="190" spans="1:37" ht="10.5" customHeight="1">
      <c r="A190" s="334" t="s">
        <v>496</v>
      </c>
      <c r="B190" s="449">
        <v>131787.64339997381</v>
      </c>
      <c r="C190" s="449">
        <v>4644.1596400954295</v>
      </c>
      <c r="D190" s="449">
        <v>157064.30779367784</v>
      </c>
      <c r="E190" s="449">
        <v>79999.105642214723</v>
      </c>
      <c r="F190" s="449">
        <v>7939.9954607499985</v>
      </c>
      <c r="G190" s="449">
        <v>3061.8609048338367</v>
      </c>
      <c r="H190" s="449">
        <v>384497.07284154563</v>
      </c>
      <c r="I190" s="459"/>
      <c r="J190" s="449">
        <v>4843.9989999999998</v>
      </c>
      <c r="K190" s="449">
        <v>2648.5490306581578</v>
      </c>
      <c r="L190" s="449">
        <v>1939.1148680000001</v>
      </c>
      <c r="M190" s="449">
        <v>393928.73574020376</v>
      </c>
      <c r="N190" s="339"/>
      <c r="Z190" s="451"/>
      <c r="AA190" s="451"/>
      <c r="AB190" s="451"/>
      <c r="AC190" s="451"/>
      <c r="AD190" s="451"/>
      <c r="AE190" s="451"/>
      <c r="AF190" s="451"/>
      <c r="AG190" s="451"/>
      <c r="AH190" s="451"/>
      <c r="AI190" s="451"/>
      <c r="AJ190" s="451"/>
      <c r="AK190" s="451"/>
    </row>
    <row r="191" spans="1:37" ht="10.5" customHeight="1">
      <c r="A191" s="334" t="s">
        <v>491</v>
      </c>
      <c r="B191" s="449">
        <v>6098.3049102190507</v>
      </c>
      <c r="C191" s="449">
        <v>550.37902560924749</v>
      </c>
      <c r="D191" s="449">
        <v>3330.2447121810092</v>
      </c>
      <c r="E191" s="449">
        <v>6317.4639580041985</v>
      </c>
      <c r="F191" s="449">
        <v>512.48472994219856</v>
      </c>
      <c r="G191" s="449">
        <v>110.955499622356</v>
      </c>
      <c r="H191" s="449">
        <v>16919.832835578054</v>
      </c>
      <c r="I191" s="449"/>
      <c r="J191" s="449">
        <v>23.057411281429495</v>
      </c>
      <c r="K191" s="449">
        <v>89.564459973947578</v>
      </c>
      <c r="L191" s="449">
        <v>0</v>
      </c>
      <c r="M191" s="449">
        <v>17032.454706833432</v>
      </c>
      <c r="Z191" s="451"/>
      <c r="AA191" s="451"/>
      <c r="AB191" s="451"/>
      <c r="AC191" s="451"/>
      <c r="AD191" s="451"/>
      <c r="AE191" s="451"/>
      <c r="AF191" s="451"/>
      <c r="AG191" s="451"/>
      <c r="AH191" s="451"/>
      <c r="AI191" s="451"/>
      <c r="AJ191" s="451"/>
      <c r="AK191" s="451"/>
    </row>
    <row r="192" spans="1:37" ht="10.5" customHeight="1">
      <c r="A192" s="334" t="s">
        <v>492</v>
      </c>
      <c r="B192" s="449">
        <v>125689.33848975475</v>
      </c>
      <c r="C192" s="449">
        <v>4093.7806144861815</v>
      </c>
      <c r="D192" s="449">
        <v>153734.06308149683</v>
      </c>
      <c r="E192" s="449">
        <v>73681.641684210525</v>
      </c>
      <c r="F192" s="449">
        <v>7427.5107308077995</v>
      </c>
      <c r="G192" s="449">
        <v>2950.9054052114807</v>
      </c>
      <c r="H192" s="449">
        <v>367577.24000596756</v>
      </c>
      <c r="I192" s="449"/>
      <c r="J192" s="449">
        <v>4820.9415887185705</v>
      </c>
      <c r="K192" s="449">
        <v>2558.9845706842102</v>
      </c>
      <c r="L192" s="449">
        <v>1939.1148680000001</v>
      </c>
      <c r="M192" s="449">
        <v>376896.28103337035</v>
      </c>
      <c r="Z192" s="451"/>
      <c r="AA192" s="451"/>
      <c r="AB192" s="451"/>
      <c r="AC192" s="451"/>
      <c r="AD192" s="451"/>
      <c r="AE192" s="451"/>
      <c r="AF192" s="451"/>
      <c r="AG192" s="451"/>
      <c r="AH192" s="451"/>
      <c r="AI192" s="451"/>
      <c r="AJ192" s="451"/>
      <c r="AK192" s="451"/>
    </row>
    <row r="193" spans="1:37" ht="10.5" customHeight="1">
      <c r="A193" s="334" t="s">
        <v>493</v>
      </c>
      <c r="B193" s="449"/>
      <c r="C193" s="449"/>
      <c r="D193" s="449"/>
      <c r="E193" s="449"/>
      <c r="F193" s="449"/>
      <c r="G193" s="449"/>
      <c r="H193" s="449"/>
      <c r="I193" s="449"/>
      <c r="J193" s="449"/>
      <c r="K193" s="449"/>
      <c r="L193" s="449"/>
      <c r="M193" s="449">
        <v>3497.1021796315795</v>
      </c>
      <c r="Z193" s="451"/>
      <c r="AA193" s="451"/>
      <c r="AB193" s="451"/>
      <c r="AC193" s="451"/>
      <c r="AD193" s="451"/>
      <c r="AE193" s="451"/>
      <c r="AF193" s="451"/>
      <c r="AG193" s="451"/>
      <c r="AH193" s="451"/>
      <c r="AI193" s="451"/>
      <c r="AJ193" s="451"/>
      <c r="AK193" s="451"/>
    </row>
    <row r="194" spans="1:37" ht="10.5" customHeight="1" thickBot="1">
      <c r="A194" s="433" t="s">
        <v>494</v>
      </c>
      <c r="B194" s="460"/>
      <c r="C194" s="460"/>
      <c r="D194" s="460"/>
      <c r="E194" s="460"/>
      <c r="F194" s="460"/>
      <c r="G194" s="460"/>
      <c r="H194" s="460"/>
      <c r="I194" s="460"/>
      <c r="J194" s="460"/>
      <c r="K194" s="460"/>
      <c r="L194" s="460"/>
      <c r="M194" s="460">
        <v>373399.17885373876</v>
      </c>
      <c r="Z194" s="451"/>
      <c r="AA194" s="451"/>
      <c r="AB194" s="451"/>
      <c r="AC194" s="451"/>
      <c r="AD194" s="451"/>
      <c r="AE194" s="451"/>
      <c r="AF194" s="451">
        <f t="shared" ref="AF194:AK194" si="0">+H194-T194</f>
        <v>0</v>
      </c>
      <c r="AG194" s="451">
        <f t="shared" si="0"/>
        <v>0</v>
      </c>
      <c r="AH194" s="451">
        <f t="shared" si="0"/>
        <v>0</v>
      </c>
      <c r="AI194" s="451">
        <f t="shared" si="0"/>
        <v>0</v>
      </c>
      <c r="AJ194" s="451">
        <f t="shared" si="0"/>
        <v>0</v>
      </c>
      <c r="AK194" s="451">
        <f t="shared" si="0"/>
        <v>373399.17885373876</v>
      </c>
    </row>
    <row r="195" spans="1:37" ht="10.5" customHeight="1" thickTop="1">
      <c r="A195" s="447">
        <v>2005</v>
      </c>
      <c r="B195" s="461"/>
      <c r="C195" s="461"/>
      <c r="D195" s="461"/>
      <c r="E195" s="461"/>
      <c r="F195" s="461"/>
      <c r="G195" s="461"/>
      <c r="H195" s="461"/>
      <c r="I195" s="461"/>
      <c r="J195" s="461"/>
      <c r="K195" s="461"/>
      <c r="L195" s="461"/>
      <c r="M195" s="461"/>
      <c r="Z195" s="451"/>
      <c r="AA195" s="451"/>
      <c r="AB195" s="451"/>
      <c r="AC195" s="451"/>
      <c r="AD195" s="451"/>
      <c r="AE195" s="451"/>
      <c r="AF195" s="451"/>
      <c r="AG195" s="451"/>
      <c r="AH195" s="451"/>
      <c r="AI195" s="451"/>
      <c r="AJ195" s="451"/>
      <c r="AK195" s="451"/>
    </row>
    <row r="196" spans="1:37" ht="10.5" customHeight="1">
      <c r="A196" s="329" t="s">
        <v>504</v>
      </c>
      <c r="B196" s="449"/>
      <c r="C196" s="449"/>
      <c r="D196" s="449"/>
      <c r="E196" s="449"/>
      <c r="F196" s="449"/>
      <c r="G196" s="449"/>
      <c r="H196" s="449"/>
      <c r="I196" s="449"/>
      <c r="J196" s="449"/>
      <c r="K196" s="449"/>
      <c r="L196" s="449"/>
      <c r="M196" s="449"/>
      <c r="Z196" s="451"/>
      <c r="AA196" s="451"/>
      <c r="AB196" s="451"/>
      <c r="AC196" s="451"/>
      <c r="AD196" s="451"/>
      <c r="AE196" s="451"/>
      <c r="AF196" s="451"/>
      <c r="AG196" s="451"/>
      <c r="AH196" s="451"/>
      <c r="AI196" s="451"/>
      <c r="AJ196" s="451"/>
      <c r="AK196" s="451"/>
    </row>
    <row r="197" spans="1:37" ht="10.5" customHeight="1">
      <c r="A197" s="334" t="s">
        <v>489</v>
      </c>
      <c r="B197" s="449">
        <v>368134.26561580726</v>
      </c>
      <c r="C197" s="449">
        <v>10268.436829880389</v>
      </c>
      <c r="D197" s="449">
        <v>295642.83434868115</v>
      </c>
      <c r="E197" s="449">
        <v>213661.14089945226</v>
      </c>
      <c r="F197" s="449">
        <v>9515.4218886329254</v>
      </c>
      <c r="G197" s="449">
        <v>0</v>
      </c>
      <c r="H197" s="449">
        <v>897222.09958245407</v>
      </c>
      <c r="I197" s="449"/>
      <c r="J197" s="449">
        <v>3825.9</v>
      </c>
      <c r="K197" s="459">
        <v>2873.3944274999994</v>
      </c>
      <c r="L197" s="449">
        <v>0</v>
      </c>
      <c r="M197" s="459">
        <v>903921.39400995406</v>
      </c>
      <c r="Z197" s="451"/>
      <c r="AA197" s="451"/>
      <c r="AB197" s="451"/>
      <c r="AC197" s="451"/>
      <c r="AD197" s="451"/>
      <c r="AE197" s="451"/>
      <c r="AF197" s="451"/>
      <c r="AG197" s="451"/>
      <c r="AH197" s="451"/>
      <c r="AI197" s="451"/>
      <c r="AJ197" s="451"/>
      <c r="AK197" s="451"/>
    </row>
    <row r="198" spans="1:37" ht="10.5" customHeight="1">
      <c r="A198" s="334" t="s">
        <v>490</v>
      </c>
      <c r="B198" s="459">
        <v>130689.98794506279</v>
      </c>
      <c r="C198" s="459">
        <v>2921.1573130587808</v>
      </c>
      <c r="D198" s="449">
        <v>137482.74212305597</v>
      </c>
      <c r="E198" s="449">
        <v>81618.102843119996</v>
      </c>
      <c r="F198" s="459">
        <v>2744.4839038999999</v>
      </c>
      <c r="G198" s="449">
        <v>0</v>
      </c>
      <c r="H198" s="449">
        <v>355456.47412819753</v>
      </c>
      <c r="I198" s="449"/>
      <c r="J198" s="449">
        <v>3825.9</v>
      </c>
      <c r="K198" s="459">
        <v>2873.3944274999994</v>
      </c>
      <c r="L198" s="449">
        <v>0</v>
      </c>
      <c r="M198" s="459">
        <v>362155.76855569758</v>
      </c>
      <c r="Z198" s="451"/>
      <c r="AA198" s="451"/>
      <c r="AB198" s="451"/>
      <c r="AC198" s="451"/>
      <c r="AD198" s="451"/>
      <c r="AE198" s="451"/>
      <c r="AF198" s="451"/>
      <c r="AG198" s="451"/>
      <c r="AH198" s="451"/>
      <c r="AI198" s="451"/>
      <c r="AJ198" s="451"/>
      <c r="AK198" s="451"/>
    </row>
    <row r="199" spans="1:37" ht="10.5" customHeight="1">
      <c r="A199" s="334" t="s">
        <v>491</v>
      </c>
      <c r="B199" s="459">
        <v>5913.9300393335143</v>
      </c>
      <c r="C199" s="459">
        <v>530.21641154212421</v>
      </c>
      <c r="D199" s="449">
        <v>2958.514822055964</v>
      </c>
      <c r="E199" s="449">
        <v>6445.3148431199952</v>
      </c>
      <c r="F199" s="459">
        <v>258.05991404676524</v>
      </c>
      <c r="G199" s="449">
        <v>0</v>
      </c>
      <c r="H199" s="449">
        <v>16106.03603009833</v>
      </c>
      <c r="I199" s="449"/>
      <c r="J199" s="449">
        <v>5.3641360170554435</v>
      </c>
      <c r="K199" s="459">
        <v>97.167927499999678</v>
      </c>
      <c r="L199" s="449">
        <v>0</v>
      </c>
      <c r="M199" s="459">
        <v>16208.568093615384</v>
      </c>
      <c r="Z199" s="451"/>
      <c r="AA199" s="451"/>
      <c r="AB199" s="451"/>
      <c r="AC199" s="451"/>
      <c r="AD199" s="451"/>
      <c r="AE199" s="451"/>
      <c r="AF199" s="451"/>
      <c r="AG199" s="451"/>
      <c r="AH199" s="451"/>
      <c r="AI199" s="451"/>
      <c r="AJ199" s="451"/>
      <c r="AK199" s="451"/>
    </row>
    <row r="200" spans="1:37" ht="10.5" customHeight="1">
      <c r="A200" s="334" t="s">
        <v>492</v>
      </c>
      <c r="B200" s="459">
        <v>124776.05790572928</v>
      </c>
      <c r="C200" s="459">
        <v>2390.9409015166566</v>
      </c>
      <c r="D200" s="449">
        <v>134524.22730100001</v>
      </c>
      <c r="E200" s="449">
        <v>75172.788</v>
      </c>
      <c r="F200" s="459">
        <v>2486.4239898532346</v>
      </c>
      <c r="G200" s="449">
        <v>0</v>
      </c>
      <c r="H200" s="449">
        <v>339350.4380980992</v>
      </c>
      <c r="I200" s="449"/>
      <c r="J200" s="449">
        <v>3820.5358639829446</v>
      </c>
      <c r="K200" s="449">
        <v>2776.2264999999998</v>
      </c>
      <c r="L200" s="449">
        <v>0</v>
      </c>
      <c r="M200" s="449">
        <v>345947.20046208211</v>
      </c>
      <c r="Z200" s="451"/>
      <c r="AA200" s="451"/>
      <c r="AB200" s="451"/>
      <c r="AC200" s="451"/>
      <c r="AD200" s="451"/>
      <c r="AE200" s="451"/>
      <c r="AF200" s="451"/>
      <c r="AG200" s="451"/>
      <c r="AH200" s="451"/>
      <c r="AI200" s="451"/>
      <c r="AJ200" s="451"/>
      <c r="AK200" s="451"/>
    </row>
    <row r="201" spans="1:37" ht="10.5" customHeight="1">
      <c r="A201" s="334" t="s">
        <v>493</v>
      </c>
      <c r="B201" s="449"/>
      <c r="C201" s="449"/>
      <c r="D201" s="449"/>
      <c r="E201" s="449"/>
      <c r="F201" s="449"/>
      <c r="G201" s="449"/>
      <c r="H201" s="449"/>
      <c r="I201" s="449"/>
      <c r="J201" s="449"/>
      <c r="K201" s="449"/>
      <c r="L201" s="449"/>
      <c r="M201" s="449">
        <v>3706.8240499999997</v>
      </c>
      <c r="Z201" s="451"/>
      <c r="AA201" s="451"/>
      <c r="AB201" s="451"/>
      <c r="AC201" s="451"/>
      <c r="AD201" s="451"/>
      <c r="AE201" s="451"/>
      <c r="AF201" s="451"/>
      <c r="AG201" s="451"/>
      <c r="AH201" s="451"/>
      <c r="AI201" s="451"/>
      <c r="AJ201" s="451"/>
      <c r="AK201" s="451"/>
    </row>
    <row r="202" spans="1:37" ht="10.5" customHeight="1">
      <c r="A202" s="431" t="s">
        <v>494</v>
      </c>
      <c r="B202" s="457"/>
      <c r="C202" s="457"/>
      <c r="D202" s="457"/>
      <c r="E202" s="457"/>
      <c r="F202" s="457"/>
      <c r="G202" s="457"/>
      <c r="H202" s="457"/>
      <c r="I202" s="457"/>
      <c r="J202" s="457"/>
      <c r="K202" s="457"/>
      <c r="L202" s="457"/>
      <c r="M202" s="457">
        <v>342240.37641208211</v>
      </c>
      <c r="Z202" s="451"/>
      <c r="AA202" s="451"/>
      <c r="AB202" s="451"/>
      <c r="AC202" s="451"/>
      <c r="AD202" s="451"/>
      <c r="AE202" s="451"/>
      <c r="AF202" s="451"/>
      <c r="AG202" s="451"/>
      <c r="AH202" s="451"/>
      <c r="AI202" s="451"/>
      <c r="AJ202" s="451"/>
      <c r="AK202" s="451"/>
    </row>
    <row r="203" spans="1:37" ht="10.5" customHeight="1">
      <c r="A203" s="329" t="s">
        <v>495</v>
      </c>
      <c r="B203" s="449"/>
      <c r="C203" s="449"/>
      <c r="D203" s="449"/>
      <c r="E203" s="449"/>
      <c r="F203" s="449"/>
      <c r="G203" s="449"/>
      <c r="H203" s="449"/>
      <c r="I203" s="449"/>
      <c r="J203" s="449"/>
      <c r="K203" s="449"/>
      <c r="L203" s="449"/>
      <c r="M203" s="449"/>
      <c r="Z203" s="451"/>
      <c r="AA203" s="451"/>
      <c r="AB203" s="451"/>
      <c r="AC203" s="451"/>
      <c r="AD203" s="451"/>
      <c r="AE203" s="451"/>
      <c r="AF203" s="451"/>
      <c r="AG203" s="451"/>
      <c r="AH203" s="451"/>
      <c r="AI203" s="451"/>
      <c r="AJ203" s="451"/>
      <c r="AK203" s="451"/>
    </row>
    <row r="204" spans="1:37" ht="10.5" customHeight="1">
      <c r="A204" s="334" t="s">
        <v>489</v>
      </c>
      <c r="B204" s="449">
        <v>10711.697099060882</v>
      </c>
      <c r="C204" s="449">
        <v>5453.7563707022764</v>
      </c>
      <c r="D204" s="449">
        <v>32729.312999999995</v>
      </c>
      <c r="E204" s="449">
        <v>0</v>
      </c>
      <c r="F204" s="449">
        <v>29474.889492227132</v>
      </c>
      <c r="G204" s="449">
        <v>21326.598240177547</v>
      </c>
      <c r="H204" s="449">
        <v>99696.254202167838</v>
      </c>
      <c r="I204" s="449"/>
      <c r="J204" s="449">
        <v>1095.6289999999999</v>
      </c>
      <c r="K204" s="449">
        <v>0</v>
      </c>
      <c r="L204" s="449">
        <v>2912.0966100000005</v>
      </c>
      <c r="M204" s="449">
        <v>103703.97981216785</v>
      </c>
      <c r="Z204" s="451"/>
      <c r="AA204" s="451"/>
      <c r="AB204" s="451"/>
      <c r="AC204" s="451"/>
      <c r="AD204" s="451"/>
      <c r="AE204" s="451"/>
      <c r="AF204" s="451"/>
      <c r="AG204" s="451"/>
      <c r="AH204" s="451"/>
      <c r="AI204" s="451"/>
      <c r="AJ204" s="451"/>
      <c r="AK204" s="451"/>
    </row>
    <row r="205" spans="1:37" ht="10.5" customHeight="1">
      <c r="A205" s="334" t="s">
        <v>496</v>
      </c>
      <c r="B205" s="449">
        <v>3947.0029999999997</v>
      </c>
      <c r="C205" s="449">
        <v>2416.9940900000001</v>
      </c>
      <c r="D205" s="449">
        <v>15159.249</v>
      </c>
      <c r="E205" s="449">
        <v>0</v>
      </c>
      <c r="F205" s="459">
        <v>6940.6985899999963</v>
      </c>
      <c r="G205" s="449">
        <v>3675.8783499999995</v>
      </c>
      <c r="H205" s="459">
        <v>32139.823029999996</v>
      </c>
      <c r="I205" s="459"/>
      <c r="J205" s="449">
        <v>1095.6289999999999</v>
      </c>
      <c r="K205" s="449">
        <v>0</v>
      </c>
      <c r="L205" s="449">
        <v>2912.0966100000005</v>
      </c>
      <c r="M205" s="459">
        <v>36147.548639999994</v>
      </c>
      <c r="Z205" s="451"/>
      <c r="AA205" s="451"/>
      <c r="AB205" s="451"/>
      <c r="AC205" s="451"/>
      <c r="AD205" s="451"/>
      <c r="AE205" s="451"/>
      <c r="AF205" s="451"/>
      <c r="AG205" s="451"/>
      <c r="AH205" s="451"/>
      <c r="AI205" s="451"/>
      <c r="AJ205" s="451"/>
      <c r="AK205" s="451"/>
    </row>
    <row r="206" spans="1:37" ht="10.5" customHeight="1">
      <c r="A206" s="334" t="s">
        <v>491</v>
      </c>
      <c r="B206" s="458">
        <v>209.85768000000007</v>
      </c>
      <c r="C206" s="458">
        <v>157.48095049999984</v>
      </c>
      <c r="D206" s="458">
        <v>469.81309999999939</v>
      </c>
      <c r="E206" s="449">
        <v>0</v>
      </c>
      <c r="F206" s="462">
        <v>472.48766999111831</v>
      </c>
      <c r="G206" s="458">
        <v>132.61395409999977</v>
      </c>
      <c r="H206" s="462">
        <v>1442.2533545911174</v>
      </c>
      <c r="I206" s="458"/>
      <c r="J206" s="458">
        <v>166.1225</v>
      </c>
      <c r="K206" s="449">
        <v>0</v>
      </c>
      <c r="L206" s="449">
        <v>0</v>
      </c>
      <c r="M206" s="462">
        <v>1608.3758545911173</v>
      </c>
      <c r="Z206" s="451"/>
      <c r="AA206" s="451"/>
      <c r="AB206" s="451"/>
      <c r="AC206" s="451"/>
      <c r="AD206" s="451"/>
      <c r="AE206" s="451"/>
      <c r="AF206" s="451"/>
      <c r="AG206" s="451"/>
      <c r="AH206" s="451"/>
      <c r="AI206" s="451"/>
      <c r="AJ206" s="451"/>
      <c r="AK206" s="451"/>
    </row>
    <row r="207" spans="1:37" ht="10.5" customHeight="1">
      <c r="A207" s="431" t="s">
        <v>497</v>
      </c>
      <c r="B207" s="457">
        <v>3737.1453199999996</v>
      </c>
      <c r="C207" s="457">
        <v>2259.5131395000003</v>
      </c>
      <c r="D207" s="457">
        <v>14689.4359</v>
      </c>
      <c r="E207" s="457">
        <v>0</v>
      </c>
      <c r="F207" s="463">
        <v>6468.210920008878</v>
      </c>
      <c r="G207" s="457">
        <v>3543.2643958999997</v>
      </c>
      <c r="H207" s="463">
        <v>30697.569675408879</v>
      </c>
      <c r="I207" s="457"/>
      <c r="J207" s="457">
        <v>929.50649999999985</v>
      </c>
      <c r="K207" s="457">
        <v>0</v>
      </c>
      <c r="L207" s="457">
        <v>2912.0966100000005</v>
      </c>
      <c r="M207" s="463">
        <v>34539.172785408882</v>
      </c>
      <c r="Z207" s="451"/>
      <c r="AA207" s="451"/>
      <c r="AB207" s="451"/>
      <c r="AC207" s="451"/>
      <c r="AD207" s="451"/>
      <c r="AE207" s="451"/>
      <c r="AF207" s="451"/>
      <c r="AG207" s="451"/>
      <c r="AH207" s="451"/>
      <c r="AI207" s="451"/>
      <c r="AJ207" s="451"/>
      <c r="AK207" s="451"/>
    </row>
    <row r="208" spans="1:37" ht="10.5" customHeight="1">
      <c r="A208" s="329" t="s">
        <v>498</v>
      </c>
      <c r="B208" s="449"/>
      <c r="C208" s="449"/>
      <c r="D208" s="449"/>
      <c r="E208" s="449"/>
      <c r="F208" s="449"/>
      <c r="G208" s="449"/>
      <c r="H208" s="449"/>
      <c r="I208" s="449"/>
      <c r="J208" s="449"/>
      <c r="K208" s="449"/>
      <c r="L208" s="449"/>
      <c r="M208" s="449"/>
      <c r="Z208" s="451"/>
      <c r="AA208" s="451"/>
      <c r="AB208" s="451"/>
      <c r="AC208" s="451"/>
      <c r="AD208" s="451"/>
      <c r="AE208" s="451"/>
      <c r="AF208" s="451"/>
      <c r="AG208" s="451"/>
      <c r="AH208" s="451"/>
      <c r="AI208" s="451"/>
      <c r="AJ208" s="451"/>
      <c r="AK208" s="451"/>
    </row>
    <row r="209" spans="1:37" ht="10.5" customHeight="1">
      <c r="A209" s="334" t="s">
        <v>499</v>
      </c>
      <c r="B209" s="449">
        <v>378845.96271486813</v>
      </c>
      <c r="C209" s="449">
        <v>15722.193200582666</v>
      </c>
      <c r="D209" s="449">
        <v>328372.14734868112</v>
      </c>
      <c r="E209" s="449">
        <v>213661.14089945226</v>
      </c>
      <c r="F209" s="449">
        <v>38990.311380860061</v>
      </c>
      <c r="G209" s="449">
        <v>21326.598240177547</v>
      </c>
      <c r="H209" s="449">
        <v>996918.35378462193</v>
      </c>
      <c r="I209" s="449"/>
      <c r="J209" s="449">
        <v>4921.5290000000005</v>
      </c>
      <c r="K209" s="459">
        <v>2873.3944274999994</v>
      </c>
      <c r="L209" s="449">
        <v>2912.0966100000005</v>
      </c>
      <c r="M209" s="459">
        <v>1007625.3738221219</v>
      </c>
      <c r="Z209" s="451"/>
      <c r="AA209" s="451"/>
      <c r="AB209" s="451"/>
      <c r="AC209" s="451"/>
      <c r="AD209" s="451"/>
      <c r="AE209" s="451"/>
      <c r="AF209" s="451"/>
      <c r="AG209" s="451"/>
      <c r="AH209" s="451"/>
      <c r="AI209" s="451"/>
      <c r="AJ209" s="451"/>
      <c r="AK209" s="451"/>
    </row>
    <row r="210" spans="1:37" ht="10.5" customHeight="1">
      <c r="A210" s="334" t="s">
        <v>496</v>
      </c>
      <c r="B210" s="459">
        <v>134636.9909450628</v>
      </c>
      <c r="C210" s="459">
        <v>5338.1514030587805</v>
      </c>
      <c r="D210" s="449">
        <v>152641.99112305598</v>
      </c>
      <c r="E210" s="449">
        <v>81618.102843119996</v>
      </c>
      <c r="F210" s="459">
        <v>9685.1824938999962</v>
      </c>
      <c r="G210" s="449">
        <v>3675.8783499999995</v>
      </c>
      <c r="H210" s="459">
        <v>387596.2971581975</v>
      </c>
      <c r="I210" s="459"/>
      <c r="J210" s="449">
        <v>4921.5290000000005</v>
      </c>
      <c r="K210" s="459">
        <v>2873.3944274999994</v>
      </c>
      <c r="L210" s="449">
        <v>2912.0966100000005</v>
      </c>
      <c r="M210" s="459">
        <v>398303.31719569757</v>
      </c>
      <c r="Z210" s="451"/>
      <c r="AA210" s="451"/>
      <c r="AB210" s="451"/>
      <c r="AC210" s="451"/>
      <c r="AD210" s="451"/>
      <c r="AE210" s="451"/>
      <c r="AF210" s="451"/>
      <c r="AG210" s="451"/>
      <c r="AH210" s="451"/>
      <c r="AI210" s="451"/>
      <c r="AJ210" s="451"/>
      <c r="AK210" s="451"/>
    </row>
    <row r="211" spans="1:37" ht="10.5" customHeight="1">
      <c r="A211" s="334" t="s">
        <v>491</v>
      </c>
      <c r="B211" s="459">
        <v>6123.7877193335144</v>
      </c>
      <c r="C211" s="459">
        <v>687.69736204212404</v>
      </c>
      <c r="D211" s="449">
        <v>3428.3279220559634</v>
      </c>
      <c r="E211" s="449">
        <v>6445.3148431199952</v>
      </c>
      <c r="F211" s="459">
        <v>730.54758403788355</v>
      </c>
      <c r="G211" s="449">
        <v>132.61395409999977</v>
      </c>
      <c r="H211" s="459">
        <v>17548.289384689448</v>
      </c>
      <c r="I211" s="459"/>
      <c r="J211" s="449">
        <v>171.4866360170555</v>
      </c>
      <c r="K211" s="459">
        <v>97.167927499999678</v>
      </c>
      <c r="L211" s="449">
        <v>0</v>
      </c>
      <c r="M211" s="459">
        <v>17816.943948206503</v>
      </c>
      <c r="Z211" s="451"/>
      <c r="AA211" s="451"/>
      <c r="AB211" s="451"/>
      <c r="AC211" s="451"/>
      <c r="AD211" s="451"/>
      <c r="AE211" s="451"/>
      <c r="AF211" s="451"/>
      <c r="AG211" s="451"/>
      <c r="AH211" s="451"/>
      <c r="AI211" s="451"/>
      <c r="AJ211" s="451"/>
      <c r="AK211" s="451"/>
    </row>
    <row r="212" spans="1:37" ht="10.5" customHeight="1">
      <c r="A212" s="334" t="s">
        <v>492</v>
      </c>
      <c r="B212" s="459">
        <v>128513.20322572927</v>
      </c>
      <c r="C212" s="459">
        <v>4650.4540410166574</v>
      </c>
      <c r="D212" s="449">
        <v>149213.66320100002</v>
      </c>
      <c r="E212" s="449">
        <v>75172.788</v>
      </c>
      <c r="F212" s="459">
        <v>8954.6349098621122</v>
      </c>
      <c r="G212" s="449">
        <v>3543.2643958999997</v>
      </c>
      <c r="H212" s="459">
        <v>370048.00777350808</v>
      </c>
      <c r="I212" s="449"/>
      <c r="J212" s="449">
        <v>4750.0423639829442</v>
      </c>
      <c r="K212" s="449">
        <v>2776.2264999999998</v>
      </c>
      <c r="L212" s="449">
        <v>2912.0966100000005</v>
      </c>
      <c r="M212" s="459">
        <v>380486.37324749096</v>
      </c>
      <c r="Z212" s="451"/>
      <c r="AA212" s="451"/>
      <c r="AB212" s="451"/>
      <c r="AC212" s="451"/>
      <c r="AD212" s="451"/>
      <c r="AE212" s="451"/>
      <c r="AF212" s="451"/>
      <c r="AG212" s="451"/>
      <c r="AH212" s="451"/>
      <c r="AI212" s="451"/>
      <c r="AJ212" s="451"/>
      <c r="AK212" s="451"/>
    </row>
    <row r="213" spans="1:37" ht="10.5" customHeight="1">
      <c r="A213" s="334" t="s">
        <v>493</v>
      </c>
      <c r="B213" s="449"/>
      <c r="C213" s="449"/>
      <c r="D213" s="449"/>
      <c r="E213" s="449"/>
      <c r="F213" s="449"/>
      <c r="G213" s="449"/>
      <c r="H213" s="449"/>
      <c r="I213" s="449"/>
      <c r="J213" s="449"/>
      <c r="K213" s="449"/>
      <c r="L213" s="449"/>
      <c r="M213" s="449">
        <v>3706.8240499999997</v>
      </c>
      <c r="Z213" s="451"/>
      <c r="AA213" s="451"/>
      <c r="AB213" s="451"/>
      <c r="AC213" s="451"/>
      <c r="AD213" s="451"/>
      <c r="AE213" s="451"/>
      <c r="AF213" s="451"/>
      <c r="AG213" s="451"/>
      <c r="AH213" s="451"/>
      <c r="AI213" s="451"/>
      <c r="AJ213" s="451"/>
      <c r="AK213" s="451"/>
    </row>
    <row r="214" spans="1:37" ht="10.5" customHeight="1" thickBot="1">
      <c r="A214" s="433" t="s">
        <v>494</v>
      </c>
      <c r="B214" s="460"/>
      <c r="C214" s="460"/>
      <c r="D214" s="460"/>
      <c r="E214" s="460"/>
      <c r="F214" s="460"/>
      <c r="G214" s="460"/>
      <c r="H214" s="460"/>
      <c r="I214" s="460"/>
      <c r="J214" s="460"/>
      <c r="K214" s="460"/>
      <c r="L214" s="460"/>
      <c r="M214" s="464">
        <v>376779.54919749097</v>
      </c>
      <c r="Z214" s="451"/>
      <c r="AA214" s="451"/>
      <c r="AB214" s="451"/>
      <c r="AC214" s="451"/>
      <c r="AD214" s="451"/>
      <c r="AE214" s="451"/>
      <c r="AF214" s="451"/>
      <c r="AG214" s="451"/>
      <c r="AH214" s="451"/>
      <c r="AI214" s="451"/>
      <c r="AJ214" s="451"/>
      <c r="AK214" s="451"/>
    </row>
    <row r="215" spans="1:37" s="346" customFormat="1" ht="13.5" customHeight="1" thickTop="1">
      <c r="A215" s="447">
        <v>2006</v>
      </c>
      <c r="B215" s="461"/>
      <c r="C215" s="461"/>
      <c r="D215" s="461"/>
      <c r="E215" s="461"/>
      <c r="F215" s="461"/>
      <c r="G215" s="461"/>
      <c r="H215" s="461"/>
      <c r="I215" s="461"/>
      <c r="J215" s="461"/>
      <c r="K215" s="461"/>
      <c r="L215" s="461"/>
      <c r="M215" s="461"/>
    </row>
    <row r="216" spans="1:37" ht="10.5" customHeight="1">
      <c r="A216" s="329" t="s">
        <v>504</v>
      </c>
      <c r="B216" s="449"/>
      <c r="C216" s="449"/>
      <c r="D216" s="449"/>
      <c r="E216" s="449"/>
      <c r="F216" s="449"/>
      <c r="G216" s="449"/>
      <c r="H216" s="449"/>
      <c r="I216" s="449"/>
      <c r="J216" s="449"/>
      <c r="K216" s="449"/>
      <c r="L216" s="449"/>
      <c r="M216" s="449"/>
    </row>
    <row r="217" spans="1:37" ht="10.5" customHeight="1">
      <c r="A217" s="334" t="s">
        <v>489</v>
      </c>
      <c r="B217" s="449">
        <v>407027.19359205291</v>
      </c>
      <c r="C217" s="449">
        <v>11751.045318303004</v>
      </c>
      <c r="D217" s="449">
        <v>278148.92368514871</v>
      </c>
      <c r="E217" s="449">
        <v>199237.06280346774</v>
      </c>
      <c r="F217" s="449">
        <v>8503.7299742651612</v>
      </c>
      <c r="G217" s="449">
        <v>0</v>
      </c>
      <c r="H217" s="449">
        <v>904667.95537323761</v>
      </c>
      <c r="I217" s="449"/>
      <c r="J217" s="449">
        <v>3693.299258</v>
      </c>
      <c r="K217" s="449">
        <v>3852.6022349999998</v>
      </c>
      <c r="L217" s="449">
        <v>0</v>
      </c>
      <c r="M217" s="449">
        <v>912213.85686623759</v>
      </c>
      <c r="O217" s="336"/>
      <c r="P217" s="336"/>
      <c r="Q217" s="336"/>
      <c r="R217" s="336"/>
      <c r="S217" s="336"/>
      <c r="T217" s="336"/>
      <c r="U217" s="336"/>
      <c r="V217" s="336"/>
      <c r="W217" s="336"/>
      <c r="X217" s="336"/>
      <c r="Y217" s="336"/>
      <c r="Z217" s="336"/>
      <c r="AA217" s="336"/>
      <c r="AB217" s="336"/>
      <c r="AC217" s="336"/>
      <c r="AD217" s="336"/>
      <c r="AE217" s="336"/>
      <c r="AF217" s="336"/>
      <c r="AG217" s="336"/>
      <c r="AH217" s="336"/>
      <c r="AI217" s="336"/>
      <c r="AJ217" s="336"/>
      <c r="AK217" s="336"/>
    </row>
    <row r="218" spans="1:37" ht="10.5" customHeight="1">
      <c r="A218" s="334" t="s">
        <v>490</v>
      </c>
      <c r="B218" s="459">
        <v>145311.14019007739</v>
      </c>
      <c r="C218" s="459">
        <v>3358.643967753716</v>
      </c>
      <c r="D218" s="449">
        <v>126637.23964240288</v>
      </c>
      <c r="E218" s="449">
        <v>75450.656932527243</v>
      </c>
      <c r="F218" s="459">
        <v>2928.4829752862515</v>
      </c>
      <c r="G218" s="449">
        <v>0</v>
      </c>
      <c r="H218" s="459">
        <v>353686.16370804748</v>
      </c>
      <c r="I218" s="449"/>
      <c r="J218" s="449">
        <v>3693.299258</v>
      </c>
      <c r="K218" s="449">
        <v>3852.6022349999998</v>
      </c>
      <c r="L218" s="449">
        <v>0</v>
      </c>
      <c r="M218" s="459">
        <v>361232.06520104746</v>
      </c>
      <c r="O218" s="336"/>
      <c r="P218" s="336"/>
      <c r="Q218" s="336"/>
      <c r="R218" s="336"/>
      <c r="S218" s="336"/>
      <c r="T218" s="336"/>
      <c r="U218" s="336"/>
      <c r="V218" s="336"/>
      <c r="W218" s="336"/>
      <c r="X218" s="336"/>
      <c r="Y218" s="336"/>
      <c r="Z218" s="336"/>
      <c r="AA218" s="336"/>
      <c r="AB218" s="336"/>
      <c r="AC218" s="336"/>
      <c r="AD218" s="336"/>
      <c r="AE218" s="336"/>
      <c r="AF218" s="336"/>
      <c r="AG218" s="336"/>
      <c r="AH218" s="336"/>
      <c r="AI218" s="336"/>
      <c r="AJ218" s="336"/>
      <c r="AK218" s="336"/>
    </row>
    <row r="219" spans="1:37" ht="10.5" customHeight="1">
      <c r="A219" s="334" t="s">
        <v>491</v>
      </c>
      <c r="B219" s="459">
        <v>7163.7057942331303</v>
      </c>
      <c r="C219" s="459">
        <v>592.10165979093199</v>
      </c>
      <c r="D219" s="449">
        <v>2633.813690040377</v>
      </c>
      <c r="E219" s="449">
        <v>6213.5009325272404</v>
      </c>
      <c r="F219" s="459">
        <v>285.18503951190405</v>
      </c>
      <c r="G219" s="449">
        <v>0</v>
      </c>
      <c r="H219" s="459">
        <v>16888.307116103533</v>
      </c>
      <c r="I219" s="449"/>
      <c r="J219" s="449">
        <v>12.880782000000181</v>
      </c>
      <c r="K219" s="449">
        <v>130.28123499999992</v>
      </c>
      <c r="L219" s="449">
        <v>0</v>
      </c>
      <c r="M219" s="459">
        <v>17031.469133103532</v>
      </c>
      <c r="O219" s="336"/>
      <c r="P219" s="336"/>
      <c r="Q219" s="336"/>
      <c r="R219" s="336"/>
      <c r="S219" s="336"/>
      <c r="T219" s="336"/>
      <c r="U219" s="336"/>
      <c r="V219" s="336"/>
      <c r="W219" s="336"/>
      <c r="X219" s="336"/>
      <c r="Y219" s="336"/>
      <c r="Z219" s="336"/>
      <c r="AA219" s="336"/>
      <c r="AB219" s="336"/>
      <c r="AC219" s="336"/>
      <c r="AD219" s="336"/>
      <c r="AE219" s="336"/>
      <c r="AF219" s="336"/>
      <c r="AG219" s="336"/>
      <c r="AH219" s="336"/>
      <c r="AI219" s="336"/>
      <c r="AJ219" s="336"/>
      <c r="AK219" s="336"/>
    </row>
    <row r="220" spans="1:37" ht="10.5" customHeight="1">
      <c r="A220" s="334" t="s">
        <v>492</v>
      </c>
      <c r="B220" s="459">
        <v>138147.43439584426</v>
      </c>
      <c r="C220" s="459">
        <v>2766.542307962784</v>
      </c>
      <c r="D220" s="449">
        <v>124003.42595236251</v>
      </c>
      <c r="E220" s="449">
        <v>69237.156000000003</v>
      </c>
      <c r="F220" s="459">
        <v>2643.2979357743475</v>
      </c>
      <c r="G220" s="449">
        <v>0</v>
      </c>
      <c r="H220" s="459">
        <v>336797.85659194394</v>
      </c>
      <c r="I220" s="449"/>
      <c r="J220" s="449">
        <v>3680.4184759999998</v>
      </c>
      <c r="K220" s="449">
        <v>3722.3209999999999</v>
      </c>
      <c r="L220" s="449">
        <v>0</v>
      </c>
      <c r="M220" s="459">
        <v>344200.59606794396</v>
      </c>
      <c r="O220" s="336"/>
      <c r="P220" s="336"/>
      <c r="Q220" s="336"/>
      <c r="R220" s="336"/>
      <c r="S220" s="336"/>
      <c r="T220" s="336"/>
      <c r="U220" s="336"/>
      <c r="V220" s="336"/>
      <c r="W220" s="336"/>
      <c r="X220" s="336"/>
      <c r="Y220" s="336"/>
      <c r="Z220" s="336"/>
      <c r="AA220" s="336"/>
      <c r="AB220" s="336"/>
      <c r="AC220" s="336"/>
      <c r="AD220" s="336"/>
      <c r="AE220" s="336"/>
      <c r="AF220" s="336"/>
      <c r="AG220" s="336"/>
      <c r="AH220" s="336"/>
      <c r="AI220" s="336"/>
      <c r="AJ220" s="336"/>
      <c r="AK220" s="336"/>
    </row>
    <row r="221" spans="1:37" ht="10.5" customHeight="1">
      <c r="A221" s="334" t="s">
        <v>493</v>
      </c>
      <c r="B221" s="449"/>
      <c r="C221" s="449"/>
      <c r="D221" s="449"/>
      <c r="E221" s="449"/>
      <c r="F221" s="449"/>
      <c r="G221" s="449"/>
      <c r="H221" s="449"/>
      <c r="I221" s="449"/>
      <c r="J221" s="449"/>
      <c r="K221" s="449"/>
      <c r="L221" s="449"/>
      <c r="M221" s="449">
        <v>4917.84</v>
      </c>
      <c r="O221" s="336"/>
      <c r="P221" s="336"/>
      <c r="Q221" s="336"/>
      <c r="R221" s="336"/>
      <c r="S221" s="336"/>
      <c r="T221" s="336"/>
      <c r="U221" s="336"/>
      <c r="V221" s="336"/>
      <c r="W221" s="336"/>
      <c r="X221" s="336"/>
      <c r="Y221" s="336"/>
      <c r="Z221" s="336"/>
      <c r="AA221" s="336"/>
      <c r="AB221" s="336"/>
      <c r="AC221" s="336"/>
      <c r="AD221" s="336"/>
      <c r="AE221" s="336"/>
      <c r="AF221" s="336"/>
      <c r="AG221" s="336"/>
      <c r="AH221" s="336"/>
      <c r="AI221" s="336"/>
      <c r="AJ221" s="336"/>
      <c r="AK221" s="336"/>
    </row>
    <row r="222" spans="1:37" ht="10.5" customHeight="1">
      <c r="A222" s="431" t="s">
        <v>494</v>
      </c>
      <c r="B222" s="457"/>
      <c r="C222" s="457"/>
      <c r="D222" s="457"/>
      <c r="E222" s="457"/>
      <c r="F222" s="457"/>
      <c r="G222" s="457"/>
      <c r="H222" s="457"/>
      <c r="I222" s="457"/>
      <c r="J222" s="457"/>
      <c r="K222" s="457"/>
      <c r="L222" s="457"/>
      <c r="M222" s="463">
        <v>339282.75606794393</v>
      </c>
      <c r="O222" s="336"/>
      <c r="P222" s="336"/>
      <c r="Q222" s="336"/>
      <c r="R222" s="336"/>
      <c r="S222" s="336"/>
      <c r="T222" s="336"/>
      <c r="U222" s="336"/>
      <c r="V222" s="336"/>
      <c r="W222" s="336"/>
      <c r="X222" s="336"/>
      <c r="Y222" s="336"/>
      <c r="Z222" s="336"/>
      <c r="AA222" s="336"/>
      <c r="AB222" s="336"/>
      <c r="AC222" s="336"/>
      <c r="AD222" s="336"/>
      <c r="AE222" s="336"/>
      <c r="AF222" s="336"/>
      <c r="AG222" s="336"/>
      <c r="AH222" s="336"/>
      <c r="AI222" s="336"/>
      <c r="AJ222" s="336"/>
      <c r="AK222" s="336"/>
    </row>
    <row r="223" spans="1:37" ht="10.5" customHeight="1">
      <c r="A223" s="329" t="s">
        <v>495</v>
      </c>
      <c r="B223" s="449"/>
      <c r="C223" s="449"/>
      <c r="D223" s="449"/>
      <c r="E223" s="449"/>
      <c r="F223" s="449"/>
      <c r="G223" s="449"/>
      <c r="H223" s="449"/>
      <c r="I223" s="449"/>
      <c r="J223" s="449"/>
      <c r="K223" s="449"/>
      <c r="L223" s="449"/>
      <c r="M223" s="449"/>
      <c r="O223" s="336"/>
      <c r="P223" s="336"/>
      <c r="Q223" s="336"/>
      <c r="R223" s="336"/>
      <c r="S223" s="336"/>
      <c r="T223" s="336"/>
      <c r="U223" s="336"/>
      <c r="V223" s="336"/>
      <c r="W223" s="336"/>
      <c r="X223" s="336"/>
      <c r="Y223" s="336"/>
      <c r="Z223" s="336"/>
      <c r="AA223" s="336"/>
      <c r="AB223" s="336"/>
      <c r="AC223" s="336"/>
      <c r="AD223" s="336"/>
      <c r="AE223" s="336"/>
      <c r="AF223" s="336"/>
      <c r="AG223" s="336"/>
      <c r="AH223" s="336"/>
      <c r="AI223" s="336"/>
      <c r="AJ223" s="336"/>
      <c r="AK223" s="336"/>
    </row>
    <row r="224" spans="1:37" ht="11.5" customHeight="1">
      <c r="A224" s="334" t="s">
        <v>489</v>
      </c>
      <c r="B224" s="459">
        <v>10990.89541918125</v>
      </c>
      <c r="C224" s="459">
        <v>6146.1441956988838</v>
      </c>
      <c r="D224" s="459">
        <v>30105.373410000007</v>
      </c>
      <c r="E224" s="449">
        <v>0</v>
      </c>
      <c r="F224" s="459">
        <v>31848.57415732132</v>
      </c>
      <c r="G224" s="459">
        <v>17411.989887654821</v>
      </c>
      <c r="H224" s="459">
        <v>96502.977069856279</v>
      </c>
      <c r="I224" s="449"/>
      <c r="J224" s="459">
        <v>899.85299999999995</v>
      </c>
      <c r="K224" s="449">
        <v>0</v>
      </c>
      <c r="L224" s="449">
        <v>4235.7526003999992</v>
      </c>
      <c r="M224" s="459">
        <v>101638.58267025628</v>
      </c>
      <c r="O224" s="336"/>
      <c r="P224" s="336"/>
      <c r="Q224" s="336"/>
      <c r="R224" s="336"/>
      <c r="S224" s="336"/>
      <c r="T224" s="336"/>
      <c r="U224" s="336"/>
      <c r="V224" s="336"/>
      <c r="W224" s="336"/>
      <c r="X224" s="336"/>
      <c r="Y224" s="336"/>
      <c r="Z224" s="336"/>
      <c r="AA224" s="336"/>
      <c r="AB224" s="336"/>
      <c r="AC224" s="336"/>
      <c r="AD224" s="336"/>
      <c r="AE224" s="336"/>
      <c r="AF224" s="336"/>
      <c r="AG224" s="336"/>
      <c r="AH224" s="336"/>
      <c r="AI224" s="336"/>
      <c r="AJ224" s="336"/>
      <c r="AK224" s="336"/>
    </row>
    <row r="225" spans="1:37" ht="10.5" customHeight="1">
      <c r="A225" s="334" t="s">
        <v>496</v>
      </c>
      <c r="B225" s="459">
        <v>3902.5950000000003</v>
      </c>
      <c r="C225" s="459">
        <v>2450.3803648934645</v>
      </c>
      <c r="D225" s="459">
        <v>14190.624374695259</v>
      </c>
      <c r="E225" s="449">
        <v>0</v>
      </c>
      <c r="F225" s="459">
        <v>7009.668099600005</v>
      </c>
      <c r="G225" s="459">
        <v>3371.4059604112795</v>
      </c>
      <c r="H225" s="459">
        <v>30924.673799600012</v>
      </c>
      <c r="I225" s="449"/>
      <c r="J225" s="459">
        <v>899.85300000000007</v>
      </c>
      <c r="K225" s="449">
        <v>0</v>
      </c>
      <c r="L225" s="449">
        <v>4235.7526003999992</v>
      </c>
      <c r="M225" s="459">
        <v>36060.279400000014</v>
      </c>
      <c r="O225" s="336"/>
      <c r="P225" s="336"/>
      <c r="Q225" s="336"/>
      <c r="R225" s="336"/>
      <c r="S225" s="336"/>
      <c r="T225" s="336"/>
      <c r="U225" s="336"/>
      <c r="V225" s="336"/>
      <c r="W225" s="336"/>
      <c r="X225" s="336"/>
      <c r="Y225" s="336"/>
      <c r="Z225" s="336"/>
      <c r="AA225" s="336"/>
      <c r="AB225" s="336"/>
      <c r="AC225" s="336"/>
      <c r="AD225" s="336"/>
      <c r="AE225" s="336"/>
      <c r="AF225" s="336"/>
      <c r="AG225" s="336"/>
      <c r="AH225" s="336"/>
      <c r="AI225" s="336"/>
      <c r="AJ225" s="336"/>
      <c r="AK225" s="336"/>
    </row>
    <row r="226" spans="1:37" ht="10.5" customHeight="1">
      <c r="A226" s="334" t="s">
        <v>491</v>
      </c>
      <c r="B226" s="462">
        <v>209.58737599999995</v>
      </c>
      <c r="C226" s="462">
        <v>155.51450670779968</v>
      </c>
      <c r="D226" s="462">
        <v>439.79074945528009</v>
      </c>
      <c r="E226" s="449">
        <v>0</v>
      </c>
      <c r="F226" s="462">
        <v>533.71317892847037</v>
      </c>
      <c r="G226" s="462">
        <v>119.15627964756413</v>
      </c>
      <c r="H226" s="462">
        <v>1457.7620907391174</v>
      </c>
      <c r="I226" s="458"/>
      <c r="J226" s="458">
        <v>14.420350000000099</v>
      </c>
      <c r="K226" s="449">
        <v>0</v>
      </c>
      <c r="L226" s="449">
        <v>0</v>
      </c>
      <c r="M226" s="462">
        <v>1472.1824407391175</v>
      </c>
      <c r="N226" s="451"/>
      <c r="O226" s="336"/>
      <c r="P226" s="336"/>
      <c r="Q226" s="336"/>
      <c r="R226" s="336"/>
      <c r="S226" s="336"/>
      <c r="T226" s="336"/>
      <c r="U226" s="336"/>
      <c r="V226" s="336"/>
      <c r="W226" s="336"/>
      <c r="X226" s="336"/>
      <c r="Y226" s="336"/>
      <c r="Z226" s="336"/>
      <c r="AA226" s="336"/>
      <c r="AB226" s="336"/>
      <c r="AC226" s="336"/>
      <c r="AD226" s="336"/>
      <c r="AE226" s="336"/>
      <c r="AF226" s="336"/>
      <c r="AG226" s="336"/>
      <c r="AH226" s="336"/>
      <c r="AI226" s="336"/>
      <c r="AJ226" s="336"/>
      <c r="AK226" s="336"/>
    </row>
    <row r="227" spans="1:37" ht="10.5" customHeight="1">
      <c r="A227" s="431" t="s">
        <v>497</v>
      </c>
      <c r="B227" s="463">
        <v>3693.0076240000003</v>
      </c>
      <c r="C227" s="463">
        <v>2294.8658581856648</v>
      </c>
      <c r="D227" s="463">
        <v>13750.833625239979</v>
      </c>
      <c r="E227" s="457">
        <v>0</v>
      </c>
      <c r="F227" s="463">
        <v>6475.9549206715346</v>
      </c>
      <c r="G227" s="463">
        <v>3252.2496807637153</v>
      </c>
      <c r="H227" s="463">
        <v>29466.911708860895</v>
      </c>
      <c r="I227" s="457"/>
      <c r="J227" s="457">
        <v>885.43264999999997</v>
      </c>
      <c r="K227" s="457">
        <v>0</v>
      </c>
      <c r="L227" s="457">
        <v>4235.7526003999992</v>
      </c>
      <c r="M227" s="463">
        <v>34588.096959260889</v>
      </c>
      <c r="O227" s="336"/>
      <c r="P227" s="336"/>
      <c r="Q227" s="336"/>
      <c r="R227" s="336"/>
      <c r="S227" s="336"/>
      <c r="T227" s="336"/>
      <c r="U227" s="336"/>
      <c r="V227" s="336"/>
      <c r="W227" s="336"/>
      <c r="X227" s="336"/>
      <c r="Y227" s="336"/>
      <c r="Z227" s="336"/>
      <c r="AA227" s="336"/>
      <c r="AB227" s="336"/>
      <c r="AC227" s="336"/>
      <c r="AD227" s="336"/>
      <c r="AE227" s="336"/>
      <c r="AF227" s="336"/>
      <c r="AG227" s="336"/>
      <c r="AH227" s="336"/>
      <c r="AI227" s="336"/>
      <c r="AJ227" s="336"/>
      <c r="AK227" s="336"/>
    </row>
    <row r="228" spans="1:37" ht="10.5" customHeight="1">
      <c r="A228" s="329" t="s">
        <v>498</v>
      </c>
      <c r="B228" s="449"/>
      <c r="C228" s="449"/>
      <c r="D228" s="449"/>
      <c r="E228" s="449"/>
      <c r="F228" s="449"/>
      <c r="G228" s="449"/>
      <c r="H228" s="449"/>
      <c r="I228" s="449"/>
      <c r="J228" s="449"/>
      <c r="K228" s="449"/>
      <c r="L228" s="449"/>
      <c r="M228" s="449"/>
      <c r="O228" s="336"/>
      <c r="P228" s="336"/>
      <c r="Q228" s="336"/>
      <c r="R228" s="336"/>
      <c r="S228" s="336"/>
      <c r="T228" s="336"/>
      <c r="U228" s="336"/>
      <c r="V228" s="336"/>
      <c r="W228" s="336"/>
      <c r="X228" s="336"/>
      <c r="Y228" s="336"/>
      <c r="Z228" s="336"/>
      <c r="AA228" s="336"/>
      <c r="AB228" s="336"/>
      <c r="AC228" s="336"/>
      <c r="AD228" s="336"/>
      <c r="AE228" s="336"/>
      <c r="AF228" s="336"/>
      <c r="AG228" s="336"/>
      <c r="AH228" s="336"/>
      <c r="AI228" s="336"/>
      <c r="AJ228" s="336"/>
      <c r="AK228" s="336"/>
    </row>
    <row r="229" spans="1:37" ht="10.5" customHeight="1">
      <c r="A229" s="334" t="s">
        <v>499</v>
      </c>
      <c r="B229" s="459">
        <v>418018.08901123417</v>
      </c>
      <c r="C229" s="459">
        <v>17897.18951400189</v>
      </c>
      <c r="D229" s="459">
        <v>308254.29709514871</v>
      </c>
      <c r="E229" s="449">
        <v>199237.06280346774</v>
      </c>
      <c r="F229" s="459">
        <v>40352.304131586483</v>
      </c>
      <c r="G229" s="459">
        <v>17411.989887654821</v>
      </c>
      <c r="H229" s="459">
        <v>1001170.9324430939</v>
      </c>
      <c r="I229" s="449"/>
      <c r="J229" s="449">
        <v>4593.1522580000001</v>
      </c>
      <c r="K229" s="449">
        <v>3852.6022349999998</v>
      </c>
      <c r="L229" s="449">
        <v>4235.7526003999992</v>
      </c>
      <c r="M229" s="459">
        <v>1013852.4395364939</v>
      </c>
      <c r="O229" s="336"/>
      <c r="P229" s="336"/>
      <c r="Q229" s="336"/>
      <c r="R229" s="336"/>
      <c r="S229" s="336"/>
      <c r="T229" s="336"/>
      <c r="U229" s="336"/>
      <c r="V229" s="336"/>
      <c r="W229" s="336"/>
      <c r="X229" s="336"/>
      <c r="Y229" s="336"/>
      <c r="Z229" s="336"/>
      <c r="AA229" s="336"/>
      <c r="AB229" s="336"/>
      <c r="AC229" s="336"/>
      <c r="AD229" s="336"/>
      <c r="AE229" s="336"/>
      <c r="AF229" s="336"/>
      <c r="AG229" s="336"/>
      <c r="AH229" s="336"/>
      <c r="AI229" s="336"/>
      <c r="AJ229" s="336"/>
      <c r="AK229" s="336"/>
    </row>
    <row r="230" spans="1:37" ht="10.5" customHeight="1">
      <c r="A230" s="334" t="s">
        <v>496</v>
      </c>
      <c r="B230" s="459">
        <v>149213.73519007739</v>
      </c>
      <c r="C230" s="459">
        <v>5809.0243326471809</v>
      </c>
      <c r="D230" s="459">
        <v>140827.86401709815</v>
      </c>
      <c r="E230" s="449">
        <v>75450.656932527243</v>
      </c>
      <c r="F230" s="459">
        <v>9938.1510748862565</v>
      </c>
      <c r="G230" s="459">
        <v>3371.4059604112795</v>
      </c>
      <c r="H230" s="459">
        <v>384610.83750764746</v>
      </c>
      <c r="I230" s="449"/>
      <c r="J230" s="449">
        <v>4593.1522580000001</v>
      </c>
      <c r="K230" s="449">
        <v>3852.6022349999998</v>
      </c>
      <c r="L230" s="449">
        <v>4235.7526003999992</v>
      </c>
      <c r="M230" s="459">
        <v>397292.34460104746</v>
      </c>
      <c r="N230" s="339"/>
      <c r="O230" s="336"/>
      <c r="P230" s="336"/>
      <c r="Q230" s="336"/>
      <c r="R230" s="336"/>
      <c r="S230" s="336"/>
      <c r="T230" s="336"/>
      <c r="U230" s="336"/>
      <c r="V230" s="336"/>
      <c r="W230" s="336"/>
      <c r="X230" s="336"/>
      <c r="Y230" s="336"/>
      <c r="Z230" s="336"/>
      <c r="AA230" s="336"/>
      <c r="AB230" s="336"/>
      <c r="AC230" s="336"/>
      <c r="AD230" s="336"/>
      <c r="AE230" s="336"/>
      <c r="AF230" s="336"/>
      <c r="AG230" s="336"/>
      <c r="AH230" s="336"/>
      <c r="AI230" s="336"/>
      <c r="AJ230" s="336"/>
      <c r="AK230" s="336"/>
    </row>
    <row r="231" spans="1:37" ht="10.5" customHeight="1">
      <c r="A231" s="334" t="s">
        <v>491</v>
      </c>
      <c r="B231" s="459">
        <v>7373.2931702331298</v>
      </c>
      <c r="C231" s="459">
        <v>747.61616649873167</v>
      </c>
      <c r="D231" s="459">
        <v>3073.6044394956571</v>
      </c>
      <c r="E231" s="449">
        <v>6213.5009325272404</v>
      </c>
      <c r="F231" s="459">
        <v>818.89821844037442</v>
      </c>
      <c r="G231" s="459">
        <v>119.15627964756413</v>
      </c>
      <c r="H231" s="459">
        <v>18346.069206842651</v>
      </c>
      <c r="I231" s="449"/>
      <c r="J231" s="449">
        <v>27.30113200000028</v>
      </c>
      <c r="K231" s="449">
        <v>130.28123499999992</v>
      </c>
      <c r="L231" s="449">
        <v>0</v>
      </c>
      <c r="M231" s="459">
        <v>18503.65157384265</v>
      </c>
      <c r="O231" s="336"/>
      <c r="P231" s="336"/>
      <c r="Q231" s="336"/>
      <c r="R231" s="336"/>
      <c r="S231" s="336"/>
      <c r="T231" s="336"/>
      <c r="U231" s="336"/>
      <c r="V231" s="336"/>
      <c r="W231" s="336"/>
      <c r="X231" s="336"/>
      <c r="Y231" s="336"/>
      <c r="Z231" s="336"/>
      <c r="AA231" s="336"/>
      <c r="AB231" s="336"/>
      <c r="AC231" s="336"/>
      <c r="AD231" s="336"/>
      <c r="AE231" s="336"/>
      <c r="AF231" s="336"/>
      <c r="AG231" s="336"/>
      <c r="AH231" s="336"/>
      <c r="AI231" s="336"/>
      <c r="AJ231" s="336"/>
      <c r="AK231" s="336"/>
    </row>
    <row r="232" spans="1:37" ht="10.5" customHeight="1">
      <c r="A232" s="334" t="s">
        <v>492</v>
      </c>
      <c r="B232" s="459">
        <v>141840.44201984425</v>
      </c>
      <c r="C232" s="459">
        <v>5061.4081661484488</v>
      </c>
      <c r="D232" s="459">
        <v>137754.2595776025</v>
      </c>
      <c r="E232" s="449">
        <v>69237.156000000003</v>
      </c>
      <c r="F232" s="459">
        <v>9119.2528564458826</v>
      </c>
      <c r="G232" s="459">
        <v>3252.2496807637153</v>
      </c>
      <c r="H232" s="459">
        <v>366264.76830080483</v>
      </c>
      <c r="I232" s="449"/>
      <c r="J232" s="459">
        <v>4565.8511259999996</v>
      </c>
      <c r="K232" s="449">
        <v>3722.3209999999999</v>
      </c>
      <c r="L232" s="449">
        <v>4235.7526003999992</v>
      </c>
      <c r="M232" s="459">
        <v>378788.69302720483</v>
      </c>
      <c r="O232" s="336"/>
      <c r="P232" s="336"/>
      <c r="Q232" s="336"/>
      <c r="R232" s="336"/>
      <c r="S232" s="336"/>
      <c r="T232" s="336"/>
      <c r="U232" s="336"/>
      <c r="V232" s="336"/>
      <c r="W232" s="336"/>
      <c r="X232" s="336"/>
      <c r="Y232" s="336"/>
      <c r="Z232" s="336"/>
      <c r="AA232" s="336"/>
      <c r="AB232" s="336"/>
      <c r="AC232" s="336"/>
      <c r="AD232" s="336"/>
      <c r="AE232" s="336"/>
      <c r="AF232" s="336"/>
      <c r="AG232" s="336"/>
      <c r="AH232" s="336"/>
      <c r="AI232" s="336"/>
      <c r="AJ232" s="336"/>
      <c r="AK232" s="336"/>
    </row>
    <row r="233" spans="1:37" ht="10.5" customHeight="1">
      <c r="A233" s="334" t="s">
        <v>493</v>
      </c>
      <c r="B233" s="449"/>
      <c r="C233" s="449"/>
      <c r="D233" s="449"/>
      <c r="E233" s="449"/>
      <c r="F233" s="449"/>
      <c r="G233" s="449"/>
      <c r="H233" s="449"/>
      <c r="I233" s="449"/>
      <c r="J233" s="449"/>
      <c r="K233" s="449"/>
      <c r="L233" s="449"/>
      <c r="M233" s="449">
        <v>4917.84</v>
      </c>
      <c r="O233" s="336"/>
      <c r="P233" s="336"/>
      <c r="Q233" s="336"/>
      <c r="R233" s="336"/>
      <c r="S233" s="336"/>
      <c r="T233" s="336"/>
      <c r="U233" s="336"/>
      <c r="V233" s="336"/>
      <c r="W233" s="336"/>
      <c r="X233" s="336"/>
      <c r="Y233" s="336"/>
      <c r="Z233" s="336"/>
      <c r="AA233" s="336"/>
      <c r="AB233" s="336"/>
      <c r="AC233" s="336"/>
      <c r="AD233" s="336"/>
      <c r="AE233" s="336"/>
      <c r="AF233" s="336"/>
      <c r="AG233" s="336"/>
      <c r="AH233" s="336"/>
      <c r="AI233" s="336"/>
      <c r="AJ233" s="336"/>
      <c r="AK233" s="336"/>
    </row>
    <row r="234" spans="1:37" ht="10.5" customHeight="1" thickBot="1">
      <c r="A234" s="433" t="s">
        <v>494</v>
      </c>
      <c r="B234" s="460"/>
      <c r="C234" s="460"/>
      <c r="D234" s="460"/>
      <c r="E234" s="460"/>
      <c r="F234" s="460"/>
      <c r="G234" s="460"/>
      <c r="H234" s="460"/>
      <c r="I234" s="460"/>
      <c r="J234" s="460"/>
      <c r="K234" s="460"/>
      <c r="L234" s="460"/>
      <c r="M234" s="464">
        <v>373870.85302720481</v>
      </c>
      <c r="O234" s="336"/>
      <c r="P234" s="336"/>
      <c r="Q234" s="336"/>
      <c r="R234" s="336"/>
      <c r="S234" s="336"/>
      <c r="T234" s="336"/>
      <c r="U234" s="336"/>
      <c r="V234" s="336"/>
      <c r="W234" s="336"/>
      <c r="X234" s="336"/>
      <c r="Y234" s="336"/>
      <c r="Z234" s="336"/>
      <c r="AA234" s="336"/>
      <c r="AB234" s="336"/>
      <c r="AC234" s="336"/>
      <c r="AD234" s="336"/>
      <c r="AE234" s="336"/>
      <c r="AF234" s="336"/>
      <c r="AG234" s="336"/>
      <c r="AH234" s="336"/>
      <c r="AI234" s="336"/>
      <c r="AJ234" s="336"/>
      <c r="AK234" s="336"/>
    </row>
    <row r="235" spans="1:37" ht="10.5" customHeight="1" thickTop="1">
      <c r="A235" s="465"/>
      <c r="B235" s="458"/>
      <c r="C235" s="458"/>
      <c r="D235" s="458"/>
      <c r="E235" s="458"/>
      <c r="F235" s="458"/>
      <c r="G235" s="458"/>
      <c r="H235" s="458"/>
      <c r="I235" s="458"/>
      <c r="J235" s="458"/>
      <c r="K235" s="458"/>
      <c r="L235" s="458"/>
      <c r="M235" s="458"/>
      <c r="Z235" s="451"/>
      <c r="AA235" s="451"/>
      <c r="AB235" s="451"/>
      <c r="AC235" s="451"/>
      <c r="AD235" s="451"/>
      <c r="AE235" s="451"/>
      <c r="AF235" s="451"/>
      <c r="AG235" s="451"/>
      <c r="AH235" s="451"/>
      <c r="AI235" s="451"/>
      <c r="AJ235" s="451"/>
      <c r="AK235" s="451"/>
    </row>
    <row r="236" spans="1:37" s="312" customFormat="1" ht="11.25" customHeight="1">
      <c r="A236" s="466"/>
      <c r="B236" s="339"/>
      <c r="C236" s="339"/>
      <c r="D236" s="339"/>
      <c r="E236" s="339"/>
      <c r="F236" s="339"/>
      <c r="G236" s="339"/>
      <c r="H236" s="339"/>
      <c r="I236" s="339"/>
      <c r="J236" s="339"/>
      <c r="K236" s="339"/>
      <c r="L236" s="339"/>
      <c r="M236" s="339"/>
    </row>
    <row r="237" spans="1:37" s="316" customFormat="1" ht="21.75" customHeight="1">
      <c r="A237" s="310" t="s">
        <v>505</v>
      </c>
      <c r="B237" s="400"/>
      <c r="C237" s="400"/>
      <c r="D237" s="400"/>
      <c r="E237" s="400"/>
      <c r="F237" s="400"/>
      <c r="G237" s="400"/>
      <c r="H237" s="400"/>
      <c r="I237" s="400"/>
      <c r="J237" s="400"/>
      <c r="K237" s="400"/>
      <c r="L237" s="400"/>
      <c r="M237" s="400"/>
    </row>
    <row r="238" spans="1:37" s="316" customFormat="1" thickBot="1">
      <c r="A238" s="1980" t="s">
        <v>372</v>
      </c>
      <c r="B238" s="1980"/>
      <c r="C238" s="1980"/>
      <c r="D238" s="1980"/>
      <c r="E238" s="1980"/>
      <c r="F238" s="1980"/>
      <c r="G238" s="1980"/>
      <c r="H238" s="1980"/>
      <c r="I238" s="1980"/>
      <c r="J238" s="1980"/>
      <c r="K238" s="1980"/>
      <c r="L238" s="1980"/>
      <c r="M238" s="1980"/>
    </row>
    <row r="239" spans="1:37" ht="14.25" customHeight="1" thickTop="1">
      <c r="A239" s="404"/>
      <c r="B239" s="1979" t="s">
        <v>474</v>
      </c>
      <c r="C239" s="1979"/>
      <c r="D239" s="1979"/>
      <c r="E239" s="1979"/>
      <c r="F239" s="1979"/>
      <c r="G239" s="1979"/>
      <c r="H239" s="1979"/>
      <c r="I239" s="404"/>
      <c r="J239" s="1979" t="s">
        <v>475</v>
      </c>
      <c r="K239" s="1979"/>
      <c r="L239" s="1979"/>
      <c r="M239" s="1979"/>
    </row>
    <row r="240" spans="1:37" ht="10.5" customHeight="1">
      <c r="A240" s="329"/>
      <c r="B240" s="408" t="s">
        <v>125</v>
      </c>
      <c r="C240" s="408" t="s">
        <v>186</v>
      </c>
      <c r="D240" s="408" t="s">
        <v>14</v>
      </c>
      <c r="E240" s="408" t="s">
        <v>0</v>
      </c>
      <c r="F240" s="408" t="s">
        <v>476</v>
      </c>
      <c r="G240" s="408" t="s">
        <v>373</v>
      </c>
      <c r="H240" s="408" t="s">
        <v>132</v>
      </c>
      <c r="I240" s="408"/>
      <c r="J240" s="408" t="s">
        <v>477</v>
      </c>
      <c r="K240" s="408" t="s">
        <v>477</v>
      </c>
      <c r="L240" s="408" t="s">
        <v>113</v>
      </c>
      <c r="M240" s="409" t="s">
        <v>132</v>
      </c>
    </row>
    <row r="241" spans="1:37" ht="10.5" customHeight="1">
      <c r="B241" s="330"/>
      <c r="C241" s="330"/>
      <c r="D241" s="330"/>
      <c r="E241" s="330"/>
      <c r="F241" s="408" t="s">
        <v>478</v>
      </c>
      <c r="G241" s="415" t="s">
        <v>479</v>
      </c>
      <c r="H241" s="330"/>
      <c r="I241" s="330"/>
      <c r="J241" s="408" t="s">
        <v>480</v>
      </c>
      <c r="K241" s="408" t="s">
        <v>481</v>
      </c>
      <c r="L241" s="415" t="s">
        <v>482</v>
      </c>
      <c r="M241" s="408" t="s">
        <v>483</v>
      </c>
    </row>
    <row r="242" spans="1:37" ht="10.5" customHeight="1">
      <c r="A242" s="445"/>
      <c r="B242" s="422"/>
      <c r="C242" s="422"/>
      <c r="D242" s="422"/>
      <c r="E242" s="422"/>
      <c r="F242" s="446" t="s">
        <v>484</v>
      </c>
      <c r="G242" s="422"/>
      <c r="H242" s="422"/>
      <c r="I242" s="422"/>
      <c r="J242" s="423" t="s">
        <v>485</v>
      </c>
      <c r="K242" s="423" t="s">
        <v>486</v>
      </c>
      <c r="L242" s="422"/>
      <c r="M242" s="423" t="s">
        <v>487</v>
      </c>
    </row>
    <row r="243" spans="1:37" s="346" customFormat="1" ht="13.5" customHeight="1">
      <c r="A243" s="447">
        <v>2007</v>
      </c>
      <c r="B243" s="461"/>
      <c r="C243" s="461"/>
      <c r="D243" s="461"/>
      <c r="E243" s="461"/>
      <c r="F243" s="461"/>
      <c r="G243" s="461"/>
      <c r="H243" s="461"/>
      <c r="I243" s="461"/>
      <c r="J243" s="461"/>
      <c r="K243" s="461"/>
      <c r="L243" s="461"/>
      <c r="M243" s="461"/>
    </row>
    <row r="244" spans="1:37" ht="10.5" customHeight="1">
      <c r="A244" s="329" t="s">
        <v>506</v>
      </c>
      <c r="B244" s="449"/>
      <c r="C244" s="449"/>
      <c r="D244" s="449"/>
      <c r="E244" s="449"/>
      <c r="F244" s="449"/>
      <c r="G244" s="449"/>
      <c r="H244" s="449"/>
      <c r="I244" s="449"/>
      <c r="J244" s="449"/>
      <c r="K244" s="449"/>
      <c r="L244" s="449"/>
      <c r="M244" s="449"/>
    </row>
    <row r="245" spans="1:37" ht="10.5" customHeight="1">
      <c r="A245" s="334" t="s">
        <v>489</v>
      </c>
      <c r="B245" s="449">
        <v>371396.18674674298</v>
      </c>
      <c r="C245" s="449">
        <v>8718.2145783364922</v>
      </c>
      <c r="D245" s="449">
        <v>319836.46584224253</v>
      </c>
      <c r="E245" s="459">
        <v>163244.47683045061</v>
      </c>
      <c r="F245" s="449">
        <v>7271.2271900000005</v>
      </c>
      <c r="G245" s="449">
        <v>0</v>
      </c>
      <c r="H245" s="459">
        <v>870466.57118777256</v>
      </c>
      <c r="I245" s="449"/>
      <c r="J245" s="449">
        <v>4143.5790100000004</v>
      </c>
      <c r="K245" s="449">
        <v>3859.226181</v>
      </c>
      <c r="L245" s="459">
        <v>3568.836785</v>
      </c>
      <c r="M245" s="459">
        <v>882038.2131637726</v>
      </c>
      <c r="O245" s="336"/>
      <c r="P245" s="336"/>
      <c r="Q245" s="336"/>
      <c r="R245" s="336"/>
      <c r="S245" s="336"/>
      <c r="T245" s="336"/>
      <c r="U245" s="336"/>
      <c r="V245" s="336"/>
      <c r="W245" s="336"/>
      <c r="X245" s="336"/>
      <c r="Y245" s="336"/>
      <c r="Z245" s="336"/>
      <c r="AA245" s="336"/>
      <c r="AB245" s="336"/>
      <c r="AC245" s="336"/>
      <c r="AD245" s="336"/>
      <c r="AE245" s="336"/>
      <c r="AF245" s="336"/>
      <c r="AG245" s="336"/>
      <c r="AH245" s="336"/>
      <c r="AI245" s="336"/>
      <c r="AJ245" s="336"/>
      <c r="AK245" s="336"/>
    </row>
    <row r="246" spans="1:37" ht="10.5" customHeight="1">
      <c r="A246" s="334" t="s">
        <v>490</v>
      </c>
      <c r="B246" s="459">
        <v>132675.3202097828</v>
      </c>
      <c r="C246" s="459">
        <v>2400.7626921524643</v>
      </c>
      <c r="D246" s="449">
        <v>149345.94597440778</v>
      </c>
      <c r="E246" s="449">
        <v>63028.342696935004</v>
      </c>
      <c r="F246" s="459">
        <v>2387.9862899598402</v>
      </c>
      <c r="G246" s="449">
        <v>0</v>
      </c>
      <c r="H246" s="459">
        <v>349838.35786323791</v>
      </c>
      <c r="I246" s="449"/>
      <c r="J246" s="449">
        <v>4143.5790100000004</v>
      </c>
      <c r="K246" s="449">
        <v>3859.226181</v>
      </c>
      <c r="L246" s="459">
        <v>3568.836785</v>
      </c>
      <c r="M246" s="459">
        <v>361409.99983923789</v>
      </c>
      <c r="O246" s="336"/>
      <c r="P246" s="336"/>
      <c r="Q246" s="336"/>
      <c r="R246" s="336"/>
      <c r="S246" s="336"/>
      <c r="T246" s="336"/>
      <c r="U246" s="336"/>
      <c r="V246" s="336"/>
      <c r="W246" s="336"/>
      <c r="X246" s="336"/>
      <c r="Y246" s="336"/>
      <c r="Z246" s="336"/>
      <c r="AA246" s="336"/>
      <c r="AB246" s="336"/>
      <c r="AC246" s="336"/>
      <c r="AD246" s="336"/>
      <c r="AE246" s="336"/>
      <c r="AF246" s="336"/>
      <c r="AG246" s="336"/>
      <c r="AH246" s="336"/>
      <c r="AI246" s="336"/>
      <c r="AJ246" s="336"/>
      <c r="AK246" s="336"/>
    </row>
    <row r="247" spans="1:37" ht="10.5" customHeight="1">
      <c r="A247" s="334" t="s">
        <v>491</v>
      </c>
      <c r="B247" s="459">
        <v>6737.3748676843679</v>
      </c>
      <c r="C247" s="459">
        <v>404.80367306255289</v>
      </c>
      <c r="D247" s="449">
        <v>2894.0643509609217</v>
      </c>
      <c r="E247" s="449">
        <v>5779.4476969349998</v>
      </c>
      <c r="F247" s="459">
        <v>239.7560913704192</v>
      </c>
      <c r="G247" s="449">
        <v>0</v>
      </c>
      <c r="H247" s="459">
        <v>16055.446680013207</v>
      </c>
      <c r="I247" s="449"/>
      <c r="J247" s="449">
        <v>29.823910000000069</v>
      </c>
      <c r="K247" s="449">
        <v>13.46018099999992</v>
      </c>
      <c r="L247" s="449">
        <v>0</v>
      </c>
      <c r="M247" s="459">
        <v>16098.730771013206</v>
      </c>
      <c r="O247" s="336"/>
      <c r="P247" s="336"/>
      <c r="Q247" s="336"/>
      <c r="R247" s="336"/>
      <c r="S247" s="336"/>
      <c r="T247" s="336"/>
      <c r="U247" s="336"/>
      <c r="V247" s="336"/>
      <c r="W247" s="336"/>
      <c r="X247" s="336"/>
      <c r="Y247" s="336"/>
      <c r="Z247" s="336"/>
      <c r="AA247" s="336"/>
      <c r="AB247" s="336"/>
      <c r="AC247" s="336"/>
      <c r="AD247" s="336"/>
      <c r="AE247" s="336"/>
      <c r="AF247" s="336"/>
      <c r="AG247" s="336"/>
      <c r="AH247" s="336"/>
      <c r="AI247" s="336"/>
      <c r="AJ247" s="336"/>
      <c r="AK247" s="336"/>
    </row>
    <row r="248" spans="1:37" ht="10.5" customHeight="1">
      <c r="A248" s="334" t="s">
        <v>492</v>
      </c>
      <c r="B248" s="459">
        <v>125937.94534209844</v>
      </c>
      <c r="C248" s="459">
        <v>1995.9590190899114</v>
      </c>
      <c r="D248" s="449">
        <v>146451.88162344685</v>
      </c>
      <c r="E248" s="449">
        <v>57248.895000000004</v>
      </c>
      <c r="F248" s="459">
        <v>2148.230198589421</v>
      </c>
      <c r="G248" s="449">
        <v>0</v>
      </c>
      <c r="H248" s="449">
        <v>333782.9111832247</v>
      </c>
      <c r="I248" s="449"/>
      <c r="J248" s="449">
        <v>4113.7551000000003</v>
      </c>
      <c r="K248" s="449">
        <v>3845.7660000000001</v>
      </c>
      <c r="L248" s="459">
        <v>3568.836785</v>
      </c>
      <c r="M248" s="459">
        <v>345311.2690682247</v>
      </c>
      <c r="O248" s="336"/>
      <c r="P248" s="336"/>
      <c r="Q248" s="336"/>
      <c r="R248" s="336"/>
      <c r="S248" s="336"/>
      <c r="T248" s="336"/>
      <c r="U248" s="336"/>
      <c r="V248" s="336"/>
      <c r="W248" s="336"/>
      <c r="X248" s="336"/>
      <c r="Y248" s="336"/>
      <c r="Z248" s="336"/>
      <c r="AA248" s="336"/>
      <c r="AB248" s="336"/>
      <c r="AC248" s="336"/>
      <c r="AD248" s="336"/>
      <c r="AE248" s="336"/>
      <c r="AF248" s="336"/>
      <c r="AG248" s="336"/>
      <c r="AH248" s="336"/>
      <c r="AI248" s="336"/>
      <c r="AJ248" s="336"/>
      <c r="AK248" s="336"/>
    </row>
    <row r="249" spans="1:37" ht="10.5" customHeight="1">
      <c r="A249" s="334" t="s">
        <v>493</v>
      </c>
      <c r="B249" s="449"/>
      <c r="C249" s="449"/>
      <c r="D249" s="449"/>
      <c r="E249" s="449"/>
      <c r="F249" s="449"/>
      <c r="G249" s="449"/>
      <c r="H249" s="449"/>
      <c r="I249" s="449"/>
      <c r="J249" s="449"/>
      <c r="K249" s="449"/>
      <c r="L249" s="449"/>
      <c r="M249" s="449">
        <v>5071.2659999999996</v>
      </c>
      <c r="O249" s="336"/>
      <c r="P249" s="336"/>
      <c r="Q249" s="336"/>
      <c r="R249" s="336"/>
      <c r="S249" s="336"/>
      <c r="T249" s="336"/>
      <c r="U249" s="336"/>
      <c r="V249" s="336"/>
      <c r="W249" s="336"/>
      <c r="X249" s="336"/>
      <c r="Y249" s="336"/>
      <c r="Z249" s="336"/>
      <c r="AA249" s="336"/>
      <c r="AB249" s="336"/>
      <c r="AC249" s="336"/>
      <c r="AD249" s="336"/>
      <c r="AE249" s="336"/>
      <c r="AF249" s="336"/>
      <c r="AG249" s="336"/>
      <c r="AH249" s="336"/>
      <c r="AI249" s="336"/>
      <c r="AJ249" s="336"/>
      <c r="AK249" s="336"/>
    </row>
    <row r="250" spans="1:37" ht="10.5" customHeight="1">
      <c r="A250" s="431" t="s">
        <v>494</v>
      </c>
      <c r="B250" s="457"/>
      <c r="C250" s="457"/>
      <c r="D250" s="457"/>
      <c r="E250" s="457"/>
      <c r="F250" s="457"/>
      <c r="G250" s="457"/>
      <c r="H250" s="457"/>
      <c r="I250" s="457"/>
      <c r="J250" s="457"/>
      <c r="K250" s="457"/>
      <c r="L250" s="457"/>
      <c r="M250" s="463">
        <v>340240.0030682247</v>
      </c>
      <c r="O250" s="336"/>
      <c r="P250" s="336"/>
      <c r="Q250" s="336"/>
      <c r="R250" s="336"/>
      <c r="S250" s="336"/>
      <c r="T250" s="336"/>
      <c r="U250" s="336"/>
      <c r="V250" s="336"/>
      <c r="W250" s="336"/>
      <c r="X250" s="336"/>
      <c r="Y250" s="336"/>
      <c r="Z250" s="336"/>
      <c r="AA250" s="336"/>
      <c r="AB250" s="336"/>
      <c r="AC250" s="336"/>
      <c r="AD250" s="336"/>
      <c r="AE250" s="336"/>
      <c r="AF250" s="336"/>
      <c r="AG250" s="336"/>
      <c r="AH250" s="336"/>
      <c r="AI250" s="336"/>
      <c r="AJ250" s="336"/>
      <c r="AK250" s="336"/>
    </row>
    <row r="251" spans="1:37" ht="10.5" customHeight="1">
      <c r="A251" s="329" t="s">
        <v>507</v>
      </c>
      <c r="B251" s="449"/>
      <c r="C251" s="449"/>
      <c r="D251" s="449"/>
      <c r="E251" s="449"/>
      <c r="F251" s="449"/>
      <c r="G251" s="449"/>
      <c r="H251" s="449"/>
      <c r="I251" s="449"/>
      <c r="J251" s="449"/>
      <c r="K251" s="449"/>
      <c r="L251" s="449"/>
      <c r="M251" s="449"/>
      <c r="O251" s="336"/>
      <c r="P251" s="336"/>
      <c r="Q251" s="336"/>
      <c r="R251" s="336"/>
      <c r="S251" s="336"/>
      <c r="T251" s="336"/>
      <c r="U251" s="336"/>
      <c r="V251" s="336"/>
      <c r="W251" s="336"/>
      <c r="X251" s="336"/>
      <c r="Y251" s="336"/>
      <c r="Z251" s="336"/>
      <c r="AA251" s="336"/>
      <c r="AB251" s="336"/>
      <c r="AC251" s="336"/>
      <c r="AD251" s="336"/>
      <c r="AE251" s="336"/>
      <c r="AF251" s="336"/>
      <c r="AG251" s="336"/>
      <c r="AH251" s="336"/>
      <c r="AI251" s="336"/>
      <c r="AJ251" s="336"/>
      <c r="AK251" s="336"/>
    </row>
    <row r="252" spans="1:37" ht="11.5" customHeight="1">
      <c r="A252" s="334" t="s">
        <v>489</v>
      </c>
      <c r="B252" s="459">
        <v>10820.381323806476</v>
      </c>
      <c r="C252" s="459">
        <v>5921.1672025114676</v>
      </c>
      <c r="D252" s="459">
        <v>32898.230000000003</v>
      </c>
      <c r="E252" s="449">
        <v>0</v>
      </c>
      <c r="F252" s="459">
        <v>33194.307534110594</v>
      </c>
      <c r="G252" s="459">
        <v>14135.292809734256</v>
      </c>
      <c r="H252" s="459">
        <v>96969.378870162807</v>
      </c>
      <c r="I252" s="449"/>
      <c r="J252" s="449">
        <v>945.57699999999977</v>
      </c>
      <c r="K252" s="449">
        <v>0</v>
      </c>
      <c r="L252" s="459">
        <v>1719.0346999999992</v>
      </c>
      <c r="M252" s="459">
        <v>99633.990570162816</v>
      </c>
      <c r="O252" s="336"/>
      <c r="P252" s="336"/>
      <c r="Q252" s="336"/>
      <c r="R252" s="336"/>
      <c r="S252" s="336"/>
      <c r="T252" s="336"/>
      <c r="U252" s="336"/>
      <c r="V252" s="336"/>
      <c r="W252" s="336"/>
      <c r="X252" s="336"/>
      <c r="Y252" s="336"/>
      <c r="Z252" s="336"/>
      <c r="AA252" s="336"/>
      <c r="AB252" s="336"/>
      <c r="AC252" s="336"/>
      <c r="AD252" s="336"/>
      <c r="AE252" s="336"/>
      <c r="AF252" s="336"/>
      <c r="AG252" s="336"/>
      <c r="AH252" s="336"/>
      <c r="AI252" s="336"/>
      <c r="AJ252" s="336"/>
      <c r="AK252" s="336"/>
    </row>
    <row r="253" spans="1:37" ht="10.5" customHeight="1">
      <c r="A253" s="334" t="s">
        <v>496</v>
      </c>
      <c r="B253" s="459">
        <v>3869.7619999999997</v>
      </c>
      <c r="C253" s="459">
        <v>2331.1226537924636</v>
      </c>
      <c r="D253" s="459">
        <v>16437.823011263517</v>
      </c>
      <c r="E253" s="449">
        <v>0</v>
      </c>
      <c r="F253" s="459">
        <v>7588.9023000000025</v>
      </c>
      <c r="G253" s="459">
        <v>2742.1051059440215</v>
      </c>
      <c r="H253" s="459">
        <v>32969.715071000006</v>
      </c>
      <c r="I253" s="449"/>
      <c r="J253" s="449">
        <v>945.57699999999988</v>
      </c>
      <c r="K253" s="449">
        <v>0</v>
      </c>
      <c r="L253" s="459">
        <v>1719.0346999999992</v>
      </c>
      <c r="M253" s="459">
        <v>35634.326771</v>
      </c>
      <c r="O253" s="336"/>
      <c r="P253" s="336"/>
      <c r="Q253" s="336"/>
      <c r="R253" s="336"/>
      <c r="S253" s="336"/>
      <c r="T253" s="336"/>
      <c r="U253" s="336"/>
      <c r="V253" s="336"/>
      <c r="W253" s="336"/>
      <c r="X253" s="336"/>
      <c r="Y253" s="336"/>
      <c r="Z253" s="336"/>
      <c r="AA253" s="336"/>
      <c r="AB253" s="336"/>
      <c r="AC253" s="336"/>
      <c r="AD253" s="336"/>
      <c r="AE253" s="336"/>
      <c r="AF253" s="336"/>
      <c r="AG253" s="336"/>
      <c r="AH253" s="336"/>
      <c r="AI253" s="336"/>
      <c r="AJ253" s="336"/>
      <c r="AK253" s="336"/>
    </row>
    <row r="254" spans="1:37" ht="10.5" customHeight="1">
      <c r="A254" s="334" t="s">
        <v>491</v>
      </c>
      <c r="B254" s="462">
        <v>207.32742399999961</v>
      </c>
      <c r="C254" s="462">
        <v>159.78979072282391</v>
      </c>
      <c r="D254" s="462">
        <v>509.41794401799416</v>
      </c>
      <c r="E254" s="449">
        <v>0</v>
      </c>
      <c r="F254" s="462">
        <v>614.9436599368928</v>
      </c>
      <c r="G254" s="462">
        <v>92.479800373133912</v>
      </c>
      <c r="H254" s="462">
        <v>1583.9586190508489</v>
      </c>
      <c r="I254" s="458"/>
      <c r="J254" s="458">
        <v>16.014349999999808</v>
      </c>
      <c r="K254" s="449">
        <v>0</v>
      </c>
      <c r="L254" s="449">
        <v>0</v>
      </c>
      <c r="M254" s="462">
        <v>1599.9729690508489</v>
      </c>
      <c r="N254" s="451"/>
      <c r="O254" s="336"/>
      <c r="P254" s="336"/>
      <c r="Q254" s="336"/>
      <c r="R254" s="336"/>
      <c r="S254" s="336"/>
      <c r="T254" s="336"/>
      <c r="U254" s="336"/>
      <c r="V254" s="336"/>
      <c r="W254" s="336"/>
      <c r="X254" s="336"/>
      <c r="Y254" s="336"/>
      <c r="Z254" s="336"/>
      <c r="AA254" s="336"/>
      <c r="AB254" s="336"/>
      <c r="AC254" s="336"/>
      <c r="AD254" s="336"/>
      <c r="AE254" s="336"/>
      <c r="AF254" s="336"/>
      <c r="AG254" s="336"/>
      <c r="AH254" s="336"/>
      <c r="AI254" s="336"/>
      <c r="AJ254" s="336"/>
      <c r="AK254" s="336"/>
    </row>
    <row r="255" spans="1:37" ht="10.5" customHeight="1">
      <c r="A255" s="431" t="s">
        <v>497</v>
      </c>
      <c r="B255" s="463">
        <v>3662.4345760000001</v>
      </c>
      <c r="C255" s="463">
        <v>2171.3328630696396</v>
      </c>
      <c r="D255" s="463">
        <v>15928.405067245523</v>
      </c>
      <c r="E255" s="457">
        <v>0</v>
      </c>
      <c r="F255" s="463">
        <v>6973.9586400631097</v>
      </c>
      <c r="G255" s="463">
        <v>2649.6253055708876</v>
      </c>
      <c r="H255" s="463">
        <v>31385.756451949157</v>
      </c>
      <c r="I255" s="457"/>
      <c r="J255" s="457">
        <v>929.56265000000008</v>
      </c>
      <c r="K255" s="457">
        <v>0</v>
      </c>
      <c r="L255" s="463">
        <v>1719.0346999999992</v>
      </c>
      <c r="M255" s="463">
        <v>34034.353801949153</v>
      </c>
      <c r="O255" s="336"/>
      <c r="P255" s="336"/>
      <c r="Q255" s="336"/>
      <c r="R255" s="336"/>
      <c r="S255" s="336"/>
      <c r="T255" s="336"/>
      <c r="U255" s="336"/>
      <c r="V255" s="336"/>
      <c r="W255" s="336"/>
      <c r="X255" s="336"/>
      <c r="Y255" s="336"/>
      <c r="Z255" s="336"/>
      <c r="AA255" s="336"/>
      <c r="AB255" s="336"/>
      <c r="AC255" s="336"/>
      <c r="AD255" s="336"/>
      <c r="AE255" s="336"/>
      <c r="AF255" s="336"/>
      <c r="AG255" s="336"/>
      <c r="AH255" s="336"/>
      <c r="AI255" s="336"/>
      <c r="AJ255" s="336"/>
      <c r="AK255" s="336"/>
    </row>
    <row r="256" spans="1:37" ht="10.5" customHeight="1">
      <c r="A256" s="329" t="s">
        <v>498</v>
      </c>
      <c r="B256" s="449"/>
      <c r="C256" s="449"/>
      <c r="D256" s="449"/>
      <c r="E256" s="449"/>
      <c r="F256" s="449"/>
      <c r="G256" s="449"/>
      <c r="H256" s="449"/>
      <c r="I256" s="449"/>
      <c r="J256" s="449"/>
      <c r="K256" s="449"/>
      <c r="L256" s="449"/>
      <c r="M256" s="449"/>
      <c r="O256" s="336"/>
      <c r="P256" s="336"/>
      <c r="Q256" s="336"/>
      <c r="R256" s="336"/>
      <c r="S256" s="336"/>
      <c r="T256" s="336"/>
      <c r="U256" s="336"/>
      <c r="V256" s="336"/>
      <c r="W256" s="336"/>
      <c r="X256" s="336"/>
      <c r="Y256" s="336"/>
      <c r="Z256" s="336"/>
      <c r="AA256" s="336"/>
      <c r="AB256" s="336"/>
      <c r="AC256" s="336"/>
      <c r="AD256" s="336"/>
      <c r="AE256" s="336"/>
      <c r="AF256" s="336"/>
      <c r="AG256" s="336"/>
      <c r="AH256" s="336"/>
      <c r="AI256" s="336"/>
      <c r="AJ256" s="336"/>
      <c r="AK256" s="336"/>
    </row>
    <row r="257" spans="1:37" ht="10.5" customHeight="1">
      <c r="A257" s="334" t="s">
        <v>499</v>
      </c>
      <c r="B257" s="459">
        <v>382216.56807054946</v>
      </c>
      <c r="C257" s="459">
        <v>14639.38178084796</v>
      </c>
      <c r="D257" s="459">
        <v>352734.69584224257</v>
      </c>
      <c r="E257" s="459">
        <v>163244.47683045061</v>
      </c>
      <c r="F257" s="459">
        <v>40465.534724110592</v>
      </c>
      <c r="G257" s="459">
        <v>14135.292809734256</v>
      </c>
      <c r="H257" s="459">
        <v>967435.95005793532</v>
      </c>
      <c r="I257" s="449"/>
      <c r="J257" s="449">
        <v>5089.1560100000006</v>
      </c>
      <c r="K257" s="449">
        <v>3859.226181</v>
      </c>
      <c r="L257" s="459">
        <v>5287.8714849999997</v>
      </c>
      <c r="M257" s="459">
        <v>981672.20373393537</v>
      </c>
      <c r="O257" s="336"/>
      <c r="P257" s="336"/>
      <c r="Q257" s="336"/>
      <c r="R257" s="336"/>
      <c r="S257" s="336"/>
      <c r="T257" s="336"/>
      <c r="U257" s="336"/>
      <c r="V257" s="336"/>
      <c r="W257" s="336"/>
      <c r="X257" s="336"/>
      <c r="Y257" s="336"/>
      <c r="Z257" s="336"/>
      <c r="AA257" s="336"/>
      <c r="AB257" s="336"/>
      <c r="AC257" s="336"/>
      <c r="AD257" s="336"/>
      <c r="AE257" s="336"/>
      <c r="AF257" s="336"/>
      <c r="AG257" s="336"/>
      <c r="AH257" s="336"/>
      <c r="AI257" s="336"/>
      <c r="AJ257" s="336"/>
      <c r="AK257" s="336"/>
    </row>
    <row r="258" spans="1:37" ht="10.5" customHeight="1">
      <c r="A258" s="334" t="s">
        <v>496</v>
      </c>
      <c r="B258" s="449">
        <v>136545.08220978279</v>
      </c>
      <c r="C258" s="459">
        <v>4731.8853459449274</v>
      </c>
      <c r="D258" s="459">
        <v>165783.76898567128</v>
      </c>
      <c r="E258" s="449">
        <v>63028.342696935004</v>
      </c>
      <c r="F258" s="459">
        <v>9976.8885899598426</v>
      </c>
      <c r="G258" s="459">
        <v>2742.1051059440215</v>
      </c>
      <c r="H258" s="459">
        <v>382808.07293423789</v>
      </c>
      <c r="I258" s="449"/>
      <c r="J258" s="449">
        <v>5089.1560100000006</v>
      </c>
      <c r="K258" s="449">
        <v>3859.226181</v>
      </c>
      <c r="L258" s="459">
        <v>5287.8714849999997</v>
      </c>
      <c r="M258" s="459">
        <v>397044.32661023788</v>
      </c>
      <c r="N258" s="339"/>
      <c r="O258" s="336"/>
      <c r="P258" s="336"/>
      <c r="Q258" s="336"/>
      <c r="R258" s="336"/>
      <c r="S258" s="336"/>
      <c r="T258" s="336"/>
      <c r="U258" s="336"/>
      <c r="V258" s="336"/>
      <c r="W258" s="336"/>
      <c r="X258" s="336"/>
      <c r="Y258" s="336"/>
      <c r="Z258" s="336"/>
      <c r="AA258" s="336"/>
      <c r="AB258" s="336"/>
      <c r="AC258" s="336"/>
      <c r="AD258" s="336"/>
      <c r="AE258" s="336"/>
      <c r="AF258" s="336"/>
      <c r="AG258" s="336"/>
      <c r="AH258" s="336"/>
      <c r="AI258" s="336"/>
      <c r="AJ258" s="336"/>
      <c r="AK258" s="336"/>
    </row>
    <row r="259" spans="1:37" ht="10.5" customHeight="1">
      <c r="A259" s="334" t="s">
        <v>491</v>
      </c>
      <c r="B259" s="459">
        <v>6944.7022916843671</v>
      </c>
      <c r="C259" s="459">
        <v>564.5934637853768</v>
      </c>
      <c r="D259" s="459">
        <v>3403.4822949789159</v>
      </c>
      <c r="E259" s="449">
        <v>5779.4476969349998</v>
      </c>
      <c r="F259" s="459">
        <v>854.699751307312</v>
      </c>
      <c r="G259" s="459">
        <v>92.479800373133912</v>
      </c>
      <c r="H259" s="459">
        <v>17639.405299064056</v>
      </c>
      <c r="I259" s="449"/>
      <c r="J259" s="449">
        <v>45.838259999999877</v>
      </c>
      <c r="K259" s="449">
        <v>13.46018099999992</v>
      </c>
      <c r="L259" s="449">
        <v>0</v>
      </c>
      <c r="M259" s="459">
        <v>17698.703740064055</v>
      </c>
      <c r="O259" s="336"/>
      <c r="P259" s="336"/>
      <c r="Q259" s="336"/>
      <c r="R259" s="336"/>
      <c r="S259" s="336"/>
      <c r="T259" s="336"/>
      <c r="U259" s="336"/>
      <c r="V259" s="336"/>
      <c r="W259" s="336"/>
      <c r="X259" s="336"/>
      <c r="Y259" s="336"/>
      <c r="Z259" s="336"/>
      <c r="AA259" s="336"/>
      <c r="AB259" s="336"/>
      <c r="AC259" s="336"/>
      <c r="AD259" s="336"/>
      <c r="AE259" s="336"/>
      <c r="AF259" s="336"/>
      <c r="AG259" s="336"/>
      <c r="AH259" s="336"/>
      <c r="AI259" s="336"/>
      <c r="AJ259" s="336"/>
      <c r="AK259" s="336"/>
    </row>
    <row r="260" spans="1:37" ht="10.5" customHeight="1">
      <c r="A260" s="334" t="s">
        <v>492</v>
      </c>
      <c r="B260" s="459">
        <v>129600.37991809844</v>
      </c>
      <c r="C260" s="459">
        <v>4167.2918821595513</v>
      </c>
      <c r="D260" s="459">
        <v>162380.28669069239</v>
      </c>
      <c r="E260" s="449">
        <v>57248.895000000004</v>
      </c>
      <c r="F260" s="459">
        <v>9122.1888386525316</v>
      </c>
      <c r="G260" s="459">
        <v>2649.6253055708876</v>
      </c>
      <c r="H260" s="459">
        <v>365168.66763517389</v>
      </c>
      <c r="I260" s="449"/>
      <c r="J260" s="449">
        <v>5043.3177500000002</v>
      </c>
      <c r="K260" s="449">
        <v>3845.7660000000001</v>
      </c>
      <c r="L260" s="459">
        <v>5287.8714849999997</v>
      </c>
      <c r="M260" s="459">
        <v>379345.62287017389</v>
      </c>
      <c r="O260" s="336"/>
      <c r="P260" s="336"/>
      <c r="Q260" s="336"/>
      <c r="R260" s="336"/>
      <c r="S260" s="336"/>
      <c r="T260" s="336"/>
      <c r="U260" s="336"/>
      <c r="V260" s="336"/>
      <c r="W260" s="336"/>
      <c r="X260" s="336"/>
      <c r="Y260" s="336"/>
      <c r="Z260" s="336"/>
      <c r="AA260" s="336"/>
      <c r="AB260" s="336"/>
      <c r="AC260" s="336"/>
      <c r="AD260" s="336"/>
      <c r="AE260" s="336"/>
      <c r="AF260" s="336"/>
      <c r="AG260" s="336"/>
      <c r="AH260" s="336"/>
      <c r="AI260" s="336"/>
      <c r="AJ260" s="336"/>
      <c r="AK260" s="336"/>
    </row>
    <row r="261" spans="1:37" ht="10.5" customHeight="1">
      <c r="A261" s="334" t="s">
        <v>493</v>
      </c>
      <c r="B261" s="449"/>
      <c r="C261" s="449"/>
      <c r="D261" s="449"/>
      <c r="E261" s="449"/>
      <c r="F261" s="449"/>
      <c r="G261" s="449"/>
      <c r="H261" s="449"/>
      <c r="I261" s="449"/>
      <c r="J261" s="449"/>
      <c r="K261" s="449"/>
      <c r="L261" s="449"/>
      <c r="M261" s="449">
        <v>5071.2659999999996</v>
      </c>
      <c r="O261" s="336"/>
      <c r="P261" s="336"/>
      <c r="Q261" s="336"/>
      <c r="R261" s="336"/>
      <c r="S261" s="336"/>
      <c r="T261" s="336"/>
      <c r="U261" s="336"/>
      <c r="V261" s="336"/>
      <c r="W261" s="336"/>
      <c r="X261" s="336"/>
      <c r="Y261" s="336"/>
      <c r="Z261" s="336"/>
      <c r="AA261" s="336"/>
      <c r="AB261" s="336"/>
      <c r="AC261" s="336"/>
      <c r="AD261" s="336"/>
      <c r="AE261" s="336"/>
      <c r="AF261" s="336"/>
      <c r="AG261" s="336"/>
      <c r="AH261" s="336"/>
      <c r="AI261" s="336"/>
      <c r="AJ261" s="336"/>
      <c r="AK261" s="336"/>
    </row>
    <row r="262" spans="1:37" ht="10.5" customHeight="1" thickBot="1">
      <c r="A262" s="433" t="s">
        <v>494</v>
      </c>
      <c r="B262" s="460"/>
      <c r="C262" s="460"/>
      <c r="D262" s="460"/>
      <c r="E262" s="460"/>
      <c r="F262" s="460"/>
      <c r="G262" s="460"/>
      <c r="H262" s="460"/>
      <c r="I262" s="460"/>
      <c r="J262" s="460"/>
      <c r="K262" s="460"/>
      <c r="L262" s="460"/>
      <c r="M262" s="464">
        <v>374274.35687017388</v>
      </c>
      <c r="O262" s="336"/>
      <c r="P262" s="336"/>
      <c r="Q262" s="336"/>
      <c r="R262" s="336"/>
      <c r="S262" s="336"/>
      <c r="T262" s="336"/>
      <c r="U262" s="336"/>
      <c r="V262" s="336"/>
      <c r="W262" s="336"/>
      <c r="X262" s="336"/>
      <c r="Y262" s="336"/>
      <c r="Z262" s="336"/>
      <c r="AA262" s="336"/>
      <c r="AB262" s="336"/>
      <c r="AC262" s="336"/>
      <c r="AD262" s="336"/>
      <c r="AE262" s="336"/>
      <c r="AF262" s="336"/>
      <c r="AG262" s="336"/>
      <c r="AH262" s="336"/>
      <c r="AI262" s="336"/>
      <c r="AJ262" s="336"/>
      <c r="AK262" s="336"/>
    </row>
    <row r="263" spans="1:37" s="346" customFormat="1" ht="13.5" customHeight="1" thickTop="1">
      <c r="A263" s="447">
        <v>2008</v>
      </c>
      <c r="B263" s="461"/>
      <c r="C263" s="461"/>
      <c r="D263" s="461"/>
      <c r="E263" s="461"/>
      <c r="F263" s="461"/>
      <c r="G263" s="461"/>
      <c r="H263" s="461"/>
      <c r="I263" s="461"/>
      <c r="J263" s="461"/>
      <c r="K263" s="461"/>
      <c r="L263" s="461"/>
      <c r="M263" s="461"/>
    </row>
    <row r="264" spans="1:37" ht="10.5" customHeight="1">
      <c r="A264" s="329" t="s">
        <v>506</v>
      </c>
      <c r="B264" s="449"/>
      <c r="C264" s="449"/>
      <c r="D264" s="449"/>
      <c r="E264" s="449"/>
      <c r="F264" s="449"/>
      <c r="G264" s="449"/>
      <c r="H264" s="449"/>
      <c r="I264" s="449"/>
      <c r="J264" s="449"/>
      <c r="K264" s="449"/>
      <c r="L264" s="449"/>
      <c r="M264" s="449"/>
    </row>
    <row r="265" spans="1:37" ht="10.5" customHeight="1">
      <c r="A265" s="334" t="s">
        <v>489</v>
      </c>
      <c r="B265" s="449">
        <v>336620.66668592318</v>
      </c>
      <c r="C265" s="449">
        <v>13485.672854073357</v>
      </c>
      <c r="D265" s="449">
        <v>344183.66171231715</v>
      </c>
      <c r="E265" s="449">
        <v>138508.48088968734</v>
      </c>
      <c r="F265" s="449">
        <v>8721.740239956458</v>
      </c>
      <c r="G265" s="449">
        <v>0</v>
      </c>
      <c r="H265" s="449">
        <v>841520.22238195734</v>
      </c>
      <c r="I265" s="449"/>
      <c r="J265" s="449">
        <v>4223.812807199999</v>
      </c>
      <c r="K265" s="449">
        <v>4088.9413800000007</v>
      </c>
      <c r="L265" s="449">
        <v>5357.3023684669988</v>
      </c>
      <c r="M265" s="449">
        <v>855190.2789376243</v>
      </c>
      <c r="O265" s="336"/>
      <c r="P265" s="336"/>
      <c r="Q265" s="336"/>
      <c r="R265" s="336"/>
      <c r="S265" s="336"/>
      <c r="T265" s="336"/>
      <c r="U265" s="336"/>
      <c r="V265" s="336"/>
      <c r="W265" s="336"/>
      <c r="X265" s="336"/>
      <c r="Y265" s="336"/>
      <c r="Z265" s="336"/>
      <c r="AA265" s="336"/>
      <c r="AB265" s="336"/>
      <c r="AC265" s="336"/>
      <c r="AD265" s="336"/>
      <c r="AE265" s="336"/>
      <c r="AF265" s="336"/>
      <c r="AG265" s="336"/>
      <c r="AH265" s="336"/>
      <c r="AI265" s="336"/>
      <c r="AJ265" s="336"/>
      <c r="AK265" s="336"/>
    </row>
    <row r="266" spans="1:37" ht="10.5" customHeight="1">
      <c r="A266" s="334" t="s">
        <v>490</v>
      </c>
      <c r="B266" s="449">
        <v>121251.34408201941</v>
      </c>
      <c r="C266" s="449">
        <v>3666.9736194967227</v>
      </c>
      <c r="D266" s="449">
        <v>161578.75647814601</v>
      </c>
      <c r="E266" s="449">
        <v>52485.808334757006</v>
      </c>
      <c r="F266" s="449">
        <v>2631.2958548751403</v>
      </c>
      <c r="G266" s="449">
        <v>0</v>
      </c>
      <c r="H266" s="449">
        <v>341614.17836929427</v>
      </c>
      <c r="I266" s="449"/>
      <c r="J266" s="449">
        <v>4223.812807199999</v>
      </c>
      <c r="K266" s="449">
        <v>4088.9413800000007</v>
      </c>
      <c r="L266" s="449">
        <v>5357.3023684669988</v>
      </c>
      <c r="M266" s="449">
        <v>355284.23492496123</v>
      </c>
      <c r="O266" s="336"/>
      <c r="P266" s="336"/>
      <c r="Q266" s="336"/>
      <c r="R266" s="336"/>
      <c r="S266" s="336"/>
      <c r="T266" s="336"/>
      <c r="U266" s="336"/>
      <c r="V266" s="336"/>
      <c r="W266" s="336"/>
      <c r="X266" s="336"/>
      <c r="Y266" s="336"/>
      <c r="Z266" s="336"/>
      <c r="AA266" s="336"/>
      <c r="AB266" s="336"/>
      <c r="AC266" s="336"/>
      <c r="AD266" s="336"/>
      <c r="AE266" s="336"/>
      <c r="AF266" s="336"/>
      <c r="AG266" s="336"/>
      <c r="AH266" s="336"/>
      <c r="AI266" s="336"/>
      <c r="AJ266" s="336"/>
      <c r="AK266" s="336"/>
    </row>
    <row r="267" spans="1:37" ht="10.5" customHeight="1">
      <c r="A267" s="334" t="s">
        <v>491</v>
      </c>
      <c r="B267" s="449">
        <v>6158.540217035581</v>
      </c>
      <c r="C267" s="449">
        <v>629.16849946139291</v>
      </c>
      <c r="D267" s="449">
        <v>2777.1464659068151</v>
      </c>
      <c r="E267" s="449">
        <v>4812.7393347570032</v>
      </c>
      <c r="F267" s="449">
        <v>264.1925214242583</v>
      </c>
      <c r="G267" s="449">
        <v>0</v>
      </c>
      <c r="H267" s="449">
        <v>14641.787038585055</v>
      </c>
      <c r="I267" s="449"/>
      <c r="J267" s="449">
        <v>14.731783582659773</v>
      </c>
      <c r="K267" s="449">
        <v>14.261380000000827</v>
      </c>
      <c r="L267" s="449">
        <v>0</v>
      </c>
      <c r="M267" s="449">
        <v>14670.780202167716</v>
      </c>
      <c r="O267" s="336"/>
      <c r="P267" s="336"/>
      <c r="Q267" s="336"/>
      <c r="R267" s="336"/>
      <c r="S267" s="336"/>
      <c r="T267" s="336"/>
      <c r="U267" s="336"/>
      <c r="V267" s="336"/>
      <c r="W267" s="336"/>
      <c r="X267" s="336"/>
      <c r="Y267" s="336"/>
      <c r="Z267" s="336"/>
      <c r="AA267" s="336"/>
      <c r="AB267" s="336"/>
      <c r="AC267" s="336"/>
      <c r="AD267" s="336"/>
      <c r="AE267" s="336"/>
      <c r="AF267" s="336"/>
      <c r="AG267" s="336"/>
      <c r="AH267" s="336"/>
      <c r="AI267" s="336"/>
      <c r="AJ267" s="336"/>
      <c r="AK267" s="336"/>
    </row>
    <row r="268" spans="1:37" ht="10.5" customHeight="1">
      <c r="A268" s="334" t="s">
        <v>492</v>
      </c>
      <c r="B268" s="449">
        <v>115092.80386498383</v>
      </c>
      <c r="C268" s="449">
        <v>3037.8051200353298</v>
      </c>
      <c r="D268" s="449">
        <v>158801.61001223919</v>
      </c>
      <c r="E268" s="449">
        <v>47673.069000000003</v>
      </c>
      <c r="F268" s="449">
        <v>2367.103333450882</v>
      </c>
      <c r="G268" s="449">
        <v>0</v>
      </c>
      <c r="H268" s="449">
        <v>326972.39133070922</v>
      </c>
      <c r="I268" s="449"/>
      <c r="J268" s="449">
        <v>4209.0810236173393</v>
      </c>
      <c r="K268" s="449">
        <v>4074.68</v>
      </c>
      <c r="L268" s="449">
        <v>5357.3023684669988</v>
      </c>
      <c r="M268" s="449">
        <v>340613.45472279354</v>
      </c>
      <c r="O268" s="336"/>
      <c r="P268" s="336"/>
      <c r="Q268" s="336"/>
      <c r="R268" s="336"/>
      <c r="S268" s="336"/>
      <c r="T268" s="336"/>
      <c r="U268" s="336"/>
      <c r="V268" s="336"/>
      <c r="W268" s="336"/>
      <c r="X268" s="336"/>
      <c r="Y268" s="336"/>
      <c r="Z268" s="336"/>
      <c r="AA268" s="336"/>
      <c r="AB268" s="336"/>
      <c r="AC268" s="336"/>
      <c r="AD268" s="336"/>
      <c r="AE268" s="336"/>
      <c r="AF268" s="336"/>
      <c r="AG268" s="336"/>
      <c r="AH268" s="336"/>
      <c r="AI268" s="336"/>
      <c r="AJ268" s="336"/>
      <c r="AK268" s="336"/>
    </row>
    <row r="269" spans="1:37" ht="10.5" customHeight="1">
      <c r="A269" s="334" t="s">
        <v>493</v>
      </c>
      <c r="B269" s="449"/>
      <c r="C269" s="449"/>
      <c r="D269" s="449"/>
      <c r="E269" s="449"/>
      <c r="F269" s="449"/>
      <c r="G269" s="449"/>
      <c r="H269" s="449"/>
      <c r="I269" s="449"/>
      <c r="J269" s="449"/>
      <c r="K269" s="449"/>
      <c r="L269" s="449"/>
      <c r="M269" s="449">
        <v>5371.3050000000003</v>
      </c>
      <c r="O269" s="336"/>
      <c r="P269" s="336"/>
      <c r="Q269" s="336"/>
      <c r="R269" s="336"/>
      <c r="S269" s="336"/>
      <c r="T269" s="336"/>
      <c r="U269" s="336"/>
      <c r="V269" s="336"/>
      <c r="W269" s="336"/>
      <c r="X269" s="336"/>
      <c r="Y269" s="336"/>
      <c r="Z269" s="336"/>
      <c r="AA269" s="336"/>
      <c r="AB269" s="336"/>
      <c r="AC269" s="336"/>
      <c r="AD269" s="336"/>
      <c r="AE269" s="336"/>
      <c r="AF269" s="336"/>
      <c r="AG269" s="336"/>
      <c r="AH269" s="336"/>
      <c r="AI269" s="336"/>
      <c r="AJ269" s="336"/>
      <c r="AK269" s="336"/>
    </row>
    <row r="270" spans="1:37" ht="10.5" customHeight="1">
      <c r="A270" s="431" t="s">
        <v>494</v>
      </c>
      <c r="B270" s="457"/>
      <c r="C270" s="457"/>
      <c r="D270" s="457"/>
      <c r="E270" s="457"/>
      <c r="F270" s="457"/>
      <c r="G270" s="457"/>
      <c r="H270" s="457"/>
      <c r="I270" s="457"/>
      <c r="J270" s="457"/>
      <c r="K270" s="457"/>
      <c r="L270" s="457"/>
      <c r="M270" s="457">
        <v>335242.14972279355</v>
      </c>
      <c r="O270" s="336"/>
      <c r="P270" s="336"/>
      <c r="Q270" s="336"/>
      <c r="R270" s="336"/>
      <c r="S270" s="336"/>
      <c r="T270" s="336"/>
      <c r="U270" s="336"/>
      <c r="V270" s="336"/>
      <c r="W270" s="336"/>
      <c r="X270" s="336"/>
      <c r="Y270" s="336"/>
      <c r="Z270" s="336"/>
      <c r="AA270" s="336"/>
      <c r="AB270" s="336"/>
      <c r="AC270" s="336"/>
      <c r="AD270" s="336"/>
      <c r="AE270" s="336"/>
      <c r="AF270" s="336"/>
      <c r="AG270" s="336"/>
      <c r="AH270" s="336"/>
      <c r="AI270" s="336"/>
      <c r="AJ270" s="336"/>
      <c r="AK270" s="336"/>
    </row>
    <row r="271" spans="1:37" ht="10.5" customHeight="1">
      <c r="A271" s="329" t="s">
        <v>507</v>
      </c>
      <c r="B271" s="449"/>
      <c r="C271" s="449"/>
      <c r="D271" s="449"/>
      <c r="E271" s="449"/>
      <c r="F271" s="449"/>
      <c r="G271" s="449"/>
      <c r="H271" s="449"/>
      <c r="I271" s="449"/>
      <c r="J271" s="449"/>
      <c r="K271" s="449"/>
      <c r="L271" s="449"/>
      <c r="M271" s="449"/>
      <c r="O271" s="336"/>
      <c r="P271" s="336"/>
      <c r="Q271" s="336"/>
      <c r="R271" s="336"/>
      <c r="S271" s="336"/>
      <c r="T271" s="336"/>
      <c r="U271" s="336"/>
      <c r="V271" s="336"/>
      <c r="W271" s="336"/>
      <c r="X271" s="336"/>
      <c r="Y271" s="336"/>
      <c r="Z271" s="336"/>
      <c r="AA271" s="336"/>
      <c r="AB271" s="336"/>
      <c r="AC271" s="336"/>
      <c r="AD271" s="336"/>
      <c r="AE271" s="336"/>
      <c r="AF271" s="336"/>
      <c r="AG271" s="336"/>
      <c r="AH271" s="336"/>
      <c r="AI271" s="336"/>
      <c r="AJ271" s="336"/>
      <c r="AK271" s="336"/>
    </row>
    <row r="272" spans="1:37" ht="11.5" customHeight="1">
      <c r="A272" s="334" t="s">
        <v>489</v>
      </c>
      <c r="B272" s="449">
        <v>11055.399929066696</v>
      </c>
      <c r="C272" s="449">
        <v>7050.7234104464787</v>
      </c>
      <c r="D272" s="449">
        <v>33031.927304999997</v>
      </c>
      <c r="E272" s="449">
        <v>0</v>
      </c>
      <c r="F272" s="449">
        <v>32344.554763677097</v>
      </c>
      <c r="G272" s="449">
        <v>11348.130274892907</v>
      </c>
      <c r="H272" s="449">
        <v>94830.735683083185</v>
      </c>
      <c r="I272" s="449"/>
      <c r="J272" s="449">
        <v>944.12199999999996</v>
      </c>
      <c r="K272" s="449">
        <v>0</v>
      </c>
      <c r="L272" s="449">
        <v>1756.95</v>
      </c>
      <c r="M272" s="449">
        <v>97531.807683083185</v>
      </c>
      <c r="T272" s="336"/>
      <c r="U272" s="336"/>
      <c r="V272" s="336"/>
      <c r="W272" s="336"/>
      <c r="X272" s="336"/>
      <c r="Y272" s="336"/>
      <c r="Z272" s="336"/>
      <c r="AA272" s="336"/>
      <c r="AB272" s="336"/>
      <c r="AC272" s="336"/>
      <c r="AD272" s="336"/>
      <c r="AE272" s="336"/>
      <c r="AF272" s="336"/>
      <c r="AG272" s="336"/>
      <c r="AH272" s="336"/>
      <c r="AI272" s="336"/>
      <c r="AJ272" s="336"/>
      <c r="AK272" s="336"/>
    </row>
    <row r="273" spans="1:37" ht="10.5" customHeight="1">
      <c r="A273" s="334" t="s">
        <v>496</v>
      </c>
      <c r="B273" s="449">
        <v>4063.2869000000001</v>
      </c>
      <c r="C273" s="449">
        <v>2434.0878562624562</v>
      </c>
      <c r="D273" s="449">
        <v>15170.196937211573</v>
      </c>
      <c r="E273" s="449">
        <v>0</v>
      </c>
      <c r="F273" s="449">
        <v>7703.5211838240002</v>
      </c>
      <c r="G273" s="449">
        <v>2292.9094265259737</v>
      </c>
      <c r="H273" s="449">
        <v>31664.002303824</v>
      </c>
      <c r="I273" s="449"/>
      <c r="J273" s="449">
        <v>944.12199999999996</v>
      </c>
      <c r="K273" s="449">
        <v>0</v>
      </c>
      <c r="L273" s="449">
        <v>1756.95</v>
      </c>
      <c r="M273" s="449">
        <v>34365.074303823996</v>
      </c>
      <c r="T273" s="336"/>
      <c r="U273" s="336"/>
      <c r="V273" s="336"/>
      <c r="W273" s="336"/>
      <c r="X273" s="336"/>
      <c r="Y273" s="336"/>
      <c r="Z273" s="336"/>
      <c r="AA273" s="336"/>
      <c r="AB273" s="336"/>
      <c r="AC273" s="336"/>
      <c r="AD273" s="336"/>
      <c r="AE273" s="336"/>
      <c r="AF273" s="336"/>
      <c r="AG273" s="336"/>
      <c r="AH273" s="336"/>
      <c r="AI273" s="336"/>
      <c r="AJ273" s="336"/>
      <c r="AK273" s="336"/>
    </row>
    <row r="274" spans="1:37" ht="10.5" customHeight="1">
      <c r="A274" s="334" t="s">
        <v>491</v>
      </c>
      <c r="B274" s="458">
        <v>215.38437919999978</v>
      </c>
      <c r="C274" s="458">
        <v>167.6108159062801</v>
      </c>
      <c r="D274" s="458">
        <v>469.87673485050618</v>
      </c>
      <c r="E274" s="449">
        <v>0</v>
      </c>
      <c r="F274" s="458">
        <v>701.9292124731146</v>
      </c>
      <c r="G274" s="458">
        <v>74.616211314485554</v>
      </c>
      <c r="H274" s="458">
        <v>1629.4173537443821</v>
      </c>
      <c r="I274" s="458"/>
      <c r="J274" s="458">
        <v>16.875600000000077</v>
      </c>
      <c r="K274" s="449">
        <v>0</v>
      </c>
      <c r="L274" s="449">
        <v>0</v>
      </c>
      <c r="M274" s="458">
        <v>1646.2929537443822</v>
      </c>
      <c r="T274" s="336"/>
      <c r="U274" s="336"/>
      <c r="V274" s="336"/>
      <c r="W274" s="336"/>
      <c r="X274" s="336"/>
      <c r="Y274" s="336"/>
      <c r="Z274" s="336"/>
      <c r="AA274" s="336"/>
      <c r="AB274" s="336"/>
      <c r="AC274" s="336"/>
      <c r="AD274" s="336"/>
      <c r="AE274" s="336"/>
      <c r="AF274" s="336"/>
      <c r="AG274" s="336"/>
      <c r="AH274" s="336"/>
      <c r="AI274" s="336"/>
      <c r="AJ274" s="336"/>
      <c r="AK274" s="336"/>
    </row>
    <row r="275" spans="1:37" ht="10.5" customHeight="1">
      <c r="A275" s="431" t="s">
        <v>497</v>
      </c>
      <c r="B275" s="457">
        <v>3847.9025208000003</v>
      </c>
      <c r="C275" s="457">
        <v>2266.4770403561761</v>
      </c>
      <c r="D275" s="457">
        <v>14700.320202361067</v>
      </c>
      <c r="E275" s="457">
        <v>0</v>
      </c>
      <c r="F275" s="457">
        <v>7001.5919713508856</v>
      </c>
      <c r="G275" s="457">
        <v>2218.2932152114881</v>
      </c>
      <c r="H275" s="457">
        <v>30034.584950079618</v>
      </c>
      <c r="I275" s="457"/>
      <c r="J275" s="457">
        <v>927.24639999999988</v>
      </c>
      <c r="K275" s="457">
        <v>0</v>
      </c>
      <c r="L275" s="457">
        <v>1756.95</v>
      </c>
      <c r="M275" s="457">
        <v>32718.781350079618</v>
      </c>
      <c r="T275" s="336"/>
      <c r="U275" s="336"/>
      <c r="V275" s="336"/>
      <c r="W275" s="336"/>
      <c r="X275" s="336"/>
      <c r="Y275" s="336"/>
      <c r="Z275" s="336"/>
      <c r="AA275" s="336"/>
      <c r="AB275" s="336"/>
      <c r="AC275" s="336"/>
      <c r="AD275" s="336"/>
      <c r="AE275" s="336"/>
      <c r="AF275" s="336"/>
      <c r="AG275" s="336"/>
      <c r="AH275" s="336"/>
      <c r="AI275" s="336"/>
      <c r="AJ275" s="336"/>
      <c r="AK275" s="336"/>
    </row>
    <row r="276" spans="1:37" ht="10.5" customHeight="1">
      <c r="A276" s="329" t="s">
        <v>498</v>
      </c>
      <c r="B276" s="449"/>
      <c r="C276" s="449"/>
      <c r="D276" s="449"/>
      <c r="E276" s="449"/>
      <c r="F276" s="449"/>
      <c r="G276" s="449"/>
      <c r="H276" s="449"/>
      <c r="I276" s="449"/>
      <c r="J276" s="449"/>
      <c r="K276" s="449"/>
      <c r="L276" s="449"/>
      <c r="M276" s="449"/>
      <c r="T276" s="336"/>
      <c r="U276" s="336"/>
      <c r="V276" s="336"/>
      <c r="W276" s="336"/>
      <c r="X276" s="336"/>
      <c r="Y276" s="336"/>
      <c r="Z276" s="336"/>
      <c r="AA276" s="336"/>
      <c r="AB276" s="336"/>
      <c r="AC276" s="336"/>
      <c r="AD276" s="336"/>
      <c r="AE276" s="336"/>
      <c r="AF276" s="336"/>
      <c r="AG276" s="336"/>
      <c r="AH276" s="336"/>
      <c r="AI276" s="336"/>
      <c r="AJ276" s="336"/>
      <c r="AK276" s="336"/>
    </row>
    <row r="277" spans="1:37" ht="10.5" customHeight="1">
      <c r="A277" s="334" t="s">
        <v>499</v>
      </c>
      <c r="B277" s="449">
        <v>347676.06661498989</v>
      </c>
      <c r="C277" s="449">
        <v>20536.396264519833</v>
      </c>
      <c r="D277" s="449">
        <v>377215.58901731716</v>
      </c>
      <c r="E277" s="449">
        <v>138508.48088968734</v>
      </c>
      <c r="F277" s="449">
        <v>41066.295003633553</v>
      </c>
      <c r="G277" s="449">
        <v>11348.130274892907</v>
      </c>
      <c r="H277" s="449">
        <v>933781.61115875968</v>
      </c>
      <c r="I277" s="449"/>
      <c r="J277" s="449">
        <v>5167.9348071999993</v>
      </c>
      <c r="K277" s="449">
        <v>4088.9413800000007</v>
      </c>
      <c r="L277" s="449">
        <v>7114.2523684669986</v>
      </c>
      <c r="M277" s="449">
        <v>952722.08662070753</v>
      </c>
      <c r="T277" s="336"/>
      <c r="U277" s="336"/>
      <c r="V277" s="336"/>
      <c r="W277" s="336"/>
      <c r="X277" s="336"/>
      <c r="Y277" s="336"/>
      <c r="Z277" s="336"/>
      <c r="AA277" s="336"/>
      <c r="AB277" s="336"/>
      <c r="AC277" s="336"/>
      <c r="AD277" s="336"/>
      <c r="AE277" s="336"/>
      <c r="AF277" s="336"/>
      <c r="AG277" s="336"/>
      <c r="AH277" s="336"/>
      <c r="AI277" s="336"/>
      <c r="AJ277" s="336"/>
      <c r="AK277" s="336"/>
    </row>
    <row r="278" spans="1:37" ht="10.5" customHeight="1">
      <c r="A278" s="334" t="s">
        <v>496</v>
      </c>
      <c r="B278" s="449">
        <v>125314.63098201941</v>
      </c>
      <c r="C278" s="449">
        <v>6101.0614757591793</v>
      </c>
      <c r="D278" s="449">
        <v>176748.9534153576</v>
      </c>
      <c r="E278" s="449">
        <v>52485.808334757006</v>
      </c>
      <c r="F278" s="449">
        <v>10334.817038699141</v>
      </c>
      <c r="G278" s="449">
        <v>2292.9094265259737</v>
      </c>
      <c r="H278" s="449">
        <v>373278.18067311827</v>
      </c>
      <c r="I278" s="449"/>
      <c r="J278" s="449">
        <v>5167.9348071999993</v>
      </c>
      <c r="K278" s="449">
        <v>4088.9413800000007</v>
      </c>
      <c r="L278" s="449">
        <v>7114.2523684669986</v>
      </c>
      <c r="M278" s="449">
        <v>389649.30922878522</v>
      </c>
      <c r="N278" s="339"/>
      <c r="O278" s="336"/>
      <c r="P278" s="336"/>
      <c r="Q278" s="336"/>
      <c r="R278" s="336"/>
      <c r="S278" s="336"/>
      <c r="T278" s="336"/>
      <c r="U278" s="336"/>
      <c r="V278" s="336"/>
      <c r="W278" s="336"/>
      <c r="X278" s="336"/>
      <c r="Y278" s="336"/>
      <c r="Z278" s="336"/>
      <c r="AA278" s="336"/>
      <c r="AB278" s="336"/>
      <c r="AC278" s="336"/>
      <c r="AD278" s="336"/>
      <c r="AE278" s="336"/>
      <c r="AF278" s="336"/>
      <c r="AG278" s="336"/>
      <c r="AH278" s="336"/>
      <c r="AI278" s="336"/>
      <c r="AJ278" s="336"/>
      <c r="AK278" s="336"/>
    </row>
    <row r="279" spans="1:37" ht="10.5" customHeight="1">
      <c r="A279" s="334" t="s">
        <v>491</v>
      </c>
      <c r="B279" s="449">
        <v>6373.9245962355808</v>
      </c>
      <c r="C279" s="449">
        <v>796.77931536767301</v>
      </c>
      <c r="D279" s="449">
        <v>3247.0232007573213</v>
      </c>
      <c r="E279" s="449">
        <v>4812.7393347570032</v>
      </c>
      <c r="F279" s="449">
        <v>966.12173389737291</v>
      </c>
      <c r="G279" s="449">
        <v>74.616211314485554</v>
      </c>
      <c r="H279" s="449">
        <v>16271.204392329437</v>
      </c>
      <c r="I279" s="449"/>
      <c r="J279" s="449">
        <v>31.60738358265985</v>
      </c>
      <c r="K279" s="449">
        <v>14.261380000000827</v>
      </c>
      <c r="L279" s="449">
        <v>0</v>
      </c>
      <c r="M279" s="449">
        <v>16317.073155912098</v>
      </c>
      <c r="O279" s="336"/>
      <c r="P279" s="336"/>
      <c r="Q279" s="336"/>
      <c r="R279" s="336"/>
      <c r="S279" s="336"/>
      <c r="T279" s="336"/>
      <c r="U279" s="336"/>
      <c r="V279" s="336"/>
      <c r="W279" s="336"/>
      <c r="X279" s="336"/>
      <c r="Y279" s="336"/>
      <c r="Z279" s="336"/>
      <c r="AA279" s="336"/>
      <c r="AB279" s="336"/>
      <c r="AC279" s="336"/>
      <c r="AD279" s="336"/>
      <c r="AE279" s="336"/>
      <c r="AF279" s="336"/>
      <c r="AG279" s="336"/>
      <c r="AH279" s="336"/>
      <c r="AI279" s="336"/>
      <c r="AJ279" s="336"/>
      <c r="AK279" s="336"/>
    </row>
    <row r="280" spans="1:37" ht="10.5" customHeight="1">
      <c r="A280" s="334" t="s">
        <v>492</v>
      </c>
      <c r="B280" s="449">
        <v>118940.70638578382</v>
      </c>
      <c r="C280" s="449">
        <v>5304.2821603915054</v>
      </c>
      <c r="D280" s="449">
        <v>173501.93021460026</v>
      </c>
      <c r="E280" s="449">
        <v>47673.069000000003</v>
      </c>
      <c r="F280" s="449">
        <v>9368.6953048017676</v>
      </c>
      <c r="G280" s="449">
        <v>2218.2932152114881</v>
      </c>
      <c r="H280" s="449">
        <v>357006.97628078883</v>
      </c>
      <c r="I280" s="449"/>
      <c r="J280" s="449">
        <v>5136.3274236173393</v>
      </c>
      <c r="K280" s="449">
        <v>4074.68</v>
      </c>
      <c r="L280" s="449">
        <v>7114.2523684669986</v>
      </c>
      <c r="M280" s="449">
        <v>373332.23607287317</v>
      </c>
      <c r="O280" s="336"/>
      <c r="P280" s="336"/>
      <c r="Q280" s="336"/>
      <c r="R280" s="336"/>
      <c r="S280" s="336"/>
      <c r="T280" s="336"/>
      <c r="U280" s="336"/>
      <c r="V280" s="336"/>
      <c r="W280" s="336"/>
      <c r="X280" s="336"/>
      <c r="Y280" s="336"/>
      <c r="Z280" s="336"/>
      <c r="AA280" s="336"/>
      <c r="AB280" s="336"/>
      <c r="AC280" s="336"/>
      <c r="AD280" s="336"/>
      <c r="AE280" s="336"/>
      <c r="AF280" s="336"/>
      <c r="AG280" s="336"/>
      <c r="AH280" s="336"/>
      <c r="AI280" s="336"/>
      <c r="AJ280" s="336"/>
      <c r="AK280" s="336"/>
    </row>
    <row r="281" spans="1:37" ht="10.5" customHeight="1">
      <c r="A281" s="334" t="s">
        <v>493</v>
      </c>
      <c r="B281" s="449"/>
      <c r="C281" s="449"/>
      <c r="D281" s="449"/>
      <c r="E281" s="449"/>
      <c r="F281" s="449"/>
      <c r="G281" s="449"/>
      <c r="H281" s="449"/>
      <c r="I281" s="449"/>
      <c r="J281" s="449"/>
      <c r="K281" s="449"/>
      <c r="L281" s="449"/>
      <c r="M281" s="449">
        <v>5371.3050000000003</v>
      </c>
      <c r="O281" s="336"/>
      <c r="P281" s="336"/>
      <c r="Q281" s="336"/>
      <c r="R281" s="336"/>
      <c r="S281" s="336"/>
      <c r="T281" s="336"/>
      <c r="U281" s="336"/>
      <c r="V281" s="336"/>
      <c r="W281" s="336"/>
      <c r="X281" s="336"/>
      <c r="Y281" s="336"/>
      <c r="Z281" s="336"/>
      <c r="AA281" s="336"/>
      <c r="AB281" s="336"/>
      <c r="AC281" s="336"/>
      <c r="AD281" s="336"/>
      <c r="AE281" s="336"/>
      <c r="AF281" s="336"/>
      <c r="AG281" s="336"/>
      <c r="AH281" s="336"/>
      <c r="AI281" s="336"/>
      <c r="AJ281" s="336"/>
      <c r="AK281" s="336"/>
    </row>
    <row r="282" spans="1:37" ht="10.5" customHeight="1" thickBot="1">
      <c r="A282" s="433" t="s">
        <v>494</v>
      </c>
      <c r="B282" s="460"/>
      <c r="C282" s="460"/>
      <c r="D282" s="460"/>
      <c r="E282" s="460"/>
      <c r="F282" s="460"/>
      <c r="G282" s="460"/>
      <c r="H282" s="460"/>
      <c r="I282" s="460"/>
      <c r="J282" s="460"/>
      <c r="K282" s="460"/>
      <c r="L282" s="460"/>
      <c r="M282" s="460">
        <v>367960.93107287318</v>
      </c>
      <c r="O282" s="336"/>
      <c r="P282" s="336"/>
      <c r="Q282" s="336"/>
      <c r="R282" s="336"/>
      <c r="S282" s="336"/>
      <c r="T282" s="336"/>
      <c r="U282" s="336"/>
      <c r="V282" s="336"/>
      <c r="W282" s="336"/>
      <c r="X282" s="336"/>
      <c r="Y282" s="336"/>
      <c r="Z282" s="336"/>
      <c r="AA282" s="336"/>
      <c r="AB282" s="336"/>
      <c r="AC282" s="336"/>
      <c r="AD282" s="336"/>
      <c r="AE282" s="336"/>
      <c r="AF282" s="336"/>
      <c r="AG282" s="336"/>
      <c r="AH282" s="336"/>
      <c r="AI282" s="336"/>
      <c r="AJ282" s="336"/>
      <c r="AK282" s="336"/>
    </row>
    <row r="283" spans="1:37" ht="14" thickTop="1">
      <c r="A283" s="465"/>
      <c r="B283" s="467"/>
      <c r="C283" s="467"/>
      <c r="D283" s="467"/>
      <c r="E283" s="467"/>
      <c r="F283" s="467"/>
      <c r="G283" s="467"/>
      <c r="H283" s="467"/>
      <c r="I283" s="467"/>
      <c r="J283" s="467"/>
      <c r="K283" s="467"/>
      <c r="L283" s="467"/>
      <c r="M283" s="467"/>
    </row>
    <row r="284" spans="1:37" ht="14" thickBot="1">
      <c r="A284" s="468" t="s">
        <v>271</v>
      </c>
      <c r="B284" s="469"/>
      <c r="C284" s="1981">
        <v>2004</v>
      </c>
      <c r="D284" s="1981"/>
      <c r="E284" s="1982">
        <v>2005</v>
      </c>
      <c r="F284" s="1982"/>
      <c r="G284" s="1981">
        <v>2006</v>
      </c>
      <c r="H284" s="1981"/>
      <c r="I284" s="470"/>
      <c r="J284" s="1982">
        <v>2007</v>
      </c>
      <c r="K284" s="1982"/>
      <c r="L284" s="1981">
        <v>2008</v>
      </c>
      <c r="M284" s="1981"/>
    </row>
    <row r="285" spans="1:37" s="346" customFormat="1" ht="11.5" customHeight="1" thickTop="1">
      <c r="A285" s="340"/>
      <c r="B285" s="322"/>
      <c r="C285" s="471" t="s">
        <v>508</v>
      </c>
      <c r="D285" s="471" t="s">
        <v>509</v>
      </c>
      <c r="E285" s="471" t="s">
        <v>508</v>
      </c>
      <c r="F285" s="471" t="s">
        <v>509</v>
      </c>
      <c r="G285" s="471" t="s">
        <v>508</v>
      </c>
      <c r="H285" s="471" t="s">
        <v>509</v>
      </c>
      <c r="I285" s="471"/>
      <c r="J285" s="471" t="s">
        <v>508</v>
      </c>
      <c r="K285" s="471" t="s">
        <v>509</v>
      </c>
      <c r="L285" s="471" t="s">
        <v>508</v>
      </c>
      <c r="M285" s="471" t="s">
        <v>509</v>
      </c>
    </row>
    <row r="286" spans="1:37" ht="10.5" customHeight="1">
      <c r="C286" s="471" t="s">
        <v>510</v>
      </c>
      <c r="D286" s="471"/>
      <c r="E286" s="471" t="s">
        <v>510</v>
      </c>
      <c r="F286" s="471"/>
      <c r="G286" s="471" t="s">
        <v>510</v>
      </c>
      <c r="H286" s="471"/>
      <c r="I286" s="471"/>
      <c r="J286" s="471" t="s">
        <v>510</v>
      </c>
      <c r="K286" s="471"/>
      <c r="L286" s="471" t="s">
        <v>510</v>
      </c>
      <c r="M286" s="471"/>
    </row>
    <row r="287" spans="1:37" ht="10.5" customHeight="1">
      <c r="C287" s="471" t="s">
        <v>511</v>
      </c>
      <c r="D287" s="471"/>
      <c r="E287" s="471" t="s">
        <v>511</v>
      </c>
      <c r="F287" s="471"/>
      <c r="G287" s="471" t="s">
        <v>511</v>
      </c>
      <c r="H287" s="471"/>
      <c r="I287" s="471"/>
      <c r="J287" s="471" t="s">
        <v>511</v>
      </c>
      <c r="K287" s="471"/>
      <c r="L287" s="471" t="s">
        <v>511</v>
      </c>
      <c r="M287" s="471"/>
    </row>
    <row r="288" spans="1:37" s="346" customFormat="1" ht="11.5" customHeight="1">
      <c r="A288" s="445"/>
      <c r="B288" s="472"/>
      <c r="C288" s="473" t="s">
        <v>512</v>
      </c>
      <c r="D288" s="474"/>
      <c r="E288" s="473" t="s">
        <v>512</v>
      </c>
      <c r="F288" s="474"/>
      <c r="G288" s="473" t="s">
        <v>512</v>
      </c>
      <c r="H288" s="475"/>
      <c r="I288" s="473"/>
      <c r="J288" s="473" t="s">
        <v>512</v>
      </c>
      <c r="K288" s="475"/>
      <c r="L288" s="473" t="s">
        <v>512</v>
      </c>
      <c r="M288" s="475"/>
    </row>
    <row r="289" spans="1:13" ht="10.5" customHeight="1">
      <c r="A289" s="386" t="s">
        <v>513</v>
      </c>
      <c r="B289" s="346"/>
      <c r="C289" s="476"/>
      <c r="D289" s="476"/>
      <c r="E289" s="476"/>
      <c r="F289" s="476"/>
      <c r="G289" s="476"/>
      <c r="H289" s="476"/>
      <c r="I289" s="476"/>
      <c r="J289" s="476"/>
      <c r="K289" s="476"/>
      <c r="L289" s="476"/>
      <c r="M289" s="476"/>
    </row>
    <row r="290" spans="1:13" ht="10.5" customHeight="1">
      <c r="A290" s="334" t="s">
        <v>514</v>
      </c>
      <c r="C290" s="452">
        <v>140575.74328143988</v>
      </c>
      <c r="D290" s="452">
        <v>131182</v>
      </c>
      <c r="E290" s="452">
        <v>143149.37128507753</v>
      </c>
      <c r="F290" s="452">
        <v>130689</v>
      </c>
      <c r="G290" s="477">
        <v>159740.50677552022</v>
      </c>
      <c r="H290" s="452">
        <v>118495</v>
      </c>
      <c r="I290" s="477">
        <v>118495</v>
      </c>
      <c r="J290" s="462">
        <v>146984.01516630291</v>
      </c>
      <c r="K290" s="452">
        <v>139826</v>
      </c>
      <c r="L290" s="458">
        <v>130394.37003453728</v>
      </c>
      <c r="M290" s="452">
        <v>158734</v>
      </c>
    </row>
    <row r="291" spans="1:13" s="346" customFormat="1" ht="11.5" customHeight="1">
      <c r="A291" s="431" t="s">
        <v>492</v>
      </c>
      <c r="B291" s="472"/>
      <c r="C291" s="453">
        <v>133606.57323177886</v>
      </c>
      <c r="D291" s="453">
        <v>128983</v>
      </c>
      <c r="E291" s="453">
        <v>135998.6500980992</v>
      </c>
      <c r="F291" s="453">
        <v>128179</v>
      </c>
      <c r="G291" s="478">
        <v>151162.70059194393</v>
      </c>
      <c r="H291" s="453">
        <v>116398</v>
      </c>
      <c r="I291" s="453">
        <v>116398</v>
      </c>
      <c r="J291" s="457">
        <v>138973.01618322468</v>
      </c>
      <c r="K291" s="453">
        <v>137561</v>
      </c>
      <c r="L291" s="457">
        <v>123074.3223307092</v>
      </c>
      <c r="M291" s="453">
        <v>156225</v>
      </c>
    </row>
    <row r="292" spans="1:13" ht="10.5" customHeight="1">
      <c r="A292" s="386" t="s">
        <v>515</v>
      </c>
      <c r="B292" s="346"/>
      <c r="C292" s="479"/>
      <c r="D292" s="479"/>
      <c r="E292" s="479"/>
      <c r="F292" s="479"/>
      <c r="G292" s="479"/>
      <c r="H292" s="479"/>
      <c r="I292" s="479"/>
      <c r="J292" s="461"/>
      <c r="K292" s="479"/>
      <c r="L292" s="312"/>
      <c r="M292" s="320"/>
    </row>
    <row r="293" spans="1:13" ht="10.5" customHeight="1">
      <c r="A293" s="334" t="s">
        <v>514</v>
      </c>
      <c r="C293" s="477">
        <v>20888.223917891028</v>
      </c>
      <c r="D293" s="452">
        <v>11852</v>
      </c>
      <c r="E293" s="358">
        <v>20347.823029999996</v>
      </c>
      <c r="F293" s="358">
        <v>11792</v>
      </c>
      <c r="G293" s="462">
        <v>19363.673799600012</v>
      </c>
      <c r="H293" s="358">
        <v>11561</v>
      </c>
      <c r="I293" s="480">
        <v>11561</v>
      </c>
      <c r="J293" s="462">
        <v>21453.715071000006</v>
      </c>
      <c r="K293" s="358">
        <v>11516</v>
      </c>
      <c r="L293" s="339">
        <v>20655.002303824</v>
      </c>
      <c r="M293" s="358">
        <v>11009</v>
      </c>
    </row>
    <row r="294" spans="1:13" ht="10.5" customHeight="1">
      <c r="A294" s="431" t="s">
        <v>492</v>
      </c>
      <c r="B294" s="472"/>
      <c r="C294" s="478">
        <v>20046.025089978208</v>
      </c>
      <c r="D294" s="453">
        <v>11260</v>
      </c>
      <c r="E294" s="350">
        <v>19493.569675408879</v>
      </c>
      <c r="F294" s="350">
        <v>11204</v>
      </c>
      <c r="G294" s="463">
        <v>18482.911708860895</v>
      </c>
      <c r="H294" s="350">
        <v>10984</v>
      </c>
      <c r="I294" s="481">
        <v>10984</v>
      </c>
      <c r="J294" s="463">
        <v>20444.756451949157</v>
      </c>
      <c r="K294" s="350">
        <v>10941</v>
      </c>
      <c r="L294" s="341">
        <v>19574.584950079618</v>
      </c>
      <c r="M294" s="350">
        <v>10460</v>
      </c>
    </row>
    <row r="295" spans="1:13" ht="10.5" customHeight="1">
      <c r="A295" s="386" t="s">
        <v>498</v>
      </c>
      <c r="B295" s="346"/>
      <c r="C295" s="455"/>
      <c r="D295" s="455"/>
      <c r="E295" s="482"/>
      <c r="F295" s="482"/>
      <c r="G295" s="461"/>
      <c r="H295" s="482"/>
      <c r="I295" s="479"/>
      <c r="J295" s="461"/>
      <c r="K295" s="482"/>
      <c r="L295" s="336"/>
      <c r="M295" s="335"/>
    </row>
    <row r="296" spans="1:13" ht="10.5" customHeight="1">
      <c r="A296" s="334" t="s">
        <v>514</v>
      </c>
      <c r="C296" s="483">
        <v>161463.96719933092</v>
      </c>
      <c r="D296" s="450">
        <v>143034</v>
      </c>
      <c r="E296" s="335">
        <v>163497.19431507753</v>
      </c>
      <c r="F296" s="335">
        <v>142481</v>
      </c>
      <c r="G296" s="459">
        <v>179104.18057512023</v>
      </c>
      <c r="H296" s="335">
        <v>130056</v>
      </c>
      <c r="I296" s="484">
        <v>130056</v>
      </c>
      <c r="J296" s="459">
        <v>168437.73023730292</v>
      </c>
      <c r="K296" s="335">
        <v>151342</v>
      </c>
      <c r="L296" s="339">
        <v>151049.37233836128</v>
      </c>
      <c r="M296" s="358">
        <v>169743</v>
      </c>
    </row>
    <row r="297" spans="1:13" ht="11.25" customHeight="1" thickBot="1">
      <c r="A297" s="433" t="s">
        <v>492</v>
      </c>
      <c r="B297" s="485"/>
      <c r="C297" s="486">
        <v>153652.59832175708</v>
      </c>
      <c r="D297" s="454">
        <v>140243</v>
      </c>
      <c r="E297" s="487">
        <v>155492.21977350808</v>
      </c>
      <c r="F297" s="487">
        <v>139383</v>
      </c>
      <c r="G297" s="464">
        <v>169645.61230080482</v>
      </c>
      <c r="H297" s="487">
        <v>127382</v>
      </c>
      <c r="I297" s="488">
        <v>127382</v>
      </c>
      <c r="J297" s="464">
        <v>159417.77263517384</v>
      </c>
      <c r="K297" s="487">
        <v>148502</v>
      </c>
      <c r="L297" s="434">
        <v>142648.90728078882</v>
      </c>
      <c r="M297" s="487">
        <v>166685</v>
      </c>
    </row>
    <row r="298" spans="1:13" ht="10.5" customHeight="1" thickTop="1">
      <c r="A298" s="465"/>
      <c r="B298" s="322"/>
      <c r="C298" s="458"/>
      <c r="D298" s="458"/>
      <c r="E298" s="458"/>
      <c r="F298" s="458"/>
      <c r="G298" s="458"/>
      <c r="H298" s="458"/>
      <c r="I298" s="489"/>
      <c r="J298" s="490"/>
      <c r="K298" s="490"/>
      <c r="L298" s="490"/>
      <c r="M298" s="490"/>
    </row>
    <row r="299" spans="1:13" s="312" customFormat="1" ht="10.5" customHeight="1">
      <c r="A299" s="394" t="s">
        <v>516</v>
      </c>
      <c r="B299" s="330"/>
      <c r="C299" s="330"/>
      <c r="D299" s="330"/>
      <c r="E299" s="330"/>
      <c r="F299" s="330"/>
      <c r="G299" s="330"/>
      <c r="H299" s="330"/>
      <c r="I299" s="330"/>
      <c r="J299" s="340"/>
      <c r="K299" s="340"/>
      <c r="L299" s="340"/>
      <c r="M299" s="340"/>
    </row>
    <row r="300" spans="1:13" s="316" customFormat="1" ht="10.5" customHeight="1">
      <c r="A300" s="394" t="s">
        <v>517</v>
      </c>
      <c r="B300" s="491"/>
      <c r="C300" s="491"/>
      <c r="D300" s="491"/>
      <c r="E300" s="491"/>
      <c r="F300" s="491"/>
      <c r="G300" s="491"/>
      <c r="H300" s="491"/>
      <c r="I300" s="491"/>
      <c r="J300" s="491"/>
      <c r="K300" s="491"/>
      <c r="L300" s="491"/>
      <c r="M300" s="491"/>
    </row>
    <row r="301" spans="1:13" s="312" customFormat="1" ht="10.5" customHeight="1">
      <c r="A301" s="394" t="s">
        <v>518</v>
      </c>
      <c r="B301" s="340"/>
      <c r="C301" s="340"/>
      <c r="D301" s="340"/>
      <c r="E301" s="340"/>
      <c r="F301" s="340"/>
      <c r="G301" s="340"/>
      <c r="H301" s="340"/>
      <c r="I301" s="340"/>
      <c r="J301" s="340"/>
      <c r="K301" s="340"/>
      <c r="L301" s="340"/>
      <c r="M301" s="340"/>
    </row>
    <row r="302" spans="1:13" s="312" customFormat="1" ht="10.5" customHeight="1">
      <c r="A302" s="394" t="s">
        <v>519</v>
      </c>
      <c r="B302" s="340"/>
      <c r="C302" s="340"/>
      <c r="D302" s="340"/>
      <c r="E302" s="340"/>
      <c r="F302" s="340"/>
      <c r="G302" s="340"/>
      <c r="H302" s="340"/>
      <c r="I302" s="340"/>
      <c r="J302" s="340"/>
      <c r="K302" s="340"/>
      <c r="L302" s="340"/>
      <c r="M302" s="340"/>
    </row>
    <row r="303" spans="1:13" s="316" customFormat="1" ht="10.5" customHeight="1">
      <c r="A303" s="394" t="s">
        <v>465</v>
      </c>
      <c r="B303" s="491"/>
      <c r="C303" s="491"/>
      <c r="D303" s="491"/>
      <c r="E303" s="491"/>
      <c r="F303" s="491"/>
      <c r="G303" s="491"/>
      <c r="H303" s="491"/>
      <c r="I303" s="491"/>
      <c r="J303" s="491"/>
      <c r="K303" s="491"/>
      <c r="L303" s="491"/>
      <c r="M303" s="491"/>
    </row>
    <row r="304" spans="1:13" s="312" customFormat="1" ht="10.5" customHeight="1">
      <c r="A304" s="394" t="s">
        <v>520</v>
      </c>
      <c r="B304" s="340"/>
      <c r="C304" s="340"/>
      <c r="D304" s="340"/>
      <c r="E304" s="340"/>
      <c r="F304" s="340"/>
      <c r="G304" s="340"/>
      <c r="H304" s="340"/>
      <c r="I304" s="340"/>
      <c r="J304" s="340"/>
      <c r="K304" s="340"/>
      <c r="L304" s="340"/>
      <c r="M304" s="340"/>
    </row>
    <row r="305" spans="1:1" s="312" customFormat="1" ht="10.5" customHeight="1">
      <c r="A305" s="394" t="s">
        <v>521</v>
      </c>
    </row>
  </sheetData>
  <mergeCells count="17">
    <mergeCell ref="B67:H67"/>
    <mergeCell ref="J67:M67"/>
    <mergeCell ref="B3:H3"/>
    <mergeCell ref="J3:M3"/>
    <mergeCell ref="N3:Z3"/>
    <mergeCell ref="O4:U4"/>
    <mergeCell ref="W4:Y4"/>
    <mergeCell ref="C284:D284"/>
    <mergeCell ref="E284:F284"/>
    <mergeCell ref="G284:H284"/>
    <mergeCell ref="J284:K284"/>
    <mergeCell ref="L284:M284"/>
    <mergeCell ref="B111:H111"/>
    <mergeCell ref="J111:M111"/>
    <mergeCell ref="A238:M238"/>
    <mergeCell ref="B239:H239"/>
    <mergeCell ref="J239:M239"/>
  </mergeCells>
  <pageMargins left="0.51181102362204722" right="0.51181102362204722" top="0.51181102362204722" bottom="0.39370078740157483" header="0.27559055118110237" footer="0.19685039370078741"/>
  <pageSetup paperSize="9" scale="30" orientation="portrait"/>
  <headerFooter alignWithMargins="0">
    <oddHeader>&amp;R&amp;"Arial,Bold"ELECTRICITY</oddHeader>
    <oddFooter>&amp;C&amp;P</oddFooter>
  </headerFooter>
  <rowBreaks count="1" manualBreakCount="1">
    <brk id="235" max="12" man="1"/>
  </rowBreaks>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enableFormatConditionsCalculation="0">
    <pageSetUpPr fitToPage="1"/>
  </sheetPr>
  <dimension ref="A1:AJ72"/>
  <sheetViews>
    <sheetView workbookViewId="0"/>
  </sheetViews>
  <sheetFormatPr baseColWidth="10" defaultColWidth="8.83203125" defaultRowHeight="13" x14ac:dyDescent="0"/>
  <cols>
    <col min="1" max="1" width="19.1640625" style="131" customWidth="1"/>
    <col min="2" max="3" width="8.5" style="131" customWidth="1"/>
    <col min="4" max="4" width="16.5" style="131" customWidth="1"/>
    <col min="5" max="5" width="15" style="131" customWidth="1"/>
    <col min="6" max="6" width="8.83203125" style="131"/>
    <col min="7" max="7" width="13.83203125" style="131" customWidth="1"/>
    <col min="8" max="8" width="3.5" style="131" hidden="1" customWidth="1"/>
    <col min="9" max="9" width="2.5" style="131" customWidth="1"/>
    <col min="10" max="10" width="13.6640625" style="131" customWidth="1"/>
    <col min="11" max="11" width="11.5" style="131" customWidth="1"/>
    <col min="12" max="14" width="12" style="131" customWidth="1"/>
    <col min="15" max="15" width="12.33203125" style="131" customWidth="1"/>
    <col min="16" max="16" width="2.5" style="131" customWidth="1"/>
    <col min="17" max="17" width="22" style="192" customWidth="1"/>
    <col min="18" max="256" width="8.83203125" style="131"/>
    <col min="257" max="257" width="19.1640625" style="131" customWidth="1"/>
    <col min="258" max="259" width="8.5" style="131" customWidth="1"/>
    <col min="260" max="260" width="16.5" style="131" customWidth="1"/>
    <col min="261" max="261" width="15" style="131" customWidth="1"/>
    <col min="262" max="262" width="8.83203125" style="131"/>
    <col min="263" max="263" width="13.83203125" style="131" customWidth="1"/>
    <col min="264" max="264" width="0" style="131" hidden="1" customWidth="1"/>
    <col min="265" max="265" width="2.5" style="131" customWidth="1"/>
    <col min="266" max="266" width="13.6640625" style="131" customWidth="1"/>
    <col min="267" max="267" width="11.5" style="131" customWidth="1"/>
    <col min="268" max="270" width="12" style="131" customWidth="1"/>
    <col min="271" max="271" width="12.33203125" style="131" customWidth="1"/>
    <col min="272" max="272" width="2.5" style="131" customWidth="1"/>
    <col min="273" max="273" width="22" style="131" customWidth="1"/>
    <col min="274" max="512" width="8.83203125" style="131"/>
    <col min="513" max="513" width="19.1640625" style="131" customWidth="1"/>
    <col min="514" max="515" width="8.5" style="131" customWidth="1"/>
    <col min="516" max="516" width="16.5" style="131" customWidth="1"/>
    <col min="517" max="517" width="15" style="131" customWidth="1"/>
    <col min="518" max="518" width="8.83203125" style="131"/>
    <col min="519" max="519" width="13.83203125" style="131" customWidth="1"/>
    <col min="520" max="520" width="0" style="131" hidden="1" customWidth="1"/>
    <col min="521" max="521" width="2.5" style="131" customWidth="1"/>
    <col min="522" max="522" width="13.6640625" style="131" customWidth="1"/>
    <col min="523" max="523" width="11.5" style="131" customWidth="1"/>
    <col min="524" max="526" width="12" style="131" customWidth="1"/>
    <col min="527" max="527" width="12.33203125" style="131" customWidth="1"/>
    <col min="528" max="528" width="2.5" style="131" customWidth="1"/>
    <col min="529" max="529" width="22" style="131" customWidth="1"/>
    <col min="530" max="768" width="8.83203125" style="131"/>
    <col min="769" max="769" width="19.1640625" style="131" customWidth="1"/>
    <col min="770" max="771" width="8.5" style="131" customWidth="1"/>
    <col min="772" max="772" width="16.5" style="131" customWidth="1"/>
    <col min="773" max="773" width="15" style="131" customWidth="1"/>
    <col min="774" max="774" width="8.83203125" style="131"/>
    <col min="775" max="775" width="13.83203125" style="131" customWidth="1"/>
    <col min="776" max="776" width="0" style="131" hidden="1" customWidth="1"/>
    <col min="777" max="777" width="2.5" style="131" customWidth="1"/>
    <col min="778" max="778" width="13.6640625" style="131" customWidth="1"/>
    <col min="779" max="779" width="11.5" style="131" customWidth="1"/>
    <col min="780" max="782" width="12" style="131" customWidth="1"/>
    <col min="783" max="783" width="12.33203125" style="131" customWidth="1"/>
    <col min="784" max="784" width="2.5" style="131" customWidth="1"/>
    <col min="785" max="785" width="22" style="131" customWidth="1"/>
    <col min="786" max="1024" width="8.83203125" style="131"/>
    <col min="1025" max="1025" width="19.1640625" style="131" customWidth="1"/>
    <col min="1026" max="1027" width="8.5" style="131" customWidth="1"/>
    <col min="1028" max="1028" width="16.5" style="131" customWidth="1"/>
    <col min="1029" max="1029" width="15" style="131" customWidth="1"/>
    <col min="1030" max="1030" width="8.83203125" style="131"/>
    <col min="1031" max="1031" width="13.83203125" style="131" customWidth="1"/>
    <col min="1032" max="1032" width="0" style="131" hidden="1" customWidth="1"/>
    <col min="1033" max="1033" width="2.5" style="131" customWidth="1"/>
    <col min="1034" max="1034" width="13.6640625" style="131" customWidth="1"/>
    <col min="1035" max="1035" width="11.5" style="131" customWidth="1"/>
    <col min="1036" max="1038" width="12" style="131" customWidth="1"/>
    <col min="1039" max="1039" width="12.33203125" style="131" customWidth="1"/>
    <col min="1040" max="1040" width="2.5" style="131" customWidth="1"/>
    <col min="1041" max="1041" width="22" style="131" customWidth="1"/>
    <col min="1042" max="1280" width="8.83203125" style="131"/>
    <col min="1281" max="1281" width="19.1640625" style="131" customWidth="1"/>
    <col min="1282" max="1283" width="8.5" style="131" customWidth="1"/>
    <col min="1284" max="1284" width="16.5" style="131" customWidth="1"/>
    <col min="1285" max="1285" width="15" style="131" customWidth="1"/>
    <col min="1286" max="1286" width="8.83203125" style="131"/>
    <col min="1287" max="1287" width="13.83203125" style="131" customWidth="1"/>
    <col min="1288" max="1288" width="0" style="131" hidden="1" customWidth="1"/>
    <col min="1289" max="1289" width="2.5" style="131" customWidth="1"/>
    <col min="1290" max="1290" width="13.6640625" style="131" customWidth="1"/>
    <col min="1291" max="1291" width="11.5" style="131" customWidth="1"/>
    <col min="1292" max="1294" width="12" style="131" customWidth="1"/>
    <col min="1295" max="1295" width="12.33203125" style="131" customWidth="1"/>
    <col min="1296" max="1296" width="2.5" style="131" customWidth="1"/>
    <col min="1297" max="1297" width="22" style="131" customWidth="1"/>
    <col min="1298" max="1536" width="8.83203125" style="131"/>
    <col min="1537" max="1537" width="19.1640625" style="131" customWidth="1"/>
    <col min="1538" max="1539" width="8.5" style="131" customWidth="1"/>
    <col min="1540" max="1540" width="16.5" style="131" customWidth="1"/>
    <col min="1541" max="1541" width="15" style="131" customWidth="1"/>
    <col min="1542" max="1542" width="8.83203125" style="131"/>
    <col min="1543" max="1543" width="13.83203125" style="131" customWidth="1"/>
    <col min="1544" max="1544" width="0" style="131" hidden="1" customWidth="1"/>
    <col min="1545" max="1545" width="2.5" style="131" customWidth="1"/>
    <col min="1546" max="1546" width="13.6640625" style="131" customWidth="1"/>
    <col min="1547" max="1547" width="11.5" style="131" customWidth="1"/>
    <col min="1548" max="1550" width="12" style="131" customWidth="1"/>
    <col min="1551" max="1551" width="12.33203125" style="131" customWidth="1"/>
    <col min="1552" max="1552" width="2.5" style="131" customWidth="1"/>
    <col min="1553" max="1553" width="22" style="131" customWidth="1"/>
    <col min="1554" max="1792" width="8.83203125" style="131"/>
    <col min="1793" max="1793" width="19.1640625" style="131" customWidth="1"/>
    <col min="1794" max="1795" width="8.5" style="131" customWidth="1"/>
    <col min="1796" max="1796" width="16.5" style="131" customWidth="1"/>
    <col min="1797" max="1797" width="15" style="131" customWidth="1"/>
    <col min="1798" max="1798" width="8.83203125" style="131"/>
    <col min="1799" max="1799" width="13.83203125" style="131" customWidth="1"/>
    <col min="1800" max="1800" width="0" style="131" hidden="1" customWidth="1"/>
    <col min="1801" max="1801" width="2.5" style="131" customWidth="1"/>
    <col min="1802" max="1802" width="13.6640625" style="131" customWidth="1"/>
    <col min="1803" max="1803" width="11.5" style="131" customWidth="1"/>
    <col min="1804" max="1806" width="12" style="131" customWidth="1"/>
    <col min="1807" max="1807" width="12.33203125" style="131" customWidth="1"/>
    <col min="1808" max="1808" width="2.5" style="131" customWidth="1"/>
    <col min="1809" max="1809" width="22" style="131" customWidth="1"/>
    <col min="1810" max="2048" width="8.83203125" style="131"/>
    <col min="2049" max="2049" width="19.1640625" style="131" customWidth="1"/>
    <col min="2050" max="2051" width="8.5" style="131" customWidth="1"/>
    <col min="2052" max="2052" width="16.5" style="131" customWidth="1"/>
    <col min="2053" max="2053" width="15" style="131" customWidth="1"/>
    <col min="2054" max="2054" width="8.83203125" style="131"/>
    <col min="2055" max="2055" width="13.83203125" style="131" customWidth="1"/>
    <col min="2056" max="2056" width="0" style="131" hidden="1" customWidth="1"/>
    <col min="2057" max="2057" width="2.5" style="131" customWidth="1"/>
    <col min="2058" max="2058" width="13.6640625" style="131" customWidth="1"/>
    <col min="2059" max="2059" width="11.5" style="131" customWidth="1"/>
    <col min="2060" max="2062" width="12" style="131" customWidth="1"/>
    <col min="2063" max="2063" width="12.33203125" style="131" customWidth="1"/>
    <col min="2064" max="2064" width="2.5" style="131" customWidth="1"/>
    <col min="2065" max="2065" width="22" style="131" customWidth="1"/>
    <col min="2066" max="2304" width="8.83203125" style="131"/>
    <col min="2305" max="2305" width="19.1640625" style="131" customWidth="1"/>
    <col min="2306" max="2307" width="8.5" style="131" customWidth="1"/>
    <col min="2308" max="2308" width="16.5" style="131" customWidth="1"/>
    <col min="2309" max="2309" width="15" style="131" customWidth="1"/>
    <col min="2310" max="2310" width="8.83203125" style="131"/>
    <col min="2311" max="2311" width="13.83203125" style="131" customWidth="1"/>
    <col min="2312" max="2312" width="0" style="131" hidden="1" customWidth="1"/>
    <col min="2313" max="2313" width="2.5" style="131" customWidth="1"/>
    <col min="2314" max="2314" width="13.6640625" style="131" customWidth="1"/>
    <col min="2315" max="2315" width="11.5" style="131" customWidth="1"/>
    <col min="2316" max="2318" width="12" style="131" customWidth="1"/>
    <col min="2319" max="2319" width="12.33203125" style="131" customWidth="1"/>
    <col min="2320" max="2320" width="2.5" style="131" customWidth="1"/>
    <col min="2321" max="2321" width="22" style="131" customWidth="1"/>
    <col min="2322" max="2560" width="8.83203125" style="131"/>
    <col min="2561" max="2561" width="19.1640625" style="131" customWidth="1"/>
    <col min="2562" max="2563" width="8.5" style="131" customWidth="1"/>
    <col min="2564" max="2564" width="16.5" style="131" customWidth="1"/>
    <col min="2565" max="2565" width="15" style="131" customWidth="1"/>
    <col min="2566" max="2566" width="8.83203125" style="131"/>
    <col min="2567" max="2567" width="13.83203125" style="131" customWidth="1"/>
    <col min="2568" max="2568" width="0" style="131" hidden="1" customWidth="1"/>
    <col min="2569" max="2569" width="2.5" style="131" customWidth="1"/>
    <col min="2570" max="2570" width="13.6640625" style="131" customWidth="1"/>
    <col min="2571" max="2571" width="11.5" style="131" customWidth="1"/>
    <col min="2572" max="2574" width="12" style="131" customWidth="1"/>
    <col min="2575" max="2575" width="12.33203125" style="131" customWidth="1"/>
    <col min="2576" max="2576" width="2.5" style="131" customWidth="1"/>
    <col min="2577" max="2577" width="22" style="131" customWidth="1"/>
    <col min="2578" max="2816" width="8.83203125" style="131"/>
    <col min="2817" max="2817" width="19.1640625" style="131" customWidth="1"/>
    <col min="2818" max="2819" width="8.5" style="131" customWidth="1"/>
    <col min="2820" max="2820" width="16.5" style="131" customWidth="1"/>
    <col min="2821" max="2821" width="15" style="131" customWidth="1"/>
    <col min="2822" max="2822" width="8.83203125" style="131"/>
    <col min="2823" max="2823" width="13.83203125" style="131" customWidth="1"/>
    <col min="2824" max="2824" width="0" style="131" hidden="1" customWidth="1"/>
    <col min="2825" max="2825" width="2.5" style="131" customWidth="1"/>
    <col min="2826" max="2826" width="13.6640625" style="131" customWidth="1"/>
    <col min="2827" max="2827" width="11.5" style="131" customWidth="1"/>
    <col min="2828" max="2830" width="12" style="131" customWidth="1"/>
    <col min="2831" max="2831" width="12.33203125" style="131" customWidth="1"/>
    <col min="2832" max="2832" width="2.5" style="131" customWidth="1"/>
    <col min="2833" max="2833" width="22" style="131" customWidth="1"/>
    <col min="2834" max="3072" width="8.83203125" style="131"/>
    <col min="3073" max="3073" width="19.1640625" style="131" customWidth="1"/>
    <col min="3074" max="3075" width="8.5" style="131" customWidth="1"/>
    <col min="3076" max="3076" width="16.5" style="131" customWidth="1"/>
    <col min="3077" max="3077" width="15" style="131" customWidth="1"/>
    <col min="3078" max="3078" width="8.83203125" style="131"/>
    <col min="3079" max="3079" width="13.83203125" style="131" customWidth="1"/>
    <col min="3080" max="3080" width="0" style="131" hidden="1" customWidth="1"/>
    <col min="3081" max="3081" width="2.5" style="131" customWidth="1"/>
    <col min="3082" max="3082" width="13.6640625" style="131" customWidth="1"/>
    <col min="3083" max="3083" width="11.5" style="131" customWidth="1"/>
    <col min="3084" max="3086" width="12" style="131" customWidth="1"/>
    <col min="3087" max="3087" width="12.33203125" style="131" customWidth="1"/>
    <col min="3088" max="3088" width="2.5" style="131" customWidth="1"/>
    <col min="3089" max="3089" width="22" style="131" customWidth="1"/>
    <col min="3090" max="3328" width="8.83203125" style="131"/>
    <col min="3329" max="3329" width="19.1640625" style="131" customWidth="1"/>
    <col min="3330" max="3331" width="8.5" style="131" customWidth="1"/>
    <col min="3332" max="3332" width="16.5" style="131" customWidth="1"/>
    <col min="3333" max="3333" width="15" style="131" customWidth="1"/>
    <col min="3334" max="3334" width="8.83203125" style="131"/>
    <col min="3335" max="3335" width="13.83203125" style="131" customWidth="1"/>
    <col min="3336" max="3336" width="0" style="131" hidden="1" customWidth="1"/>
    <col min="3337" max="3337" width="2.5" style="131" customWidth="1"/>
    <col min="3338" max="3338" width="13.6640625" style="131" customWidth="1"/>
    <col min="3339" max="3339" width="11.5" style="131" customWidth="1"/>
    <col min="3340" max="3342" width="12" style="131" customWidth="1"/>
    <col min="3343" max="3343" width="12.33203125" style="131" customWidth="1"/>
    <col min="3344" max="3344" width="2.5" style="131" customWidth="1"/>
    <col min="3345" max="3345" width="22" style="131" customWidth="1"/>
    <col min="3346" max="3584" width="8.83203125" style="131"/>
    <col min="3585" max="3585" width="19.1640625" style="131" customWidth="1"/>
    <col min="3586" max="3587" width="8.5" style="131" customWidth="1"/>
    <col min="3588" max="3588" width="16.5" style="131" customWidth="1"/>
    <col min="3589" max="3589" width="15" style="131" customWidth="1"/>
    <col min="3590" max="3590" width="8.83203125" style="131"/>
    <col min="3591" max="3591" width="13.83203125" style="131" customWidth="1"/>
    <col min="3592" max="3592" width="0" style="131" hidden="1" customWidth="1"/>
    <col min="3593" max="3593" width="2.5" style="131" customWidth="1"/>
    <col min="3594" max="3594" width="13.6640625" style="131" customWidth="1"/>
    <col min="3595" max="3595" width="11.5" style="131" customWidth="1"/>
    <col min="3596" max="3598" width="12" style="131" customWidth="1"/>
    <col min="3599" max="3599" width="12.33203125" style="131" customWidth="1"/>
    <col min="3600" max="3600" width="2.5" style="131" customWidth="1"/>
    <col min="3601" max="3601" width="22" style="131" customWidth="1"/>
    <col min="3602" max="3840" width="8.83203125" style="131"/>
    <col min="3841" max="3841" width="19.1640625" style="131" customWidth="1"/>
    <col min="3842" max="3843" width="8.5" style="131" customWidth="1"/>
    <col min="3844" max="3844" width="16.5" style="131" customWidth="1"/>
    <col min="3845" max="3845" width="15" style="131" customWidth="1"/>
    <col min="3846" max="3846" width="8.83203125" style="131"/>
    <col min="3847" max="3847" width="13.83203125" style="131" customWidth="1"/>
    <col min="3848" max="3848" width="0" style="131" hidden="1" customWidth="1"/>
    <col min="3849" max="3849" width="2.5" style="131" customWidth="1"/>
    <col min="3850" max="3850" width="13.6640625" style="131" customWidth="1"/>
    <col min="3851" max="3851" width="11.5" style="131" customWidth="1"/>
    <col min="3852" max="3854" width="12" style="131" customWidth="1"/>
    <col min="3855" max="3855" width="12.33203125" style="131" customWidth="1"/>
    <col min="3856" max="3856" width="2.5" style="131" customWidth="1"/>
    <col min="3857" max="3857" width="22" style="131" customWidth="1"/>
    <col min="3858" max="4096" width="8.83203125" style="131"/>
    <col min="4097" max="4097" width="19.1640625" style="131" customWidth="1"/>
    <col min="4098" max="4099" width="8.5" style="131" customWidth="1"/>
    <col min="4100" max="4100" width="16.5" style="131" customWidth="1"/>
    <col min="4101" max="4101" width="15" style="131" customWidth="1"/>
    <col min="4102" max="4102" width="8.83203125" style="131"/>
    <col min="4103" max="4103" width="13.83203125" style="131" customWidth="1"/>
    <col min="4104" max="4104" width="0" style="131" hidden="1" customWidth="1"/>
    <col min="4105" max="4105" width="2.5" style="131" customWidth="1"/>
    <col min="4106" max="4106" width="13.6640625" style="131" customWidth="1"/>
    <col min="4107" max="4107" width="11.5" style="131" customWidth="1"/>
    <col min="4108" max="4110" width="12" style="131" customWidth="1"/>
    <col min="4111" max="4111" width="12.33203125" style="131" customWidth="1"/>
    <col min="4112" max="4112" width="2.5" style="131" customWidth="1"/>
    <col min="4113" max="4113" width="22" style="131" customWidth="1"/>
    <col min="4114" max="4352" width="8.83203125" style="131"/>
    <col min="4353" max="4353" width="19.1640625" style="131" customWidth="1"/>
    <col min="4354" max="4355" width="8.5" style="131" customWidth="1"/>
    <col min="4356" max="4356" width="16.5" style="131" customWidth="1"/>
    <col min="4357" max="4357" width="15" style="131" customWidth="1"/>
    <col min="4358" max="4358" width="8.83203125" style="131"/>
    <col min="4359" max="4359" width="13.83203125" style="131" customWidth="1"/>
    <col min="4360" max="4360" width="0" style="131" hidden="1" customWidth="1"/>
    <col min="4361" max="4361" width="2.5" style="131" customWidth="1"/>
    <col min="4362" max="4362" width="13.6640625" style="131" customWidth="1"/>
    <col min="4363" max="4363" width="11.5" style="131" customWidth="1"/>
    <col min="4364" max="4366" width="12" style="131" customWidth="1"/>
    <col min="4367" max="4367" width="12.33203125" style="131" customWidth="1"/>
    <col min="4368" max="4368" width="2.5" style="131" customWidth="1"/>
    <col min="4369" max="4369" width="22" style="131" customWidth="1"/>
    <col min="4370" max="4608" width="8.83203125" style="131"/>
    <col min="4609" max="4609" width="19.1640625" style="131" customWidth="1"/>
    <col min="4610" max="4611" width="8.5" style="131" customWidth="1"/>
    <col min="4612" max="4612" width="16.5" style="131" customWidth="1"/>
    <col min="4613" max="4613" width="15" style="131" customWidth="1"/>
    <col min="4614" max="4614" width="8.83203125" style="131"/>
    <col min="4615" max="4615" width="13.83203125" style="131" customWidth="1"/>
    <col min="4616" max="4616" width="0" style="131" hidden="1" customWidth="1"/>
    <col min="4617" max="4617" width="2.5" style="131" customWidth="1"/>
    <col min="4618" max="4618" width="13.6640625" style="131" customWidth="1"/>
    <col min="4619" max="4619" width="11.5" style="131" customWidth="1"/>
    <col min="4620" max="4622" width="12" style="131" customWidth="1"/>
    <col min="4623" max="4623" width="12.33203125" style="131" customWidth="1"/>
    <col min="4624" max="4624" width="2.5" style="131" customWidth="1"/>
    <col min="4625" max="4625" width="22" style="131" customWidth="1"/>
    <col min="4626" max="4864" width="8.83203125" style="131"/>
    <col min="4865" max="4865" width="19.1640625" style="131" customWidth="1"/>
    <col min="4866" max="4867" width="8.5" style="131" customWidth="1"/>
    <col min="4868" max="4868" width="16.5" style="131" customWidth="1"/>
    <col min="4869" max="4869" width="15" style="131" customWidth="1"/>
    <col min="4870" max="4870" width="8.83203125" style="131"/>
    <col min="4871" max="4871" width="13.83203125" style="131" customWidth="1"/>
    <col min="4872" max="4872" width="0" style="131" hidden="1" customWidth="1"/>
    <col min="4873" max="4873" width="2.5" style="131" customWidth="1"/>
    <col min="4874" max="4874" width="13.6640625" style="131" customWidth="1"/>
    <col min="4875" max="4875" width="11.5" style="131" customWidth="1"/>
    <col min="4876" max="4878" width="12" style="131" customWidth="1"/>
    <col min="4879" max="4879" width="12.33203125" style="131" customWidth="1"/>
    <col min="4880" max="4880" width="2.5" style="131" customWidth="1"/>
    <col min="4881" max="4881" width="22" style="131" customWidth="1"/>
    <col min="4882" max="5120" width="8.83203125" style="131"/>
    <col min="5121" max="5121" width="19.1640625" style="131" customWidth="1"/>
    <col min="5122" max="5123" width="8.5" style="131" customWidth="1"/>
    <col min="5124" max="5124" width="16.5" style="131" customWidth="1"/>
    <col min="5125" max="5125" width="15" style="131" customWidth="1"/>
    <col min="5126" max="5126" width="8.83203125" style="131"/>
    <col min="5127" max="5127" width="13.83203125" style="131" customWidth="1"/>
    <col min="5128" max="5128" width="0" style="131" hidden="1" customWidth="1"/>
    <col min="5129" max="5129" width="2.5" style="131" customWidth="1"/>
    <col min="5130" max="5130" width="13.6640625" style="131" customWidth="1"/>
    <col min="5131" max="5131" width="11.5" style="131" customWidth="1"/>
    <col min="5132" max="5134" width="12" style="131" customWidth="1"/>
    <col min="5135" max="5135" width="12.33203125" style="131" customWidth="1"/>
    <col min="5136" max="5136" width="2.5" style="131" customWidth="1"/>
    <col min="5137" max="5137" width="22" style="131" customWidth="1"/>
    <col min="5138" max="5376" width="8.83203125" style="131"/>
    <col min="5377" max="5377" width="19.1640625" style="131" customWidth="1"/>
    <col min="5378" max="5379" width="8.5" style="131" customWidth="1"/>
    <col min="5380" max="5380" width="16.5" style="131" customWidth="1"/>
    <col min="5381" max="5381" width="15" style="131" customWidth="1"/>
    <col min="5382" max="5382" width="8.83203125" style="131"/>
    <col min="5383" max="5383" width="13.83203125" style="131" customWidth="1"/>
    <col min="5384" max="5384" width="0" style="131" hidden="1" customWidth="1"/>
    <col min="5385" max="5385" width="2.5" style="131" customWidth="1"/>
    <col min="5386" max="5386" width="13.6640625" style="131" customWidth="1"/>
    <col min="5387" max="5387" width="11.5" style="131" customWidth="1"/>
    <col min="5388" max="5390" width="12" style="131" customWidth="1"/>
    <col min="5391" max="5391" width="12.33203125" style="131" customWidth="1"/>
    <col min="5392" max="5392" width="2.5" style="131" customWidth="1"/>
    <col min="5393" max="5393" width="22" style="131" customWidth="1"/>
    <col min="5394" max="5632" width="8.83203125" style="131"/>
    <col min="5633" max="5633" width="19.1640625" style="131" customWidth="1"/>
    <col min="5634" max="5635" width="8.5" style="131" customWidth="1"/>
    <col min="5636" max="5636" width="16.5" style="131" customWidth="1"/>
    <col min="5637" max="5637" width="15" style="131" customWidth="1"/>
    <col min="5638" max="5638" width="8.83203125" style="131"/>
    <col min="5639" max="5639" width="13.83203125" style="131" customWidth="1"/>
    <col min="5640" max="5640" width="0" style="131" hidden="1" customWidth="1"/>
    <col min="5641" max="5641" width="2.5" style="131" customWidth="1"/>
    <col min="5642" max="5642" width="13.6640625" style="131" customWidth="1"/>
    <col min="5643" max="5643" width="11.5" style="131" customWidth="1"/>
    <col min="5644" max="5646" width="12" style="131" customWidth="1"/>
    <col min="5647" max="5647" width="12.33203125" style="131" customWidth="1"/>
    <col min="5648" max="5648" width="2.5" style="131" customWidth="1"/>
    <col min="5649" max="5649" width="22" style="131" customWidth="1"/>
    <col min="5650" max="5888" width="8.83203125" style="131"/>
    <col min="5889" max="5889" width="19.1640625" style="131" customWidth="1"/>
    <col min="5890" max="5891" width="8.5" style="131" customWidth="1"/>
    <col min="5892" max="5892" width="16.5" style="131" customWidth="1"/>
    <col min="5893" max="5893" width="15" style="131" customWidth="1"/>
    <col min="5894" max="5894" width="8.83203125" style="131"/>
    <col min="5895" max="5895" width="13.83203125" style="131" customWidth="1"/>
    <col min="5896" max="5896" width="0" style="131" hidden="1" customWidth="1"/>
    <col min="5897" max="5897" width="2.5" style="131" customWidth="1"/>
    <col min="5898" max="5898" width="13.6640625" style="131" customWidth="1"/>
    <col min="5899" max="5899" width="11.5" style="131" customWidth="1"/>
    <col min="5900" max="5902" width="12" style="131" customWidth="1"/>
    <col min="5903" max="5903" width="12.33203125" style="131" customWidth="1"/>
    <col min="5904" max="5904" width="2.5" style="131" customWidth="1"/>
    <col min="5905" max="5905" width="22" style="131" customWidth="1"/>
    <col min="5906" max="6144" width="8.83203125" style="131"/>
    <col min="6145" max="6145" width="19.1640625" style="131" customWidth="1"/>
    <col min="6146" max="6147" width="8.5" style="131" customWidth="1"/>
    <col min="6148" max="6148" width="16.5" style="131" customWidth="1"/>
    <col min="6149" max="6149" width="15" style="131" customWidth="1"/>
    <col min="6150" max="6150" width="8.83203125" style="131"/>
    <col min="6151" max="6151" width="13.83203125" style="131" customWidth="1"/>
    <col min="6152" max="6152" width="0" style="131" hidden="1" customWidth="1"/>
    <col min="6153" max="6153" width="2.5" style="131" customWidth="1"/>
    <col min="6154" max="6154" width="13.6640625" style="131" customWidth="1"/>
    <col min="6155" max="6155" width="11.5" style="131" customWidth="1"/>
    <col min="6156" max="6158" width="12" style="131" customWidth="1"/>
    <col min="6159" max="6159" width="12.33203125" style="131" customWidth="1"/>
    <col min="6160" max="6160" width="2.5" style="131" customWidth="1"/>
    <col min="6161" max="6161" width="22" style="131" customWidth="1"/>
    <col min="6162" max="6400" width="8.83203125" style="131"/>
    <col min="6401" max="6401" width="19.1640625" style="131" customWidth="1"/>
    <col min="6402" max="6403" width="8.5" style="131" customWidth="1"/>
    <col min="6404" max="6404" width="16.5" style="131" customWidth="1"/>
    <col min="6405" max="6405" width="15" style="131" customWidth="1"/>
    <col min="6406" max="6406" width="8.83203125" style="131"/>
    <col min="6407" max="6407" width="13.83203125" style="131" customWidth="1"/>
    <col min="6408" max="6408" width="0" style="131" hidden="1" customWidth="1"/>
    <col min="6409" max="6409" width="2.5" style="131" customWidth="1"/>
    <col min="6410" max="6410" width="13.6640625" style="131" customWidth="1"/>
    <col min="6411" max="6411" width="11.5" style="131" customWidth="1"/>
    <col min="6412" max="6414" width="12" style="131" customWidth="1"/>
    <col min="6415" max="6415" width="12.33203125" style="131" customWidth="1"/>
    <col min="6416" max="6416" width="2.5" style="131" customWidth="1"/>
    <col min="6417" max="6417" width="22" style="131" customWidth="1"/>
    <col min="6418" max="6656" width="8.83203125" style="131"/>
    <col min="6657" max="6657" width="19.1640625" style="131" customWidth="1"/>
    <col min="6658" max="6659" width="8.5" style="131" customWidth="1"/>
    <col min="6660" max="6660" width="16.5" style="131" customWidth="1"/>
    <col min="6661" max="6661" width="15" style="131" customWidth="1"/>
    <col min="6662" max="6662" width="8.83203125" style="131"/>
    <col min="6663" max="6663" width="13.83203125" style="131" customWidth="1"/>
    <col min="6664" max="6664" width="0" style="131" hidden="1" customWidth="1"/>
    <col min="6665" max="6665" width="2.5" style="131" customWidth="1"/>
    <col min="6666" max="6666" width="13.6640625" style="131" customWidth="1"/>
    <col min="6667" max="6667" width="11.5" style="131" customWidth="1"/>
    <col min="6668" max="6670" width="12" style="131" customWidth="1"/>
    <col min="6671" max="6671" width="12.33203125" style="131" customWidth="1"/>
    <col min="6672" max="6672" width="2.5" style="131" customWidth="1"/>
    <col min="6673" max="6673" width="22" style="131" customWidth="1"/>
    <col min="6674" max="6912" width="8.83203125" style="131"/>
    <col min="6913" max="6913" width="19.1640625" style="131" customWidth="1"/>
    <col min="6914" max="6915" width="8.5" style="131" customWidth="1"/>
    <col min="6916" max="6916" width="16.5" style="131" customWidth="1"/>
    <col min="6917" max="6917" width="15" style="131" customWidth="1"/>
    <col min="6918" max="6918" width="8.83203125" style="131"/>
    <col min="6919" max="6919" width="13.83203125" style="131" customWidth="1"/>
    <col min="6920" max="6920" width="0" style="131" hidden="1" customWidth="1"/>
    <col min="6921" max="6921" width="2.5" style="131" customWidth="1"/>
    <col min="6922" max="6922" width="13.6640625" style="131" customWidth="1"/>
    <col min="6923" max="6923" width="11.5" style="131" customWidth="1"/>
    <col min="6924" max="6926" width="12" style="131" customWidth="1"/>
    <col min="6927" max="6927" width="12.33203125" style="131" customWidth="1"/>
    <col min="6928" max="6928" width="2.5" style="131" customWidth="1"/>
    <col min="6929" max="6929" width="22" style="131" customWidth="1"/>
    <col min="6930" max="7168" width="8.83203125" style="131"/>
    <col min="7169" max="7169" width="19.1640625" style="131" customWidth="1"/>
    <col min="7170" max="7171" width="8.5" style="131" customWidth="1"/>
    <col min="7172" max="7172" width="16.5" style="131" customWidth="1"/>
    <col min="7173" max="7173" width="15" style="131" customWidth="1"/>
    <col min="7174" max="7174" width="8.83203125" style="131"/>
    <col min="7175" max="7175" width="13.83203125" style="131" customWidth="1"/>
    <col min="7176" max="7176" width="0" style="131" hidden="1" customWidth="1"/>
    <col min="7177" max="7177" width="2.5" style="131" customWidth="1"/>
    <col min="7178" max="7178" width="13.6640625" style="131" customWidth="1"/>
    <col min="7179" max="7179" width="11.5" style="131" customWidth="1"/>
    <col min="7180" max="7182" width="12" style="131" customWidth="1"/>
    <col min="7183" max="7183" width="12.33203125" style="131" customWidth="1"/>
    <col min="7184" max="7184" width="2.5" style="131" customWidth="1"/>
    <col min="7185" max="7185" width="22" style="131" customWidth="1"/>
    <col min="7186" max="7424" width="8.83203125" style="131"/>
    <col min="7425" max="7425" width="19.1640625" style="131" customWidth="1"/>
    <col min="7426" max="7427" width="8.5" style="131" customWidth="1"/>
    <col min="7428" max="7428" width="16.5" style="131" customWidth="1"/>
    <col min="7429" max="7429" width="15" style="131" customWidth="1"/>
    <col min="7430" max="7430" width="8.83203125" style="131"/>
    <col min="7431" max="7431" width="13.83203125" style="131" customWidth="1"/>
    <col min="7432" max="7432" width="0" style="131" hidden="1" customWidth="1"/>
    <col min="7433" max="7433" width="2.5" style="131" customWidth="1"/>
    <col min="7434" max="7434" width="13.6640625" style="131" customWidth="1"/>
    <col min="7435" max="7435" width="11.5" style="131" customWidth="1"/>
    <col min="7436" max="7438" width="12" style="131" customWidth="1"/>
    <col min="7439" max="7439" width="12.33203125" style="131" customWidth="1"/>
    <col min="7440" max="7440" width="2.5" style="131" customWidth="1"/>
    <col min="7441" max="7441" width="22" style="131" customWidth="1"/>
    <col min="7442" max="7680" width="8.83203125" style="131"/>
    <col min="7681" max="7681" width="19.1640625" style="131" customWidth="1"/>
    <col min="7682" max="7683" width="8.5" style="131" customWidth="1"/>
    <col min="7684" max="7684" width="16.5" style="131" customWidth="1"/>
    <col min="7685" max="7685" width="15" style="131" customWidth="1"/>
    <col min="7686" max="7686" width="8.83203125" style="131"/>
    <col min="7687" max="7687" width="13.83203125" style="131" customWidth="1"/>
    <col min="7688" max="7688" width="0" style="131" hidden="1" customWidth="1"/>
    <col min="7689" max="7689" width="2.5" style="131" customWidth="1"/>
    <col min="7690" max="7690" width="13.6640625" style="131" customWidth="1"/>
    <col min="7691" max="7691" width="11.5" style="131" customWidth="1"/>
    <col min="7692" max="7694" width="12" style="131" customWidth="1"/>
    <col min="7695" max="7695" width="12.33203125" style="131" customWidth="1"/>
    <col min="7696" max="7696" width="2.5" style="131" customWidth="1"/>
    <col min="7697" max="7697" width="22" style="131" customWidth="1"/>
    <col min="7698" max="7936" width="8.83203125" style="131"/>
    <col min="7937" max="7937" width="19.1640625" style="131" customWidth="1"/>
    <col min="7938" max="7939" width="8.5" style="131" customWidth="1"/>
    <col min="7940" max="7940" width="16.5" style="131" customWidth="1"/>
    <col min="7941" max="7941" width="15" style="131" customWidth="1"/>
    <col min="7942" max="7942" width="8.83203125" style="131"/>
    <col min="7943" max="7943" width="13.83203125" style="131" customWidth="1"/>
    <col min="7944" max="7944" width="0" style="131" hidden="1" customWidth="1"/>
    <col min="7945" max="7945" width="2.5" style="131" customWidth="1"/>
    <col min="7946" max="7946" width="13.6640625" style="131" customWidth="1"/>
    <col min="7947" max="7947" width="11.5" style="131" customWidth="1"/>
    <col min="7948" max="7950" width="12" style="131" customWidth="1"/>
    <col min="7951" max="7951" width="12.33203125" style="131" customWidth="1"/>
    <col min="7952" max="7952" width="2.5" style="131" customWidth="1"/>
    <col min="7953" max="7953" width="22" style="131" customWidth="1"/>
    <col min="7954" max="8192" width="8.83203125" style="131"/>
    <col min="8193" max="8193" width="19.1640625" style="131" customWidth="1"/>
    <col min="8194" max="8195" width="8.5" style="131" customWidth="1"/>
    <col min="8196" max="8196" width="16.5" style="131" customWidth="1"/>
    <col min="8197" max="8197" width="15" style="131" customWidth="1"/>
    <col min="8198" max="8198" width="8.83203125" style="131"/>
    <col min="8199" max="8199" width="13.83203125" style="131" customWidth="1"/>
    <col min="8200" max="8200" width="0" style="131" hidden="1" customWidth="1"/>
    <col min="8201" max="8201" width="2.5" style="131" customWidth="1"/>
    <col min="8202" max="8202" width="13.6640625" style="131" customWidth="1"/>
    <col min="8203" max="8203" width="11.5" style="131" customWidth="1"/>
    <col min="8204" max="8206" width="12" style="131" customWidth="1"/>
    <col min="8207" max="8207" width="12.33203125" style="131" customWidth="1"/>
    <col min="8208" max="8208" width="2.5" style="131" customWidth="1"/>
    <col min="8209" max="8209" width="22" style="131" customWidth="1"/>
    <col min="8210" max="8448" width="8.83203125" style="131"/>
    <col min="8449" max="8449" width="19.1640625" style="131" customWidth="1"/>
    <col min="8450" max="8451" width="8.5" style="131" customWidth="1"/>
    <col min="8452" max="8452" width="16.5" style="131" customWidth="1"/>
    <col min="8453" max="8453" width="15" style="131" customWidth="1"/>
    <col min="8454" max="8454" width="8.83203125" style="131"/>
    <col min="8455" max="8455" width="13.83203125" style="131" customWidth="1"/>
    <col min="8456" max="8456" width="0" style="131" hidden="1" customWidth="1"/>
    <col min="8457" max="8457" width="2.5" style="131" customWidth="1"/>
    <col min="8458" max="8458" width="13.6640625" style="131" customWidth="1"/>
    <col min="8459" max="8459" width="11.5" style="131" customWidth="1"/>
    <col min="8460" max="8462" width="12" style="131" customWidth="1"/>
    <col min="8463" max="8463" width="12.33203125" style="131" customWidth="1"/>
    <col min="8464" max="8464" width="2.5" style="131" customWidth="1"/>
    <col min="8465" max="8465" width="22" style="131" customWidth="1"/>
    <col min="8466" max="8704" width="8.83203125" style="131"/>
    <col min="8705" max="8705" width="19.1640625" style="131" customWidth="1"/>
    <col min="8706" max="8707" width="8.5" style="131" customWidth="1"/>
    <col min="8708" max="8708" width="16.5" style="131" customWidth="1"/>
    <col min="8709" max="8709" width="15" style="131" customWidth="1"/>
    <col min="8710" max="8710" width="8.83203125" style="131"/>
    <col min="8711" max="8711" width="13.83203125" style="131" customWidth="1"/>
    <col min="8712" max="8712" width="0" style="131" hidden="1" customWidth="1"/>
    <col min="8713" max="8713" width="2.5" style="131" customWidth="1"/>
    <col min="8714" max="8714" width="13.6640625" style="131" customWidth="1"/>
    <col min="8715" max="8715" width="11.5" style="131" customWidth="1"/>
    <col min="8716" max="8718" width="12" style="131" customWidth="1"/>
    <col min="8719" max="8719" width="12.33203125" style="131" customWidth="1"/>
    <col min="8720" max="8720" width="2.5" style="131" customWidth="1"/>
    <col min="8721" max="8721" width="22" style="131" customWidth="1"/>
    <col min="8722" max="8960" width="8.83203125" style="131"/>
    <col min="8961" max="8961" width="19.1640625" style="131" customWidth="1"/>
    <col min="8962" max="8963" width="8.5" style="131" customWidth="1"/>
    <col min="8964" max="8964" width="16.5" style="131" customWidth="1"/>
    <col min="8965" max="8965" width="15" style="131" customWidth="1"/>
    <col min="8966" max="8966" width="8.83203125" style="131"/>
    <col min="8967" max="8967" width="13.83203125" style="131" customWidth="1"/>
    <col min="8968" max="8968" width="0" style="131" hidden="1" customWidth="1"/>
    <col min="8969" max="8969" width="2.5" style="131" customWidth="1"/>
    <col min="8970" max="8970" width="13.6640625" style="131" customWidth="1"/>
    <col min="8971" max="8971" width="11.5" style="131" customWidth="1"/>
    <col min="8972" max="8974" width="12" style="131" customWidth="1"/>
    <col min="8975" max="8975" width="12.33203125" style="131" customWidth="1"/>
    <col min="8976" max="8976" width="2.5" style="131" customWidth="1"/>
    <col min="8977" max="8977" width="22" style="131" customWidth="1"/>
    <col min="8978" max="9216" width="8.83203125" style="131"/>
    <col min="9217" max="9217" width="19.1640625" style="131" customWidth="1"/>
    <col min="9218" max="9219" width="8.5" style="131" customWidth="1"/>
    <col min="9220" max="9220" width="16.5" style="131" customWidth="1"/>
    <col min="9221" max="9221" width="15" style="131" customWidth="1"/>
    <col min="9222" max="9222" width="8.83203125" style="131"/>
    <col min="9223" max="9223" width="13.83203125" style="131" customWidth="1"/>
    <col min="9224" max="9224" width="0" style="131" hidden="1" customWidth="1"/>
    <col min="9225" max="9225" width="2.5" style="131" customWidth="1"/>
    <col min="9226" max="9226" width="13.6640625" style="131" customWidth="1"/>
    <col min="9227" max="9227" width="11.5" style="131" customWidth="1"/>
    <col min="9228" max="9230" width="12" style="131" customWidth="1"/>
    <col min="9231" max="9231" width="12.33203125" style="131" customWidth="1"/>
    <col min="9232" max="9232" width="2.5" style="131" customWidth="1"/>
    <col min="9233" max="9233" width="22" style="131" customWidth="1"/>
    <col min="9234" max="9472" width="8.83203125" style="131"/>
    <col min="9473" max="9473" width="19.1640625" style="131" customWidth="1"/>
    <col min="9474" max="9475" width="8.5" style="131" customWidth="1"/>
    <col min="9476" max="9476" width="16.5" style="131" customWidth="1"/>
    <col min="9477" max="9477" width="15" style="131" customWidth="1"/>
    <col min="9478" max="9478" width="8.83203125" style="131"/>
    <col min="9479" max="9479" width="13.83203125" style="131" customWidth="1"/>
    <col min="9480" max="9480" width="0" style="131" hidden="1" customWidth="1"/>
    <col min="9481" max="9481" width="2.5" style="131" customWidth="1"/>
    <col min="9482" max="9482" width="13.6640625" style="131" customWidth="1"/>
    <col min="9483" max="9483" width="11.5" style="131" customWidth="1"/>
    <col min="9484" max="9486" width="12" style="131" customWidth="1"/>
    <col min="9487" max="9487" width="12.33203125" style="131" customWidth="1"/>
    <col min="9488" max="9488" width="2.5" style="131" customWidth="1"/>
    <col min="9489" max="9489" width="22" style="131" customWidth="1"/>
    <col min="9490" max="9728" width="8.83203125" style="131"/>
    <col min="9729" max="9729" width="19.1640625" style="131" customWidth="1"/>
    <col min="9730" max="9731" width="8.5" style="131" customWidth="1"/>
    <col min="9732" max="9732" width="16.5" style="131" customWidth="1"/>
    <col min="9733" max="9733" width="15" style="131" customWidth="1"/>
    <col min="9734" max="9734" width="8.83203125" style="131"/>
    <col min="9735" max="9735" width="13.83203125" style="131" customWidth="1"/>
    <col min="9736" max="9736" width="0" style="131" hidden="1" customWidth="1"/>
    <col min="9737" max="9737" width="2.5" style="131" customWidth="1"/>
    <col min="9738" max="9738" width="13.6640625" style="131" customWidth="1"/>
    <col min="9739" max="9739" width="11.5" style="131" customWidth="1"/>
    <col min="9740" max="9742" width="12" style="131" customWidth="1"/>
    <col min="9743" max="9743" width="12.33203125" style="131" customWidth="1"/>
    <col min="9744" max="9744" width="2.5" style="131" customWidth="1"/>
    <col min="9745" max="9745" width="22" style="131" customWidth="1"/>
    <col min="9746" max="9984" width="8.83203125" style="131"/>
    <col min="9985" max="9985" width="19.1640625" style="131" customWidth="1"/>
    <col min="9986" max="9987" width="8.5" style="131" customWidth="1"/>
    <col min="9988" max="9988" width="16.5" style="131" customWidth="1"/>
    <col min="9989" max="9989" width="15" style="131" customWidth="1"/>
    <col min="9990" max="9990" width="8.83203125" style="131"/>
    <col min="9991" max="9991" width="13.83203125" style="131" customWidth="1"/>
    <col min="9992" max="9992" width="0" style="131" hidden="1" customWidth="1"/>
    <col min="9993" max="9993" width="2.5" style="131" customWidth="1"/>
    <col min="9994" max="9994" width="13.6640625" style="131" customWidth="1"/>
    <col min="9995" max="9995" width="11.5" style="131" customWidth="1"/>
    <col min="9996" max="9998" width="12" style="131" customWidth="1"/>
    <col min="9999" max="9999" width="12.33203125" style="131" customWidth="1"/>
    <col min="10000" max="10000" width="2.5" style="131" customWidth="1"/>
    <col min="10001" max="10001" width="22" style="131" customWidth="1"/>
    <col min="10002" max="10240" width="8.83203125" style="131"/>
    <col min="10241" max="10241" width="19.1640625" style="131" customWidth="1"/>
    <col min="10242" max="10243" width="8.5" style="131" customWidth="1"/>
    <col min="10244" max="10244" width="16.5" style="131" customWidth="1"/>
    <col min="10245" max="10245" width="15" style="131" customWidth="1"/>
    <col min="10246" max="10246" width="8.83203125" style="131"/>
    <col min="10247" max="10247" width="13.83203125" style="131" customWidth="1"/>
    <col min="10248" max="10248" width="0" style="131" hidden="1" customWidth="1"/>
    <col min="10249" max="10249" width="2.5" style="131" customWidth="1"/>
    <col min="10250" max="10250" width="13.6640625" style="131" customWidth="1"/>
    <col min="10251" max="10251" width="11.5" style="131" customWidth="1"/>
    <col min="10252" max="10254" width="12" style="131" customWidth="1"/>
    <col min="10255" max="10255" width="12.33203125" style="131" customWidth="1"/>
    <col min="10256" max="10256" width="2.5" style="131" customWidth="1"/>
    <col min="10257" max="10257" width="22" style="131" customWidth="1"/>
    <col min="10258" max="10496" width="8.83203125" style="131"/>
    <col min="10497" max="10497" width="19.1640625" style="131" customWidth="1"/>
    <col min="10498" max="10499" width="8.5" style="131" customWidth="1"/>
    <col min="10500" max="10500" width="16.5" style="131" customWidth="1"/>
    <col min="10501" max="10501" width="15" style="131" customWidth="1"/>
    <col min="10502" max="10502" width="8.83203125" style="131"/>
    <col min="10503" max="10503" width="13.83203125" style="131" customWidth="1"/>
    <col min="10504" max="10504" width="0" style="131" hidden="1" customWidth="1"/>
    <col min="10505" max="10505" width="2.5" style="131" customWidth="1"/>
    <col min="10506" max="10506" width="13.6640625" style="131" customWidth="1"/>
    <col min="10507" max="10507" width="11.5" style="131" customWidth="1"/>
    <col min="10508" max="10510" width="12" style="131" customWidth="1"/>
    <col min="10511" max="10511" width="12.33203125" style="131" customWidth="1"/>
    <col min="10512" max="10512" width="2.5" style="131" customWidth="1"/>
    <col min="10513" max="10513" width="22" style="131" customWidth="1"/>
    <col min="10514" max="10752" width="8.83203125" style="131"/>
    <col min="10753" max="10753" width="19.1640625" style="131" customWidth="1"/>
    <col min="10754" max="10755" width="8.5" style="131" customWidth="1"/>
    <col min="10756" max="10756" width="16.5" style="131" customWidth="1"/>
    <col min="10757" max="10757" width="15" style="131" customWidth="1"/>
    <col min="10758" max="10758" width="8.83203125" style="131"/>
    <col min="10759" max="10759" width="13.83203125" style="131" customWidth="1"/>
    <col min="10760" max="10760" width="0" style="131" hidden="1" customWidth="1"/>
    <col min="10761" max="10761" width="2.5" style="131" customWidth="1"/>
    <col min="10762" max="10762" width="13.6640625" style="131" customWidth="1"/>
    <col min="10763" max="10763" width="11.5" style="131" customWidth="1"/>
    <col min="10764" max="10766" width="12" style="131" customWidth="1"/>
    <col min="10767" max="10767" width="12.33203125" style="131" customWidth="1"/>
    <col min="10768" max="10768" width="2.5" style="131" customWidth="1"/>
    <col min="10769" max="10769" width="22" style="131" customWidth="1"/>
    <col min="10770" max="11008" width="8.83203125" style="131"/>
    <col min="11009" max="11009" width="19.1640625" style="131" customWidth="1"/>
    <col min="11010" max="11011" width="8.5" style="131" customWidth="1"/>
    <col min="11012" max="11012" width="16.5" style="131" customWidth="1"/>
    <col min="11013" max="11013" width="15" style="131" customWidth="1"/>
    <col min="11014" max="11014" width="8.83203125" style="131"/>
    <col min="11015" max="11015" width="13.83203125" style="131" customWidth="1"/>
    <col min="11016" max="11016" width="0" style="131" hidden="1" customWidth="1"/>
    <col min="11017" max="11017" width="2.5" style="131" customWidth="1"/>
    <col min="11018" max="11018" width="13.6640625" style="131" customWidth="1"/>
    <col min="11019" max="11019" width="11.5" style="131" customWidth="1"/>
    <col min="11020" max="11022" width="12" style="131" customWidth="1"/>
    <col min="11023" max="11023" width="12.33203125" style="131" customWidth="1"/>
    <col min="11024" max="11024" width="2.5" style="131" customWidth="1"/>
    <col min="11025" max="11025" width="22" style="131" customWidth="1"/>
    <col min="11026" max="11264" width="8.83203125" style="131"/>
    <col min="11265" max="11265" width="19.1640625" style="131" customWidth="1"/>
    <col min="11266" max="11267" width="8.5" style="131" customWidth="1"/>
    <col min="11268" max="11268" width="16.5" style="131" customWidth="1"/>
    <col min="11269" max="11269" width="15" style="131" customWidth="1"/>
    <col min="11270" max="11270" width="8.83203125" style="131"/>
    <col min="11271" max="11271" width="13.83203125" style="131" customWidth="1"/>
    <col min="11272" max="11272" width="0" style="131" hidden="1" customWidth="1"/>
    <col min="11273" max="11273" width="2.5" style="131" customWidth="1"/>
    <col min="11274" max="11274" width="13.6640625" style="131" customWidth="1"/>
    <col min="11275" max="11275" width="11.5" style="131" customWidth="1"/>
    <col min="11276" max="11278" width="12" style="131" customWidth="1"/>
    <col min="11279" max="11279" width="12.33203125" style="131" customWidth="1"/>
    <col min="11280" max="11280" width="2.5" style="131" customWidth="1"/>
    <col min="11281" max="11281" width="22" style="131" customWidth="1"/>
    <col min="11282" max="11520" width="8.83203125" style="131"/>
    <col min="11521" max="11521" width="19.1640625" style="131" customWidth="1"/>
    <col min="11522" max="11523" width="8.5" style="131" customWidth="1"/>
    <col min="11524" max="11524" width="16.5" style="131" customWidth="1"/>
    <col min="11525" max="11525" width="15" style="131" customWidth="1"/>
    <col min="11526" max="11526" width="8.83203125" style="131"/>
    <col min="11527" max="11527" width="13.83203125" style="131" customWidth="1"/>
    <col min="11528" max="11528" width="0" style="131" hidden="1" customWidth="1"/>
    <col min="11529" max="11529" width="2.5" style="131" customWidth="1"/>
    <col min="11530" max="11530" width="13.6640625" style="131" customWidth="1"/>
    <col min="11531" max="11531" width="11.5" style="131" customWidth="1"/>
    <col min="11532" max="11534" width="12" style="131" customWidth="1"/>
    <col min="11535" max="11535" width="12.33203125" style="131" customWidth="1"/>
    <col min="11536" max="11536" width="2.5" style="131" customWidth="1"/>
    <col min="11537" max="11537" width="22" style="131" customWidth="1"/>
    <col min="11538" max="11776" width="8.83203125" style="131"/>
    <col min="11777" max="11777" width="19.1640625" style="131" customWidth="1"/>
    <col min="11778" max="11779" width="8.5" style="131" customWidth="1"/>
    <col min="11780" max="11780" width="16.5" style="131" customWidth="1"/>
    <col min="11781" max="11781" width="15" style="131" customWidth="1"/>
    <col min="11782" max="11782" width="8.83203125" style="131"/>
    <col min="11783" max="11783" width="13.83203125" style="131" customWidth="1"/>
    <col min="11784" max="11784" width="0" style="131" hidden="1" customWidth="1"/>
    <col min="11785" max="11785" width="2.5" style="131" customWidth="1"/>
    <col min="11786" max="11786" width="13.6640625" style="131" customWidth="1"/>
    <col min="11787" max="11787" width="11.5" style="131" customWidth="1"/>
    <col min="11788" max="11790" width="12" style="131" customWidth="1"/>
    <col min="11791" max="11791" width="12.33203125" style="131" customWidth="1"/>
    <col min="11792" max="11792" width="2.5" style="131" customWidth="1"/>
    <col min="11793" max="11793" width="22" style="131" customWidth="1"/>
    <col min="11794" max="12032" width="8.83203125" style="131"/>
    <col min="12033" max="12033" width="19.1640625" style="131" customWidth="1"/>
    <col min="12034" max="12035" width="8.5" style="131" customWidth="1"/>
    <col min="12036" max="12036" width="16.5" style="131" customWidth="1"/>
    <col min="12037" max="12037" width="15" style="131" customWidth="1"/>
    <col min="12038" max="12038" width="8.83203125" style="131"/>
    <col min="12039" max="12039" width="13.83203125" style="131" customWidth="1"/>
    <col min="12040" max="12040" width="0" style="131" hidden="1" customWidth="1"/>
    <col min="12041" max="12041" width="2.5" style="131" customWidth="1"/>
    <col min="12042" max="12042" width="13.6640625" style="131" customWidth="1"/>
    <col min="12043" max="12043" width="11.5" style="131" customWidth="1"/>
    <col min="12044" max="12046" width="12" style="131" customWidth="1"/>
    <col min="12047" max="12047" width="12.33203125" style="131" customWidth="1"/>
    <col min="12048" max="12048" width="2.5" style="131" customWidth="1"/>
    <col min="12049" max="12049" width="22" style="131" customWidth="1"/>
    <col min="12050" max="12288" width="8.83203125" style="131"/>
    <col min="12289" max="12289" width="19.1640625" style="131" customWidth="1"/>
    <col min="12290" max="12291" width="8.5" style="131" customWidth="1"/>
    <col min="12292" max="12292" width="16.5" style="131" customWidth="1"/>
    <col min="12293" max="12293" width="15" style="131" customWidth="1"/>
    <col min="12294" max="12294" width="8.83203125" style="131"/>
    <col min="12295" max="12295" width="13.83203125" style="131" customWidth="1"/>
    <col min="12296" max="12296" width="0" style="131" hidden="1" customWidth="1"/>
    <col min="12297" max="12297" width="2.5" style="131" customWidth="1"/>
    <col min="12298" max="12298" width="13.6640625" style="131" customWidth="1"/>
    <col min="12299" max="12299" width="11.5" style="131" customWidth="1"/>
    <col min="12300" max="12302" width="12" style="131" customWidth="1"/>
    <col min="12303" max="12303" width="12.33203125" style="131" customWidth="1"/>
    <col min="12304" max="12304" width="2.5" style="131" customWidth="1"/>
    <col min="12305" max="12305" width="22" style="131" customWidth="1"/>
    <col min="12306" max="12544" width="8.83203125" style="131"/>
    <col min="12545" max="12545" width="19.1640625" style="131" customWidth="1"/>
    <col min="12546" max="12547" width="8.5" style="131" customWidth="1"/>
    <col min="12548" max="12548" width="16.5" style="131" customWidth="1"/>
    <col min="12549" max="12549" width="15" style="131" customWidth="1"/>
    <col min="12550" max="12550" width="8.83203125" style="131"/>
    <col min="12551" max="12551" width="13.83203125" style="131" customWidth="1"/>
    <col min="12552" max="12552" width="0" style="131" hidden="1" customWidth="1"/>
    <col min="12553" max="12553" width="2.5" style="131" customWidth="1"/>
    <col min="12554" max="12554" width="13.6640625" style="131" customWidth="1"/>
    <col min="12555" max="12555" width="11.5" style="131" customWidth="1"/>
    <col min="12556" max="12558" width="12" style="131" customWidth="1"/>
    <col min="12559" max="12559" width="12.33203125" style="131" customWidth="1"/>
    <col min="12560" max="12560" width="2.5" style="131" customWidth="1"/>
    <col min="12561" max="12561" width="22" style="131" customWidth="1"/>
    <col min="12562" max="12800" width="8.83203125" style="131"/>
    <col min="12801" max="12801" width="19.1640625" style="131" customWidth="1"/>
    <col min="12802" max="12803" width="8.5" style="131" customWidth="1"/>
    <col min="12804" max="12804" width="16.5" style="131" customWidth="1"/>
    <col min="12805" max="12805" width="15" style="131" customWidth="1"/>
    <col min="12806" max="12806" width="8.83203125" style="131"/>
    <col min="12807" max="12807" width="13.83203125" style="131" customWidth="1"/>
    <col min="12808" max="12808" width="0" style="131" hidden="1" customWidth="1"/>
    <col min="12809" max="12809" width="2.5" style="131" customWidth="1"/>
    <col min="12810" max="12810" width="13.6640625" style="131" customWidth="1"/>
    <col min="12811" max="12811" width="11.5" style="131" customWidth="1"/>
    <col min="12812" max="12814" width="12" style="131" customWidth="1"/>
    <col min="12815" max="12815" width="12.33203125" style="131" customWidth="1"/>
    <col min="12816" max="12816" width="2.5" style="131" customWidth="1"/>
    <col min="12817" max="12817" width="22" style="131" customWidth="1"/>
    <col min="12818" max="13056" width="8.83203125" style="131"/>
    <col min="13057" max="13057" width="19.1640625" style="131" customWidth="1"/>
    <col min="13058" max="13059" width="8.5" style="131" customWidth="1"/>
    <col min="13060" max="13060" width="16.5" style="131" customWidth="1"/>
    <col min="13061" max="13061" width="15" style="131" customWidth="1"/>
    <col min="13062" max="13062" width="8.83203125" style="131"/>
    <col min="13063" max="13063" width="13.83203125" style="131" customWidth="1"/>
    <col min="13064" max="13064" width="0" style="131" hidden="1" customWidth="1"/>
    <col min="13065" max="13065" width="2.5" style="131" customWidth="1"/>
    <col min="13066" max="13066" width="13.6640625" style="131" customWidth="1"/>
    <col min="13067" max="13067" width="11.5" style="131" customWidth="1"/>
    <col min="13068" max="13070" width="12" style="131" customWidth="1"/>
    <col min="13071" max="13071" width="12.33203125" style="131" customWidth="1"/>
    <col min="13072" max="13072" width="2.5" style="131" customWidth="1"/>
    <col min="13073" max="13073" width="22" style="131" customWidth="1"/>
    <col min="13074" max="13312" width="8.83203125" style="131"/>
    <col min="13313" max="13313" width="19.1640625" style="131" customWidth="1"/>
    <col min="13314" max="13315" width="8.5" style="131" customWidth="1"/>
    <col min="13316" max="13316" width="16.5" style="131" customWidth="1"/>
    <col min="13317" max="13317" width="15" style="131" customWidth="1"/>
    <col min="13318" max="13318" width="8.83203125" style="131"/>
    <col min="13319" max="13319" width="13.83203125" style="131" customWidth="1"/>
    <col min="13320" max="13320" width="0" style="131" hidden="1" customWidth="1"/>
    <col min="13321" max="13321" width="2.5" style="131" customWidth="1"/>
    <col min="13322" max="13322" width="13.6640625" style="131" customWidth="1"/>
    <col min="13323" max="13323" width="11.5" style="131" customWidth="1"/>
    <col min="13324" max="13326" width="12" style="131" customWidth="1"/>
    <col min="13327" max="13327" width="12.33203125" style="131" customWidth="1"/>
    <col min="13328" max="13328" width="2.5" style="131" customWidth="1"/>
    <col min="13329" max="13329" width="22" style="131" customWidth="1"/>
    <col min="13330" max="13568" width="8.83203125" style="131"/>
    <col min="13569" max="13569" width="19.1640625" style="131" customWidth="1"/>
    <col min="13570" max="13571" width="8.5" style="131" customWidth="1"/>
    <col min="13572" max="13572" width="16.5" style="131" customWidth="1"/>
    <col min="13573" max="13573" width="15" style="131" customWidth="1"/>
    <col min="13574" max="13574" width="8.83203125" style="131"/>
    <col min="13575" max="13575" width="13.83203125" style="131" customWidth="1"/>
    <col min="13576" max="13576" width="0" style="131" hidden="1" customWidth="1"/>
    <col min="13577" max="13577" width="2.5" style="131" customWidth="1"/>
    <col min="13578" max="13578" width="13.6640625" style="131" customWidth="1"/>
    <col min="13579" max="13579" width="11.5" style="131" customWidth="1"/>
    <col min="13580" max="13582" width="12" style="131" customWidth="1"/>
    <col min="13583" max="13583" width="12.33203125" style="131" customWidth="1"/>
    <col min="13584" max="13584" width="2.5" style="131" customWidth="1"/>
    <col min="13585" max="13585" width="22" style="131" customWidth="1"/>
    <col min="13586" max="13824" width="8.83203125" style="131"/>
    <col min="13825" max="13825" width="19.1640625" style="131" customWidth="1"/>
    <col min="13826" max="13827" width="8.5" style="131" customWidth="1"/>
    <col min="13828" max="13828" width="16.5" style="131" customWidth="1"/>
    <col min="13829" max="13829" width="15" style="131" customWidth="1"/>
    <col min="13830" max="13830" width="8.83203125" style="131"/>
    <col min="13831" max="13831" width="13.83203125" style="131" customWidth="1"/>
    <col min="13832" max="13832" width="0" style="131" hidden="1" customWidth="1"/>
    <col min="13833" max="13833" width="2.5" style="131" customWidth="1"/>
    <col min="13834" max="13834" width="13.6640625" style="131" customWidth="1"/>
    <col min="13835" max="13835" width="11.5" style="131" customWidth="1"/>
    <col min="13836" max="13838" width="12" style="131" customWidth="1"/>
    <col min="13839" max="13839" width="12.33203125" style="131" customWidth="1"/>
    <col min="13840" max="13840" width="2.5" style="131" customWidth="1"/>
    <col min="13841" max="13841" width="22" style="131" customWidth="1"/>
    <col min="13842" max="14080" width="8.83203125" style="131"/>
    <col min="14081" max="14081" width="19.1640625" style="131" customWidth="1"/>
    <col min="14082" max="14083" width="8.5" style="131" customWidth="1"/>
    <col min="14084" max="14084" width="16.5" style="131" customWidth="1"/>
    <col min="14085" max="14085" width="15" style="131" customWidth="1"/>
    <col min="14086" max="14086" width="8.83203125" style="131"/>
    <col min="14087" max="14087" width="13.83203125" style="131" customWidth="1"/>
    <col min="14088" max="14088" width="0" style="131" hidden="1" customWidth="1"/>
    <col min="14089" max="14089" width="2.5" style="131" customWidth="1"/>
    <col min="14090" max="14090" width="13.6640625" style="131" customWidth="1"/>
    <col min="14091" max="14091" width="11.5" style="131" customWidth="1"/>
    <col min="14092" max="14094" width="12" style="131" customWidth="1"/>
    <col min="14095" max="14095" width="12.33203125" style="131" customWidth="1"/>
    <col min="14096" max="14096" width="2.5" style="131" customWidth="1"/>
    <col min="14097" max="14097" width="22" style="131" customWidth="1"/>
    <col min="14098" max="14336" width="8.83203125" style="131"/>
    <col min="14337" max="14337" width="19.1640625" style="131" customWidth="1"/>
    <col min="14338" max="14339" width="8.5" style="131" customWidth="1"/>
    <col min="14340" max="14340" width="16.5" style="131" customWidth="1"/>
    <col min="14341" max="14341" width="15" style="131" customWidth="1"/>
    <col min="14342" max="14342" width="8.83203125" style="131"/>
    <col min="14343" max="14343" width="13.83203125" style="131" customWidth="1"/>
    <col min="14344" max="14344" width="0" style="131" hidden="1" customWidth="1"/>
    <col min="14345" max="14345" width="2.5" style="131" customWidth="1"/>
    <col min="14346" max="14346" width="13.6640625" style="131" customWidth="1"/>
    <col min="14347" max="14347" width="11.5" style="131" customWidth="1"/>
    <col min="14348" max="14350" width="12" style="131" customWidth="1"/>
    <col min="14351" max="14351" width="12.33203125" style="131" customWidth="1"/>
    <col min="14352" max="14352" width="2.5" style="131" customWidth="1"/>
    <col min="14353" max="14353" width="22" style="131" customWidth="1"/>
    <col min="14354" max="14592" width="8.83203125" style="131"/>
    <col min="14593" max="14593" width="19.1640625" style="131" customWidth="1"/>
    <col min="14594" max="14595" width="8.5" style="131" customWidth="1"/>
    <col min="14596" max="14596" width="16.5" style="131" customWidth="1"/>
    <col min="14597" max="14597" width="15" style="131" customWidth="1"/>
    <col min="14598" max="14598" width="8.83203125" style="131"/>
    <col min="14599" max="14599" width="13.83203125" style="131" customWidth="1"/>
    <col min="14600" max="14600" width="0" style="131" hidden="1" customWidth="1"/>
    <col min="14601" max="14601" width="2.5" style="131" customWidth="1"/>
    <col min="14602" max="14602" width="13.6640625" style="131" customWidth="1"/>
    <col min="14603" max="14603" width="11.5" style="131" customWidth="1"/>
    <col min="14604" max="14606" width="12" style="131" customWidth="1"/>
    <col min="14607" max="14607" width="12.33203125" style="131" customWidth="1"/>
    <col min="14608" max="14608" width="2.5" style="131" customWidth="1"/>
    <col min="14609" max="14609" width="22" style="131" customWidth="1"/>
    <col min="14610" max="14848" width="8.83203125" style="131"/>
    <col min="14849" max="14849" width="19.1640625" style="131" customWidth="1"/>
    <col min="14850" max="14851" width="8.5" style="131" customWidth="1"/>
    <col min="14852" max="14852" width="16.5" style="131" customWidth="1"/>
    <col min="14853" max="14853" width="15" style="131" customWidth="1"/>
    <col min="14854" max="14854" width="8.83203125" style="131"/>
    <col min="14855" max="14855" width="13.83203125" style="131" customWidth="1"/>
    <col min="14856" max="14856" width="0" style="131" hidden="1" customWidth="1"/>
    <col min="14857" max="14857" width="2.5" style="131" customWidth="1"/>
    <col min="14858" max="14858" width="13.6640625" style="131" customWidth="1"/>
    <col min="14859" max="14859" width="11.5" style="131" customWidth="1"/>
    <col min="14860" max="14862" width="12" style="131" customWidth="1"/>
    <col min="14863" max="14863" width="12.33203125" style="131" customWidth="1"/>
    <col min="14864" max="14864" width="2.5" style="131" customWidth="1"/>
    <col min="14865" max="14865" width="22" style="131" customWidth="1"/>
    <col min="14866" max="15104" width="8.83203125" style="131"/>
    <col min="15105" max="15105" width="19.1640625" style="131" customWidth="1"/>
    <col min="15106" max="15107" width="8.5" style="131" customWidth="1"/>
    <col min="15108" max="15108" width="16.5" style="131" customWidth="1"/>
    <col min="15109" max="15109" width="15" style="131" customWidth="1"/>
    <col min="15110" max="15110" width="8.83203125" style="131"/>
    <col min="15111" max="15111" width="13.83203125" style="131" customWidth="1"/>
    <col min="15112" max="15112" width="0" style="131" hidden="1" customWidth="1"/>
    <col min="15113" max="15113" width="2.5" style="131" customWidth="1"/>
    <col min="15114" max="15114" width="13.6640625" style="131" customWidth="1"/>
    <col min="15115" max="15115" width="11.5" style="131" customWidth="1"/>
    <col min="15116" max="15118" width="12" style="131" customWidth="1"/>
    <col min="15119" max="15119" width="12.33203125" style="131" customWidth="1"/>
    <col min="15120" max="15120" width="2.5" style="131" customWidth="1"/>
    <col min="15121" max="15121" width="22" style="131" customWidth="1"/>
    <col min="15122" max="15360" width="8.83203125" style="131"/>
    <col min="15361" max="15361" width="19.1640625" style="131" customWidth="1"/>
    <col min="15362" max="15363" width="8.5" style="131" customWidth="1"/>
    <col min="15364" max="15364" width="16.5" style="131" customWidth="1"/>
    <col min="15365" max="15365" width="15" style="131" customWidth="1"/>
    <col min="15366" max="15366" width="8.83203125" style="131"/>
    <col min="15367" max="15367" width="13.83203125" style="131" customWidth="1"/>
    <col min="15368" max="15368" width="0" style="131" hidden="1" customWidth="1"/>
    <col min="15369" max="15369" width="2.5" style="131" customWidth="1"/>
    <col min="15370" max="15370" width="13.6640625" style="131" customWidth="1"/>
    <col min="15371" max="15371" width="11.5" style="131" customWidth="1"/>
    <col min="15372" max="15374" width="12" style="131" customWidth="1"/>
    <col min="15375" max="15375" width="12.33203125" style="131" customWidth="1"/>
    <col min="15376" max="15376" width="2.5" style="131" customWidth="1"/>
    <col min="15377" max="15377" width="22" style="131" customWidth="1"/>
    <col min="15378" max="15616" width="8.83203125" style="131"/>
    <col min="15617" max="15617" width="19.1640625" style="131" customWidth="1"/>
    <col min="15618" max="15619" width="8.5" style="131" customWidth="1"/>
    <col min="15620" max="15620" width="16.5" style="131" customWidth="1"/>
    <col min="15621" max="15621" width="15" style="131" customWidth="1"/>
    <col min="15622" max="15622" width="8.83203125" style="131"/>
    <col min="15623" max="15623" width="13.83203125" style="131" customWidth="1"/>
    <col min="15624" max="15624" width="0" style="131" hidden="1" customWidth="1"/>
    <col min="15625" max="15625" width="2.5" style="131" customWidth="1"/>
    <col min="15626" max="15626" width="13.6640625" style="131" customWidth="1"/>
    <col min="15627" max="15627" width="11.5" style="131" customWidth="1"/>
    <col min="15628" max="15630" width="12" style="131" customWidth="1"/>
    <col min="15631" max="15631" width="12.33203125" style="131" customWidth="1"/>
    <col min="15632" max="15632" width="2.5" style="131" customWidth="1"/>
    <col min="15633" max="15633" width="22" style="131" customWidth="1"/>
    <col min="15634" max="15872" width="8.83203125" style="131"/>
    <col min="15873" max="15873" width="19.1640625" style="131" customWidth="1"/>
    <col min="15874" max="15875" width="8.5" style="131" customWidth="1"/>
    <col min="15876" max="15876" width="16.5" style="131" customWidth="1"/>
    <col min="15877" max="15877" width="15" style="131" customWidth="1"/>
    <col min="15878" max="15878" width="8.83203125" style="131"/>
    <col min="15879" max="15879" width="13.83203125" style="131" customWidth="1"/>
    <col min="15880" max="15880" width="0" style="131" hidden="1" customWidth="1"/>
    <col min="15881" max="15881" width="2.5" style="131" customWidth="1"/>
    <col min="15882" max="15882" width="13.6640625" style="131" customWidth="1"/>
    <col min="15883" max="15883" width="11.5" style="131" customWidth="1"/>
    <col min="15884" max="15886" width="12" style="131" customWidth="1"/>
    <col min="15887" max="15887" width="12.33203125" style="131" customWidth="1"/>
    <col min="15888" max="15888" width="2.5" style="131" customWidth="1"/>
    <col min="15889" max="15889" width="22" style="131" customWidth="1"/>
    <col min="15890" max="16128" width="8.83203125" style="131"/>
    <col min="16129" max="16129" width="19.1640625" style="131" customWidth="1"/>
    <col min="16130" max="16131" width="8.5" style="131" customWidth="1"/>
    <col min="16132" max="16132" width="16.5" style="131" customWidth="1"/>
    <col min="16133" max="16133" width="15" style="131" customWidth="1"/>
    <col min="16134" max="16134" width="8.83203125" style="131"/>
    <col min="16135" max="16135" width="13.83203125" style="131" customWidth="1"/>
    <col min="16136" max="16136" width="0" style="131" hidden="1" customWidth="1"/>
    <col min="16137" max="16137" width="2.5" style="131" customWidth="1"/>
    <col min="16138" max="16138" width="13.6640625" style="131" customWidth="1"/>
    <col min="16139" max="16139" width="11.5" style="131" customWidth="1"/>
    <col min="16140" max="16142" width="12" style="131" customWidth="1"/>
    <col min="16143" max="16143" width="12.33203125" style="131" customWidth="1"/>
    <col min="16144" max="16144" width="2.5" style="131" customWidth="1"/>
    <col min="16145" max="16145" width="22" style="131" customWidth="1"/>
    <col min="16146" max="16384" width="8.83203125" style="131"/>
  </cols>
  <sheetData>
    <row r="1" spans="1:36" s="123" customFormat="1" ht="22.5" customHeight="1">
      <c r="A1" s="43" t="s">
        <v>204</v>
      </c>
      <c r="B1" s="44"/>
      <c r="C1" s="44"/>
      <c r="D1" s="44"/>
      <c r="E1" s="44"/>
      <c r="G1" s="124"/>
      <c r="J1" s="125" t="s">
        <v>205</v>
      </c>
      <c r="K1" s="126"/>
      <c r="L1" s="126"/>
      <c r="M1" s="126"/>
      <c r="N1" s="126"/>
      <c r="O1" s="126"/>
      <c r="P1" s="126"/>
      <c r="Q1" s="126"/>
    </row>
    <row r="2" spans="1:36" s="128" customFormat="1" ht="15" customHeight="1">
      <c r="A2" s="127" t="s">
        <v>206</v>
      </c>
      <c r="B2" s="127"/>
      <c r="J2" s="129" t="s">
        <v>206</v>
      </c>
      <c r="K2" s="130"/>
      <c r="L2" s="130"/>
      <c r="M2" s="130"/>
      <c r="N2" s="130"/>
      <c r="O2" s="130"/>
      <c r="P2" s="130"/>
      <c r="Q2" s="130"/>
    </row>
    <row r="3" spans="1:36" ht="11.25" customHeight="1" thickBot="1">
      <c r="A3" s="1980" t="s">
        <v>124</v>
      </c>
      <c r="B3" s="1980"/>
      <c r="C3" s="1980"/>
      <c r="D3" s="1980"/>
      <c r="E3" s="1980"/>
      <c r="F3" s="1980"/>
      <c r="G3" s="1980"/>
      <c r="H3" s="1980"/>
      <c r="J3" s="1980" t="s">
        <v>124</v>
      </c>
      <c r="K3" s="1980"/>
      <c r="L3" s="1980"/>
      <c r="M3" s="1980"/>
      <c r="N3" s="1980"/>
      <c r="O3" s="1980"/>
      <c r="P3" s="1980"/>
      <c r="Q3" s="1980"/>
    </row>
    <row r="4" spans="1:36" s="136" customFormat="1" ht="11.5" customHeight="1" thickTop="1">
      <c r="A4" s="132"/>
      <c r="B4" s="133" t="s">
        <v>207</v>
      </c>
      <c r="C4" s="133" t="s">
        <v>207</v>
      </c>
      <c r="D4" s="134" t="s">
        <v>208</v>
      </c>
      <c r="E4" s="134" t="s">
        <v>209</v>
      </c>
      <c r="F4" s="133" t="s">
        <v>210</v>
      </c>
      <c r="G4" s="133" t="s">
        <v>211</v>
      </c>
      <c r="H4" s="133"/>
      <c r="I4" s="133"/>
      <c r="J4" s="133" t="s">
        <v>212</v>
      </c>
      <c r="K4" s="133" t="s">
        <v>213</v>
      </c>
      <c r="L4" s="133" t="s">
        <v>19</v>
      </c>
      <c r="M4" s="133" t="s">
        <v>1</v>
      </c>
      <c r="N4" s="133" t="s">
        <v>214</v>
      </c>
      <c r="O4" s="133" t="s">
        <v>132</v>
      </c>
      <c r="P4" s="133"/>
      <c r="Q4" s="135"/>
    </row>
    <row r="5" spans="1:36" s="136" customFormat="1" ht="11.5" customHeight="1">
      <c r="A5" s="132"/>
      <c r="B5" s="133" t="s">
        <v>215</v>
      </c>
      <c r="C5" s="133"/>
      <c r="D5" s="134" t="s">
        <v>216</v>
      </c>
      <c r="E5" s="134" t="s">
        <v>217</v>
      </c>
      <c r="F5" s="133" t="s">
        <v>218</v>
      </c>
      <c r="G5" s="133"/>
      <c r="H5" s="133"/>
      <c r="I5" s="133"/>
      <c r="J5" s="133" t="s">
        <v>219</v>
      </c>
      <c r="K5" s="133" t="s">
        <v>220</v>
      </c>
      <c r="L5" s="133"/>
      <c r="M5" s="133" t="s">
        <v>221</v>
      </c>
      <c r="N5" s="133" t="s">
        <v>222</v>
      </c>
      <c r="O5" s="133" t="s">
        <v>223</v>
      </c>
      <c r="P5" s="133"/>
      <c r="Q5" s="135"/>
    </row>
    <row r="6" spans="1:36" s="136" customFormat="1" ht="11.5" customHeight="1" thickBot="1">
      <c r="A6" s="137"/>
      <c r="B6" s="138"/>
      <c r="C6" s="138"/>
      <c r="D6" s="139" t="s">
        <v>224</v>
      </c>
      <c r="E6" s="139" t="s">
        <v>225</v>
      </c>
      <c r="F6" s="138"/>
      <c r="G6" s="138"/>
      <c r="H6" s="140"/>
      <c r="I6" s="133"/>
      <c r="J6" s="138" t="s">
        <v>226</v>
      </c>
      <c r="K6" s="138" t="s">
        <v>227</v>
      </c>
      <c r="L6" s="138"/>
      <c r="M6" s="141" t="s">
        <v>228</v>
      </c>
      <c r="N6" s="142"/>
      <c r="O6" s="138"/>
      <c r="P6" s="138"/>
      <c r="Q6" s="143"/>
    </row>
    <row r="7" spans="1:36" s="136" customFormat="1" ht="11.25" customHeight="1" thickTop="1">
      <c r="A7" s="135" t="s">
        <v>66</v>
      </c>
      <c r="B7" s="144"/>
      <c r="C7" s="144"/>
      <c r="D7" s="144"/>
      <c r="E7" s="144"/>
      <c r="F7" s="144"/>
      <c r="G7" s="145"/>
      <c r="H7" s="144"/>
      <c r="I7" s="144"/>
      <c r="J7" s="145"/>
      <c r="K7" s="144"/>
      <c r="L7" s="144"/>
      <c r="M7" s="144"/>
      <c r="N7" s="144"/>
      <c r="O7" s="144"/>
      <c r="Q7" s="135" t="s">
        <v>66</v>
      </c>
    </row>
    <row r="8" spans="1:36" ht="10.5" customHeight="1">
      <c r="A8" s="47" t="s">
        <v>229</v>
      </c>
      <c r="B8" s="146">
        <v>101.1875650619121</v>
      </c>
      <c r="C8" s="146">
        <v>331.99579631221934</v>
      </c>
      <c r="D8" s="147">
        <v>270.33103810778744</v>
      </c>
      <c r="E8" s="148">
        <v>494.62931041583352</v>
      </c>
      <c r="F8" s="146">
        <v>212.51681751040667</v>
      </c>
      <c r="G8" s="148">
        <v>1547.4640371807147</v>
      </c>
      <c r="H8" s="149"/>
      <c r="I8" s="149"/>
      <c r="J8" s="148">
        <v>956.13709664840496</v>
      </c>
      <c r="K8" s="148">
        <v>46.921341460000001</v>
      </c>
      <c r="L8" s="148">
        <v>437.52315907136716</v>
      </c>
      <c r="M8" s="148">
        <v>453.47067667950006</v>
      </c>
      <c r="N8" s="148">
        <v>395.52126899999996</v>
      </c>
      <c r="O8" s="150">
        <v>5247.6981074481455</v>
      </c>
      <c r="P8" s="151"/>
      <c r="Q8" s="152" t="s">
        <v>229</v>
      </c>
      <c r="R8" s="153"/>
      <c r="S8" s="154"/>
      <c r="T8" s="154"/>
      <c r="U8" s="154"/>
      <c r="V8" s="154"/>
      <c r="W8" s="154"/>
      <c r="X8" s="154"/>
      <c r="Y8" s="154"/>
      <c r="Z8" s="154"/>
      <c r="AA8" s="154"/>
      <c r="AB8" s="154"/>
      <c r="AC8" s="154"/>
      <c r="AD8" s="154"/>
      <c r="AE8" s="154"/>
      <c r="AF8" s="154"/>
      <c r="AG8" s="154"/>
      <c r="AH8" s="154"/>
      <c r="AI8" s="154"/>
      <c r="AJ8" s="154"/>
    </row>
    <row r="9" spans="1:36" ht="10.5" customHeight="1">
      <c r="A9" s="47" t="s">
        <v>230</v>
      </c>
      <c r="B9" s="148">
        <v>0</v>
      </c>
      <c r="C9" s="148">
        <v>0</v>
      </c>
      <c r="D9" s="148">
        <v>0</v>
      </c>
      <c r="E9" s="149">
        <v>0</v>
      </c>
      <c r="F9" s="148">
        <v>0</v>
      </c>
      <c r="G9" s="148">
        <v>0</v>
      </c>
      <c r="H9" s="149"/>
      <c r="I9" s="149"/>
      <c r="J9" s="148">
        <v>0</v>
      </c>
      <c r="K9" s="148">
        <v>0</v>
      </c>
      <c r="L9" s="148">
        <v>0</v>
      </c>
      <c r="M9" s="148">
        <v>0</v>
      </c>
      <c r="N9" s="148">
        <v>0</v>
      </c>
      <c r="O9" s="148">
        <v>0</v>
      </c>
      <c r="P9" s="155"/>
      <c r="Q9" s="152" t="s">
        <v>230</v>
      </c>
      <c r="S9" s="154"/>
      <c r="T9" s="154"/>
      <c r="U9" s="154"/>
      <c r="V9" s="154"/>
      <c r="W9" s="154"/>
      <c r="X9" s="154"/>
      <c r="Y9" s="154"/>
      <c r="Z9" s="154"/>
      <c r="AA9" s="154"/>
      <c r="AB9" s="154"/>
      <c r="AC9" s="154"/>
      <c r="AD9" s="154"/>
      <c r="AE9" s="154"/>
      <c r="AF9" s="154"/>
      <c r="AG9" s="154"/>
      <c r="AH9" s="154"/>
      <c r="AI9" s="154"/>
      <c r="AJ9" s="154"/>
    </row>
    <row r="10" spans="1:36" ht="10.5" customHeight="1">
      <c r="A10" s="47" t="s">
        <v>4</v>
      </c>
      <c r="B10" s="148">
        <v>0</v>
      </c>
      <c r="C10" s="148">
        <v>0</v>
      </c>
      <c r="D10" s="148">
        <v>0</v>
      </c>
      <c r="E10" s="147">
        <v>378.1990757892263</v>
      </c>
      <c r="F10" s="148">
        <v>0</v>
      </c>
      <c r="G10" s="148">
        <v>0</v>
      </c>
      <c r="H10" s="149"/>
      <c r="I10" s="149"/>
      <c r="J10" s="148">
        <v>0</v>
      </c>
      <c r="K10" s="148">
        <v>0</v>
      </c>
      <c r="L10" s="148">
        <v>0</v>
      </c>
      <c r="M10" s="148">
        <v>0</v>
      </c>
      <c r="N10" s="148">
        <v>0</v>
      </c>
      <c r="O10" s="148">
        <v>378.1990757892263</v>
      </c>
      <c r="P10" s="155"/>
      <c r="Q10" s="152" t="s">
        <v>4</v>
      </c>
      <c r="S10" s="154"/>
      <c r="T10" s="154"/>
      <c r="U10" s="154"/>
      <c r="V10" s="154"/>
      <c r="W10" s="154"/>
      <c r="X10" s="154"/>
      <c r="Y10" s="154"/>
      <c r="Z10" s="154"/>
      <c r="AA10" s="154"/>
      <c r="AB10" s="154"/>
      <c r="AC10" s="154"/>
      <c r="AD10" s="154"/>
      <c r="AE10" s="154"/>
      <c r="AF10" s="154"/>
      <c r="AG10" s="154"/>
      <c r="AH10" s="154"/>
      <c r="AI10" s="154"/>
      <c r="AJ10" s="154"/>
    </row>
    <row r="11" spans="1:36" ht="10.5" customHeight="1">
      <c r="A11" s="47" t="s">
        <v>135</v>
      </c>
      <c r="B11" s="148">
        <v>0</v>
      </c>
      <c r="C11" s="148">
        <v>0</v>
      </c>
      <c r="D11" s="148">
        <v>0</v>
      </c>
      <c r="E11" s="148">
        <v>0</v>
      </c>
      <c r="F11" s="148">
        <v>0</v>
      </c>
      <c r="G11" s="148">
        <v>0</v>
      </c>
      <c r="H11" s="149"/>
      <c r="I11" s="149"/>
      <c r="J11" s="148">
        <v>0</v>
      </c>
      <c r="K11" s="148">
        <v>0</v>
      </c>
      <c r="L11" s="148">
        <v>0</v>
      </c>
      <c r="M11" s="148">
        <v>0</v>
      </c>
      <c r="N11" s="148">
        <v>-33.830762525597777</v>
      </c>
      <c r="O11" s="148">
        <v>-33.830762525597777</v>
      </c>
      <c r="P11" s="155"/>
      <c r="Q11" s="152" t="s">
        <v>135</v>
      </c>
      <c r="S11" s="154"/>
      <c r="T11" s="154"/>
      <c r="U11" s="154"/>
      <c r="V11" s="154"/>
      <c r="W11" s="154"/>
      <c r="X11" s="154"/>
      <c r="Y11" s="154"/>
      <c r="Z11" s="154"/>
      <c r="AA11" s="154"/>
      <c r="AB11" s="154"/>
      <c r="AC11" s="154"/>
      <c r="AD11" s="154"/>
      <c r="AE11" s="154"/>
      <c r="AF11" s="154"/>
      <c r="AG11" s="154"/>
      <c r="AH11" s="154"/>
      <c r="AI11" s="154"/>
      <c r="AJ11" s="154"/>
    </row>
    <row r="12" spans="1:36" ht="10.5" customHeight="1">
      <c r="A12" s="47" t="s">
        <v>136</v>
      </c>
      <c r="B12" s="148">
        <v>0</v>
      </c>
      <c r="C12" s="148">
        <v>0</v>
      </c>
      <c r="D12" s="148">
        <v>0</v>
      </c>
      <c r="E12" s="148">
        <v>0</v>
      </c>
      <c r="F12" s="148">
        <v>0</v>
      </c>
      <c r="G12" s="148">
        <v>0</v>
      </c>
      <c r="H12" s="149"/>
      <c r="I12" s="149"/>
      <c r="J12" s="148">
        <v>0</v>
      </c>
      <c r="K12" s="148">
        <v>0</v>
      </c>
      <c r="L12" s="148">
        <v>0</v>
      </c>
      <c r="M12" s="148">
        <v>0</v>
      </c>
      <c r="N12" s="148">
        <v>0</v>
      </c>
      <c r="O12" s="148">
        <v>0</v>
      </c>
      <c r="P12" s="155"/>
      <c r="Q12" s="152" t="s">
        <v>136</v>
      </c>
      <c r="S12" s="154"/>
      <c r="T12" s="154"/>
      <c r="U12" s="154"/>
      <c r="V12" s="154"/>
      <c r="W12" s="154"/>
      <c r="X12" s="154"/>
      <c r="Y12" s="154"/>
      <c r="Z12" s="154"/>
      <c r="AA12" s="154"/>
      <c r="AB12" s="154"/>
      <c r="AC12" s="154"/>
      <c r="AD12" s="154"/>
      <c r="AE12" s="154"/>
      <c r="AF12" s="154"/>
      <c r="AG12" s="154"/>
      <c r="AH12" s="154"/>
      <c r="AI12" s="154"/>
      <c r="AJ12" s="154"/>
    </row>
    <row r="13" spans="1:36" ht="10.5" customHeight="1">
      <c r="A13" s="47" t="s">
        <v>231</v>
      </c>
      <c r="B13" s="148">
        <v>0</v>
      </c>
      <c r="C13" s="148">
        <v>0</v>
      </c>
      <c r="D13" s="148">
        <v>0</v>
      </c>
      <c r="E13" s="148">
        <v>0</v>
      </c>
      <c r="F13" s="148">
        <v>0</v>
      </c>
      <c r="G13" s="148">
        <v>0</v>
      </c>
      <c r="H13" s="149"/>
      <c r="I13" s="149"/>
      <c r="J13" s="148">
        <v>0</v>
      </c>
      <c r="K13" s="148">
        <v>0</v>
      </c>
      <c r="L13" s="148">
        <v>0</v>
      </c>
      <c r="M13" s="148">
        <v>0</v>
      </c>
      <c r="N13" s="148">
        <v>0</v>
      </c>
      <c r="O13" s="148">
        <v>0</v>
      </c>
      <c r="P13" s="155"/>
      <c r="Q13" s="152" t="s">
        <v>232</v>
      </c>
      <c r="S13" s="154"/>
      <c r="T13" s="154"/>
      <c r="U13" s="154"/>
      <c r="V13" s="154"/>
      <c r="W13" s="154"/>
      <c r="X13" s="154"/>
      <c r="Y13" s="154"/>
      <c r="Z13" s="154"/>
      <c r="AA13" s="154"/>
      <c r="AB13" s="154"/>
      <c r="AC13" s="154"/>
      <c r="AD13" s="154"/>
      <c r="AE13" s="154"/>
      <c r="AF13" s="154"/>
      <c r="AG13" s="154"/>
      <c r="AH13" s="154"/>
      <c r="AI13" s="154"/>
      <c r="AJ13" s="154"/>
    </row>
    <row r="14" spans="1:36" ht="10.5" customHeight="1">
      <c r="A14" s="47" t="s">
        <v>141</v>
      </c>
      <c r="B14" s="148">
        <v>0</v>
      </c>
      <c r="C14" s="148">
        <v>0</v>
      </c>
      <c r="D14" s="148">
        <v>0</v>
      </c>
      <c r="E14" s="148">
        <v>0</v>
      </c>
      <c r="F14" s="148">
        <v>0</v>
      </c>
      <c r="G14" s="148">
        <v>0</v>
      </c>
      <c r="H14" s="149"/>
      <c r="I14" s="149"/>
      <c r="J14" s="148">
        <v>0</v>
      </c>
      <c r="K14" s="148">
        <v>0</v>
      </c>
      <c r="L14" s="148">
        <v>0</v>
      </c>
      <c r="M14" s="148">
        <v>0</v>
      </c>
      <c r="N14" s="148">
        <v>0</v>
      </c>
      <c r="O14" s="156">
        <v>0</v>
      </c>
      <c r="P14" s="155"/>
      <c r="Q14" s="152" t="s">
        <v>141</v>
      </c>
      <c r="S14" s="154"/>
      <c r="T14" s="154"/>
      <c r="U14" s="154"/>
      <c r="V14" s="154"/>
      <c r="W14" s="154"/>
      <c r="X14" s="154"/>
      <c r="Y14" s="154"/>
      <c r="Z14" s="154"/>
      <c r="AA14" s="154"/>
      <c r="AB14" s="154"/>
      <c r="AC14" s="154"/>
      <c r="AD14" s="154"/>
      <c r="AE14" s="154"/>
      <c r="AF14" s="154"/>
      <c r="AG14" s="154"/>
      <c r="AH14" s="154"/>
      <c r="AI14" s="154"/>
      <c r="AJ14" s="154"/>
    </row>
    <row r="15" spans="1:36" s="136" customFormat="1" ht="11" customHeight="1">
      <c r="A15" s="64" t="s">
        <v>233</v>
      </c>
      <c r="B15" s="157">
        <v>101.1875650619121</v>
      </c>
      <c r="C15" s="157">
        <v>331.99579631221934</v>
      </c>
      <c r="D15" s="158">
        <v>270.33103810778744</v>
      </c>
      <c r="E15" s="158">
        <v>872.82838620505981</v>
      </c>
      <c r="F15" s="157">
        <v>212.51681751040667</v>
      </c>
      <c r="G15" s="158">
        <v>1547.4640371807147</v>
      </c>
      <c r="H15" s="159">
        <v>0</v>
      </c>
      <c r="I15" s="160"/>
      <c r="J15" s="158">
        <v>956.13709664840496</v>
      </c>
      <c r="K15" s="158">
        <v>46.921341460000001</v>
      </c>
      <c r="L15" s="158">
        <v>437.52315907136716</v>
      </c>
      <c r="M15" s="158">
        <v>453.47067667950006</v>
      </c>
      <c r="N15" s="158">
        <v>361.69050647440218</v>
      </c>
      <c r="O15" s="161">
        <v>5592.0664207117743</v>
      </c>
      <c r="P15" s="162"/>
      <c r="Q15" s="163" t="s">
        <v>233</v>
      </c>
      <c r="R15" s="153"/>
      <c r="S15" s="154"/>
      <c r="T15" s="154"/>
      <c r="U15" s="154"/>
      <c r="V15" s="154"/>
      <c r="W15" s="154"/>
      <c r="X15" s="154"/>
      <c r="Y15" s="154"/>
      <c r="Z15" s="154"/>
      <c r="AA15" s="154"/>
      <c r="AB15" s="154"/>
      <c r="AC15" s="154"/>
      <c r="AD15" s="154"/>
      <c r="AE15" s="154"/>
      <c r="AF15" s="154"/>
      <c r="AG15" s="154"/>
      <c r="AH15" s="154"/>
      <c r="AI15" s="154"/>
      <c r="AJ15" s="154"/>
    </row>
    <row r="16" spans="1:36" s="136" customFormat="1" ht="11" customHeight="1">
      <c r="A16" s="64" t="s">
        <v>234</v>
      </c>
      <c r="B16" s="164">
        <v>0</v>
      </c>
      <c r="C16" s="164">
        <v>0</v>
      </c>
      <c r="D16" s="164">
        <v>0</v>
      </c>
      <c r="E16" s="164">
        <v>0</v>
      </c>
      <c r="F16" s="164">
        <v>0</v>
      </c>
      <c r="G16" s="164">
        <v>0</v>
      </c>
      <c r="H16" s="165"/>
      <c r="I16" s="166"/>
      <c r="J16" s="167">
        <v>0</v>
      </c>
      <c r="K16" s="167">
        <v>0</v>
      </c>
      <c r="L16" s="167">
        <v>0</v>
      </c>
      <c r="M16" s="167">
        <v>0</v>
      </c>
      <c r="N16" s="167">
        <v>0</v>
      </c>
      <c r="O16" s="167">
        <v>0</v>
      </c>
      <c r="P16" s="168"/>
      <c r="Q16" s="169" t="s">
        <v>235</v>
      </c>
      <c r="S16" s="154"/>
      <c r="T16" s="154"/>
      <c r="U16" s="154"/>
      <c r="V16" s="154"/>
      <c r="W16" s="154"/>
      <c r="X16" s="154"/>
      <c r="Y16" s="154"/>
      <c r="Z16" s="154"/>
      <c r="AA16" s="154"/>
      <c r="AB16" s="154"/>
      <c r="AC16" s="154"/>
      <c r="AD16" s="154"/>
      <c r="AE16" s="154"/>
      <c r="AF16" s="154"/>
      <c r="AG16" s="154"/>
      <c r="AH16" s="154"/>
      <c r="AI16" s="154"/>
      <c r="AJ16" s="154"/>
    </row>
    <row r="17" spans="1:36" s="136" customFormat="1" ht="11" customHeight="1">
      <c r="A17" s="64" t="s">
        <v>236</v>
      </c>
      <c r="B17" s="157">
        <v>101.1875650619121</v>
      </c>
      <c r="C17" s="157">
        <v>331.99579631221934</v>
      </c>
      <c r="D17" s="158">
        <v>270.33103810778744</v>
      </c>
      <c r="E17" s="158">
        <v>872.82838620505981</v>
      </c>
      <c r="F17" s="157">
        <v>212.51681751040667</v>
      </c>
      <c r="G17" s="158">
        <v>1547.4640371807147</v>
      </c>
      <c r="H17" s="159">
        <v>0</v>
      </c>
      <c r="I17" s="160"/>
      <c r="J17" s="158">
        <v>956.13709664840496</v>
      </c>
      <c r="K17" s="158">
        <v>46.921341460000001</v>
      </c>
      <c r="L17" s="158">
        <v>437.52315907136716</v>
      </c>
      <c r="M17" s="158">
        <v>453.47067667950006</v>
      </c>
      <c r="N17" s="158">
        <v>361.69050647440218</v>
      </c>
      <c r="O17" s="157">
        <v>5592.0664207117743</v>
      </c>
      <c r="P17" s="162"/>
      <c r="Q17" s="163" t="s">
        <v>236</v>
      </c>
      <c r="R17" s="153"/>
      <c r="S17" s="154"/>
      <c r="T17" s="154"/>
      <c r="U17" s="154"/>
      <c r="V17" s="154"/>
      <c r="W17" s="154"/>
      <c r="X17" s="154"/>
      <c r="Y17" s="154"/>
      <c r="Z17" s="154"/>
      <c r="AA17" s="154"/>
      <c r="AB17" s="154"/>
      <c r="AC17" s="154"/>
      <c r="AD17" s="154"/>
      <c r="AE17" s="154"/>
      <c r="AF17" s="154"/>
      <c r="AG17" s="154"/>
      <c r="AH17" s="154"/>
      <c r="AI17" s="154"/>
      <c r="AJ17" s="154"/>
    </row>
    <row r="18" spans="1:36" ht="10.5" customHeight="1">
      <c r="A18" s="57" t="s">
        <v>142</v>
      </c>
      <c r="B18" s="170">
        <v>0</v>
      </c>
      <c r="C18" s="170">
        <v>0</v>
      </c>
      <c r="D18" s="170">
        <v>222.50523840438652</v>
      </c>
      <c r="E18" s="171">
        <v>775.50021285667435</v>
      </c>
      <c r="F18" s="171">
        <v>162.54388324040667</v>
      </c>
      <c r="G18" s="170">
        <v>1533.8836011807148</v>
      </c>
      <c r="H18" s="172">
        <v>0</v>
      </c>
      <c r="I18" s="172"/>
      <c r="J18" s="170">
        <v>785.09110660437466</v>
      </c>
      <c r="K18" s="170">
        <v>1.2037900000000001</v>
      </c>
      <c r="L18" s="170">
        <v>437.52315907136716</v>
      </c>
      <c r="M18" s="170">
        <v>453.47067667950006</v>
      </c>
      <c r="N18" s="170">
        <v>0</v>
      </c>
      <c r="O18" s="171">
        <v>4371.721668037424</v>
      </c>
      <c r="P18" s="173"/>
      <c r="Q18" s="174" t="s">
        <v>142</v>
      </c>
      <c r="R18" s="153"/>
      <c r="S18" s="154"/>
      <c r="T18" s="154"/>
      <c r="U18" s="154"/>
      <c r="V18" s="154"/>
      <c r="W18" s="154"/>
      <c r="X18" s="154"/>
      <c r="Y18" s="154"/>
      <c r="Z18" s="154"/>
      <c r="AA18" s="154"/>
      <c r="AB18" s="154"/>
      <c r="AC18" s="154"/>
      <c r="AD18" s="154"/>
      <c r="AE18" s="154"/>
      <c r="AF18" s="154"/>
      <c r="AG18" s="154"/>
      <c r="AH18" s="154"/>
      <c r="AI18" s="154"/>
      <c r="AJ18" s="154"/>
    </row>
    <row r="19" spans="1:36" ht="10.5" customHeight="1">
      <c r="A19" s="47" t="s">
        <v>143</v>
      </c>
      <c r="B19" s="148">
        <v>0</v>
      </c>
      <c r="C19" s="148">
        <v>0</v>
      </c>
      <c r="D19" s="148">
        <v>222.50523840438652</v>
      </c>
      <c r="E19" s="146">
        <v>775.50021285667435</v>
      </c>
      <c r="F19" s="146">
        <v>162.54388324040667</v>
      </c>
      <c r="G19" s="148">
        <v>1533.8836011807148</v>
      </c>
      <c r="H19" s="149">
        <v>0</v>
      </c>
      <c r="I19" s="149"/>
      <c r="J19" s="148">
        <v>785.09110660437466</v>
      </c>
      <c r="K19" s="148">
        <v>1.2037900000000001</v>
      </c>
      <c r="L19" s="148">
        <v>437.52315907136716</v>
      </c>
      <c r="M19" s="148">
        <v>453.47067667950006</v>
      </c>
      <c r="N19" s="148">
        <v>0</v>
      </c>
      <c r="O19" s="146">
        <v>4371.721668037424</v>
      </c>
      <c r="P19" s="151"/>
      <c r="Q19" s="152" t="s">
        <v>143</v>
      </c>
      <c r="R19" s="153"/>
      <c r="S19" s="154"/>
      <c r="T19" s="154"/>
      <c r="U19" s="154"/>
      <c r="V19" s="154"/>
      <c r="W19" s="154"/>
      <c r="X19" s="154"/>
      <c r="Y19" s="154"/>
      <c r="Z19" s="154"/>
      <c r="AA19" s="154"/>
      <c r="AB19" s="154"/>
      <c r="AC19" s="154"/>
      <c r="AD19" s="154"/>
      <c r="AE19" s="154"/>
      <c r="AF19" s="154"/>
      <c r="AG19" s="154"/>
      <c r="AH19" s="154"/>
      <c r="AI19" s="154"/>
      <c r="AJ19" s="154"/>
    </row>
    <row r="20" spans="1:36" ht="10.5" customHeight="1">
      <c r="A20" s="47" t="s">
        <v>237</v>
      </c>
      <c r="B20" s="148">
        <v>0</v>
      </c>
      <c r="C20" s="148">
        <v>0</v>
      </c>
      <c r="D20" s="146">
        <v>145.72270815404957</v>
      </c>
      <c r="E20" s="146">
        <v>421.77473043586184</v>
      </c>
      <c r="F20" s="148">
        <v>0</v>
      </c>
      <c r="G20" s="148">
        <v>0</v>
      </c>
      <c r="H20" s="149"/>
      <c r="I20" s="149"/>
      <c r="J20" s="148">
        <v>57.716952365595006</v>
      </c>
      <c r="K20" s="148">
        <v>0</v>
      </c>
      <c r="L20" s="148">
        <v>356.28366380051591</v>
      </c>
      <c r="M20" s="146">
        <v>306.86472785898536</v>
      </c>
      <c r="N20" s="148">
        <v>0</v>
      </c>
      <c r="O20" s="146">
        <v>1288.3627826150077</v>
      </c>
      <c r="P20" s="155"/>
      <c r="Q20" s="152" t="s">
        <v>237</v>
      </c>
      <c r="R20" s="153"/>
      <c r="S20" s="154"/>
      <c r="T20" s="154"/>
      <c r="U20" s="154"/>
      <c r="V20" s="154"/>
      <c r="W20" s="154"/>
      <c r="X20" s="154"/>
      <c r="Y20" s="154"/>
      <c r="Z20" s="154"/>
      <c r="AA20" s="154"/>
      <c r="AB20" s="154"/>
      <c r="AC20" s="154"/>
      <c r="AD20" s="154"/>
      <c r="AE20" s="154"/>
      <c r="AF20" s="154"/>
      <c r="AG20" s="154"/>
      <c r="AH20" s="154"/>
      <c r="AI20" s="154"/>
      <c r="AJ20" s="154"/>
    </row>
    <row r="21" spans="1:36" ht="10.5" customHeight="1">
      <c r="A21" s="47" t="s">
        <v>238</v>
      </c>
      <c r="B21" s="148">
        <v>0</v>
      </c>
      <c r="C21" s="148">
        <v>0</v>
      </c>
      <c r="D21" s="146">
        <v>76.782530250336947</v>
      </c>
      <c r="E21" s="146">
        <v>353.72548242081251</v>
      </c>
      <c r="F21" s="146">
        <v>162.54388324040667</v>
      </c>
      <c r="G21" s="148">
        <v>1533.8836011807148</v>
      </c>
      <c r="H21" s="149"/>
      <c r="I21" s="149"/>
      <c r="J21" s="148">
        <v>727.37415423877962</v>
      </c>
      <c r="K21" s="148">
        <v>1.2037900000000001</v>
      </c>
      <c r="L21" s="147">
        <v>81.239495270851251</v>
      </c>
      <c r="M21" s="146">
        <v>146.6059488205147</v>
      </c>
      <c r="N21" s="148">
        <v>0</v>
      </c>
      <c r="O21" s="146">
        <v>3083.3588854224167</v>
      </c>
      <c r="P21" s="151"/>
      <c r="Q21" s="152" t="s">
        <v>238</v>
      </c>
      <c r="R21" s="153"/>
      <c r="S21" s="154"/>
      <c r="T21" s="154"/>
      <c r="U21" s="154"/>
      <c r="V21" s="154"/>
      <c r="W21" s="154"/>
      <c r="X21" s="154"/>
      <c r="Y21" s="154"/>
      <c r="Z21" s="154"/>
      <c r="AA21" s="154"/>
      <c r="AB21" s="154"/>
      <c r="AC21" s="154"/>
      <c r="AD21" s="154"/>
      <c r="AE21" s="154"/>
      <c r="AF21" s="154"/>
      <c r="AG21" s="154"/>
      <c r="AH21" s="154"/>
      <c r="AI21" s="154"/>
      <c r="AJ21" s="154"/>
    </row>
    <row r="22" spans="1:36" ht="10.5" customHeight="1">
      <c r="A22" s="47" t="s">
        <v>145</v>
      </c>
      <c r="B22" s="148">
        <v>0</v>
      </c>
      <c r="C22" s="148">
        <v>0</v>
      </c>
      <c r="D22" s="148">
        <v>0</v>
      </c>
      <c r="E22" s="148">
        <v>0</v>
      </c>
      <c r="F22" s="148">
        <v>0</v>
      </c>
      <c r="G22" s="148">
        <v>0</v>
      </c>
      <c r="H22" s="149"/>
      <c r="I22" s="149"/>
      <c r="J22" s="148">
        <v>0</v>
      </c>
      <c r="K22" s="148">
        <v>0</v>
      </c>
      <c r="L22" s="148">
        <v>0</v>
      </c>
      <c r="M22" s="148">
        <v>0</v>
      </c>
      <c r="N22" s="148">
        <v>0</v>
      </c>
      <c r="O22" s="148">
        <v>0</v>
      </c>
      <c r="P22" s="151"/>
      <c r="Q22" s="152" t="s">
        <v>145</v>
      </c>
      <c r="R22" s="153"/>
      <c r="S22" s="154"/>
      <c r="T22" s="154"/>
      <c r="U22" s="154"/>
      <c r="V22" s="154"/>
      <c r="W22" s="154"/>
      <c r="X22" s="154"/>
      <c r="Y22" s="154"/>
      <c r="Z22" s="154"/>
      <c r="AA22" s="154"/>
      <c r="AB22" s="154"/>
      <c r="AC22" s="154"/>
      <c r="AD22" s="154"/>
      <c r="AE22" s="154"/>
      <c r="AF22" s="154"/>
      <c r="AG22" s="154"/>
      <c r="AH22" s="154"/>
      <c r="AI22" s="154"/>
      <c r="AJ22" s="154"/>
    </row>
    <row r="23" spans="1:36" ht="10.5" customHeight="1">
      <c r="A23" s="47" t="s">
        <v>146</v>
      </c>
      <c r="B23" s="148">
        <v>0</v>
      </c>
      <c r="C23" s="148">
        <v>0</v>
      </c>
      <c r="D23" s="148">
        <v>0</v>
      </c>
      <c r="E23" s="148">
        <v>0</v>
      </c>
      <c r="F23" s="148">
        <v>0</v>
      </c>
      <c r="G23" s="148">
        <v>0</v>
      </c>
      <c r="H23" s="149"/>
      <c r="I23" s="149"/>
      <c r="J23" s="148">
        <v>0</v>
      </c>
      <c r="K23" s="148">
        <v>0</v>
      </c>
      <c r="L23" s="148">
        <v>0</v>
      </c>
      <c r="M23" s="148">
        <v>0</v>
      </c>
      <c r="N23" s="148">
        <v>0</v>
      </c>
      <c r="O23" s="148">
        <v>0</v>
      </c>
      <c r="P23" s="155"/>
      <c r="Q23" s="152" t="s">
        <v>146</v>
      </c>
      <c r="S23" s="154"/>
      <c r="T23" s="154"/>
      <c r="U23" s="154"/>
      <c r="V23" s="154"/>
      <c r="W23" s="154"/>
      <c r="X23" s="154"/>
      <c r="Y23" s="154"/>
      <c r="Z23" s="154"/>
      <c r="AA23" s="154"/>
      <c r="AB23" s="154"/>
      <c r="AC23" s="154"/>
      <c r="AD23" s="154"/>
      <c r="AE23" s="154"/>
      <c r="AF23" s="154"/>
      <c r="AG23" s="154"/>
      <c r="AH23" s="154"/>
      <c r="AI23" s="154"/>
      <c r="AJ23" s="154"/>
    </row>
    <row r="24" spans="1:36" ht="10.5" customHeight="1">
      <c r="A24" s="47" t="s">
        <v>147</v>
      </c>
      <c r="B24" s="148">
        <v>0</v>
      </c>
      <c r="C24" s="148">
        <v>0</v>
      </c>
      <c r="D24" s="148">
        <v>0</v>
      </c>
      <c r="E24" s="148">
        <v>0</v>
      </c>
      <c r="F24" s="148">
        <v>0</v>
      </c>
      <c r="G24" s="148">
        <v>0</v>
      </c>
      <c r="H24" s="149"/>
      <c r="I24" s="149"/>
      <c r="J24" s="148">
        <v>0</v>
      </c>
      <c r="K24" s="148">
        <v>0</v>
      </c>
      <c r="L24" s="148">
        <v>0</v>
      </c>
      <c r="M24" s="148">
        <v>0</v>
      </c>
      <c r="N24" s="148">
        <v>0</v>
      </c>
      <c r="O24" s="148">
        <v>0</v>
      </c>
      <c r="P24" s="155"/>
      <c r="Q24" s="152" t="s">
        <v>147</v>
      </c>
      <c r="S24" s="154"/>
      <c r="T24" s="154"/>
      <c r="U24" s="154"/>
      <c r="V24" s="154"/>
      <c r="W24" s="154"/>
      <c r="X24" s="154"/>
      <c r="Y24" s="154"/>
      <c r="Z24" s="154"/>
      <c r="AA24" s="154"/>
      <c r="AB24" s="154"/>
      <c r="AC24" s="154"/>
      <c r="AD24" s="154"/>
      <c r="AE24" s="154"/>
      <c r="AF24" s="154"/>
      <c r="AG24" s="154"/>
      <c r="AH24" s="154"/>
      <c r="AI24" s="154"/>
      <c r="AJ24" s="154"/>
    </row>
    <row r="25" spans="1:36" ht="10.5" customHeight="1">
      <c r="A25" s="47" t="s">
        <v>115</v>
      </c>
      <c r="B25" s="148">
        <v>0</v>
      </c>
      <c r="C25" s="148">
        <v>0</v>
      </c>
      <c r="D25" s="148">
        <v>0</v>
      </c>
      <c r="E25" s="148">
        <v>0</v>
      </c>
      <c r="F25" s="148">
        <v>0</v>
      </c>
      <c r="G25" s="148">
        <v>0</v>
      </c>
      <c r="H25" s="149"/>
      <c r="I25" s="149"/>
      <c r="J25" s="148">
        <v>0</v>
      </c>
      <c r="K25" s="148">
        <v>0</v>
      </c>
      <c r="L25" s="148">
        <v>0</v>
      </c>
      <c r="M25" s="148">
        <v>0</v>
      </c>
      <c r="N25" s="148">
        <v>0</v>
      </c>
      <c r="O25" s="148">
        <v>0</v>
      </c>
      <c r="P25" s="155"/>
      <c r="Q25" s="152" t="s">
        <v>115</v>
      </c>
      <c r="S25" s="154"/>
      <c r="T25" s="154"/>
      <c r="U25" s="154"/>
      <c r="V25" s="154"/>
      <c r="W25" s="154"/>
      <c r="X25" s="154"/>
      <c r="Y25" s="154"/>
      <c r="Z25" s="154"/>
      <c r="AA25" s="154"/>
      <c r="AB25" s="154"/>
      <c r="AC25" s="154"/>
      <c r="AD25" s="154"/>
      <c r="AE25" s="154"/>
      <c r="AF25" s="154"/>
      <c r="AG25" s="154"/>
      <c r="AH25" s="154"/>
      <c r="AI25" s="154"/>
      <c r="AJ25" s="154"/>
    </row>
    <row r="26" spans="1:36" ht="10.5" customHeight="1">
      <c r="A26" s="47" t="s">
        <v>148</v>
      </c>
      <c r="B26" s="148">
        <v>0</v>
      </c>
      <c r="C26" s="148">
        <v>0</v>
      </c>
      <c r="D26" s="148">
        <v>0</v>
      </c>
      <c r="E26" s="148">
        <v>0</v>
      </c>
      <c r="F26" s="148">
        <v>0</v>
      </c>
      <c r="G26" s="148">
        <v>0</v>
      </c>
      <c r="H26" s="149"/>
      <c r="I26" s="149"/>
      <c r="J26" s="148">
        <v>0</v>
      </c>
      <c r="K26" s="148">
        <v>0</v>
      </c>
      <c r="L26" s="148">
        <v>0</v>
      </c>
      <c r="M26" s="148">
        <v>0</v>
      </c>
      <c r="N26" s="148">
        <v>0</v>
      </c>
      <c r="O26" s="148">
        <v>0</v>
      </c>
      <c r="P26" s="155"/>
      <c r="Q26" s="152" t="s">
        <v>148</v>
      </c>
      <c r="S26" s="154"/>
      <c r="T26" s="154"/>
      <c r="U26" s="154"/>
      <c r="V26" s="154"/>
      <c r="W26" s="154"/>
      <c r="X26" s="154"/>
      <c r="Y26" s="154"/>
      <c r="Z26" s="154"/>
      <c r="AA26" s="154"/>
      <c r="AB26" s="154"/>
      <c r="AC26" s="154"/>
      <c r="AD26" s="154"/>
      <c r="AE26" s="154"/>
      <c r="AF26" s="154"/>
      <c r="AG26" s="154"/>
      <c r="AH26" s="154"/>
      <c r="AI26" s="154"/>
      <c r="AJ26" s="154"/>
    </row>
    <row r="27" spans="1:36" ht="10.5" customHeight="1">
      <c r="A27" s="47" t="s">
        <v>113</v>
      </c>
      <c r="B27" s="148">
        <v>0</v>
      </c>
      <c r="C27" s="148">
        <v>0</v>
      </c>
      <c r="D27" s="148">
        <v>0</v>
      </c>
      <c r="E27" s="148">
        <v>0</v>
      </c>
      <c r="F27" s="148">
        <v>0</v>
      </c>
      <c r="G27" s="148">
        <v>0</v>
      </c>
      <c r="H27" s="149"/>
      <c r="I27" s="149"/>
      <c r="J27" s="156">
        <v>0</v>
      </c>
      <c r="K27" s="156">
        <v>0</v>
      </c>
      <c r="L27" s="156">
        <v>0</v>
      </c>
      <c r="M27" s="156">
        <v>0</v>
      </c>
      <c r="N27" s="156">
        <v>0</v>
      </c>
      <c r="O27" s="156">
        <v>0</v>
      </c>
      <c r="P27" s="175"/>
      <c r="Q27" s="176" t="s">
        <v>113</v>
      </c>
      <c r="S27" s="154"/>
      <c r="T27" s="154"/>
      <c r="U27" s="154"/>
      <c r="V27" s="154"/>
      <c r="W27" s="154"/>
      <c r="X27" s="154"/>
      <c r="Y27" s="154"/>
      <c r="Z27" s="154"/>
      <c r="AA27" s="154"/>
      <c r="AB27" s="154"/>
      <c r="AC27" s="154"/>
      <c r="AD27" s="154"/>
      <c r="AE27" s="154"/>
      <c r="AF27" s="154"/>
      <c r="AG27" s="154"/>
      <c r="AH27" s="154"/>
      <c r="AI27" s="154"/>
      <c r="AJ27" s="154"/>
    </row>
    <row r="28" spans="1:36" s="136" customFormat="1" ht="11.25" customHeight="1">
      <c r="A28" s="177" t="s">
        <v>149</v>
      </c>
      <c r="B28" s="178">
        <v>0</v>
      </c>
      <c r="C28" s="178">
        <v>0</v>
      </c>
      <c r="D28" s="178">
        <v>0</v>
      </c>
      <c r="E28" s="178">
        <v>0</v>
      </c>
      <c r="F28" s="178">
        <v>0</v>
      </c>
      <c r="G28" s="178">
        <v>0</v>
      </c>
      <c r="H28" s="179"/>
      <c r="I28" s="166"/>
      <c r="J28" s="180">
        <v>0</v>
      </c>
      <c r="K28" s="180">
        <v>0</v>
      </c>
      <c r="L28" s="180">
        <v>0</v>
      </c>
      <c r="M28" s="180">
        <v>0</v>
      </c>
      <c r="N28" s="180">
        <v>0</v>
      </c>
      <c r="O28" s="148">
        <v>0</v>
      </c>
      <c r="P28" s="181"/>
      <c r="Q28" s="182" t="s">
        <v>149</v>
      </c>
      <c r="S28" s="154"/>
      <c r="T28" s="154"/>
      <c r="U28" s="154"/>
      <c r="V28" s="154"/>
      <c r="W28" s="154"/>
      <c r="X28" s="154"/>
      <c r="Y28" s="154"/>
      <c r="Z28" s="154"/>
      <c r="AA28" s="154"/>
      <c r="AB28" s="154"/>
      <c r="AC28" s="154"/>
      <c r="AD28" s="154"/>
      <c r="AE28" s="154"/>
      <c r="AF28" s="154"/>
      <c r="AG28" s="154"/>
      <c r="AH28" s="154"/>
      <c r="AI28" s="154"/>
      <c r="AJ28" s="154"/>
    </row>
    <row r="29" spans="1:36" ht="10.5" customHeight="1">
      <c r="A29" s="47" t="s">
        <v>143</v>
      </c>
      <c r="B29" s="148">
        <v>0</v>
      </c>
      <c r="C29" s="148">
        <v>0</v>
      </c>
      <c r="D29" s="148">
        <v>0</v>
      </c>
      <c r="E29" s="148">
        <v>0</v>
      </c>
      <c r="F29" s="148">
        <v>0</v>
      </c>
      <c r="G29" s="148">
        <v>0</v>
      </c>
      <c r="H29" s="149"/>
      <c r="I29" s="149"/>
      <c r="J29" s="148">
        <v>0</v>
      </c>
      <c r="K29" s="148">
        <v>0</v>
      </c>
      <c r="L29" s="148">
        <v>0</v>
      </c>
      <c r="M29" s="148">
        <v>0</v>
      </c>
      <c r="N29" s="148">
        <v>0</v>
      </c>
      <c r="O29" s="148">
        <v>0</v>
      </c>
      <c r="P29" s="183"/>
      <c r="Q29" s="152" t="s">
        <v>143</v>
      </c>
      <c r="S29" s="154"/>
      <c r="T29" s="154"/>
      <c r="U29" s="154"/>
      <c r="V29" s="154"/>
      <c r="W29" s="154"/>
      <c r="X29" s="154"/>
      <c r="Y29" s="154"/>
      <c r="Z29" s="154"/>
      <c r="AA29" s="154"/>
      <c r="AB29" s="154"/>
      <c r="AC29" s="154"/>
      <c r="AD29" s="154"/>
      <c r="AE29" s="154"/>
      <c r="AF29" s="154"/>
      <c r="AG29" s="154"/>
      <c r="AH29" s="154"/>
      <c r="AI29" s="154"/>
      <c r="AJ29" s="154"/>
    </row>
    <row r="30" spans="1:36" ht="10.5" customHeight="1">
      <c r="A30" s="47" t="s">
        <v>150</v>
      </c>
      <c r="B30" s="148">
        <v>0</v>
      </c>
      <c r="C30" s="148">
        <v>0</v>
      </c>
      <c r="D30" s="148">
        <v>0</v>
      </c>
      <c r="E30" s="148">
        <v>0</v>
      </c>
      <c r="F30" s="148">
        <v>0</v>
      </c>
      <c r="G30" s="148">
        <v>0</v>
      </c>
      <c r="H30" s="149"/>
      <c r="I30" s="149"/>
      <c r="J30" s="148">
        <v>0</v>
      </c>
      <c r="K30" s="148">
        <v>0</v>
      </c>
      <c r="L30" s="148">
        <v>0</v>
      </c>
      <c r="M30" s="148">
        <v>0</v>
      </c>
      <c r="N30" s="148">
        <v>0</v>
      </c>
      <c r="O30" s="148">
        <v>0</v>
      </c>
      <c r="P30" s="183"/>
      <c r="Q30" s="152" t="s">
        <v>150</v>
      </c>
      <c r="S30" s="154"/>
      <c r="T30" s="154"/>
      <c r="U30" s="154"/>
      <c r="V30" s="154"/>
      <c r="W30" s="154"/>
      <c r="X30" s="154"/>
      <c r="Y30" s="154"/>
      <c r="Z30" s="154"/>
      <c r="AA30" s="154"/>
      <c r="AB30" s="154"/>
      <c r="AC30" s="154"/>
      <c r="AD30" s="154"/>
      <c r="AE30" s="154"/>
      <c r="AF30" s="154"/>
      <c r="AG30" s="154"/>
      <c r="AH30" s="154"/>
      <c r="AI30" s="154"/>
      <c r="AJ30" s="154"/>
    </row>
    <row r="31" spans="1:36" ht="10.5" customHeight="1">
      <c r="A31" s="47" t="s">
        <v>146</v>
      </c>
      <c r="B31" s="148">
        <v>0</v>
      </c>
      <c r="C31" s="148">
        <v>0</v>
      </c>
      <c r="D31" s="148">
        <v>0</v>
      </c>
      <c r="E31" s="148">
        <v>0</v>
      </c>
      <c r="F31" s="148">
        <v>0</v>
      </c>
      <c r="G31" s="148">
        <v>0</v>
      </c>
      <c r="H31" s="149"/>
      <c r="I31" s="149"/>
      <c r="J31" s="148">
        <v>0</v>
      </c>
      <c r="K31" s="148">
        <v>0</v>
      </c>
      <c r="L31" s="148">
        <v>0</v>
      </c>
      <c r="M31" s="148">
        <v>0</v>
      </c>
      <c r="N31" s="148">
        <v>0</v>
      </c>
      <c r="O31" s="148">
        <v>0</v>
      </c>
      <c r="P31" s="183"/>
      <c r="Q31" s="152" t="s">
        <v>146</v>
      </c>
      <c r="S31" s="154"/>
      <c r="T31" s="154"/>
      <c r="U31" s="154"/>
      <c r="V31" s="154"/>
      <c r="W31" s="154"/>
      <c r="X31" s="154"/>
      <c r="Y31" s="154"/>
      <c r="Z31" s="154"/>
      <c r="AA31" s="154"/>
      <c r="AB31" s="154"/>
      <c r="AC31" s="154"/>
      <c r="AD31" s="154"/>
      <c r="AE31" s="154"/>
      <c r="AF31" s="154"/>
      <c r="AG31" s="154"/>
      <c r="AH31" s="154"/>
      <c r="AI31" s="154"/>
      <c r="AJ31" s="154"/>
    </row>
    <row r="32" spans="1:36" ht="10.5" customHeight="1">
      <c r="A32" s="47" t="s">
        <v>151</v>
      </c>
      <c r="B32" s="148">
        <v>0</v>
      </c>
      <c r="C32" s="148">
        <v>0</v>
      </c>
      <c r="D32" s="148">
        <v>0</v>
      </c>
      <c r="E32" s="148">
        <v>0</v>
      </c>
      <c r="F32" s="148">
        <v>0</v>
      </c>
      <c r="G32" s="148">
        <v>0</v>
      </c>
      <c r="H32" s="149"/>
      <c r="I32" s="149"/>
      <c r="J32" s="148">
        <v>0</v>
      </c>
      <c r="K32" s="148">
        <v>0</v>
      </c>
      <c r="L32" s="148">
        <v>0</v>
      </c>
      <c r="M32" s="148">
        <v>0</v>
      </c>
      <c r="N32" s="148">
        <v>0</v>
      </c>
      <c r="O32" s="148">
        <v>0</v>
      </c>
      <c r="P32" s="183"/>
      <c r="Q32" s="152" t="s">
        <v>151</v>
      </c>
      <c r="S32" s="154"/>
      <c r="T32" s="154"/>
      <c r="U32" s="154"/>
      <c r="V32" s="154"/>
      <c r="W32" s="154"/>
      <c r="X32" s="154"/>
      <c r="Y32" s="154"/>
      <c r="Z32" s="154"/>
      <c r="AA32" s="154"/>
      <c r="AB32" s="154"/>
      <c r="AC32" s="154"/>
      <c r="AD32" s="154"/>
      <c r="AE32" s="154"/>
      <c r="AF32" s="154"/>
      <c r="AG32" s="154"/>
      <c r="AH32" s="154"/>
      <c r="AI32" s="154"/>
      <c r="AJ32" s="154"/>
    </row>
    <row r="33" spans="1:36" ht="10.5" customHeight="1">
      <c r="A33" s="47" t="s">
        <v>147</v>
      </c>
      <c r="B33" s="148">
        <v>0</v>
      </c>
      <c r="C33" s="148">
        <v>0</v>
      </c>
      <c r="D33" s="148">
        <v>0</v>
      </c>
      <c r="E33" s="148">
        <v>0</v>
      </c>
      <c r="F33" s="148">
        <v>0</v>
      </c>
      <c r="G33" s="148">
        <v>0</v>
      </c>
      <c r="H33" s="149"/>
      <c r="I33" s="149"/>
      <c r="J33" s="148">
        <v>0</v>
      </c>
      <c r="K33" s="148">
        <v>0</v>
      </c>
      <c r="L33" s="148">
        <v>0</v>
      </c>
      <c r="M33" s="148">
        <v>0</v>
      </c>
      <c r="N33" s="148">
        <v>0</v>
      </c>
      <c r="O33" s="148">
        <v>0</v>
      </c>
      <c r="P33" s="183"/>
      <c r="Q33" s="152" t="s">
        <v>147</v>
      </c>
      <c r="S33" s="154"/>
      <c r="T33" s="154"/>
      <c r="U33" s="154"/>
      <c r="V33" s="154"/>
      <c r="W33" s="154"/>
      <c r="X33" s="154"/>
      <c r="Y33" s="154"/>
      <c r="Z33" s="154"/>
      <c r="AA33" s="154"/>
      <c r="AB33" s="154"/>
      <c r="AC33" s="154"/>
      <c r="AD33" s="154"/>
      <c r="AE33" s="154"/>
      <c r="AF33" s="154"/>
      <c r="AG33" s="154"/>
      <c r="AH33" s="154"/>
      <c r="AI33" s="154"/>
      <c r="AJ33" s="154"/>
    </row>
    <row r="34" spans="1:36" ht="10.5" customHeight="1">
      <c r="A34" s="47" t="s">
        <v>115</v>
      </c>
      <c r="B34" s="148">
        <v>0</v>
      </c>
      <c r="C34" s="148">
        <v>0</v>
      </c>
      <c r="D34" s="148">
        <v>0</v>
      </c>
      <c r="E34" s="148">
        <v>0</v>
      </c>
      <c r="F34" s="148">
        <v>0</v>
      </c>
      <c r="G34" s="148">
        <v>0</v>
      </c>
      <c r="H34" s="149"/>
      <c r="I34" s="149"/>
      <c r="J34" s="148">
        <v>0</v>
      </c>
      <c r="K34" s="148">
        <v>0</v>
      </c>
      <c r="L34" s="148">
        <v>0</v>
      </c>
      <c r="M34" s="148">
        <v>0</v>
      </c>
      <c r="N34" s="148">
        <v>0</v>
      </c>
      <c r="O34" s="148">
        <v>0</v>
      </c>
      <c r="P34" s="183"/>
      <c r="Q34" s="152" t="s">
        <v>115</v>
      </c>
      <c r="S34" s="154"/>
      <c r="T34" s="154"/>
      <c r="U34" s="154"/>
      <c r="V34" s="154"/>
      <c r="W34" s="154"/>
      <c r="X34" s="154"/>
      <c r="Y34" s="154"/>
      <c r="Z34" s="154"/>
      <c r="AA34" s="154"/>
      <c r="AB34" s="154"/>
      <c r="AC34" s="154"/>
      <c r="AD34" s="154"/>
      <c r="AE34" s="154"/>
      <c r="AF34" s="154"/>
      <c r="AG34" s="154"/>
      <c r="AH34" s="154"/>
      <c r="AI34" s="154"/>
      <c r="AJ34" s="154"/>
    </row>
    <row r="35" spans="1:36" ht="10.5" customHeight="1">
      <c r="A35" s="47" t="s">
        <v>148</v>
      </c>
      <c r="B35" s="148">
        <v>0</v>
      </c>
      <c r="C35" s="148">
        <v>0</v>
      </c>
      <c r="D35" s="148">
        <v>0</v>
      </c>
      <c r="E35" s="148">
        <v>0</v>
      </c>
      <c r="F35" s="148">
        <v>0</v>
      </c>
      <c r="G35" s="148">
        <v>0</v>
      </c>
      <c r="H35" s="149"/>
      <c r="I35" s="149"/>
      <c r="J35" s="148">
        <v>0</v>
      </c>
      <c r="K35" s="148">
        <v>0</v>
      </c>
      <c r="L35" s="148">
        <v>0</v>
      </c>
      <c r="M35" s="148">
        <v>0</v>
      </c>
      <c r="N35" s="148">
        <v>0</v>
      </c>
      <c r="O35" s="148">
        <v>0</v>
      </c>
      <c r="P35" s="183"/>
      <c r="Q35" s="152" t="s">
        <v>148</v>
      </c>
      <c r="S35" s="154"/>
      <c r="T35" s="154"/>
      <c r="U35" s="154"/>
      <c r="V35" s="154"/>
      <c r="W35" s="154"/>
      <c r="X35" s="154"/>
      <c r="Y35" s="154"/>
      <c r="Z35" s="154"/>
      <c r="AA35" s="154"/>
      <c r="AB35" s="154"/>
      <c r="AC35" s="154"/>
      <c r="AD35" s="154"/>
      <c r="AE35" s="154"/>
      <c r="AF35" s="154"/>
      <c r="AG35" s="154"/>
      <c r="AH35" s="154"/>
      <c r="AI35" s="154"/>
      <c r="AJ35" s="154"/>
    </row>
    <row r="36" spans="1:36" ht="10.5" customHeight="1">
      <c r="A36" s="47" t="s">
        <v>152</v>
      </c>
      <c r="B36" s="148">
        <v>0</v>
      </c>
      <c r="C36" s="148">
        <v>0</v>
      </c>
      <c r="D36" s="148">
        <v>0</v>
      </c>
      <c r="E36" s="148">
        <v>0</v>
      </c>
      <c r="F36" s="148">
        <v>0</v>
      </c>
      <c r="G36" s="148">
        <v>0</v>
      </c>
      <c r="H36" s="149"/>
      <c r="I36" s="149"/>
      <c r="J36" s="148">
        <v>0</v>
      </c>
      <c r="K36" s="148">
        <v>0</v>
      </c>
      <c r="L36" s="148">
        <v>0</v>
      </c>
      <c r="M36" s="148">
        <v>0</v>
      </c>
      <c r="N36" s="148">
        <v>0</v>
      </c>
      <c r="O36" s="148">
        <v>0</v>
      </c>
      <c r="P36" s="183"/>
      <c r="Q36" s="152" t="s">
        <v>152</v>
      </c>
      <c r="S36" s="154"/>
      <c r="T36" s="154"/>
      <c r="U36" s="154"/>
      <c r="V36" s="154"/>
      <c r="W36" s="154"/>
      <c r="X36" s="154"/>
      <c r="Y36" s="154"/>
      <c r="Z36" s="154"/>
      <c r="AA36" s="154"/>
      <c r="AB36" s="154"/>
      <c r="AC36" s="154"/>
      <c r="AD36" s="154"/>
      <c r="AE36" s="154"/>
      <c r="AF36" s="154"/>
      <c r="AG36" s="154"/>
      <c r="AH36" s="154"/>
      <c r="AI36" s="154"/>
      <c r="AJ36" s="154"/>
    </row>
    <row r="37" spans="1:36" ht="10.5" customHeight="1">
      <c r="A37" s="47" t="s">
        <v>113</v>
      </c>
      <c r="B37" s="148">
        <v>0</v>
      </c>
      <c r="C37" s="148">
        <v>0</v>
      </c>
      <c r="D37" s="148">
        <v>0</v>
      </c>
      <c r="E37" s="148">
        <v>0</v>
      </c>
      <c r="F37" s="148">
        <v>0</v>
      </c>
      <c r="G37" s="148">
        <v>0</v>
      </c>
      <c r="H37" s="149"/>
      <c r="I37" s="149"/>
      <c r="J37" s="148">
        <v>0</v>
      </c>
      <c r="K37" s="148">
        <v>0</v>
      </c>
      <c r="L37" s="148">
        <v>0</v>
      </c>
      <c r="M37" s="148">
        <v>0</v>
      </c>
      <c r="N37" s="148">
        <v>0</v>
      </c>
      <c r="O37" s="148">
        <v>0</v>
      </c>
      <c r="P37" s="183"/>
      <c r="Q37" s="152" t="s">
        <v>113</v>
      </c>
      <c r="S37" s="154"/>
      <c r="T37" s="154"/>
      <c r="U37" s="154"/>
      <c r="V37" s="154"/>
      <c r="W37" s="154"/>
      <c r="X37" s="154"/>
      <c r="Y37" s="154"/>
      <c r="Z37" s="154"/>
      <c r="AA37" s="154"/>
      <c r="AB37" s="154"/>
      <c r="AC37" s="154"/>
      <c r="AD37" s="154"/>
      <c r="AE37" s="154"/>
      <c r="AF37" s="154"/>
      <c r="AG37" s="154"/>
      <c r="AH37" s="154"/>
      <c r="AI37" s="154"/>
      <c r="AJ37" s="154"/>
    </row>
    <row r="38" spans="1:36" ht="10.5" customHeight="1">
      <c r="A38" s="57" t="s">
        <v>52</v>
      </c>
      <c r="B38" s="170">
        <v>0</v>
      </c>
      <c r="C38" s="170">
        <v>0</v>
      </c>
      <c r="D38" s="172">
        <v>0</v>
      </c>
      <c r="E38" s="172">
        <v>0</v>
      </c>
      <c r="F38" s="170">
        <v>0</v>
      </c>
      <c r="G38" s="170">
        <v>0</v>
      </c>
      <c r="H38" s="172"/>
      <c r="I38" s="149"/>
      <c r="J38" s="148">
        <v>0</v>
      </c>
      <c r="K38" s="148">
        <v>0</v>
      </c>
      <c r="L38" s="148">
        <v>0</v>
      </c>
      <c r="M38" s="148">
        <v>0</v>
      </c>
      <c r="N38" s="148">
        <v>0</v>
      </c>
      <c r="O38" s="156">
        <v>0</v>
      </c>
      <c r="P38" s="183"/>
      <c r="Q38" s="174" t="s">
        <v>52</v>
      </c>
      <c r="S38" s="154"/>
      <c r="T38" s="154"/>
      <c r="U38" s="154"/>
      <c r="V38" s="154"/>
      <c r="W38" s="154"/>
      <c r="X38" s="154"/>
      <c r="Y38" s="154"/>
      <c r="Z38" s="154"/>
      <c r="AA38" s="154"/>
      <c r="AB38" s="154"/>
      <c r="AC38" s="154"/>
      <c r="AD38" s="154"/>
      <c r="AE38" s="154"/>
      <c r="AF38" s="154"/>
      <c r="AG38" s="154"/>
      <c r="AH38" s="154"/>
      <c r="AI38" s="154"/>
      <c r="AJ38" s="154"/>
    </row>
    <row r="39" spans="1:36" s="136" customFormat="1" ht="11.25" customHeight="1">
      <c r="A39" s="64" t="s">
        <v>153</v>
      </c>
      <c r="B39" s="157">
        <v>101.1875650619121</v>
      </c>
      <c r="C39" s="157">
        <v>331.99579631221934</v>
      </c>
      <c r="D39" s="158">
        <v>47.825799703400925</v>
      </c>
      <c r="E39" s="158">
        <v>97.328173348385405</v>
      </c>
      <c r="F39" s="157">
        <v>49.972934270000003</v>
      </c>
      <c r="G39" s="158">
        <v>13.580435999999999</v>
      </c>
      <c r="H39" s="159">
        <v>0</v>
      </c>
      <c r="I39" s="160"/>
      <c r="J39" s="158">
        <v>171.04599004403033</v>
      </c>
      <c r="K39" s="158">
        <v>45.717551460000003</v>
      </c>
      <c r="L39" s="158">
        <v>0</v>
      </c>
      <c r="M39" s="158">
        <v>0</v>
      </c>
      <c r="N39" s="158">
        <v>361.69050647440218</v>
      </c>
      <c r="O39" s="184">
        <v>1220.3447526743503</v>
      </c>
      <c r="P39" s="159"/>
      <c r="Q39" s="163" t="s">
        <v>153</v>
      </c>
      <c r="R39" s="153"/>
      <c r="S39" s="154"/>
      <c r="T39" s="154"/>
      <c r="U39" s="154"/>
      <c r="V39" s="154"/>
      <c r="W39" s="154"/>
      <c r="X39" s="154"/>
      <c r="Y39" s="154"/>
      <c r="Z39" s="154"/>
      <c r="AA39" s="154"/>
      <c r="AB39" s="154"/>
      <c r="AC39" s="154"/>
      <c r="AD39" s="154"/>
      <c r="AE39" s="154"/>
      <c r="AF39" s="154"/>
      <c r="AG39" s="154"/>
      <c r="AH39" s="154"/>
      <c r="AI39" s="154"/>
      <c r="AJ39" s="154"/>
    </row>
    <row r="40" spans="1:36" ht="11.25" customHeight="1">
      <c r="A40" s="57" t="s">
        <v>39</v>
      </c>
      <c r="B40" s="171">
        <v>101.1875650619121</v>
      </c>
      <c r="C40" s="170">
        <v>0</v>
      </c>
      <c r="D40" s="170">
        <v>45.822349203400925</v>
      </c>
      <c r="E40" s="170">
        <v>25.460301710136619</v>
      </c>
      <c r="F40" s="170">
        <v>0</v>
      </c>
      <c r="G40" s="170">
        <v>13.580435999999999</v>
      </c>
      <c r="H40" s="172"/>
      <c r="I40" s="149"/>
      <c r="J40" s="170">
        <v>90.27999525857301</v>
      </c>
      <c r="K40" s="170">
        <v>0</v>
      </c>
      <c r="L40" s="170">
        <v>0</v>
      </c>
      <c r="M40" s="170">
        <v>0</v>
      </c>
      <c r="N40" s="170">
        <v>0</v>
      </c>
      <c r="O40" s="171">
        <v>276.33064723402265</v>
      </c>
      <c r="P40" s="185"/>
      <c r="Q40" s="174" t="s">
        <v>39</v>
      </c>
      <c r="R40" s="153"/>
      <c r="S40" s="154"/>
      <c r="T40" s="154"/>
      <c r="U40" s="154"/>
      <c r="V40" s="154"/>
      <c r="W40" s="154"/>
      <c r="X40" s="154"/>
      <c r="Y40" s="154"/>
      <c r="Z40" s="154"/>
      <c r="AA40" s="154"/>
      <c r="AB40" s="154"/>
      <c r="AC40" s="154"/>
      <c r="AD40" s="154"/>
      <c r="AE40" s="154"/>
      <c r="AF40" s="154"/>
      <c r="AG40" s="154"/>
      <c r="AH40" s="154"/>
      <c r="AI40" s="154"/>
      <c r="AJ40" s="154"/>
    </row>
    <row r="41" spans="1:36" ht="10.5" customHeight="1">
      <c r="A41" s="47" t="s">
        <v>154</v>
      </c>
      <c r="B41" s="146">
        <v>101.1875650619121</v>
      </c>
      <c r="C41" s="148">
        <v>0</v>
      </c>
      <c r="D41" s="148">
        <v>45.822349203400925</v>
      </c>
      <c r="E41" s="148">
        <v>25.460301710136619</v>
      </c>
      <c r="F41" s="148">
        <v>0</v>
      </c>
      <c r="G41" s="148">
        <v>13.580435999999999</v>
      </c>
      <c r="H41" s="149"/>
      <c r="I41" s="149"/>
      <c r="J41" s="148">
        <v>90.27999525857301</v>
      </c>
      <c r="K41" s="148">
        <v>0</v>
      </c>
      <c r="L41" s="148">
        <v>0</v>
      </c>
      <c r="M41" s="148">
        <v>0</v>
      </c>
      <c r="N41" s="148">
        <v>0</v>
      </c>
      <c r="O41" s="146">
        <v>276.33064723402265</v>
      </c>
      <c r="P41" s="155"/>
      <c r="Q41" s="152" t="s">
        <v>154</v>
      </c>
      <c r="R41" s="153"/>
      <c r="S41" s="154"/>
      <c r="T41" s="154"/>
      <c r="U41" s="154"/>
      <c r="V41" s="154"/>
      <c r="W41" s="154"/>
      <c r="X41" s="154"/>
      <c r="Y41" s="154"/>
      <c r="Z41" s="154"/>
      <c r="AA41" s="154"/>
      <c r="AB41" s="154"/>
      <c r="AC41" s="154"/>
      <c r="AD41" s="154"/>
      <c r="AE41" s="154"/>
      <c r="AF41" s="154"/>
      <c r="AG41" s="154"/>
      <c r="AH41" s="154"/>
      <c r="AI41" s="154"/>
      <c r="AJ41" s="154"/>
    </row>
    <row r="42" spans="1:36" ht="10.5" customHeight="1">
      <c r="A42" s="47" t="s">
        <v>155</v>
      </c>
      <c r="B42" s="148">
        <v>0</v>
      </c>
      <c r="C42" s="148">
        <v>0</v>
      </c>
      <c r="D42" s="148">
        <v>0</v>
      </c>
      <c r="E42" s="148">
        <v>0</v>
      </c>
      <c r="F42" s="148">
        <v>0</v>
      </c>
      <c r="G42" s="148">
        <v>0</v>
      </c>
      <c r="H42" s="149"/>
      <c r="I42" s="149"/>
      <c r="J42" s="148">
        <v>0</v>
      </c>
      <c r="K42" s="148">
        <v>0</v>
      </c>
      <c r="L42" s="148">
        <v>0</v>
      </c>
      <c r="M42" s="148">
        <v>0</v>
      </c>
      <c r="N42" s="148">
        <v>0</v>
      </c>
      <c r="O42" s="148">
        <v>0</v>
      </c>
      <c r="P42" s="155"/>
      <c r="Q42" s="152" t="s">
        <v>155</v>
      </c>
      <c r="S42" s="154"/>
      <c r="T42" s="154"/>
      <c r="U42" s="154"/>
      <c r="V42" s="154"/>
      <c r="W42" s="154"/>
      <c r="X42" s="154"/>
      <c r="Y42" s="154"/>
      <c r="Z42" s="154"/>
      <c r="AA42" s="154"/>
      <c r="AB42" s="154"/>
      <c r="AC42" s="154"/>
      <c r="AD42" s="154"/>
      <c r="AE42" s="154"/>
      <c r="AF42" s="154"/>
      <c r="AG42" s="154"/>
      <c r="AH42" s="154"/>
      <c r="AI42" s="154"/>
      <c r="AJ42" s="154"/>
    </row>
    <row r="43" spans="1:36" ht="10.5" customHeight="1">
      <c r="A43" s="47" t="s">
        <v>156</v>
      </c>
      <c r="B43" s="148">
        <v>0</v>
      </c>
      <c r="C43" s="148">
        <v>0</v>
      </c>
      <c r="D43" s="148">
        <v>0</v>
      </c>
      <c r="E43" s="148">
        <v>0</v>
      </c>
      <c r="F43" s="148">
        <v>0</v>
      </c>
      <c r="G43" s="148">
        <v>0</v>
      </c>
      <c r="H43" s="149"/>
      <c r="I43" s="149"/>
      <c r="J43" s="148">
        <v>0</v>
      </c>
      <c r="K43" s="148">
        <v>0</v>
      </c>
      <c r="L43" s="148">
        <v>0</v>
      </c>
      <c r="M43" s="148">
        <v>0</v>
      </c>
      <c r="N43" s="148">
        <v>0</v>
      </c>
      <c r="O43" s="148">
        <v>0</v>
      </c>
      <c r="P43" s="155"/>
      <c r="Q43" s="152" t="s">
        <v>156</v>
      </c>
      <c r="S43" s="154"/>
      <c r="T43" s="154"/>
      <c r="U43" s="154"/>
      <c r="V43" s="154"/>
      <c r="W43" s="154"/>
      <c r="X43" s="154"/>
      <c r="Y43" s="154"/>
      <c r="Z43" s="154"/>
      <c r="AA43" s="154"/>
      <c r="AB43" s="154"/>
      <c r="AC43" s="154"/>
      <c r="AD43" s="154"/>
      <c r="AE43" s="154"/>
      <c r="AF43" s="154"/>
      <c r="AG43" s="154"/>
      <c r="AH43" s="154"/>
      <c r="AI43" s="154"/>
      <c r="AJ43" s="154"/>
    </row>
    <row r="44" spans="1:36" ht="10.5" customHeight="1">
      <c r="A44" s="47" t="s">
        <v>157</v>
      </c>
      <c r="B44" s="148">
        <v>0</v>
      </c>
      <c r="C44" s="148">
        <v>0</v>
      </c>
      <c r="D44" s="148">
        <v>0</v>
      </c>
      <c r="E44" s="148">
        <v>0</v>
      </c>
      <c r="F44" s="148">
        <v>0</v>
      </c>
      <c r="G44" s="148">
        <v>0</v>
      </c>
      <c r="H44" s="149"/>
      <c r="I44" s="149"/>
      <c r="J44" s="148">
        <v>0</v>
      </c>
      <c r="K44" s="148">
        <v>0</v>
      </c>
      <c r="L44" s="148">
        <v>0</v>
      </c>
      <c r="M44" s="148">
        <v>0</v>
      </c>
      <c r="N44" s="148">
        <v>0</v>
      </c>
      <c r="O44" s="148">
        <v>0</v>
      </c>
      <c r="P44" s="155"/>
      <c r="Q44" s="152" t="s">
        <v>157</v>
      </c>
      <c r="S44" s="154"/>
      <c r="T44" s="154"/>
      <c r="U44" s="154"/>
      <c r="V44" s="154"/>
      <c r="W44" s="154"/>
      <c r="X44" s="154"/>
      <c r="Y44" s="154"/>
      <c r="Z44" s="154"/>
      <c r="AA44" s="154"/>
      <c r="AB44" s="154"/>
      <c r="AC44" s="154"/>
      <c r="AD44" s="154"/>
      <c r="AE44" s="154"/>
      <c r="AF44" s="154"/>
      <c r="AG44" s="154"/>
      <c r="AH44" s="154"/>
      <c r="AI44" s="154"/>
      <c r="AJ44" s="154"/>
    </row>
    <row r="45" spans="1:36" ht="10.5" customHeight="1">
      <c r="A45" s="47" t="s">
        <v>158</v>
      </c>
      <c r="B45" s="148">
        <v>0</v>
      </c>
      <c r="C45" s="148">
        <v>0</v>
      </c>
      <c r="D45" s="148">
        <v>0</v>
      </c>
      <c r="E45" s="148">
        <v>0</v>
      </c>
      <c r="F45" s="148">
        <v>0</v>
      </c>
      <c r="G45" s="148">
        <v>0</v>
      </c>
      <c r="H45" s="149"/>
      <c r="I45" s="149"/>
      <c r="J45" s="148">
        <v>0</v>
      </c>
      <c r="K45" s="148">
        <v>0</v>
      </c>
      <c r="L45" s="148">
        <v>0</v>
      </c>
      <c r="M45" s="148">
        <v>0</v>
      </c>
      <c r="N45" s="148">
        <v>0</v>
      </c>
      <c r="O45" s="148">
        <v>0</v>
      </c>
      <c r="P45" s="155"/>
      <c r="Q45" s="152" t="s">
        <v>158</v>
      </c>
      <c r="S45" s="154"/>
      <c r="T45" s="154"/>
      <c r="U45" s="154"/>
      <c r="V45" s="154"/>
      <c r="W45" s="154"/>
      <c r="X45" s="154"/>
      <c r="Y45" s="154"/>
      <c r="Z45" s="154"/>
      <c r="AA45" s="154"/>
      <c r="AB45" s="154"/>
      <c r="AC45" s="154"/>
      <c r="AD45" s="154"/>
      <c r="AE45" s="154"/>
      <c r="AF45" s="154"/>
      <c r="AG45" s="154"/>
      <c r="AH45" s="154"/>
      <c r="AI45" s="154"/>
      <c r="AJ45" s="154"/>
    </row>
    <row r="46" spans="1:36" ht="10.5" customHeight="1">
      <c r="A46" s="47" t="s">
        <v>239</v>
      </c>
      <c r="B46" s="148">
        <v>0</v>
      </c>
      <c r="C46" s="148">
        <v>0</v>
      </c>
      <c r="D46" s="148">
        <v>0</v>
      </c>
      <c r="E46" s="148">
        <v>0</v>
      </c>
      <c r="F46" s="148">
        <v>0</v>
      </c>
      <c r="G46" s="148">
        <v>0</v>
      </c>
      <c r="H46" s="149"/>
      <c r="I46" s="149"/>
      <c r="J46" s="148">
        <v>0</v>
      </c>
      <c r="K46" s="148">
        <v>0</v>
      </c>
      <c r="L46" s="148">
        <v>0</v>
      </c>
      <c r="M46" s="148">
        <v>0</v>
      </c>
      <c r="N46" s="148">
        <v>0</v>
      </c>
      <c r="O46" s="148">
        <v>0</v>
      </c>
      <c r="P46" s="155"/>
      <c r="Q46" s="152" t="s">
        <v>239</v>
      </c>
      <c r="S46" s="154"/>
      <c r="T46" s="154"/>
      <c r="U46" s="154"/>
      <c r="V46" s="154"/>
      <c r="W46" s="154"/>
      <c r="X46" s="154"/>
      <c r="Y46" s="154"/>
      <c r="Z46" s="154"/>
      <c r="AA46" s="154"/>
      <c r="AB46" s="154"/>
      <c r="AC46" s="154"/>
      <c r="AD46" s="154"/>
      <c r="AE46" s="154"/>
      <c r="AF46" s="154"/>
      <c r="AG46" s="154"/>
      <c r="AH46" s="154"/>
      <c r="AI46" s="154"/>
      <c r="AJ46" s="154"/>
    </row>
    <row r="47" spans="1:36" ht="10.5" customHeight="1">
      <c r="A47" s="47" t="s">
        <v>240</v>
      </c>
      <c r="B47" s="148">
        <v>0</v>
      </c>
      <c r="C47" s="148">
        <v>0</v>
      </c>
      <c r="D47" s="148">
        <v>0</v>
      </c>
      <c r="E47" s="148">
        <v>0</v>
      </c>
      <c r="F47" s="148">
        <v>0</v>
      </c>
      <c r="G47" s="148">
        <v>0</v>
      </c>
      <c r="H47" s="149"/>
      <c r="I47" s="149"/>
      <c r="J47" s="148">
        <v>0</v>
      </c>
      <c r="K47" s="148">
        <v>0</v>
      </c>
      <c r="L47" s="148">
        <v>0</v>
      </c>
      <c r="M47" s="148">
        <v>0</v>
      </c>
      <c r="N47" s="148">
        <v>0</v>
      </c>
      <c r="O47" s="148">
        <v>0</v>
      </c>
      <c r="P47" s="155"/>
      <c r="Q47" s="152" t="s">
        <v>240</v>
      </c>
      <c r="S47" s="154"/>
      <c r="T47" s="154"/>
      <c r="U47" s="154"/>
      <c r="V47" s="154"/>
      <c r="W47" s="154"/>
      <c r="X47" s="154"/>
      <c r="Y47" s="154"/>
      <c r="Z47" s="154"/>
      <c r="AA47" s="154"/>
      <c r="AB47" s="154"/>
      <c r="AC47" s="154"/>
      <c r="AD47" s="154"/>
      <c r="AE47" s="154"/>
      <c r="AF47" s="154"/>
      <c r="AG47" s="154"/>
      <c r="AH47" s="154"/>
      <c r="AI47" s="154"/>
      <c r="AJ47" s="154"/>
    </row>
    <row r="48" spans="1:36" ht="10.5" customHeight="1">
      <c r="A48" s="47" t="s">
        <v>161</v>
      </c>
      <c r="B48" s="148">
        <v>0</v>
      </c>
      <c r="C48" s="148">
        <v>0</v>
      </c>
      <c r="D48" s="148">
        <v>0</v>
      </c>
      <c r="E48" s="148">
        <v>0</v>
      </c>
      <c r="F48" s="148">
        <v>0</v>
      </c>
      <c r="G48" s="148">
        <v>0</v>
      </c>
      <c r="H48" s="149"/>
      <c r="I48" s="149"/>
      <c r="J48" s="148">
        <v>0</v>
      </c>
      <c r="K48" s="148">
        <v>0</v>
      </c>
      <c r="L48" s="148">
        <v>0</v>
      </c>
      <c r="M48" s="148">
        <v>0</v>
      </c>
      <c r="N48" s="148">
        <v>0</v>
      </c>
      <c r="O48" s="148">
        <v>0</v>
      </c>
      <c r="P48" s="155"/>
      <c r="Q48" s="152" t="s">
        <v>161</v>
      </c>
      <c r="S48" s="154"/>
      <c r="T48" s="154"/>
      <c r="U48" s="154"/>
      <c r="V48" s="154"/>
      <c r="W48" s="154"/>
      <c r="X48" s="154"/>
      <c r="Y48" s="154"/>
      <c r="Z48" s="154"/>
      <c r="AA48" s="154"/>
      <c r="AB48" s="154"/>
      <c r="AC48" s="154"/>
      <c r="AD48" s="154"/>
      <c r="AE48" s="154"/>
      <c r="AF48" s="154"/>
      <c r="AG48" s="154"/>
      <c r="AH48" s="154"/>
      <c r="AI48" s="154"/>
      <c r="AJ48" s="154"/>
    </row>
    <row r="49" spans="1:36" ht="10.5" customHeight="1">
      <c r="A49" s="47" t="s">
        <v>241</v>
      </c>
      <c r="B49" s="148">
        <v>0</v>
      </c>
      <c r="C49" s="148">
        <v>0</v>
      </c>
      <c r="D49" s="148">
        <v>0</v>
      </c>
      <c r="E49" s="148">
        <v>0</v>
      </c>
      <c r="F49" s="148">
        <v>0</v>
      </c>
      <c r="G49" s="148">
        <v>0</v>
      </c>
      <c r="H49" s="149"/>
      <c r="I49" s="149"/>
      <c r="J49" s="148">
        <v>0</v>
      </c>
      <c r="K49" s="148">
        <v>0</v>
      </c>
      <c r="L49" s="148">
        <v>0</v>
      </c>
      <c r="M49" s="148">
        <v>0</v>
      </c>
      <c r="N49" s="148">
        <v>0</v>
      </c>
      <c r="O49" s="148">
        <v>0</v>
      </c>
      <c r="P49" s="155"/>
      <c r="Q49" s="152" t="s">
        <v>241</v>
      </c>
      <c r="S49" s="154"/>
      <c r="T49" s="154"/>
      <c r="U49" s="154"/>
      <c r="V49" s="154"/>
      <c r="W49" s="154"/>
      <c r="X49" s="154"/>
      <c r="Y49" s="154"/>
      <c r="Z49" s="154"/>
      <c r="AA49" s="154"/>
      <c r="AB49" s="154"/>
      <c r="AC49" s="154"/>
      <c r="AD49" s="154"/>
      <c r="AE49" s="154"/>
      <c r="AF49" s="154"/>
      <c r="AG49" s="154"/>
      <c r="AH49" s="154"/>
      <c r="AI49" s="154"/>
      <c r="AJ49" s="154"/>
    </row>
    <row r="50" spans="1:36" ht="10.5" customHeight="1">
      <c r="A50" s="47" t="s">
        <v>242</v>
      </c>
      <c r="B50" s="148">
        <v>0</v>
      </c>
      <c r="C50" s="148">
        <v>0</v>
      </c>
      <c r="D50" s="148">
        <v>0</v>
      </c>
      <c r="E50" s="148">
        <v>0</v>
      </c>
      <c r="F50" s="148">
        <v>0</v>
      </c>
      <c r="G50" s="148">
        <v>0</v>
      </c>
      <c r="H50" s="149"/>
      <c r="I50" s="149"/>
      <c r="J50" s="148">
        <v>0</v>
      </c>
      <c r="K50" s="148">
        <v>0</v>
      </c>
      <c r="L50" s="148">
        <v>0</v>
      </c>
      <c r="M50" s="148">
        <v>0</v>
      </c>
      <c r="N50" s="148">
        <v>0</v>
      </c>
      <c r="O50" s="148">
        <v>0</v>
      </c>
      <c r="P50" s="155"/>
      <c r="Q50" s="152" t="s">
        <v>242</v>
      </c>
      <c r="S50" s="154"/>
      <c r="T50" s="154"/>
      <c r="U50" s="154"/>
      <c r="V50" s="154"/>
      <c r="W50" s="154"/>
      <c r="X50" s="154"/>
      <c r="Y50" s="154"/>
      <c r="Z50" s="154"/>
      <c r="AA50" s="154"/>
      <c r="AB50" s="154"/>
      <c r="AC50" s="154"/>
      <c r="AD50" s="154"/>
      <c r="AE50" s="154"/>
      <c r="AF50" s="154"/>
      <c r="AG50" s="154"/>
      <c r="AH50" s="154"/>
      <c r="AI50" s="154"/>
      <c r="AJ50" s="154"/>
    </row>
    <row r="51" spans="1:36" ht="10.5" customHeight="1">
      <c r="A51" s="47" t="s">
        <v>243</v>
      </c>
      <c r="B51" s="148">
        <v>0</v>
      </c>
      <c r="C51" s="148">
        <v>0</v>
      </c>
      <c r="D51" s="148">
        <v>0</v>
      </c>
      <c r="E51" s="148">
        <v>0</v>
      </c>
      <c r="F51" s="148">
        <v>0</v>
      </c>
      <c r="G51" s="148">
        <v>0</v>
      </c>
      <c r="H51" s="149"/>
      <c r="I51" s="149"/>
      <c r="J51" s="148">
        <v>0</v>
      </c>
      <c r="K51" s="148">
        <v>0</v>
      </c>
      <c r="L51" s="148">
        <v>0</v>
      </c>
      <c r="M51" s="148">
        <v>0</v>
      </c>
      <c r="N51" s="148">
        <v>0</v>
      </c>
      <c r="O51" s="148">
        <v>0</v>
      </c>
      <c r="P51" s="155"/>
      <c r="Q51" s="152" t="s">
        <v>243</v>
      </c>
      <c r="S51" s="154"/>
      <c r="T51" s="154"/>
      <c r="U51" s="154"/>
      <c r="V51" s="154"/>
      <c r="W51" s="154"/>
      <c r="X51" s="154"/>
      <c r="Y51" s="154"/>
      <c r="Z51" s="154"/>
      <c r="AA51" s="154"/>
      <c r="AB51" s="154"/>
      <c r="AC51" s="154"/>
      <c r="AD51" s="154"/>
      <c r="AE51" s="154"/>
      <c r="AF51" s="154"/>
      <c r="AG51" s="154"/>
      <c r="AH51" s="154"/>
      <c r="AI51" s="154"/>
      <c r="AJ51" s="154"/>
    </row>
    <row r="52" spans="1:36" ht="10.5" customHeight="1">
      <c r="A52" s="47" t="s">
        <v>165</v>
      </c>
      <c r="B52" s="148">
        <v>0</v>
      </c>
      <c r="C52" s="148">
        <v>0</v>
      </c>
      <c r="D52" s="148">
        <v>0</v>
      </c>
      <c r="E52" s="148">
        <v>0</v>
      </c>
      <c r="F52" s="148">
        <v>0</v>
      </c>
      <c r="G52" s="148">
        <v>0</v>
      </c>
      <c r="H52" s="149"/>
      <c r="I52" s="149"/>
      <c r="J52" s="148">
        <v>0</v>
      </c>
      <c r="K52" s="148">
        <v>0</v>
      </c>
      <c r="L52" s="148">
        <v>0</v>
      </c>
      <c r="M52" s="148">
        <v>0</v>
      </c>
      <c r="N52" s="148">
        <v>0</v>
      </c>
      <c r="O52" s="148">
        <v>0</v>
      </c>
      <c r="P52" s="155"/>
      <c r="Q52" s="152" t="s">
        <v>165</v>
      </c>
      <c r="S52" s="154"/>
      <c r="T52" s="154"/>
      <c r="U52" s="154"/>
      <c r="V52" s="154"/>
      <c r="W52" s="154"/>
      <c r="X52" s="154"/>
      <c r="Y52" s="154"/>
      <c r="Z52" s="154"/>
      <c r="AA52" s="154"/>
      <c r="AB52" s="154"/>
      <c r="AC52" s="154"/>
      <c r="AD52" s="154"/>
      <c r="AE52" s="154"/>
      <c r="AF52" s="154"/>
      <c r="AG52" s="154"/>
      <c r="AH52" s="154"/>
      <c r="AI52" s="154"/>
      <c r="AJ52" s="154"/>
    </row>
    <row r="53" spans="1:36" ht="10.5" customHeight="1">
      <c r="A53" s="47" t="s">
        <v>166</v>
      </c>
      <c r="B53" s="148">
        <v>0</v>
      </c>
      <c r="C53" s="148">
        <v>0</v>
      </c>
      <c r="D53" s="148">
        <v>0</v>
      </c>
      <c r="E53" s="148">
        <v>0</v>
      </c>
      <c r="F53" s="148">
        <v>0</v>
      </c>
      <c r="G53" s="148">
        <v>0</v>
      </c>
      <c r="H53" s="149"/>
      <c r="I53" s="149"/>
      <c r="J53" s="148">
        <v>0</v>
      </c>
      <c r="K53" s="148">
        <v>0</v>
      </c>
      <c r="L53" s="148">
        <v>0</v>
      </c>
      <c r="M53" s="148">
        <v>0</v>
      </c>
      <c r="N53" s="148">
        <v>0</v>
      </c>
      <c r="O53" s="148">
        <v>0</v>
      </c>
      <c r="P53" s="155"/>
      <c r="Q53" s="152" t="s">
        <v>166</v>
      </c>
      <c r="S53" s="154"/>
      <c r="T53" s="154"/>
      <c r="U53" s="154"/>
      <c r="V53" s="154"/>
      <c r="W53" s="154"/>
      <c r="X53" s="154"/>
      <c r="Y53" s="154"/>
      <c r="Z53" s="154"/>
      <c r="AA53" s="154"/>
      <c r="AB53" s="154"/>
      <c r="AC53" s="154"/>
      <c r="AD53" s="154"/>
      <c r="AE53" s="154"/>
      <c r="AF53" s="154"/>
      <c r="AG53" s="154"/>
      <c r="AH53" s="154"/>
      <c r="AI53" s="154"/>
      <c r="AJ53" s="154"/>
    </row>
    <row r="54" spans="1:36" ht="10.5" customHeight="1">
      <c r="A54" s="57" t="s">
        <v>244</v>
      </c>
      <c r="B54" s="170">
        <v>0</v>
      </c>
      <c r="C54" s="170">
        <v>0</v>
      </c>
      <c r="D54" s="170">
        <v>0</v>
      </c>
      <c r="E54" s="170">
        <v>0</v>
      </c>
      <c r="F54" s="170">
        <v>0</v>
      </c>
      <c r="G54" s="170">
        <v>0</v>
      </c>
      <c r="H54" s="172"/>
      <c r="I54" s="149"/>
      <c r="J54" s="148">
        <v>0</v>
      </c>
      <c r="K54" s="148">
        <v>0</v>
      </c>
      <c r="L54" s="148">
        <v>0</v>
      </c>
      <c r="M54" s="148">
        <v>0</v>
      </c>
      <c r="N54" s="170">
        <v>361.69050647440218</v>
      </c>
      <c r="O54" s="170">
        <v>361.69050647440218</v>
      </c>
      <c r="P54" s="155"/>
      <c r="Q54" s="174" t="s">
        <v>244</v>
      </c>
      <c r="S54" s="154"/>
      <c r="T54" s="154"/>
      <c r="U54" s="154"/>
      <c r="V54" s="154"/>
      <c r="W54" s="154"/>
      <c r="X54" s="154"/>
      <c r="Y54" s="154"/>
      <c r="Z54" s="154"/>
      <c r="AA54" s="154"/>
      <c r="AB54" s="154"/>
      <c r="AC54" s="154"/>
      <c r="AD54" s="154"/>
      <c r="AE54" s="154"/>
      <c r="AF54" s="154"/>
      <c r="AG54" s="154"/>
      <c r="AH54" s="154"/>
      <c r="AI54" s="154"/>
      <c r="AJ54" s="154"/>
    </row>
    <row r="55" spans="1:36" ht="10.5" customHeight="1">
      <c r="A55" s="47" t="s">
        <v>168</v>
      </c>
      <c r="B55" s="148">
        <v>0</v>
      </c>
      <c r="C55" s="148">
        <v>0</v>
      </c>
      <c r="D55" s="148">
        <v>0</v>
      </c>
      <c r="E55" s="148">
        <v>0</v>
      </c>
      <c r="F55" s="148">
        <v>0</v>
      </c>
      <c r="G55" s="148">
        <v>0</v>
      </c>
      <c r="H55" s="149"/>
      <c r="I55" s="149"/>
      <c r="J55" s="148">
        <v>0</v>
      </c>
      <c r="K55" s="148">
        <v>0</v>
      </c>
      <c r="L55" s="148">
        <v>0</v>
      </c>
      <c r="M55" s="148">
        <v>0</v>
      </c>
      <c r="N55" s="148">
        <v>0</v>
      </c>
      <c r="O55" s="148">
        <v>0</v>
      </c>
      <c r="P55" s="155"/>
      <c r="Q55" s="152" t="s">
        <v>168</v>
      </c>
      <c r="S55" s="154"/>
      <c r="T55" s="154"/>
      <c r="U55" s="154"/>
      <c r="V55" s="154"/>
      <c r="W55" s="154"/>
      <c r="X55" s="154"/>
      <c r="Y55" s="154"/>
      <c r="Z55" s="154"/>
      <c r="AA55" s="154"/>
      <c r="AB55" s="154"/>
      <c r="AC55" s="154"/>
      <c r="AD55" s="154"/>
      <c r="AE55" s="154"/>
      <c r="AF55" s="154"/>
      <c r="AG55" s="154"/>
      <c r="AH55" s="154"/>
      <c r="AI55" s="154"/>
      <c r="AJ55" s="154"/>
    </row>
    <row r="56" spans="1:36" ht="10.5" customHeight="1">
      <c r="A56" s="47" t="s">
        <v>24</v>
      </c>
      <c r="B56" s="148">
        <v>0</v>
      </c>
      <c r="C56" s="148">
        <v>0</v>
      </c>
      <c r="D56" s="148">
        <v>0</v>
      </c>
      <c r="E56" s="148">
        <v>0</v>
      </c>
      <c r="F56" s="148">
        <v>0</v>
      </c>
      <c r="G56" s="148">
        <v>0</v>
      </c>
      <c r="H56" s="149"/>
      <c r="I56" s="149"/>
      <c r="J56" s="148">
        <v>0</v>
      </c>
      <c r="K56" s="148">
        <v>0</v>
      </c>
      <c r="L56" s="148">
        <v>0</v>
      </c>
      <c r="M56" s="148">
        <v>0</v>
      </c>
      <c r="N56" s="148">
        <v>0</v>
      </c>
      <c r="O56" s="148">
        <v>0</v>
      </c>
      <c r="P56" s="155"/>
      <c r="Q56" s="152" t="s">
        <v>24</v>
      </c>
      <c r="S56" s="154"/>
      <c r="T56" s="154"/>
      <c r="U56" s="154"/>
      <c r="V56" s="154"/>
      <c r="W56" s="154"/>
      <c r="X56" s="154"/>
      <c r="Y56" s="154"/>
      <c r="Z56" s="154"/>
      <c r="AA56" s="154"/>
      <c r="AB56" s="154"/>
      <c r="AC56" s="154"/>
      <c r="AD56" s="154"/>
      <c r="AE56" s="154"/>
      <c r="AF56" s="154"/>
      <c r="AG56" s="154"/>
      <c r="AH56" s="154"/>
      <c r="AI56" s="154"/>
      <c r="AJ56" s="154"/>
    </row>
    <row r="57" spans="1:36" ht="10.5" customHeight="1">
      <c r="A57" s="47" t="s">
        <v>23</v>
      </c>
      <c r="B57" s="148">
        <v>0</v>
      </c>
      <c r="C57" s="148">
        <v>0</v>
      </c>
      <c r="D57" s="148">
        <v>0</v>
      </c>
      <c r="E57" s="148">
        <v>0</v>
      </c>
      <c r="F57" s="148">
        <v>0</v>
      </c>
      <c r="G57" s="148">
        <v>0</v>
      </c>
      <c r="H57" s="149"/>
      <c r="I57" s="149"/>
      <c r="J57" s="148">
        <v>0</v>
      </c>
      <c r="K57" s="148">
        <v>0</v>
      </c>
      <c r="L57" s="148">
        <v>0</v>
      </c>
      <c r="M57" s="148">
        <v>0</v>
      </c>
      <c r="N57" s="148">
        <v>361.69050647440218</v>
      </c>
      <c r="O57" s="148">
        <v>361.69050647440218</v>
      </c>
      <c r="P57" s="155"/>
      <c r="Q57" s="152" t="s">
        <v>23</v>
      </c>
      <c r="S57" s="154"/>
      <c r="T57" s="154"/>
      <c r="U57" s="154"/>
      <c r="V57" s="154"/>
      <c r="W57" s="154"/>
      <c r="X57" s="154"/>
      <c r="Y57" s="154"/>
      <c r="Z57" s="154"/>
      <c r="AA57" s="154"/>
      <c r="AB57" s="154"/>
      <c r="AC57" s="154"/>
      <c r="AD57" s="154"/>
      <c r="AE57" s="154"/>
      <c r="AF57" s="154"/>
      <c r="AG57" s="154"/>
      <c r="AH57" s="154"/>
      <c r="AI57" s="154"/>
      <c r="AJ57" s="154"/>
    </row>
    <row r="58" spans="1:36" ht="10.5" customHeight="1">
      <c r="A58" s="47" t="s">
        <v>169</v>
      </c>
      <c r="B58" s="148">
        <v>0</v>
      </c>
      <c r="C58" s="148">
        <v>0</v>
      </c>
      <c r="D58" s="148">
        <v>0</v>
      </c>
      <c r="E58" s="148">
        <v>0</v>
      </c>
      <c r="F58" s="148">
        <v>0</v>
      </c>
      <c r="G58" s="148">
        <v>0</v>
      </c>
      <c r="H58" s="149"/>
      <c r="I58" s="149"/>
      <c r="J58" s="148">
        <v>0</v>
      </c>
      <c r="K58" s="148">
        <v>0</v>
      </c>
      <c r="L58" s="148">
        <v>0</v>
      </c>
      <c r="M58" s="148">
        <v>0</v>
      </c>
      <c r="N58" s="148">
        <v>0</v>
      </c>
      <c r="O58" s="148">
        <v>0</v>
      </c>
      <c r="P58" s="155"/>
      <c r="Q58" s="152" t="s">
        <v>169</v>
      </c>
      <c r="S58" s="154"/>
      <c r="T58" s="154"/>
      <c r="U58" s="154"/>
      <c r="V58" s="154"/>
      <c r="W58" s="154"/>
      <c r="X58" s="154"/>
      <c r="Y58" s="154"/>
      <c r="Z58" s="154"/>
      <c r="AA58" s="154"/>
      <c r="AB58" s="154"/>
      <c r="AC58" s="154"/>
      <c r="AD58" s="154"/>
      <c r="AE58" s="154"/>
      <c r="AF58" s="154"/>
      <c r="AG58" s="154"/>
      <c r="AH58" s="154"/>
      <c r="AI58" s="154"/>
      <c r="AJ58" s="154"/>
    </row>
    <row r="59" spans="1:36" ht="10.5" customHeight="1">
      <c r="A59" s="47" t="s">
        <v>170</v>
      </c>
      <c r="B59" s="148">
        <v>0</v>
      </c>
      <c r="C59" s="148">
        <v>0</v>
      </c>
      <c r="D59" s="148">
        <v>0</v>
      </c>
      <c r="E59" s="148">
        <v>0</v>
      </c>
      <c r="F59" s="148">
        <v>0</v>
      </c>
      <c r="G59" s="148">
        <v>0</v>
      </c>
      <c r="H59" s="149"/>
      <c r="I59" s="149"/>
      <c r="J59" s="148">
        <v>0</v>
      </c>
      <c r="K59" s="148">
        <v>0</v>
      </c>
      <c r="L59" s="148">
        <v>0</v>
      </c>
      <c r="M59" s="148">
        <v>0</v>
      </c>
      <c r="N59" s="148">
        <v>0</v>
      </c>
      <c r="O59" s="148">
        <v>0</v>
      </c>
      <c r="P59" s="155"/>
      <c r="Q59" s="152" t="s">
        <v>170</v>
      </c>
      <c r="S59" s="154"/>
      <c r="T59" s="154"/>
      <c r="U59" s="154"/>
      <c r="V59" s="154"/>
      <c r="W59" s="154"/>
      <c r="X59" s="154"/>
      <c r="Y59" s="154"/>
      <c r="Z59" s="154"/>
      <c r="AA59" s="154"/>
      <c r="AB59" s="154"/>
      <c r="AC59" s="154"/>
      <c r="AD59" s="154"/>
      <c r="AE59" s="154"/>
      <c r="AF59" s="154"/>
      <c r="AG59" s="154"/>
      <c r="AH59" s="154"/>
      <c r="AI59" s="154"/>
      <c r="AJ59" s="154"/>
    </row>
    <row r="60" spans="1:36" ht="10.5" customHeight="1">
      <c r="A60" s="57" t="s">
        <v>113</v>
      </c>
      <c r="B60" s="170">
        <v>0</v>
      </c>
      <c r="C60" s="171">
        <v>331.99579631221934</v>
      </c>
      <c r="D60" s="170">
        <v>2.0034505</v>
      </c>
      <c r="E60" s="170">
        <v>71.867871638248786</v>
      </c>
      <c r="F60" s="171">
        <v>49.972934270000003</v>
      </c>
      <c r="G60" s="170">
        <v>0</v>
      </c>
      <c r="H60" s="172">
        <v>0</v>
      </c>
      <c r="I60" s="172"/>
      <c r="J60" s="170">
        <v>80.765994785457323</v>
      </c>
      <c r="K60" s="170">
        <v>45.717551460000003</v>
      </c>
      <c r="L60" s="170">
        <v>0</v>
      </c>
      <c r="M60" s="170">
        <v>0</v>
      </c>
      <c r="N60" s="170">
        <v>0</v>
      </c>
      <c r="O60" s="171">
        <v>582.32359896592538</v>
      </c>
      <c r="P60" s="185"/>
      <c r="Q60" s="174" t="s">
        <v>113</v>
      </c>
      <c r="R60" s="153"/>
      <c r="S60" s="154"/>
      <c r="T60" s="154"/>
      <c r="U60" s="154"/>
      <c r="V60" s="154"/>
      <c r="W60" s="154"/>
      <c r="X60" s="154"/>
      <c r="Y60" s="154"/>
      <c r="Z60" s="154"/>
      <c r="AA60" s="154"/>
      <c r="AB60" s="154"/>
      <c r="AC60" s="154"/>
      <c r="AD60" s="154"/>
      <c r="AE60" s="154"/>
      <c r="AF60" s="154"/>
      <c r="AG60" s="154"/>
      <c r="AH60" s="154"/>
      <c r="AI60" s="154"/>
      <c r="AJ60" s="154"/>
    </row>
    <row r="61" spans="1:36" ht="10.5" customHeight="1">
      <c r="A61" s="47" t="s">
        <v>38</v>
      </c>
      <c r="B61" s="148">
        <v>0</v>
      </c>
      <c r="C61" s="146">
        <v>331.99579631221934</v>
      </c>
      <c r="D61" s="148">
        <v>0</v>
      </c>
      <c r="E61" s="148">
        <v>0</v>
      </c>
      <c r="F61" s="148">
        <v>0</v>
      </c>
      <c r="G61" s="148">
        <v>0</v>
      </c>
      <c r="H61" s="149"/>
      <c r="I61" s="149"/>
      <c r="J61" s="148">
        <v>22.84432501434253</v>
      </c>
      <c r="K61" s="146">
        <v>44.889000000000003</v>
      </c>
      <c r="L61" s="148">
        <v>0</v>
      </c>
      <c r="M61" s="148">
        <v>0</v>
      </c>
      <c r="N61" s="148">
        <v>0</v>
      </c>
      <c r="O61" s="146">
        <v>399.72912132656188</v>
      </c>
      <c r="P61" s="155"/>
      <c r="Q61" s="152" t="s">
        <v>38</v>
      </c>
      <c r="R61" s="153"/>
      <c r="S61" s="154"/>
      <c r="T61" s="154"/>
      <c r="U61" s="154"/>
      <c r="V61" s="154"/>
      <c r="W61" s="154"/>
      <c r="X61" s="154"/>
      <c r="Y61" s="154"/>
      <c r="Z61" s="154"/>
      <c r="AA61" s="154"/>
      <c r="AB61" s="154"/>
      <c r="AC61" s="154"/>
      <c r="AD61" s="154"/>
      <c r="AE61" s="154"/>
      <c r="AF61" s="154"/>
      <c r="AG61" s="154"/>
      <c r="AH61" s="154"/>
      <c r="AI61" s="154"/>
      <c r="AJ61" s="154"/>
    </row>
    <row r="62" spans="1:36" ht="10.5" customHeight="1">
      <c r="A62" s="47" t="s">
        <v>171</v>
      </c>
      <c r="B62" s="148">
        <v>0</v>
      </c>
      <c r="C62" s="148">
        <v>0</v>
      </c>
      <c r="D62" s="148">
        <v>0</v>
      </c>
      <c r="E62" s="148">
        <v>0</v>
      </c>
      <c r="F62" s="146">
        <v>49.972934270000003</v>
      </c>
      <c r="G62" s="148">
        <v>0</v>
      </c>
      <c r="H62" s="149"/>
      <c r="I62" s="149"/>
      <c r="J62" s="148">
        <v>38.644019430691657</v>
      </c>
      <c r="K62" s="146">
        <v>0.41427573000000001</v>
      </c>
      <c r="L62" s="148">
        <v>0</v>
      </c>
      <c r="M62" s="148">
        <v>0</v>
      </c>
      <c r="N62" s="148">
        <v>0</v>
      </c>
      <c r="O62" s="146">
        <v>89.031229430691653</v>
      </c>
      <c r="P62" s="155"/>
      <c r="Q62" s="152" t="s">
        <v>171</v>
      </c>
      <c r="R62" s="153"/>
      <c r="S62" s="154"/>
      <c r="T62" s="154"/>
      <c r="U62" s="154"/>
      <c r="V62" s="154"/>
      <c r="W62" s="154"/>
      <c r="X62" s="154"/>
      <c r="Y62" s="154"/>
      <c r="Z62" s="154"/>
      <c r="AA62" s="154"/>
      <c r="AB62" s="154"/>
      <c r="AC62" s="154"/>
      <c r="AD62" s="154"/>
      <c r="AE62" s="154"/>
      <c r="AF62" s="154"/>
      <c r="AG62" s="154"/>
      <c r="AH62" s="154"/>
      <c r="AI62" s="154"/>
      <c r="AJ62" s="154"/>
    </row>
    <row r="63" spans="1:36" ht="10.5" customHeight="1">
      <c r="A63" s="47" t="s">
        <v>47</v>
      </c>
      <c r="B63" s="148">
        <v>0</v>
      </c>
      <c r="C63" s="148">
        <v>0</v>
      </c>
      <c r="D63" s="148">
        <v>0</v>
      </c>
      <c r="E63" s="148">
        <v>0</v>
      </c>
      <c r="F63" s="148">
        <v>0</v>
      </c>
      <c r="G63" s="148">
        <v>0</v>
      </c>
      <c r="H63" s="149"/>
      <c r="I63" s="149"/>
      <c r="J63" s="148">
        <v>19.277650340423136</v>
      </c>
      <c r="K63" s="146">
        <v>0.41427573000000001</v>
      </c>
      <c r="L63" s="148">
        <v>0</v>
      </c>
      <c r="M63" s="148">
        <v>0</v>
      </c>
      <c r="N63" s="148">
        <v>0</v>
      </c>
      <c r="O63" s="146">
        <v>19.691926070423136</v>
      </c>
      <c r="P63" s="155"/>
      <c r="Q63" s="152" t="s">
        <v>47</v>
      </c>
      <c r="R63" s="153"/>
      <c r="S63" s="154"/>
      <c r="T63" s="154"/>
      <c r="U63" s="154"/>
      <c r="V63" s="154"/>
      <c r="W63" s="154"/>
      <c r="X63" s="154"/>
      <c r="Y63" s="154"/>
      <c r="Z63" s="154"/>
      <c r="AA63" s="154"/>
      <c r="AB63" s="154"/>
      <c r="AC63" s="154"/>
      <c r="AD63" s="154"/>
      <c r="AE63" s="154"/>
      <c r="AF63" s="154"/>
      <c r="AG63" s="154"/>
      <c r="AH63" s="154"/>
      <c r="AI63" s="154"/>
      <c r="AJ63" s="154"/>
    </row>
    <row r="64" spans="1:36" ht="10.5" customHeight="1">
      <c r="A64" s="47" t="s">
        <v>172</v>
      </c>
      <c r="B64" s="148">
        <v>0</v>
      </c>
      <c r="C64" s="148">
        <v>0</v>
      </c>
      <c r="D64" s="148">
        <v>2.0034505</v>
      </c>
      <c r="E64" s="148">
        <v>71.867871638248786</v>
      </c>
      <c r="F64" s="148">
        <v>0</v>
      </c>
      <c r="G64" s="148">
        <v>0</v>
      </c>
      <c r="H64" s="149"/>
      <c r="I64" s="149"/>
      <c r="J64" s="148">
        <v>0</v>
      </c>
      <c r="K64" s="148">
        <v>0</v>
      </c>
      <c r="L64" s="148">
        <v>0</v>
      </c>
      <c r="M64" s="148">
        <v>0</v>
      </c>
      <c r="N64" s="148">
        <v>0</v>
      </c>
      <c r="O64" s="148">
        <v>73.871322138248786</v>
      </c>
      <c r="P64" s="155"/>
      <c r="Q64" s="152" t="s">
        <v>172</v>
      </c>
      <c r="R64" s="153"/>
      <c r="S64" s="154"/>
      <c r="T64" s="154"/>
      <c r="U64" s="154"/>
      <c r="V64" s="154"/>
      <c r="W64" s="154"/>
      <c r="X64" s="154"/>
      <c r="Y64" s="154"/>
      <c r="Z64" s="154"/>
      <c r="AA64" s="154"/>
      <c r="AB64" s="154"/>
      <c r="AC64" s="154"/>
      <c r="AD64" s="154"/>
      <c r="AE64" s="154"/>
      <c r="AF64" s="154"/>
      <c r="AG64" s="154"/>
      <c r="AH64" s="154"/>
      <c r="AI64" s="154"/>
      <c r="AJ64" s="154"/>
    </row>
    <row r="65" spans="1:36" ht="11.25" customHeight="1">
      <c r="A65" s="47" t="s">
        <v>173</v>
      </c>
      <c r="B65" s="148">
        <v>0</v>
      </c>
      <c r="C65" s="148">
        <v>0</v>
      </c>
      <c r="D65" s="148">
        <v>0</v>
      </c>
      <c r="E65" s="148">
        <v>0</v>
      </c>
      <c r="F65" s="148">
        <v>0</v>
      </c>
      <c r="G65" s="148">
        <v>0</v>
      </c>
      <c r="H65" s="149"/>
      <c r="I65" s="149"/>
      <c r="J65" s="146">
        <v>0</v>
      </c>
      <c r="K65" s="148">
        <v>0</v>
      </c>
      <c r="L65" s="148">
        <v>0</v>
      </c>
      <c r="M65" s="148">
        <v>0</v>
      </c>
      <c r="N65" s="148">
        <v>0</v>
      </c>
      <c r="O65" s="186">
        <v>0</v>
      </c>
      <c r="P65" s="155"/>
      <c r="Q65" s="152" t="s">
        <v>173</v>
      </c>
      <c r="R65" s="153"/>
      <c r="S65" s="154"/>
      <c r="T65" s="154"/>
      <c r="U65" s="154"/>
      <c r="V65" s="154"/>
      <c r="W65" s="154"/>
      <c r="X65" s="154"/>
      <c r="Y65" s="154"/>
      <c r="Z65" s="154"/>
      <c r="AA65" s="154"/>
      <c r="AB65" s="154"/>
      <c r="AC65" s="154"/>
      <c r="AD65" s="154"/>
      <c r="AE65" s="154"/>
      <c r="AF65" s="154"/>
      <c r="AG65" s="154"/>
      <c r="AH65" s="154"/>
      <c r="AI65" s="154"/>
      <c r="AJ65" s="154"/>
    </row>
    <row r="66" spans="1:36" s="136" customFormat="1" ht="11.25" customHeight="1" thickBot="1">
      <c r="A66" s="81" t="s">
        <v>174</v>
      </c>
      <c r="B66" s="187">
        <v>0</v>
      </c>
      <c r="C66" s="187">
        <v>0</v>
      </c>
      <c r="D66" s="187">
        <v>0</v>
      </c>
      <c r="E66" s="187">
        <v>0</v>
      </c>
      <c r="F66" s="187">
        <v>0</v>
      </c>
      <c r="G66" s="187">
        <v>0</v>
      </c>
      <c r="H66" s="188">
        <v>0</v>
      </c>
      <c r="I66" s="188"/>
      <c r="J66" s="187">
        <v>0</v>
      </c>
      <c r="K66" s="187">
        <v>0</v>
      </c>
      <c r="L66" s="187">
        <v>0</v>
      </c>
      <c r="M66" s="187">
        <v>0</v>
      </c>
      <c r="N66" s="187">
        <v>0</v>
      </c>
      <c r="O66" s="189">
        <v>0</v>
      </c>
      <c r="P66" s="190"/>
      <c r="Q66" s="191" t="s">
        <v>174</v>
      </c>
      <c r="S66" s="154"/>
      <c r="T66" s="154"/>
      <c r="U66" s="154"/>
      <c r="V66" s="154"/>
      <c r="W66" s="154"/>
      <c r="X66" s="154"/>
      <c r="Y66" s="154"/>
      <c r="Z66" s="154"/>
      <c r="AA66" s="154"/>
      <c r="AB66" s="154"/>
      <c r="AC66" s="154"/>
      <c r="AD66" s="154"/>
      <c r="AE66" s="154"/>
      <c r="AF66" s="154"/>
      <c r="AG66" s="154"/>
      <c r="AH66" s="154"/>
      <c r="AI66" s="154"/>
      <c r="AJ66" s="154"/>
    </row>
    <row r="67" spans="1:36" ht="2.25" customHeight="1" thickTop="1">
      <c r="A67" s="192"/>
      <c r="B67" s="193"/>
      <c r="C67" s="193"/>
      <c r="D67" s="193"/>
      <c r="E67" s="193"/>
      <c r="F67" s="193"/>
      <c r="G67" s="193"/>
      <c r="H67" s="193"/>
      <c r="I67" s="193"/>
      <c r="J67" s="193"/>
      <c r="K67" s="193"/>
      <c r="L67" s="193"/>
      <c r="M67" s="193"/>
      <c r="N67" s="193"/>
      <c r="O67" s="193"/>
      <c r="P67" s="193"/>
      <c r="S67" s="154"/>
      <c r="T67" s="154"/>
      <c r="U67" s="154"/>
      <c r="V67" s="154"/>
      <c r="W67" s="154"/>
      <c r="X67" s="154"/>
      <c r="Y67" s="154"/>
      <c r="Z67" s="154"/>
      <c r="AA67" s="154"/>
      <c r="AB67" s="154"/>
      <c r="AC67" s="154"/>
      <c r="AD67" s="154"/>
      <c r="AE67" s="154"/>
      <c r="AF67" s="154"/>
      <c r="AG67" s="154"/>
      <c r="AH67" s="154"/>
      <c r="AI67" s="154"/>
      <c r="AJ67" s="154"/>
    </row>
    <row r="68" spans="1:36" s="193" customFormat="1" ht="10.5" customHeight="1">
      <c r="A68" s="84" t="s">
        <v>245</v>
      </c>
      <c r="B68" s="47"/>
      <c r="C68" s="52"/>
      <c r="D68" s="84" t="s">
        <v>246</v>
      </c>
      <c r="E68" s="84"/>
      <c r="F68" s="52"/>
      <c r="G68" s="52"/>
      <c r="Q68" s="194"/>
      <c r="S68" s="154"/>
      <c r="T68" s="154"/>
      <c r="U68" s="154"/>
      <c r="V68" s="154"/>
      <c r="W68" s="154"/>
      <c r="X68" s="154"/>
      <c r="Y68" s="154"/>
      <c r="Z68" s="154"/>
      <c r="AA68" s="154"/>
      <c r="AB68" s="154"/>
      <c r="AC68" s="154"/>
      <c r="AD68" s="154"/>
      <c r="AE68" s="154"/>
      <c r="AF68" s="154"/>
      <c r="AG68" s="154"/>
      <c r="AH68" s="154"/>
      <c r="AI68" s="154"/>
      <c r="AJ68" s="154"/>
    </row>
    <row r="69" spans="1:36" s="193" customFormat="1" ht="10.5" customHeight="1">
      <c r="A69" s="84" t="s">
        <v>247</v>
      </c>
      <c r="B69" s="47"/>
      <c r="C69" s="52"/>
      <c r="D69" s="84" t="s">
        <v>248</v>
      </c>
      <c r="E69" s="84"/>
      <c r="F69" s="52"/>
      <c r="G69" s="52"/>
      <c r="Q69" s="194"/>
    </row>
    <row r="70" spans="1:36" s="193" customFormat="1" ht="10.5" customHeight="1">
      <c r="A70" s="84" t="s">
        <v>249</v>
      </c>
      <c r="B70" s="47"/>
      <c r="C70" s="52"/>
      <c r="D70" s="52"/>
      <c r="E70" s="52"/>
      <c r="F70" s="52"/>
      <c r="G70" s="52"/>
      <c r="Q70" s="194"/>
    </row>
    <row r="71" spans="1:36" ht="10.5" customHeight="1">
      <c r="A71" s="193"/>
      <c r="B71" s="193"/>
      <c r="C71" s="193"/>
      <c r="D71" s="193"/>
      <c r="E71" s="193"/>
      <c r="F71" s="193"/>
      <c r="G71" s="193"/>
      <c r="J71" s="195"/>
    </row>
    <row r="72" spans="1:36" ht="10.5" customHeight="1">
      <c r="A72" s="193"/>
      <c r="B72" s="193"/>
      <c r="C72" s="193"/>
      <c r="D72" s="193"/>
      <c r="E72" s="193"/>
      <c r="F72" s="193"/>
      <c r="G72" s="193"/>
    </row>
  </sheetData>
  <mergeCells count="2">
    <mergeCell ref="A3:H3"/>
    <mergeCell ref="J3:Q3"/>
  </mergeCells>
  <pageMargins left="0.74803149606299213" right="0.74803149606299213" top="0.98425196850393704" bottom="0.98425196850393704" header="0.51181102362204722" footer="0.51181102362204722"/>
  <pageSetup paperSize="9" scale="24" orientation="portrait"/>
  <headerFooter alignWithMargins="0">
    <oddHeader>&amp;R&amp;"Arial,Bold"RENEWABLES</oddHeader>
    <oddFooter>&amp;C&amp;P</oddFooter>
  </headerFooter>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1" enableFormatConditionsCalculation="0">
    <pageSetUpPr fitToPage="1"/>
  </sheetPr>
  <dimension ref="A1:U76"/>
  <sheetViews>
    <sheetView workbookViewId="0"/>
  </sheetViews>
  <sheetFormatPr baseColWidth="10" defaultColWidth="8.83203125" defaultRowHeight="12" x14ac:dyDescent="0"/>
  <cols>
    <col min="1" max="1" width="43.6640625" style="948" customWidth="1"/>
    <col min="2" max="8" width="9.1640625" style="948" hidden="1" customWidth="1"/>
    <col min="9" max="9" width="0" style="948" hidden="1" customWidth="1"/>
    <col min="10" max="10" width="8.83203125" style="1076"/>
    <col min="11" max="256" width="8.83203125" style="948"/>
    <col min="257" max="257" width="43.6640625" style="948" customWidth="1"/>
    <col min="258" max="265" width="0" style="948" hidden="1" customWidth="1"/>
    <col min="266" max="512" width="8.83203125" style="948"/>
    <col min="513" max="513" width="43.6640625" style="948" customWidth="1"/>
    <col min="514" max="521" width="0" style="948" hidden="1" customWidth="1"/>
    <col min="522" max="768" width="8.83203125" style="948"/>
    <col min="769" max="769" width="43.6640625" style="948" customWidth="1"/>
    <col min="770" max="777" width="0" style="948" hidden="1" customWidth="1"/>
    <col min="778" max="1024" width="8.83203125" style="948"/>
    <col min="1025" max="1025" width="43.6640625" style="948" customWidth="1"/>
    <col min="1026" max="1033" width="0" style="948" hidden="1" customWidth="1"/>
    <col min="1034" max="1280" width="8.83203125" style="948"/>
    <col min="1281" max="1281" width="43.6640625" style="948" customWidth="1"/>
    <col min="1282" max="1289" width="0" style="948" hidden="1" customWidth="1"/>
    <col min="1290" max="1536" width="8.83203125" style="948"/>
    <col min="1537" max="1537" width="43.6640625" style="948" customWidth="1"/>
    <col min="1538" max="1545" width="0" style="948" hidden="1" customWidth="1"/>
    <col min="1546" max="1792" width="8.83203125" style="948"/>
    <col min="1793" max="1793" width="43.6640625" style="948" customWidth="1"/>
    <col min="1794" max="1801" width="0" style="948" hidden="1" customWidth="1"/>
    <col min="1802" max="2048" width="8.83203125" style="948"/>
    <col min="2049" max="2049" width="43.6640625" style="948" customWidth="1"/>
    <col min="2050" max="2057" width="0" style="948" hidden="1" customWidth="1"/>
    <col min="2058" max="2304" width="8.83203125" style="948"/>
    <col min="2305" max="2305" width="43.6640625" style="948" customWidth="1"/>
    <col min="2306" max="2313" width="0" style="948" hidden="1" customWidth="1"/>
    <col min="2314" max="2560" width="8.83203125" style="948"/>
    <col min="2561" max="2561" width="43.6640625" style="948" customWidth="1"/>
    <col min="2562" max="2569" width="0" style="948" hidden="1" customWidth="1"/>
    <col min="2570" max="2816" width="8.83203125" style="948"/>
    <col min="2817" max="2817" width="43.6640625" style="948" customWidth="1"/>
    <col min="2818" max="2825" width="0" style="948" hidden="1" customWidth="1"/>
    <col min="2826" max="3072" width="8.83203125" style="948"/>
    <col min="3073" max="3073" width="43.6640625" style="948" customWidth="1"/>
    <col min="3074" max="3081" width="0" style="948" hidden="1" customWidth="1"/>
    <col min="3082" max="3328" width="8.83203125" style="948"/>
    <col min="3329" max="3329" width="43.6640625" style="948" customWidth="1"/>
    <col min="3330" max="3337" width="0" style="948" hidden="1" customWidth="1"/>
    <col min="3338" max="3584" width="8.83203125" style="948"/>
    <col min="3585" max="3585" width="43.6640625" style="948" customWidth="1"/>
    <col min="3586" max="3593" width="0" style="948" hidden="1" customWidth="1"/>
    <col min="3594" max="3840" width="8.83203125" style="948"/>
    <col min="3841" max="3841" width="43.6640625" style="948" customWidth="1"/>
    <col min="3842" max="3849" width="0" style="948" hidden="1" customWidth="1"/>
    <col min="3850" max="4096" width="8.83203125" style="948"/>
    <col min="4097" max="4097" width="43.6640625" style="948" customWidth="1"/>
    <col min="4098" max="4105" width="0" style="948" hidden="1" customWidth="1"/>
    <col min="4106" max="4352" width="8.83203125" style="948"/>
    <col min="4353" max="4353" width="43.6640625" style="948" customWidth="1"/>
    <col min="4354" max="4361" width="0" style="948" hidden="1" customWidth="1"/>
    <col min="4362" max="4608" width="8.83203125" style="948"/>
    <col min="4609" max="4609" width="43.6640625" style="948" customWidth="1"/>
    <col min="4610" max="4617" width="0" style="948" hidden="1" customWidth="1"/>
    <col min="4618" max="4864" width="8.83203125" style="948"/>
    <col min="4865" max="4865" width="43.6640625" style="948" customWidth="1"/>
    <col min="4866" max="4873" width="0" style="948" hidden="1" customWidth="1"/>
    <col min="4874" max="5120" width="8.83203125" style="948"/>
    <col min="5121" max="5121" width="43.6640625" style="948" customWidth="1"/>
    <col min="5122" max="5129" width="0" style="948" hidden="1" customWidth="1"/>
    <col min="5130" max="5376" width="8.83203125" style="948"/>
    <col min="5377" max="5377" width="43.6640625" style="948" customWidth="1"/>
    <col min="5378" max="5385" width="0" style="948" hidden="1" customWidth="1"/>
    <col min="5386" max="5632" width="8.83203125" style="948"/>
    <col min="5633" max="5633" width="43.6640625" style="948" customWidth="1"/>
    <col min="5634" max="5641" width="0" style="948" hidden="1" customWidth="1"/>
    <col min="5642" max="5888" width="8.83203125" style="948"/>
    <col min="5889" max="5889" width="43.6640625" style="948" customWidth="1"/>
    <col min="5890" max="5897" width="0" style="948" hidden="1" customWidth="1"/>
    <col min="5898" max="6144" width="8.83203125" style="948"/>
    <col min="6145" max="6145" width="43.6640625" style="948" customWidth="1"/>
    <col min="6146" max="6153" width="0" style="948" hidden="1" customWidth="1"/>
    <col min="6154" max="6400" width="8.83203125" style="948"/>
    <col min="6401" max="6401" width="43.6640625" style="948" customWidth="1"/>
    <col min="6402" max="6409" width="0" style="948" hidden="1" customWidth="1"/>
    <col min="6410" max="6656" width="8.83203125" style="948"/>
    <col min="6657" max="6657" width="43.6640625" style="948" customWidth="1"/>
    <col min="6658" max="6665" width="0" style="948" hidden="1" customWidth="1"/>
    <col min="6666" max="6912" width="8.83203125" style="948"/>
    <col min="6913" max="6913" width="43.6640625" style="948" customWidth="1"/>
    <col min="6914" max="6921" width="0" style="948" hidden="1" customWidth="1"/>
    <col min="6922" max="7168" width="8.83203125" style="948"/>
    <col min="7169" max="7169" width="43.6640625" style="948" customWidth="1"/>
    <col min="7170" max="7177" width="0" style="948" hidden="1" customWidth="1"/>
    <col min="7178" max="7424" width="8.83203125" style="948"/>
    <col min="7425" max="7425" width="43.6640625" style="948" customWidth="1"/>
    <col min="7426" max="7433" width="0" style="948" hidden="1" customWidth="1"/>
    <col min="7434" max="7680" width="8.83203125" style="948"/>
    <col min="7681" max="7681" width="43.6640625" style="948" customWidth="1"/>
    <col min="7682" max="7689" width="0" style="948" hidden="1" customWidth="1"/>
    <col min="7690" max="7936" width="8.83203125" style="948"/>
    <col min="7937" max="7937" width="43.6640625" style="948" customWidth="1"/>
    <col min="7938" max="7945" width="0" style="948" hidden="1" customWidth="1"/>
    <col min="7946" max="8192" width="8.83203125" style="948"/>
    <col min="8193" max="8193" width="43.6640625" style="948" customWidth="1"/>
    <col min="8194" max="8201" width="0" style="948" hidden="1" customWidth="1"/>
    <col min="8202" max="8448" width="8.83203125" style="948"/>
    <col min="8449" max="8449" width="43.6640625" style="948" customWidth="1"/>
    <col min="8450" max="8457" width="0" style="948" hidden="1" customWidth="1"/>
    <col min="8458" max="8704" width="8.83203125" style="948"/>
    <col min="8705" max="8705" width="43.6640625" style="948" customWidth="1"/>
    <col min="8706" max="8713" width="0" style="948" hidden="1" customWidth="1"/>
    <col min="8714" max="8960" width="8.83203125" style="948"/>
    <col min="8961" max="8961" width="43.6640625" style="948" customWidth="1"/>
    <col min="8962" max="8969" width="0" style="948" hidden="1" customWidth="1"/>
    <col min="8970" max="9216" width="8.83203125" style="948"/>
    <col min="9217" max="9217" width="43.6640625" style="948" customWidth="1"/>
    <col min="9218" max="9225" width="0" style="948" hidden="1" customWidth="1"/>
    <col min="9226" max="9472" width="8.83203125" style="948"/>
    <col min="9473" max="9473" width="43.6640625" style="948" customWidth="1"/>
    <col min="9474" max="9481" width="0" style="948" hidden="1" customWidth="1"/>
    <col min="9482" max="9728" width="8.83203125" style="948"/>
    <col min="9729" max="9729" width="43.6640625" style="948" customWidth="1"/>
    <col min="9730" max="9737" width="0" style="948" hidden="1" customWidth="1"/>
    <col min="9738" max="9984" width="8.83203125" style="948"/>
    <col min="9985" max="9985" width="43.6640625" style="948" customWidth="1"/>
    <col min="9986" max="9993" width="0" style="948" hidden="1" customWidth="1"/>
    <col min="9994" max="10240" width="8.83203125" style="948"/>
    <col min="10241" max="10241" width="43.6640625" style="948" customWidth="1"/>
    <col min="10242" max="10249" width="0" style="948" hidden="1" customWidth="1"/>
    <col min="10250" max="10496" width="8.83203125" style="948"/>
    <col min="10497" max="10497" width="43.6640625" style="948" customWidth="1"/>
    <col min="10498" max="10505" width="0" style="948" hidden="1" customWidth="1"/>
    <col min="10506" max="10752" width="8.83203125" style="948"/>
    <col min="10753" max="10753" width="43.6640625" style="948" customWidth="1"/>
    <col min="10754" max="10761" width="0" style="948" hidden="1" customWidth="1"/>
    <col min="10762" max="11008" width="8.83203125" style="948"/>
    <col min="11009" max="11009" width="43.6640625" style="948" customWidth="1"/>
    <col min="11010" max="11017" width="0" style="948" hidden="1" customWidth="1"/>
    <col min="11018" max="11264" width="8.83203125" style="948"/>
    <col min="11265" max="11265" width="43.6640625" style="948" customWidth="1"/>
    <col min="11266" max="11273" width="0" style="948" hidden="1" customWidth="1"/>
    <col min="11274" max="11520" width="8.83203125" style="948"/>
    <col min="11521" max="11521" width="43.6640625" style="948" customWidth="1"/>
    <col min="11522" max="11529" width="0" style="948" hidden="1" customWidth="1"/>
    <col min="11530" max="11776" width="8.83203125" style="948"/>
    <col min="11777" max="11777" width="43.6640625" style="948" customWidth="1"/>
    <col min="11778" max="11785" width="0" style="948" hidden="1" customWidth="1"/>
    <col min="11786" max="12032" width="8.83203125" style="948"/>
    <col min="12033" max="12033" width="43.6640625" style="948" customWidth="1"/>
    <col min="12034" max="12041" width="0" style="948" hidden="1" customWidth="1"/>
    <col min="12042" max="12288" width="8.83203125" style="948"/>
    <col min="12289" max="12289" width="43.6640625" style="948" customWidth="1"/>
    <col min="12290" max="12297" width="0" style="948" hidden="1" customWidth="1"/>
    <col min="12298" max="12544" width="8.83203125" style="948"/>
    <col min="12545" max="12545" width="43.6640625" style="948" customWidth="1"/>
    <col min="12546" max="12553" width="0" style="948" hidden="1" customWidth="1"/>
    <col min="12554" max="12800" width="8.83203125" style="948"/>
    <col min="12801" max="12801" width="43.6640625" style="948" customWidth="1"/>
    <col min="12802" max="12809" width="0" style="948" hidden="1" customWidth="1"/>
    <col min="12810" max="13056" width="8.83203125" style="948"/>
    <col min="13057" max="13057" width="43.6640625" style="948" customWidth="1"/>
    <col min="13058" max="13065" width="0" style="948" hidden="1" customWidth="1"/>
    <col min="13066" max="13312" width="8.83203125" style="948"/>
    <col min="13313" max="13313" width="43.6640625" style="948" customWidth="1"/>
    <col min="13314" max="13321" width="0" style="948" hidden="1" customWidth="1"/>
    <col min="13322" max="13568" width="8.83203125" style="948"/>
    <col min="13569" max="13569" width="43.6640625" style="948" customWidth="1"/>
    <col min="13570" max="13577" width="0" style="948" hidden="1" customWidth="1"/>
    <col min="13578" max="13824" width="8.83203125" style="948"/>
    <col min="13825" max="13825" width="43.6640625" style="948" customWidth="1"/>
    <col min="13826" max="13833" width="0" style="948" hidden="1" customWidth="1"/>
    <col min="13834" max="14080" width="8.83203125" style="948"/>
    <col min="14081" max="14081" width="43.6640625" style="948" customWidth="1"/>
    <col min="14082" max="14089" width="0" style="948" hidden="1" customWidth="1"/>
    <col min="14090" max="14336" width="8.83203125" style="948"/>
    <col min="14337" max="14337" width="43.6640625" style="948" customWidth="1"/>
    <col min="14338" max="14345" width="0" style="948" hidden="1" customWidth="1"/>
    <col min="14346" max="14592" width="8.83203125" style="948"/>
    <col min="14593" max="14593" width="43.6640625" style="948" customWidth="1"/>
    <col min="14594" max="14601" width="0" style="948" hidden="1" customWidth="1"/>
    <col min="14602" max="14848" width="8.83203125" style="948"/>
    <col min="14849" max="14849" width="43.6640625" style="948" customWidth="1"/>
    <col min="14850" max="14857" width="0" style="948" hidden="1" customWidth="1"/>
    <col min="14858" max="15104" width="8.83203125" style="948"/>
    <col min="15105" max="15105" width="43.6640625" style="948" customWidth="1"/>
    <col min="15106" max="15113" width="0" style="948" hidden="1" customWidth="1"/>
    <col min="15114" max="15360" width="8.83203125" style="948"/>
    <col min="15361" max="15361" width="43.6640625" style="948" customWidth="1"/>
    <col min="15362" max="15369" width="0" style="948" hidden="1" customWidth="1"/>
    <col min="15370" max="15616" width="8.83203125" style="948"/>
    <col min="15617" max="15617" width="43.6640625" style="948" customWidth="1"/>
    <col min="15618" max="15625" width="0" style="948" hidden="1" customWidth="1"/>
    <col min="15626" max="15872" width="8.83203125" style="948"/>
    <col min="15873" max="15873" width="43.6640625" style="948" customWidth="1"/>
    <col min="15874" max="15881" width="0" style="948" hidden="1" customWidth="1"/>
    <col min="15882" max="16128" width="8.83203125" style="948"/>
    <col min="16129" max="16129" width="43.6640625" style="948" customWidth="1"/>
    <col min="16130" max="16137" width="0" style="948" hidden="1" customWidth="1"/>
    <col min="16138" max="16384" width="8.83203125" style="948"/>
  </cols>
  <sheetData>
    <row r="1" spans="1:21" s="941" customFormat="1" ht="21">
      <c r="A1" s="934" t="s">
        <v>1072</v>
      </c>
      <c r="B1" s="1270"/>
      <c r="C1" s="1270"/>
      <c r="D1" s="1270"/>
      <c r="E1" s="1270"/>
      <c r="F1" s="1270"/>
      <c r="J1" s="1271"/>
    </row>
    <row r="2" spans="1:21" s="941" customFormat="1" ht="21">
      <c r="A2" s="934" t="s">
        <v>1073</v>
      </c>
      <c r="B2" s="1270"/>
      <c r="C2" s="1270"/>
      <c r="D2" s="1270"/>
      <c r="E2" s="1272"/>
      <c r="F2" s="1272"/>
      <c r="G2" s="1272"/>
      <c r="J2" s="1076"/>
    </row>
    <row r="3" spans="1:21" ht="13" thickBot="1">
      <c r="M3" s="1273"/>
      <c r="N3" s="1273"/>
    </row>
    <row r="4" spans="1:21" ht="13" thickTop="1">
      <c r="A4" s="956"/>
      <c r="B4" s="956">
        <v>1996</v>
      </c>
      <c r="C4" s="956">
        <v>1997</v>
      </c>
      <c r="D4" s="956">
        <v>1998</v>
      </c>
      <c r="E4" s="956">
        <v>1999</v>
      </c>
      <c r="F4" s="956">
        <v>2000</v>
      </c>
      <c r="G4" s="956">
        <v>2001</v>
      </c>
      <c r="H4" s="956">
        <v>2002</v>
      </c>
      <c r="I4" s="956">
        <v>2003</v>
      </c>
      <c r="J4" s="1274">
        <v>2004</v>
      </c>
      <c r="K4" s="1274">
        <v>2005</v>
      </c>
      <c r="L4" s="1274">
        <v>2006</v>
      </c>
      <c r="M4" s="1275">
        <v>2007</v>
      </c>
      <c r="N4" s="1275">
        <v>2008</v>
      </c>
    </row>
    <row r="5" spans="1:21" ht="12.75" customHeight="1">
      <c r="A5" s="1276" t="s">
        <v>1074</v>
      </c>
      <c r="B5" s="1019"/>
      <c r="C5" s="1019"/>
      <c r="D5" s="1019"/>
      <c r="E5" s="1019"/>
      <c r="F5" s="1019"/>
      <c r="G5" s="1019"/>
      <c r="H5" s="1019"/>
      <c r="I5" s="1019"/>
      <c r="J5" s="1013"/>
      <c r="K5" s="1013"/>
      <c r="L5" s="1013"/>
    </row>
    <row r="6" spans="1:21" ht="12.75" customHeight="1">
      <c r="A6" s="946" t="s">
        <v>1075</v>
      </c>
      <c r="B6" s="1019"/>
      <c r="C6" s="1019"/>
      <c r="D6" s="1019"/>
      <c r="E6" s="1019"/>
      <c r="F6" s="1019"/>
      <c r="G6" s="1019"/>
      <c r="H6" s="1019"/>
      <c r="I6" s="1019"/>
      <c r="J6" s="1013"/>
      <c r="K6" s="1013"/>
      <c r="L6" s="1013"/>
    </row>
    <row r="7" spans="1:21" ht="12.75" customHeight="1">
      <c r="A7" s="944" t="s">
        <v>1076</v>
      </c>
      <c r="B7" s="1277">
        <v>237.67899999999997</v>
      </c>
      <c r="C7" s="1277">
        <v>321.68399999999997</v>
      </c>
      <c r="D7" s="1277">
        <v>331.32</v>
      </c>
      <c r="E7" s="1277">
        <v>356.99</v>
      </c>
      <c r="F7" s="1277">
        <v>407.99</v>
      </c>
      <c r="G7" s="1277">
        <v>423.44699999999989</v>
      </c>
      <c r="H7" s="1277">
        <v>530.63700000000006</v>
      </c>
      <c r="I7" s="1277">
        <v>678.37700051857405</v>
      </c>
      <c r="J7" s="1277">
        <v>809.36</v>
      </c>
      <c r="K7" s="1277">
        <v>1351.2</v>
      </c>
      <c r="L7" s="1277">
        <v>1650.7156</v>
      </c>
      <c r="M7" s="1277">
        <v>2083.375</v>
      </c>
      <c r="N7" s="1277">
        <v>2820.223</v>
      </c>
      <c r="Q7" s="1278"/>
      <c r="R7" s="1278"/>
      <c r="S7" s="1278"/>
      <c r="T7" s="1278"/>
      <c r="U7" s="1278"/>
    </row>
    <row r="8" spans="1:21" ht="12.75" customHeight="1">
      <c r="A8" s="944" t="s">
        <v>1077</v>
      </c>
      <c r="B8" s="1277">
        <v>0</v>
      </c>
      <c r="C8" s="1277">
        <v>0</v>
      </c>
      <c r="D8" s="1277">
        <v>0</v>
      </c>
      <c r="E8" s="1277">
        <v>0</v>
      </c>
      <c r="F8" s="1277">
        <v>3.8</v>
      </c>
      <c r="G8" s="1277">
        <v>3.8</v>
      </c>
      <c r="H8" s="1277">
        <v>3.8</v>
      </c>
      <c r="I8" s="1277">
        <v>63.8</v>
      </c>
      <c r="J8" s="1277">
        <v>123.8</v>
      </c>
      <c r="K8" s="1277">
        <v>213.8</v>
      </c>
      <c r="L8" s="1277">
        <v>303.8</v>
      </c>
      <c r="M8" s="1277">
        <v>393.8</v>
      </c>
      <c r="N8" s="1277">
        <v>586</v>
      </c>
      <c r="Q8" s="1278"/>
      <c r="R8" s="1278"/>
      <c r="S8" s="1278"/>
      <c r="T8" s="1278"/>
      <c r="U8" s="1278"/>
    </row>
    <row r="9" spans="1:21" ht="12.75" customHeight="1">
      <c r="A9" s="944" t="s">
        <v>1078</v>
      </c>
      <c r="B9" s="1277">
        <v>0</v>
      </c>
      <c r="C9" s="1277">
        <v>0</v>
      </c>
      <c r="D9" s="1277">
        <v>0</v>
      </c>
      <c r="E9" s="1277">
        <v>0</v>
      </c>
      <c r="F9" s="1277">
        <v>0.5</v>
      </c>
      <c r="G9" s="1277">
        <v>0.5</v>
      </c>
      <c r="H9" s="1277">
        <v>0.5</v>
      </c>
      <c r="I9" s="1277">
        <v>0.5</v>
      </c>
      <c r="J9" s="1277">
        <v>0.5</v>
      </c>
      <c r="K9" s="1277">
        <v>0.5</v>
      </c>
      <c r="L9" s="1277">
        <v>0.5</v>
      </c>
      <c r="M9" s="1277">
        <v>0.5</v>
      </c>
      <c r="N9" s="1277">
        <v>0.5</v>
      </c>
      <c r="Q9" s="1278"/>
      <c r="R9" s="1278"/>
      <c r="S9" s="1278"/>
      <c r="T9" s="1278"/>
      <c r="U9" s="1278"/>
    </row>
    <row r="10" spans="1:21" ht="12.75" customHeight="1">
      <c r="A10" s="944" t="s">
        <v>1079</v>
      </c>
      <c r="B10" s="1277">
        <v>0.42299999999999999</v>
      </c>
      <c r="C10" s="1277">
        <v>0.58899999999999997</v>
      </c>
      <c r="D10" s="1277">
        <v>0.69</v>
      </c>
      <c r="E10" s="1277">
        <v>1.131</v>
      </c>
      <c r="F10" s="1277">
        <v>1.929</v>
      </c>
      <c r="G10" s="1277">
        <v>2.746</v>
      </c>
      <c r="H10" s="1277">
        <v>4.1360000000000001</v>
      </c>
      <c r="I10" s="1277">
        <v>6.0019999999999998</v>
      </c>
      <c r="J10" s="1277">
        <v>8.1639999999999997</v>
      </c>
      <c r="K10" s="1277">
        <v>10.9</v>
      </c>
      <c r="L10" s="1277">
        <v>14.26</v>
      </c>
      <c r="M10" s="1279">
        <v>18.100000000000001</v>
      </c>
      <c r="N10" s="1277">
        <v>22.5</v>
      </c>
      <c r="Q10" s="1278"/>
      <c r="R10" s="1278"/>
      <c r="S10" s="1278"/>
      <c r="T10" s="1278"/>
      <c r="U10" s="1278"/>
    </row>
    <row r="11" spans="1:21" ht="12.75" customHeight="1">
      <c r="A11" s="944" t="s">
        <v>1080</v>
      </c>
      <c r="B11" s="1277">
        <v>0</v>
      </c>
      <c r="C11" s="1277">
        <v>0</v>
      </c>
      <c r="D11" s="1277">
        <v>0</v>
      </c>
      <c r="E11" s="1277">
        <v>0</v>
      </c>
      <c r="F11" s="1277">
        <v>0</v>
      </c>
      <c r="G11" s="1277">
        <v>0</v>
      </c>
      <c r="H11" s="1277">
        <v>0</v>
      </c>
      <c r="I11" s="1277">
        <v>0</v>
      </c>
      <c r="J11" s="1277"/>
      <c r="K11" s="1277"/>
      <c r="L11" s="1277"/>
      <c r="M11" s="1277"/>
      <c r="N11" s="1277"/>
      <c r="Q11" s="1278"/>
      <c r="R11" s="1278"/>
      <c r="S11" s="1278"/>
      <c r="T11" s="1278"/>
      <c r="U11" s="1278"/>
    </row>
    <row r="12" spans="1:21" ht="12.75" customHeight="1">
      <c r="A12" s="944" t="s">
        <v>1081</v>
      </c>
      <c r="B12" s="1277">
        <v>175.17857142857142</v>
      </c>
      <c r="C12" s="1277">
        <v>162.52777777777777</v>
      </c>
      <c r="D12" s="1277">
        <v>171.08277777777778</v>
      </c>
      <c r="E12" s="1277">
        <v>176.69444444444446</v>
      </c>
      <c r="F12" s="1277">
        <v>183.55555555555554</v>
      </c>
      <c r="G12" s="1277">
        <v>188.6958333333333</v>
      </c>
      <c r="H12" s="1277">
        <v>194.24600000000001</v>
      </c>
      <c r="I12" s="1277">
        <v>129.97800000000001</v>
      </c>
      <c r="J12" s="1277">
        <v>142.92700000000005</v>
      </c>
      <c r="K12" s="1277">
        <v>157.93700000000001</v>
      </c>
      <c r="L12" s="1277">
        <v>153.35600000000002</v>
      </c>
      <c r="M12" s="1277">
        <v>166.2295</v>
      </c>
      <c r="N12" s="1277">
        <v>173.29650000000001</v>
      </c>
      <c r="Q12" s="1278"/>
      <c r="R12" s="1278"/>
      <c r="S12" s="1278"/>
      <c r="T12" s="1278"/>
      <c r="U12" s="1278"/>
    </row>
    <row r="13" spans="1:21" ht="12.75" customHeight="1">
      <c r="A13" s="944" t="s">
        <v>1082</v>
      </c>
      <c r="B13" s="1277">
        <v>1405.8</v>
      </c>
      <c r="C13" s="1277">
        <v>1428.8</v>
      </c>
      <c r="D13" s="1277">
        <v>1413</v>
      </c>
      <c r="E13" s="1277">
        <v>1413</v>
      </c>
      <c r="F13" s="1277">
        <v>1419</v>
      </c>
      <c r="G13" s="1277">
        <v>1440</v>
      </c>
      <c r="H13" s="1277">
        <v>1388.8</v>
      </c>
      <c r="I13" s="1277">
        <v>1354.52</v>
      </c>
      <c r="J13" s="1277">
        <v>1355.85</v>
      </c>
      <c r="K13" s="1277">
        <v>1343.15</v>
      </c>
      <c r="L13" s="1277">
        <v>1361.3910000000001</v>
      </c>
      <c r="M13" s="1277">
        <v>1358.6759999999999</v>
      </c>
      <c r="N13" s="1277">
        <v>1456.4760000000001</v>
      </c>
      <c r="Q13" s="1278"/>
      <c r="R13" s="1278"/>
      <c r="S13" s="1278"/>
      <c r="T13" s="1278"/>
      <c r="U13" s="1278"/>
    </row>
    <row r="14" spans="1:21" ht="12.75" customHeight="1">
      <c r="A14" s="944" t="s">
        <v>1083</v>
      </c>
      <c r="B14" s="1277">
        <v>0</v>
      </c>
      <c r="C14" s="1277">
        <v>0</v>
      </c>
      <c r="D14" s="1277">
        <v>0</v>
      </c>
      <c r="E14" s="1277">
        <v>0</v>
      </c>
      <c r="F14" s="1277">
        <v>0</v>
      </c>
      <c r="G14" s="1277">
        <v>0</v>
      </c>
      <c r="H14" s="1277">
        <v>0</v>
      </c>
      <c r="I14" s="1277">
        <v>0</v>
      </c>
      <c r="J14" s="1277"/>
      <c r="K14" s="1277"/>
      <c r="L14" s="1277"/>
      <c r="M14" s="1277"/>
      <c r="N14" s="1277"/>
      <c r="Q14" s="1278"/>
      <c r="R14" s="1278"/>
      <c r="S14" s="1278"/>
      <c r="T14" s="1278"/>
      <c r="U14" s="1278"/>
    </row>
    <row r="15" spans="1:21" ht="12.75" customHeight="1">
      <c r="A15" s="944" t="s">
        <v>1084</v>
      </c>
      <c r="B15" s="1277">
        <v>161.87777777777777</v>
      </c>
      <c r="C15" s="1277">
        <v>188.2</v>
      </c>
      <c r="D15" s="1277">
        <v>245.11111111111109</v>
      </c>
      <c r="E15" s="1277">
        <v>343.3</v>
      </c>
      <c r="F15" s="1277">
        <v>425.13333333333333</v>
      </c>
      <c r="G15" s="1277">
        <v>464.74611111111119</v>
      </c>
      <c r="H15" s="1277">
        <v>472.93466377258301</v>
      </c>
      <c r="I15" s="1277">
        <v>619.05999999999995</v>
      </c>
      <c r="J15" s="1277">
        <v>722.22</v>
      </c>
      <c r="K15" s="1277">
        <v>817.8</v>
      </c>
      <c r="L15" s="1277">
        <v>856.178</v>
      </c>
      <c r="M15" s="1277">
        <v>900.63599999999997</v>
      </c>
      <c r="N15" s="1277">
        <v>908.31500000000005</v>
      </c>
      <c r="Q15" s="1278"/>
      <c r="R15" s="1278"/>
      <c r="S15" s="1278"/>
      <c r="T15" s="1278"/>
      <c r="U15" s="1278"/>
    </row>
    <row r="16" spans="1:21" ht="12.75" customHeight="1">
      <c r="A16" s="944" t="s">
        <v>1085</v>
      </c>
      <c r="B16" s="1277">
        <v>87.2</v>
      </c>
      <c r="C16" s="1277">
        <v>86.8</v>
      </c>
      <c r="D16" s="1277">
        <v>89.8</v>
      </c>
      <c r="E16" s="1277">
        <v>91.3</v>
      </c>
      <c r="F16" s="1277">
        <v>85.3</v>
      </c>
      <c r="G16" s="1277">
        <v>85</v>
      </c>
      <c r="H16" s="1277">
        <v>96.029585830867305</v>
      </c>
      <c r="I16" s="1277">
        <v>123.724</v>
      </c>
      <c r="J16" s="1277">
        <v>131.94200000000001</v>
      </c>
      <c r="K16" s="1277">
        <v>139.63800000000001</v>
      </c>
      <c r="L16" s="1277">
        <v>146.399</v>
      </c>
      <c r="M16" s="1279">
        <v>149.977</v>
      </c>
      <c r="N16" s="1277">
        <v>152.23500000000001</v>
      </c>
      <c r="Q16" s="1278"/>
      <c r="R16" s="1278"/>
      <c r="S16" s="1278"/>
      <c r="T16" s="1278"/>
      <c r="U16" s="1278"/>
    </row>
    <row r="17" spans="1:21" ht="12.75" customHeight="1">
      <c r="A17" s="1280" t="s">
        <v>1086</v>
      </c>
      <c r="B17" s="1277">
        <v>150.58013698630137</v>
      </c>
      <c r="C17" s="1277">
        <v>150.58000000000001</v>
      </c>
      <c r="D17" s="1277">
        <v>204.08</v>
      </c>
      <c r="E17" s="1277">
        <v>229.63</v>
      </c>
      <c r="F17" s="1277">
        <v>253.21</v>
      </c>
      <c r="G17" s="1277">
        <v>260.01</v>
      </c>
      <c r="H17" s="1277">
        <v>278.88397097587585</v>
      </c>
      <c r="I17" s="1277">
        <v>292</v>
      </c>
      <c r="J17" s="1279">
        <v>300.60000000000002</v>
      </c>
      <c r="K17" s="1279">
        <v>314.60000000000002</v>
      </c>
      <c r="L17" s="1277">
        <v>326.45</v>
      </c>
      <c r="M17" s="1277">
        <v>326.404</v>
      </c>
      <c r="N17" s="1277">
        <v>375.9</v>
      </c>
      <c r="Q17" s="1278"/>
      <c r="R17" s="1278"/>
      <c r="S17" s="1278"/>
      <c r="T17" s="1278"/>
      <c r="U17" s="1278"/>
    </row>
    <row r="18" spans="1:21" ht="12.75" customHeight="1">
      <c r="A18" s="1280" t="s">
        <v>1087</v>
      </c>
      <c r="B18" s="1277">
        <v>27.1</v>
      </c>
      <c r="C18" s="1277">
        <v>27.1</v>
      </c>
      <c r="D18" s="1277">
        <v>82.7</v>
      </c>
      <c r="E18" s="1277">
        <v>82.7</v>
      </c>
      <c r="F18" s="1277">
        <v>92.7</v>
      </c>
      <c r="G18" s="1277">
        <v>92.7</v>
      </c>
      <c r="H18" s="1277">
        <v>93.000000190734866</v>
      </c>
      <c r="I18" s="1277">
        <v>94.430000190734873</v>
      </c>
      <c r="J18" s="1277">
        <v>86.486000000000004</v>
      </c>
      <c r="K18" s="1277">
        <v>86.616</v>
      </c>
      <c r="L18" s="1277">
        <v>88.903000000000006</v>
      </c>
      <c r="M18" s="1277">
        <v>114.40300000000001</v>
      </c>
      <c r="N18" s="1277">
        <v>114.40300000000001</v>
      </c>
      <c r="Q18" s="1278"/>
      <c r="R18" s="1278"/>
      <c r="S18" s="1278"/>
      <c r="T18" s="1278"/>
      <c r="U18" s="1278"/>
    </row>
    <row r="19" spans="1:21" ht="12.75" customHeight="1">
      <c r="A19" s="993" t="s">
        <v>1088</v>
      </c>
      <c r="B19" s="1281">
        <v>25</v>
      </c>
      <c r="C19" s="1281">
        <v>25.1</v>
      </c>
      <c r="D19" s="1281">
        <v>25.303999999999998</v>
      </c>
      <c r="E19" s="1281">
        <v>25.3</v>
      </c>
      <c r="F19" s="1281">
        <v>64.304000000000002</v>
      </c>
      <c r="G19" s="1281">
        <v>64.304000000000002</v>
      </c>
      <c r="H19" s="1281">
        <v>83.46</v>
      </c>
      <c r="I19" s="1281">
        <v>89.49</v>
      </c>
      <c r="J19" s="1281">
        <v>89.79</v>
      </c>
      <c r="K19" s="1281">
        <v>99.510999999999996</v>
      </c>
      <c r="L19" s="1281">
        <v>132.44</v>
      </c>
      <c r="M19" s="1281">
        <v>189.476</v>
      </c>
      <c r="N19" s="1281">
        <v>193.25699999999998</v>
      </c>
      <c r="Q19" s="1278"/>
      <c r="R19" s="1278"/>
      <c r="S19" s="1278"/>
      <c r="T19" s="1278"/>
      <c r="U19" s="1278"/>
    </row>
    <row r="20" spans="1:21" ht="12.75" customHeight="1" thickBot="1">
      <c r="A20" s="944" t="s">
        <v>1089</v>
      </c>
      <c r="B20" s="1277">
        <v>451.75791476407915</v>
      </c>
      <c r="C20" s="1277">
        <v>477.78</v>
      </c>
      <c r="D20" s="1277">
        <v>646.9951111111111</v>
      </c>
      <c r="E20" s="1277">
        <v>772.23</v>
      </c>
      <c r="F20" s="1277">
        <v>920.64733333333322</v>
      </c>
      <c r="G20" s="1277">
        <v>966.76011111111109</v>
      </c>
      <c r="H20" s="1277">
        <v>1024.3082207700611</v>
      </c>
      <c r="I20" s="1277">
        <v>1218.7040001907351</v>
      </c>
      <c r="J20" s="1279">
        <v>1331.0380000000002</v>
      </c>
      <c r="K20" s="1279">
        <v>1458.165</v>
      </c>
      <c r="L20" s="1277">
        <v>1550.37</v>
      </c>
      <c r="M20" s="1279">
        <v>1680.8960000000002</v>
      </c>
      <c r="N20" s="1277">
        <v>1744.11</v>
      </c>
      <c r="Q20" s="1278"/>
      <c r="R20" s="1278"/>
      <c r="S20" s="1278"/>
      <c r="T20" s="1278"/>
      <c r="U20" s="1278"/>
    </row>
    <row r="21" spans="1:21" ht="12.75" customHeight="1" thickTop="1" thickBot="1">
      <c r="A21" s="1282" t="s">
        <v>132</v>
      </c>
      <c r="B21" s="1283">
        <v>2270.8384861926506</v>
      </c>
      <c r="C21" s="1283">
        <v>2391.3807777777774</v>
      </c>
      <c r="D21" s="1283">
        <v>2563.0878888888892</v>
      </c>
      <c r="E21" s="1283">
        <v>2720.0454444444449</v>
      </c>
      <c r="F21" s="1283">
        <v>2937.421888888889</v>
      </c>
      <c r="G21" s="1283">
        <v>3025.9489444444444</v>
      </c>
      <c r="H21" s="1283">
        <v>3146.4272207700606</v>
      </c>
      <c r="I21" s="1283">
        <v>3451.8810007093089</v>
      </c>
      <c r="J21" s="1284">
        <v>3771.6389999999997</v>
      </c>
      <c r="K21" s="1284">
        <v>4535.652000000001</v>
      </c>
      <c r="L21" s="1283">
        <v>5034.3926000000001</v>
      </c>
      <c r="M21" s="1284">
        <v>5701.5765000000001</v>
      </c>
      <c r="N21" s="1283">
        <v>6803.1054999999988</v>
      </c>
      <c r="Q21" s="1278"/>
      <c r="R21" s="1278"/>
      <c r="S21" s="1278"/>
      <c r="T21" s="1278"/>
      <c r="U21" s="1278"/>
    </row>
    <row r="22" spans="1:21" ht="12.75" customHeight="1" thickTop="1" thickBot="1">
      <c r="A22" s="1285" t="s">
        <v>1090</v>
      </c>
      <c r="B22" s="1286">
        <v>0</v>
      </c>
      <c r="C22" s="1286">
        <v>0</v>
      </c>
      <c r="D22" s="1286">
        <v>0</v>
      </c>
      <c r="E22" s="1286">
        <v>0</v>
      </c>
      <c r="F22" s="1286">
        <v>0</v>
      </c>
      <c r="G22" s="1286">
        <v>0</v>
      </c>
      <c r="H22" s="1286" t="s">
        <v>263</v>
      </c>
      <c r="I22" s="1286">
        <v>92.4</v>
      </c>
      <c r="J22" s="1286">
        <v>146.16</v>
      </c>
      <c r="K22" s="1286">
        <v>308.79000000000002</v>
      </c>
      <c r="L22" s="1286">
        <v>310.22000000000003</v>
      </c>
      <c r="M22" s="1286">
        <v>247.61</v>
      </c>
      <c r="N22" s="1286">
        <v>226.85</v>
      </c>
      <c r="Q22" s="1278"/>
      <c r="R22" s="1278"/>
      <c r="S22" s="1278"/>
      <c r="T22" s="1278"/>
      <c r="U22" s="1278"/>
    </row>
    <row r="23" spans="1:21" ht="12.75" customHeight="1" thickTop="1">
      <c r="A23" s="1276" t="s">
        <v>1091</v>
      </c>
      <c r="B23" s="1013"/>
      <c r="C23" s="1013"/>
      <c r="D23" s="1013"/>
      <c r="E23" s="1013"/>
      <c r="F23" s="1013"/>
      <c r="G23" s="1013"/>
      <c r="H23" s="1013"/>
      <c r="I23" s="1013"/>
      <c r="J23" s="1013"/>
      <c r="K23" s="1013"/>
      <c r="L23" s="1013"/>
      <c r="M23" s="1013"/>
      <c r="N23" s="1013"/>
      <c r="Q23" s="1278"/>
      <c r="R23" s="1278"/>
      <c r="S23" s="1278"/>
      <c r="T23" s="1278"/>
      <c r="U23" s="1278"/>
    </row>
    <row r="24" spans="1:21" ht="12.75" customHeight="1">
      <c r="A24" s="946" t="s">
        <v>1075</v>
      </c>
      <c r="B24" s="1013"/>
      <c r="C24" s="1013"/>
      <c r="D24" s="1013"/>
      <c r="E24" s="1013"/>
      <c r="F24" s="1013"/>
      <c r="G24" s="1013"/>
      <c r="H24" s="1013"/>
      <c r="I24" s="1013"/>
      <c r="J24" s="1013"/>
      <c r="K24" s="1013"/>
      <c r="L24" s="1013"/>
      <c r="M24" s="1287"/>
      <c r="N24" s="1287"/>
      <c r="Q24" s="1278"/>
      <c r="R24" s="1278"/>
      <c r="S24" s="1278"/>
      <c r="T24" s="1278"/>
      <c r="U24" s="1278"/>
    </row>
    <row r="25" spans="1:21" ht="12.75" customHeight="1">
      <c r="A25" s="944" t="s">
        <v>1092</v>
      </c>
      <c r="B25" s="1287">
        <v>487.71684599999998</v>
      </c>
      <c r="C25" s="1287">
        <v>666.98436000000004</v>
      </c>
      <c r="D25" s="1287">
        <v>876.86161000000004</v>
      </c>
      <c r="E25" s="1287">
        <v>850.1691800000001</v>
      </c>
      <c r="F25" s="1287">
        <v>944.9279600000001</v>
      </c>
      <c r="G25" s="1287">
        <v>960.14426600000013</v>
      </c>
      <c r="H25" s="1287">
        <v>1251.2433685892802</v>
      </c>
      <c r="I25" s="1287">
        <v>1275.5057328800001</v>
      </c>
      <c r="J25" s="1287">
        <v>1736.3943000000002</v>
      </c>
      <c r="K25" s="1287">
        <v>2501.1861400000003</v>
      </c>
      <c r="L25" s="1287">
        <v>3573.6511003999999</v>
      </c>
      <c r="M25" s="1287">
        <v>4491.2822999999999</v>
      </c>
      <c r="N25" s="1287">
        <v>5792.1491539999997</v>
      </c>
      <c r="Q25" s="1278"/>
      <c r="R25" s="1278"/>
      <c r="S25" s="1278"/>
      <c r="T25" s="1278"/>
      <c r="U25" s="1278"/>
    </row>
    <row r="26" spans="1:21" ht="12.75" customHeight="1">
      <c r="A26" s="944" t="s">
        <v>1093</v>
      </c>
      <c r="B26" s="1287">
        <v>0</v>
      </c>
      <c r="C26" s="1287">
        <v>0</v>
      </c>
      <c r="D26" s="1287">
        <v>0</v>
      </c>
      <c r="E26" s="1287">
        <v>0</v>
      </c>
      <c r="F26" s="1287">
        <v>0.9</v>
      </c>
      <c r="G26" s="1287">
        <v>4.9647915555555553</v>
      </c>
      <c r="H26" s="1287">
        <v>4.8328170000000004</v>
      </c>
      <c r="I26" s="1287">
        <v>9.8700010000000002</v>
      </c>
      <c r="J26" s="1287">
        <v>198.715418</v>
      </c>
      <c r="K26" s="1287">
        <v>402.73547000000002</v>
      </c>
      <c r="L26" s="1287">
        <v>651.40650000000005</v>
      </c>
      <c r="M26" s="1287">
        <v>782.55239999999992</v>
      </c>
      <c r="N26" s="1287">
        <v>1305.135227</v>
      </c>
      <c r="Q26" s="1278"/>
      <c r="R26" s="1278"/>
      <c r="S26" s="1278"/>
      <c r="T26" s="1278"/>
      <c r="U26" s="1278"/>
    </row>
    <row r="27" spans="1:21" ht="12.75" customHeight="1">
      <c r="A27" s="944" t="s">
        <v>1079</v>
      </c>
      <c r="B27" s="1287">
        <v>0</v>
      </c>
      <c r="C27" s="1287">
        <v>0</v>
      </c>
      <c r="D27" s="1287">
        <v>0</v>
      </c>
      <c r="E27" s="1287">
        <v>0.67</v>
      </c>
      <c r="F27" s="1287">
        <v>1.2675000000000001</v>
      </c>
      <c r="G27" s="1287">
        <v>1.82</v>
      </c>
      <c r="H27" s="1287">
        <v>2.6974999999999998</v>
      </c>
      <c r="I27" s="1287">
        <v>2.9445100000000002</v>
      </c>
      <c r="J27" s="1287">
        <v>4.0051500000000004</v>
      </c>
      <c r="K27" s="1287">
        <v>8.1750000000000007</v>
      </c>
      <c r="L27" s="1287">
        <v>10.695</v>
      </c>
      <c r="M27" s="1288">
        <v>14</v>
      </c>
      <c r="N27" s="1287">
        <v>17</v>
      </c>
      <c r="Q27" s="1278"/>
      <c r="R27" s="1278"/>
      <c r="S27" s="1278"/>
      <c r="T27" s="1278"/>
      <c r="U27" s="1278"/>
    </row>
    <row r="28" spans="1:21" ht="12.75" customHeight="1">
      <c r="A28" s="944" t="s">
        <v>1080</v>
      </c>
      <c r="B28" s="1287">
        <v>0</v>
      </c>
      <c r="C28" s="1287">
        <v>0</v>
      </c>
      <c r="D28" s="1287">
        <v>0</v>
      </c>
      <c r="E28" s="1287">
        <v>0</v>
      </c>
      <c r="F28" s="1287">
        <v>0</v>
      </c>
      <c r="G28" s="1287">
        <v>0</v>
      </c>
      <c r="H28" s="1287">
        <v>0</v>
      </c>
      <c r="I28" s="1287">
        <v>0</v>
      </c>
      <c r="J28" s="1287"/>
      <c r="K28" s="1287"/>
      <c r="L28" s="1287"/>
      <c r="M28" s="1287"/>
      <c r="N28" s="1287"/>
      <c r="Q28" s="1278"/>
      <c r="R28" s="1278"/>
      <c r="S28" s="1278"/>
      <c r="T28" s="1278"/>
      <c r="U28" s="1278"/>
    </row>
    <row r="29" spans="1:21" ht="12.75" customHeight="1">
      <c r="A29" s="944" t="s">
        <v>1081</v>
      </c>
      <c r="B29" s="1287">
        <v>117.58199999999999</v>
      </c>
      <c r="C29" s="1287">
        <v>163.55699999999999</v>
      </c>
      <c r="D29" s="1287">
        <v>206.38200000000001</v>
      </c>
      <c r="E29" s="1287">
        <v>207.33335215</v>
      </c>
      <c r="F29" s="1287">
        <v>214.21281829999998</v>
      </c>
      <c r="G29" s="1287">
        <v>210.22937319999997</v>
      </c>
      <c r="H29" s="1287">
        <v>203.50029053028399</v>
      </c>
      <c r="I29" s="1287">
        <v>150.0966</v>
      </c>
      <c r="J29" s="1287">
        <v>282.65436459000034</v>
      </c>
      <c r="K29" s="1287">
        <v>443.83478604000004</v>
      </c>
      <c r="L29" s="1287">
        <v>477.56794000000002</v>
      </c>
      <c r="M29" s="1287">
        <v>534.39980100000002</v>
      </c>
      <c r="N29" s="1287">
        <v>567.8575237</v>
      </c>
      <c r="Q29" s="1278"/>
      <c r="R29" s="1278"/>
      <c r="S29" s="1278"/>
      <c r="T29" s="1278"/>
      <c r="U29" s="1278"/>
    </row>
    <row r="30" spans="1:21" ht="12.75" customHeight="1">
      <c r="A30" s="944" t="s">
        <v>1094</v>
      </c>
      <c r="B30" s="1287">
        <v>3274.6280000000002</v>
      </c>
      <c r="C30" s="1287">
        <v>4005.11</v>
      </c>
      <c r="D30" s="1287">
        <v>4910.87</v>
      </c>
      <c r="E30" s="1287">
        <v>5128.4399999999996</v>
      </c>
      <c r="F30" s="1287">
        <v>4871.04</v>
      </c>
      <c r="G30" s="1287">
        <v>3845.48</v>
      </c>
      <c r="H30" s="1287">
        <v>4584.42</v>
      </c>
      <c r="I30" s="1287">
        <v>2987.4119999999998</v>
      </c>
      <c r="J30" s="1287">
        <v>4561.3004884000002</v>
      </c>
      <c r="K30" s="1287">
        <v>4477.6480000000001</v>
      </c>
      <c r="L30" s="1287">
        <v>4115.4997999999996</v>
      </c>
      <c r="M30" s="1287">
        <v>4553.9933000000001</v>
      </c>
      <c r="N30" s="1287">
        <v>4599.9343830000007</v>
      </c>
      <c r="Q30" s="1278"/>
      <c r="R30" s="1278"/>
      <c r="S30" s="1278"/>
      <c r="T30" s="1278"/>
      <c r="U30" s="1278"/>
    </row>
    <row r="31" spans="1:21" ht="12.75" customHeight="1">
      <c r="A31" s="944" t="s">
        <v>1083</v>
      </c>
      <c r="B31" s="1287">
        <v>0</v>
      </c>
      <c r="C31" s="1287">
        <v>0</v>
      </c>
      <c r="D31" s="1287">
        <v>0</v>
      </c>
      <c r="E31" s="1287">
        <v>0</v>
      </c>
      <c r="F31" s="1287">
        <v>0</v>
      </c>
      <c r="G31" s="1287">
        <v>0</v>
      </c>
      <c r="H31" s="1287">
        <v>0</v>
      </c>
      <c r="I31" s="1287">
        <v>0</v>
      </c>
      <c r="J31" s="1287"/>
      <c r="K31" s="1287"/>
      <c r="L31" s="1287"/>
      <c r="M31" s="1287"/>
      <c r="N31" s="1287"/>
      <c r="Q31" s="1278"/>
      <c r="R31" s="1278"/>
      <c r="S31" s="1278"/>
      <c r="T31" s="1278"/>
      <c r="U31" s="1278"/>
    </row>
    <row r="32" spans="1:21" ht="12.75" customHeight="1">
      <c r="A32" s="944" t="s">
        <v>1095</v>
      </c>
      <c r="B32" s="1287">
        <v>707.54</v>
      </c>
      <c r="C32" s="1287">
        <v>917.91</v>
      </c>
      <c r="D32" s="1287">
        <v>1185.3699999999999</v>
      </c>
      <c r="E32" s="1287">
        <v>1702.6</v>
      </c>
      <c r="F32" s="1287">
        <v>2187.8200000000002</v>
      </c>
      <c r="G32" s="1287">
        <v>2507.0201889999998</v>
      </c>
      <c r="H32" s="1287">
        <v>2678.6277871919901</v>
      </c>
      <c r="I32" s="1287">
        <v>3276.2083575622087</v>
      </c>
      <c r="J32" s="1287">
        <v>4003.7444999999998</v>
      </c>
      <c r="K32" s="1287">
        <v>4290.48488</v>
      </c>
      <c r="L32" s="1287">
        <v>4424.4705496999995</v>
      </c>
      <c r="M32" s="1287">
        <v>4676.8110999999999</v>
      </c>
      <c r="N32" s="1287">
        <v>4757.2761</v>
      </c>
      <c r="Q32" s="1278"/>
      <c r="R32" s="1278"/>
      <c r="S32" s="1278"/>
      <c r="T32" s="1278"/>
      <c r="U32" s="1278"/>
    </row>
    <row r="33" spans="1:21" ht="12.75" customHeight="1">
      <c r="A33" s="944" t="s">
        <v>1096</v>
      </c>
      <c r="B33" s="1287">
        <v>410.4</v>
      </c>
      <c r="C33" s="1287">
        <v>407.7</v>
      </c>
      <c r="D33" s="1287">
        <v>385.59205000000003</v>
      </c>
      <c r="E33" s="1287">
        <v>410.4</v>
      </c>
      <c r="F33" s="1287">
        <v>367.1</v>
      </c>
      <c r="G33" s="1287">
        <v>362.9</v>
      </c>
      <c r="H33" s="1287">
        <v>367.56000399999999</v>
      </c>
      <c r="I33" s="1287">
        <v>394.27249999999998</v>
      </c>
      <c r="J33" s="1287">
        <v>440.00780000000003</v>
      </c>
      <c r="K33" s="1287">
        <v>470.39760000000007</v>
      </c>
      <c r="L33" s="1287">
        <v>455.58249999999998</v>
      </c>
      <c r="M33" s="1288">
        <v>495.59629999999993</v>
      </c>
      <c r="N33" s="1287">
        <v>564.45780000000002</v>
      </c>
      <c r="Q33" s="1278"/>
      <c r="R33" s="1278"/>
      <c r="S33" s="1278"/>
      <c r="T33" s="1278"/>
      <c r="U33" s="1278"/>
    </row>
    <row r="34" spans="1:21" ht="12.75" customHeight="1">
      <c r="A34" s="944" t="s">
        <v>1097</v>
      </c>
      <c r="B34" s="1287">
        <v>489.43314000000004</v>
      </c>
      <c r="C34" s="1287">
        <v>585.48797999999999</v>
      </c>
      <c r="D34" s="1287">
        <v>848.9502</v>
      </c>
      <c r="E34" s="1287">
        <v>856.40057999999999</v>
      </c>
      <c r="F34" s="1287">
        <v>839.77620300000001</v>
      </c>
      <c r="G34" s="1287">
        <v>879.7030625000001</v>
      </c>
      <c r="H34" s="1287">
        <v>907.2907567499999</v>
      </c>
      <c r="I34" s="1287">
        <v>964.95762500000001</v>
      </c>
      <c r="J34" s="1287">
        <v>971.07287500000007</v>
      </c>
      <c r="K34" s="1287">
        <v>963.83166875000018</v>
      </c>
      <c r="L34" s="1287">
        <v>1083.0907118749999</v>
      </c>
      <c r="M34" s="1287">
        <v>1177.439083125</v>
      </c>
      <c r="N34" s="1287">
        <v>1225.8643996888752</v>
      </c>
      <c r="Q34" s="1278"/>
      <c r="R34" s="1278"/>
      <c r="S34" s="1278"/>
      <c r="T34" s="1278"/>
      <c r="U34" s="1278"/>
    </row>
    <row r="35" spans="1:21" ht="12.75" customHeight="1">
      <c r="A35" s="944" t="s">
        <v>1098</v>
      </c>
      <c r="B35" s="1287">
        <v>0</v>
      </c>
      <c r="C35" s="1287">
        <v>0</v>
      </c>
      <c r="D35" s="1287">
        <v>0</v>
      </c>
      <c r="E35" s="1287">
        <v>0</v>
      </c>
      <c r="F35" s="1287">
        <v>0</v>
      </c>
      <c r="G35" s="1287">
        <v>0</v>
      </c>
      <c r="H35" s="1287">
        <v>286.49</v>
      </c>
      <c r="I35" s="1287">
        <v>601.69899999999996</v>
      </c>
      <c r="J35" s="1287">
        <v>1021.568</v>
      </c>
      <c r="K35" s="1287">
        <v>2532.6917000000003</v>
      </c>
      <c r="L35" s="1287">
        <v>2527.5057349999997</v>
      </c>
      <c r="M35" s="1287">
        <v>1955.5196000000001</v>
      </c>
      <c r="N35" s="1287">
        <v>1612.753334</v>
      </c>
      <c r="Q35" s="1278"/>
      <c r="R35" s="1278"/>
      <c r="S35" s="1278"/>
      <c r="T35" s="1278"/>
      <c r="U35" s="1278"/>
    </row>
    <row r="36" spans="1:21" ht="12.75" customHeight="1">
      <c r="A36" s="1280" t="s">
        <v>1099</v>
      </c>
      <c r="B36" s="1287">
        <v>197.201188</v>
      </c>
      <c r="C36" s="1287">
        <v>198.64062899999999</v>
      </c>
      <c r="D36" s="1287">
        <v>234.1</v>
      </c>
      <c r="E36" s="1287">
        <v>458.96</v>
      </c>
      <c r="F36" s="1287">
        <v>455.70087000000001</v>
      </c>
      <c r="G36" s="1287">
        <v>542.10099000000002</v>
      </c>
      <c r="H36" s="1287">
        <v>568.24279200000001</v>
      </c>
      <c r="I36" s="1287">
        <v>534.61739999999998</v>
      </c>
      <c r="J36" s="1287">
        <v>565.22840000000008</v>
      </c>
      <c r="K36" s="1287">
        <v>467.67696000000001</v>
      </c>
      <c r="L36" s="1287">
        <v>434.15731</v>
      </c>
      <c r="M36" s="1287">
        <v>555.30909999999994</v>
      </c>
      <c r="N36" s="1287">
        <v>587.08116359999997</v>
      </c>
      <c r="Q36" s="1278"/>
      <c r="R36" s="1278"/>
      <c r="S36" s="1278"/>
      <c r="T36" s="1278"/>
      <c r="U36" s="1278"/>
    </row>
    <row r="37" spans="1:21" ht="12.75" customHeight="1">
      <c r="A37" s="993" t="s">
        <v>1100</v>
      </c>
      <c r="B37" s="1287">
        <v>0</v>
      </c>
      <c r="C37" s="1287">
        <v>4.7548050000000001E-2</v>
      </c>
      <c r="D37" s="1287">
        <v>0.22963489999999998</v>
      </c>
      <c r="E37" s="1287">
        <v>0.75614879999999995</v>
      </c>
      <c r="F37" s="1287">
        <v>31.425058150000002</v>
      </c>
      <c r="G37" s="1287">
        <v>234.31389999999999</v>
      </c>
      <c r="H37" s="1287">
        <v>271.91425500000003</v>
      </c>
      <c r="I37" s="1287">
        <v>401.959</v>
      </c>
      <c r="J37" s="1287">
        <v>362.25628</v>
      </c>
      <c r="K37" s="1287">
        <v>381.70819219999998</v>
      </c>
      <c r="L37" s="1287">
        <v>362.76100000000002</v>
      </c>
      <c r="M37" s="1287">
        <v>408.980549</v>
      </c>
      <c r="N37" s="1287">
        <v>567.94512100000009</v>
      </c>
      <c r="Q37" s="1278"/>
      <c r="R37" s="1278"/>
      <c r="S37" s="1278"/>
      <c r="T37" s="1278"/>
      <c r="U37" s="1278"/>
    </row>
    <row r="38" spans="1:21" ht="12.75" customHeight="1" thickBot="1">
      <c r="A38" s="1289" t="s">
        <v>1101</v>
      </c>
      <c r="B38" s="1290">
        <v>1804.5743280000002</v>
      </c>
      <c r="C38" s="1290">
        <v>2109.7861570499999</v>
      </c>
      <c r="D38" s="1290">
        <v>2654.2418848999996</v>
      </c>
      <c r="E38" s="1290">
        <v>3429.1167288000001</v>
      </c>
      <c r="F38" s="1290">
        <v>3881.8221311500001</v>
      </c>
      <c r="G38" s="1290">
        <v>4526.0381415000002</v>
      </c>
      <c r="H38" s="1290">
        <v>5080.1255949419892</v>
      </c>
      <c r="I38" s="1290">
        <v>6173.7138825622087</v>
      </c>
      <c r="J38" s="1290">
        <v>7363.8778549999997</v>
      </c>
      <c r="K38" s="1290">
        <v>9106.791000950001</v>
      </c>
      <c r="L38" s="1290">
        <v>9287.5678065749998</v>
      </c>
      <c r="M38" s="1291">
        <v>9269.6557321250002</v>
      </c>
      <c r="N38" s="1290">
        <v>9315.3779182888757</v>
      </c>
      <c r="Q38" s="1278"/>
      <c r="R38" s="1278"/>
      <c r="S38" s="1278"/>
      <c r="T38" s="1278"/>
      <c r="U38" s="1278"/>
    </row>
    <row r="39" spans="1:21" ht="12.75" customHeight="1" thickTop="1" thickBot="1">
      <c r="A39" s="1282" t="s">
        <v>1102</v>
      </c>
      <c r="B39" s="1292">
        <v>5684.501174</v>
      </c>
      <c r="C39" s="1292">
        <v>6945.4375170499998</v>
      </c>
      <c r="D39" s="1292">
        <v>8648.3554949000008</v>
      </c>
      <c r="E39" s="1292">
        <v>9615.7292609499964</v>
      </c>
      <c r="F39" s="1292">
        <v>9914.1704094500001</v>
      </c>
      <c r="G39" s="1292">
        <v>9548.6765722555556</v>
      </c>
      <c r="H39" s="1292">
        <v>11126.819571061555</v>
      </c>
      <c r="I39" s="1292">
        <v>10599.542726442209</v>
      </c>
      <c r="J39" s="1292">
        <v>14146.947575989998</v>
      </c>
      <c r="K39" s="1292">
        <v>16940.370396990002</v>
      </c>
      <c r="L39" s="1292">
        <v>18116.388146974994</v>
      </c>
      <c r="M39" s="1293">
        <v>19645.883533124997</v>
      </c>
      <c r="N39" s="1292">
        <v>21597.454205988877</v>
      </c>
      <c r="Q39" s="1278"/>
      <c r="R39" s="1278"/>
      <c r="S39" s="1278"/>
      <c r="T39" s="1278"/>
      <c r="U39" s="1278"/>
    </row>
    <row r="40" spans="1:21" ht="12.75" customHeight="1" thickTop="1" thickBot="1">
      <c r="A40" s="1285" t="s">
        <v>1103</v>
      </c>
      <c r="B40" s="1294">
        <v>416.69885999999997</v>
      </c>
      <c r="C40" s="1294">
        <v>482.90372000000002</v>
      </c>
      <c r="D40" s="1294">
        <v>582.93799999999999</v>
      </c>
      <c r="E40" s="1294">
        <v>558.71442000000002</v>
      </c>
      <c r="F40" s="1294">
        <v>519.26889700000004</v>
      </c>
      <c r="G40" s="1294">
        <v>528.2118375</v>
      </c>
      <c r="H40" s="1294">
        <v>544.76445404999993</v>
      </c>
      <c r="I40" s="1294">
        <v>579.06507499999998</v>
      </c>
      <c r="J40" s="1294">
        <v>582.73422500000015</v>
      </c>
      <c r="K40" s="1294">
        <v>578.38950125000008</v>
      </c>
      <c r="L40" s="1294">
        <v>650.62942712500001</v>
      </c>
      <c r="M40" s="1294">
        <v>707.2384498749999</v>
      </c>
      <c r="N40" s="1294">
        <v>736.29363981332506</v>
      </c>
      <c r="Q40" s="1278"/>
      <c r="R40" s="1278"/>
      <c r="S40" s="1278"/>
      <c r="T40" s="1278"/>
      <c r="U40" s="1278"/>
    </row>
    <row r="41" spans="1:21" ht="12.75" customHeight="1" thickTop="1">
      <c r="A41" s="1046" t="s">
        <v>1104</v>
      </c>
      <c r="B41" s="1295"/>
      <c r="C41" s="1296"/>
      <c r="D41" s="1297"/>
      <c r="E41" s="1297"/>
      <c r="F41" s="1297"/>
      <c r="G41" s="1297"/>
      <c r="H41" s="1297"/>
      <c r="I41" s="1297"/>
      <c r="J41" s="1297"/>
      <c r="K41" s="1297"/>
      <c r="L41" s="1297"/>
      <c r="M41" s="1297"/>
      <c r="N41" s="1297"/>
      <c r="Q41" s="1278"/>
      <c r="R41" s="1278"/>
      <c r="S41" s="1278"/>
      <c r="T41" s="1278"/>
      <c r="U41" s="1278"/>
    </row>
    <row r="42" spans="1:21" ht="12.75" customHeight="1">
      <c r="A42" s="944" t="s">
        <v>1105</v>
      </c>
      <c r="B42" s="1277">
        <v>25.4</v>
      </c>
      <c r="C42" s="1277">
        <v>27.223740977965178</v>
      </c>
      <c r="D42" s="1277">
        <v>30.657808315396558</v>
      </c>
      <c r="E42" s="1277">
        <v>28.199873968330479</v>
      </c>
      <c r="F42" s="1277">
        <v>28.201649346250857</v>
      </c>
      <c r="G42" s="1277">
        <v>26.365319276710473</v>
      </c>
      <c r="H42" s="1277">
        <v>29.94201788951737</v>
      </c>
      <c r="I42" s="1277">
        <v>24.086681743462488</v>
      </c>
      <c r="J42" s="1277">
        <v>26.646984961477486</v>
      </c>
      <c r="K42" s="1277">
        <v>26.430511715802417</v>
      </c>
      <c r="L42" s="1277">
        <v>27.179380983159383</v>
      </c>
      <c r="M42" s="1277">
        <v>27.460686620946454</v>
      </c>
      <c r="N42" s="1277">
        <v>26.968125907719223</v>
      </c>
      <c r="Q42" s="1278"/>
      <c r="R42" s="1278"/>
      <c r="S42" s="1278"/>
      <c r="T42" s="1278"/>
      <c r="U42" s="1278"/>
    </row>
    <row r="43" spans="1:21" ht="12.75" customHeight="1">
      <c r="A43" s="944" t="s">
        <v>1106</v>
      </c>
      <c r="B43" s="1277" t="s">
        <v>263</v>
      </c>
      <c r="C43" s="1277" t="s">
        <v>263</v>
      </c>
      <c r="D43" s="1277" t="s">
        <v>263</v>
      </c>
      <c r="E43" s="1277" t="s">
        <v>263</v>
      </c>
      <c r="F43" s="1277" t="s">
        <v>263</v>
      </c>
      <c r="G43" s="1277" t="s">
        <v>1107</v>
      </c>
      <c r="H43" s="1277" t="s">
        <v>1107</v>
      </c>
      <c r="I43" s="1277" t="s">
        <v>1107</v>
      </c>
      <c r="J43" s="1277">
        <v>24.183804315019813</v>
      </c>
      <c r="K43" s="1277">
        <v>27.236000427405912</v>
      </c>
      <c r="L43" s="1277">
        <v>28.733181067519215</v>
      </c>
      <c r="M43" s="1277">
        <v>25.61137206233505</v>
      </c>
      <c r="N43" s="1277">
        <v>30.411928885868988</v>
      </c>
      <c r="Q43" s="1278"/>
      <c r="R43" s="1278"/>
      <c r="S43" s="1278"/>
      <c r="T43" s="1278"/>
      <c r="U43" s="1278"/>
    </row>
    <row r="44" spans="1:21" ht="12.75" customHeight="1">
      <c r="A44" s="1280" t="s">
        <v>1108</v>
      </c>
      <c r="B44" s="1298">
        <v>25.3</v>
      </c>
      <c r="C44" s="1298">
        <v>30.001845718939297</v>
      </c>
      <c r="D44" s="1298">
        <v>36.792797466304926</v>
      </c>
      <c r="E44" s="1298">
        <v>38.383698942964955</v>
      </c>
      <c r="F44" s="1298">
        <v>36.369852774145137</v>
      </c>
      <c r="G44" s="1298">
        <v>28.656422316556238</v>
      </c>
      <c r="H44" s="1298">
        <v>34.035502949747439</v>
      </c>
      <c r="I44" s="1298">
        <v>23.351781242047764</v>
      </c>
      <c r="J44" s="1298">
        <v>37.070862241088442</v>
      </c>
      <c r="K44" s="1298">
        <v>37.455904896303551</v>
      </c>
      <c r="L44" s="1299">
        <v>34.771330343106619</v>
      </c>
      <c r="M44" s="1298">
        <v>38.219289366241576</v>
      </c>
      <c r="N44" s="1298">
        <v>37.400367514948975</v>
      </c>
      <c r="Q44" s="1278"/>
      <c r="R44" s="1278"/>
      <c r="S44" s="1278"/>
      <c r="T44" s="1278"/>
      <c r="U44" s="1278"/>
    </row>
    <row r="45" spans="1:21" ht="12.75" customHeight="1" thickBot="1">
      <c r="A45" s="1300" t="s">
        <v>1109</v>
      </c>
      <c r="B45" s="1301">
        <v>62.6</v>
      </c>
      <c r="C45" s="1301">
        <v>63.680923466563904</v>
      </c>
      <c r="D45" s="1301">
        <v>65.709327864854643</v>
      </c>
      <c r="E45" s="1301">
        <v>64.152171877084243</v>
      </c>
      <c r="F45" s="1301">
        <v>59.355470325311636</v>
      </c>
      <c r="G45" s="1301">
        <v>61.138804700938501</v>
      </c>
      <c r="H45" s="1301">
        <v>61.214011445904148</v>
      </c>
      <c r="I45" s="1301">
        <v>62.610276554490248</v>
      </c>
      <c r="J45" s="1302">
        <v>62.008638211990487</v>
      </c>
      <c r="K45" s="1302">
        <v>58.546771640664602</v>
      </c>
      <c r="L45" s="1302">
        <v>56.237959616003586</v>
      </c>
      <c r="M45" s="1302">
        <v>56.676363376377907</v>
      </c>
      <c r="N45" s="1301">
        <v>56.253730897721681</v>
      </c>
      <c r="Q45" s="1278"/>
      <c r="R45" s="1278"/>
      <c r="S45" s="1278"/>
      <c r="T45" s="1278"/>
      <c r="U45" s="1278"/>
    </row>
    <row r="46" spans="1:21" ht="12.75" customHeight="1" thickTop="1" thickBot="1">
      <c r="A46" s="1303" t="s">
        <v>1110</v>
      </c>
      <c r="B46" s="1301">
        <v>32.299999999999997</v>
      </c>
      <c r="C46" s="1301">
        <v>36.376845938319747</v>
      </c>
      <c r="D46" s="1301">
        <v>42.539400213047649</v>
      </c>
      <c r="E46" s="1301">
        <v>43.968838200478075</v>
      </c>
      <c r="F46" s="1301">
        <v>42.104772829371299</v>
      </c>
      <c r="G46" s="1301">
        <v>38.579848856994452</v>
      </c>
      <c r="H46" s="1301">
        <v>42.112412883430672</v>
      </c>
      <c r="I46" s="1301">
        <v>36.597553190967055</v>
      </c>
      <c r="J46" s="1302">
        <v>43.32661011460717</v>
      </c>
      <c r="K46" s="1302">
        <v>41.186431985939116</v>
      </c>
      <c r="L46" s="1301">
        <v>38.742255232722222</v>
      </c>
      <c r="M46" s="1302">
        <v>39.124235564981085</v>
      </c>
      <c r="N46" s="1301">
        <v>37.832394816557702</v>
      </c>
      <c r="Q46" s="1278"/>
      <c r="R46" s="1278"/>
      <c r="S46" s="1278"/>
      <c r="T46" s="1278"/>
      <c r="U46" s="1278"/>
    </row>
    <row r="47" spans="1:21" ht="12.75" customHeight="1" thickTop="1">
      <c r="A47" s="1304" t="s">
        <v>1111</v>
      </c>
      <c r="B47" s="1280"/>
      <c r="C47" s="1298"/>
      <c r="D47" s="1297"/>
      <c r="E47" s="1297"/>
      <c r="F47" s="1297"/>
      <c r="G47" s="1305"/>
      <c r="H47" s="1305"/>
      <c r="I47" s="1305"/>
      <c r="J47" s="1305"/>
      <c r="K47" s="1305"/>
      <c r="L47" s="1305"/>
      <c r="M47" s="1305"/>
      <c r="N47" s="1305"/>
      <c r="Q47" s="1278"/>
      <c r="R47" s="1278"/>
      <c r="S47" s="1278"/>
      <c r="T47" s="1278"/>
      <c r="U47" s="1278"/>
    </row>
    <row r="48" spans="1:21" ht="12.75" customHeight="1">
      <c r="A48" s="1280" t="s">
        <v>1105</v>
      </c>
      <c r="B48" s="1298" t="s">
        <v>263</v>
      </c>
      <c r="C48" s="1298" t="s">
        <v>263</v>
      </c>
      <c r="D48" s="1298">
        <v>30.88</v>
      </c>
      <c r="E48" s="1298">
        <v>30.51</v>
      </c>
      <c r="F48" s="1298">
        <v>29.06</v>
      </c>
      <c r="G48" s="1298">
        <v>25.57</v>
      </c>
      <c r="H48" s="1298">
        <v>28.36</v>
      </c>
      <c r="I48" s="1298">
        <v>26.15</v>
      </c>
      <c r="J48" s="1298">
        <v>29.15</v>
      </c>
      <c r="K48" s="1298">
        <v>28.13</v>
      </c>
      <c r="L48" s="1298">
        <v>26.7</v>
      </c>
      <c r="M48" s="1298">
        <v>27.3</v>
      </c>
      <c r="N48" s="1298">
        <v>29.427929432093858</v>
      </c>
      <c r="Q48" s="1278"/>
      <c r="R48" s="1278"/>
      <c r="S48" s="1278"/>
      <c r="T48" s="1278"/>
      <c r="U48" s="1278"/>
    </row>
    <row r="49" spans="1:21" ht="12.75" customHeight="1" thickBot="1">
      <c r="A49" s="1300" t="s">
        <v>1112</v>
      </c>
      <c r="B49" s="1301" t="s">
        <v>263</v>
      </c>
      <c r="C49" s="1301" t="s">
        <v>263</v>
      </c>
      <c r="D49" s="1301" t="s">
        <v>263</v>
      </c>
      <c r="E49" s="1301" t="s">
        <v>263</v>
      </c>
      <c r="F49" s="1301" t="s">
        <v>263</v>
      </c>
      <c r="G49" s="1301" t="s">
        <v>263</v>
      </c>
      <c r="H49" s="1301" t="s">
        <v>263</v>
      </c>
      <c r="I49" s="1301" t="s">
        <v>1107</v>
      </c>
      <c r="J49" s="1301" t="s">
        <v>1107</v>
      </c>
      <c r="K49" s="1301" t="s">
        <v>1107</v>
      </c>
      <c r="L49" s="1306">
        <v>27.5</v>
      </c>
      <c r="M49" s="1307">
        <v>28.3</v>
      </c>
      <c r="N49" s="1307">
        <v>34.910519845451354</v>
      </c>
      <c r="Q49" s="1278"/>
      <c r="R49" s="1278"/>
      <c r="S49" s="1278"/>
      <c r="T49" s="1278"/>
      <c r="U49" s="1278"/>
    </row>
    <row r="50" spans="1:21" ht="6.75" customHeight="1" thickTop="1">
      <c r="A50" s="1027"/>
      <c r="B50" s="1027"/>
      <c r="C50" s="1027"/>
      <c r="D50" s="1027"/>
      <c r="E50" s="1027"/>
      <c r="F50" s="1027"/>
      <c r="G50" s="1027"/>
      <c r="Q50" s="1278"/>
      <c r="R50" s="1278"/>
      <c r="S50" s="1278"/>
      <c r="T50" s="1278"/>
      <c r="U50" s="1278"/>
    </row>
    <row r="51" spans="1:21" s="941" customFormat="1" ht="10.5" customHeight="1">
      <c r="A51" s="1018" t="s">
        <v>1113</v>
      </c>
      <c r="B51" s="1308"/>
      <c r="C51" s="1308"/>
      <c r="D51" s="1308"/>
      <c r="E51" s="1308"/>
      <c r="F51" s="1308"/>
      <c r="G51" s="1309"/>
    </row>
    <row r="52" spans="1:21" s="941" customFormat="1" ht="10.5" customHeight="1">
      <c r="A52" s="1018" t="s">
        <v>1114</v>
      </c>
      <c r="B52" s="1308"/>
      <c r="C52" s="1308"/>
      <c r="D52" s="1308"/>
      <c r="E52" s="1308"/>
      <c r="F52" s="1308"/>
      <c r="G52" s="1309"/>
    </row>
    <row r="53" spans="1:21" s="941" customFormat="1" ht="10.5" customHeight="1">
      <c r="A53" s="1018" t="s">
        <v>1115</v>
      </c>
      <c r="B53" s="944"/>
      <c r="C53" s="944"/>
      <c r="D53" s="944"/>
      <c r="E53" s="944"/>
      <c r="F53" s="944"/>
      <c r="G53" s="1027"/>
      <c r="H53" s="1021"/>
      <c r="I53" s="1021"/>
      <c r="J53" s="1021"/>
      <c r="K53" s="1021"/>
    </row>
    <row r="54" spans="1:21" s="941" customFormat="1" ht="10.5" customHeight="1">
      <c r="A54" s="1018" t="s">
        <v>1116</v>
      </c>
      <c r="B54" s="944"/>
      <c r="C54" s="944"/>
      <c r="D54" s="944"/>
      <c r="E54" s="944"/>
      <c r="F54" s="944"/>
      <c r="G54" s="1027"/>
      <c r="H54" s="1021"/>
      <c r="I54" s="1021"/>
      <c r="J54" s="1021"/>
      <c r="K54" s="1021"/>
    </row>
    <row r="55" spans="1:21" s="941" customFormat="1" ht="10.5" customHeight="1">
      <c r="A55" s="1018" t="s">
        <v>1117</v>
      </c>
      <c r="B55" s="944"/>
      <c r="C55" s="944"/>
      <c r="D55" s="944"/>
      <c r="E55" s="944"/>
      <c r="F55" s="944"/>
      <c r="G55" s="1027"/>
      <c r="H55" s="1021"/>
      <c r="I55" s="1021"/>
      <c r="J55" s="1021"/>
      <c r="K55" s="1021"/>
      <c r="L55" s="1021"/>
    </row>
    <row r="56" spans="1:21" s="941" customFormat="1" ht="10.5" customHeight="1">
      <c r="A56" s="1018" t="s">
        <v>1118</v>
      </c>
      <c r="B56" s="1308"/>
      <c r="C56" s="1308"/>
      <c r="D56" s="1308"/>
      <c r="E56" s="1308"/>
      <c r="F56" s="1308"/>
      <c r="G56" s="1309"/>
    </row>
    <row r="57" spans="1:21" s="941" customFormat="1" ht="10.5" customHeight="1">
      <c r="A57" s="1018" t="s">
        <v>1119</v>
      </c>
      <c r="B57" s="1308"/>
      <c r="C57" s="1308"/>
      <c r="D57" s="1308"/>
      <c r="E57" s="1308"/>
      <c r="F57" s="1308"/>
      <c r="G57" s="1309"/>
    </row>
    <row r="58" spans="1:21" s="941" customFormat="1" ht="10.5" customHeight="1">
      <c r="A58" s="1018" t="s">
        <v>1120</v>
      </c>
      <c r="B58" s="1308"/>
      <c r="C58" s="1308"/>
      <c r="D58" s="1308"/>
      <c r="E58" s="1308"/>
      <c r="F58" s="1308"/>
      <c r="G58" s="1309"/>
    </row>
    <row r="59" spans="1:21" s="941" customFormat="1" ht="10.5" customHeight="1">
      <c r="A59" s="1018" t="s">
        <v>1121</v>
      </c>
      <c r="B59" s="1308"/>
      <c r="C59" s="1308"/>
      <c r="D59" s="1308"/>
      <c r="E59" s="1308"/>
      <c r="F59" s="1308"/>
      <c r="G59" s="1309"/>
    </row>
    <row r="60" spans="1:21" s="941" customFormat="1" ht="10.5" customHeight="1">
      <c r="A60" s="1018" t="s">
        <v>1122</v>
      </c>
      <c r="B60" s="1308"/>
      <c r="C60" s="1308"/>
      <c r="D60" s="1308"/>
      <c r="E60" s="1308"/>
      <c r="F60" s="1308"/>
    </row>
    <row r="61" spans="1:21" s="941" customFormat="1" ht="10.5" customHeight="1">
      <c r="A61" s="1018" t="s">
        <v>1123</v>
      </c>
      <c r="B61" s="1308"/>
      <c r="C61" s="1308"/>
      <c r="D61" s="1308"/>
      <c r="E61" s="1308"/>
      <c r="F61" s="1308"/>
    </row>
    <row r="62" spans="1:21" s="941" customFormat="1" ht="10.5" customHeight="1">
      <c r="A62" s="1018" t="s">
        <v>1124</v>
      </c>
    </row>
    <row r="63" spans="1:21" s="941" customFormat="1" ht="10.5" customHeight="1">
      <c r="A63" s="1018" t="s">
        <v>1125</v>
      </c>
    </row>
    <row r="64" spans="1:21" s="941" customFormat="1" ht="10.5" customHeight="1">
      <c r="A64" s="1018" t="s">
        <v>1126</v>
      </c>
    </row>
    <row r="65" spans="1:11" s="941" customFormat="1" ht="10.5" customHeight="1">
      <c r="A65" s="1018" t="s">
        <v>1127</v>
      </c>
    </row>
    <row r="66" spans="1:11" s="941" customFormat="1" ht="10.5" customHeight="1">
      <c r="A66" s="1018" t="s">
        <v>1128</v>
      </c>
    </row>
    <row r="67" spans="1:11" s="941" customFormat="1" ht="10.5" customHeight="1">
      <c r="A67" s="1018" t="s">
        <v>1129</v>
      </c>
    </row>
    <row r="68" spans="1:11" ht="10.5" customHeight="1"/>
    <row r="69" spans="1:11">
      <c r="A69" s="1310"/>
    </row>
    <row r="70" spans="1:11">
      <c r="A70" s="1024"/>
      <c r="B70" s="1024"/>
      <c r="C70" s="1024"/>
      <c r="D70" s="1024"/>
      <c r="E70" s="1024"/>
      <c r="F70" s="1024"/>
      <c r="G70" s="1024"/>
      <c r="H70" s="1024"/>
      <c r="I70" s="1024"/>
      <c r="J70" s="1311"/>
      <c r="K70" s="1024"/>
    </row>
    <row r="71" spans="1:11">
      <c r="A71" s="1280"/>
      <c r="B71" s="1024"/>
      <c r="C71" s="1024"/>
      <c r="D71" s="1024"/>
      <c r="E71" s="1024"/>
      <c r="F71" s="1024"/>
      <c r="G71" s="1024"/>
      <c r="H71" s="1024"/>
      <c r="I71" s="1024"/>
      <c r="J71" s="1311"/>
      <c r="K71" s="1024"/>
    </row>
    <row r="72" spans="1:11">
      <c r="A72" s="1280"/>
      <c r="B72" s="1312"/>
      <c r="C72" s="1312"/>
      <c r="D72" s="1312"/>
      <c r="E72" s="1312"/>
      <c r="F72" s="1312"/>
      <c r="G72" s="1312"/>
      <c r="H72" s="1312"/>
      <c r="I72" s="1312"/>
      <c r="J72" s="1313"/>
      <c r="K72" s="1024"/>
    </row>
    <row r="73" spans="1:11">
      <c r="A73" s="1280"/>
      <c r="B73" s="1314"/>
      <c r="C73" s="1314"/>
      <c r="D73" s="1314"/>
      <c r="E73" s="1314"/>
      <c r="F73" s="1314"/>
      <c r="G73" s="1314"/>
      <c r="H73" s="1314"/>
      <c r="I73" s="1314"/>
      <c r="J73" s="1315"/>
      <c r="K73" s="1024"/>
    </row>
    <row r="74" spans="1:11">
      <c r="A74" s="1280"/>
      <c r="B74" s="1314"/>
      <c r="C74" s="1314"/>
      <c r="D74" s="1314"/>
      <c r="E74" s="1314"/>
      <c r="F74" s="1314"/>
      <c r="G74" s="1314"/>
      <c r="H74" s="1314"/>
      <c r="I74" s="1314"/>
      <c r="J74" s="1315"/>
      <c r="K74" s="1024"/>
    </row>
    <row r="75" spans="1:11">
      <c r="A75" s="1280"/>
      <c r="B75" s="1314"/>
      <c r="C75" s="1314"/>
      <c r="D75" s="1314"/>
      <c r="E75" s="1314"/>
      <c r="F75" s="1314"/>
      <c r="G75" s="1314"/>
      <c r="H75" s="1314"/>
      <c r="I75" s="1314"/>
      <c r="J75" s="1315"/>
      <c r="K75" s="1024"/>
    </row>
    <row r="76" spans="1:11">
      <c r="A76" s="1024"/>
      <c r="B76" s="1024"/>
      <c r="C76" s="1024"/>
      <c r="D76" s="1024"/>
      <c r="E76" s="1024"/>
      <c r="F76" s="1024"/>
      <c r="G76" s="1024"/>
      <c r="H76" s="1024"/>
      <c r="I76" s="1024"/>
      <c r="J76" s="1311"/>
      <c r="K76" s="1024"/>
    </row>
  </sheetData>
  <pageMargins left="0.6692913385826772" right="0.6692913385826772" top="0.51181102362204722" bottom="0.51181102362204722" header="0.27559055118110237" footer="0.27559055118110237"/>
  <pageSetup paperSize="9" scale="60" orientation="portrait"/>
  <headerFooter alignWithMargins="0">
    <oddFooter>&amp;C206</oddFooter>
  </headerFooter>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enableFormatConditionsCalculation="0"/>
  <dimension ref="A1:H67"/>
  <sheetViews>
    <sheetView workbookViewId="0"/>
  </sheetViews>
  <sheetFormatPr baseColWidth="10" defaultColWidth="8.83203125" defaultRowHeight="13" x14ac:dyDescent="0"/>
  <cols>
    <col min="1" max="1" width="27.33203125" style="223" customWidth="1"/>
    <col min="2" max="3" width="7.83203125" style="223" customWidth="1"/>
    <col min="4" max="4" width="31" style="223" customWidth="1"/>
    <col min="5" max="6" width="7.83203125" style="223" customWidth="1"/>
    <col min="7" max="256" width="8.83203125" style="223"/>
    <col min="257" max="257" width="27.33203125" style="223" customWidth="1"/>
    <col min="258" max="259" width="7.83203125" style="223" customWidth="1"/>
    <col min="260" max="260" width="31" style="223" customWidth="1"/>
    <col min="261" max="262" width="7.83203125" style="223" customWidth="1"/>
    <col min="263" max="512" width="8.83203125" style="223"/>
    <col min="513" max="513" width="27.33203125" style="223" customWidth="1"/>
    <col min="514" max="515" width="7.83203125" style="223" customWidth="1"/>
    <col min="516" max="516" width="31" style="223" customWidth="1"/>
    <col min="517" max="518" width="7.83203125" style="223" customWidth="1"/>
    <col min="519" max="768" width="8.83203125" style="223"/>
    <col min="769" max="769" width="27.33203125" style="223" customWidth="1"/>
    <col min="770" max="771" width="7.83203125" style="223" customWidth="1"/>
    <col min="772" max="772" width="31" style="223" customWidth="1"/>
    <col min="773" max="774" width="7.83203125" style="223" customWidth="1"/>
    <col min="775" max="1024" width="8.83203125" style="223"/>
    <col min="1025" max="1025" width="27.33203125" style="223" customWidth="1"/>
    <col min="1026" max="1027" width="7.83203125" style="223" customWidth="1"/>
    <col min="1028" max="1028" width="31" style="223" customWidth="1"/>
    <col min="1029" max="1030" width="7.83203125" style="223" customWidth="1"/>
    <col min="1031" max="1280" width="8.83203125" style="223"/>
    <col min="1281" max="1281" width="27.33203125" style="223" customWidth="1"/>
    <col min="1282" max="1283" width="7.83203125" style="223" customWidth="1"/>
    <col min="1284" max="1284" width="31" style="223" customWidth="1"/>
    <col min="1285" max="1286" width="7.83203125" style="223" customWidth="1"/>
    <col min="1287" max="1536" width="8.83203125" style="223"/>
    <col min="1537" max="1537" width="27.33203125" style="223" customWidth="1"/>
    <col min="1538" max="1539" width="7.83203125" style="223" customWidth="1"/>
    <col min="1540" max="1540" width="31" style="223" customWidth="1"/>
    <col min="1541" max="1542" width="7.83203125" style="223" customWidth="1"/>
    <col min="1543" max="1792" width="8.83203125" style="223"/>
    <col min="1793" max="1793" width="27.33203125" style="223" customWidth="1"/>
    <col min="1794" max="1795" width="7.83203125" style="223" customWidth="1"/>
    <col min="1796" max="1796" width="31" style="223" customWidth="1"/>
    <col min="1797" max="1798" width="7.83203125" style="223" customWidth="1"/>
    <col min="1799" max="2048" width="8.83203125" style="223"/>
    <col min="2049" max="2049" width="27.33203125" style="223" customWidth="1"/>
    <col min="2050" max="2051" width="7.83203125" style="223" customWidth="1"/>
    <col min="2052" max="2052" width="31" style="223" customWidth="1"/>
    <col min="2053" max="2054" width="7.83203125" style="223" customWidth="1"/>
    <col min="2055" max="2304" width="8.83203125" style="223"/>
    <col min="2305" max="2305" width="27.33203125" style="223" customWidth="1"/>
    <col min="2306" max="2307" width="7.83203125" style="223" customWidth="1"/>
    <col min="2308" max="2308" width="31" style="223" customWidth="1"/>
    <col min="2309" max="2310" width="7.83203125" style="223" customWidth="1"/>
    <col min="2311" max="2560" width="8.83203125" style="223"/>
    <col min="2561" max="2561" width="27.33203125" style="223" customWidth="1"/>
    <col min="2562" max="2563" width="7.83203125" style="223" customWidth="1"/>
    <col min="2564" max="2564" width="31" style="223" customWidth="1"/>
    <col min="2565" max="2566" width="7.83203125" style="223" customWidth="1"/>
    <col min="2567" max="2816" width="8.83203125" style="223"/>
    <col min="2817" max="2817" width="27.33203125" style="223" customWidth="1"/>
    <col min="2818" max="2819" width="7.83203125" style="223" customWidth="1"/>
    <col min="2820" max="2820" width="31" style="223" customWidth="1"/>
    <col min="2821" max="2822" width="7.83203125" style="223" customWidth="1"/>
    <col min="2823" max="3072" width="8.83203125" style="223"/>
    <col min="3073" max="3073" width="27.33203125" style="223" customWidth="1"/>
    <col min="3074" max="3075" width="7.83203125" style="223" customWidth="1"/>
    <col min="3076" max="3076" width="31" style="223" customWidth="1"/>
    <col min="3077" max="3078" width="7.83203125" style="223" customWidth="1"/>
    <col min="3079" max="3328" width="8.83203125" style="223"/>
    <col min="3329" max="3329" width="27.33203125" style="223" customWidth="1"/>
    <col min="3330" max="3331" width="7.83203125" style="223" customWidth="1"/>
    <col min="3332" max="3332" width="31" style="223" customWidth="1"/>
    <col min="3333" max="3334" width="7.83203125" style="223" customWidth="1"/>
    <col min="3335" max="3584" width="8.83203125" style="223"/>
    <col min="3585" max="3585" width="27.33203125" style="223" customWidth="1"/>
    <col min="3586" max="3587" width="7.83203125" style="223" customWidth="1"/>
    <col min="3588" max="3588" width="31" style="223" customWidth="1"/>
    <col min="3589" max="3590" width="7.83203125" style="223" customWidth="1"/>
    <col min="3591" max="3840" width="8.83203125" style="223"/>
    <col min="3841" max="3841" width="27.33203125" style="223" customWidth="1"/>
    <col min="3842" max="3843" width="7.83203125" style="223" customWidth="1"/>
    <col min="3844" max="3844" width="31" style="223" customWidth="1"/>
    <col min="3845" max="3846" width="7.83203125" style="223" customWidth="1"/>
    <col min="3847" max="4096" width="8.83203125" style="223"/>
    <col min="4097" max="4097" width="27.33203125" style="223" customWidth="1"/>
    <col min="4098" max="4099" width="7.83203125" style="223" customWidth="1"/>
    <col min="4100" max="4100" width="31" style="223" customWidth="1"/>
    <col min="4101" max="4102" width="7.83203125" style="223" customWidth="1"/>
    <col min="4103" max="4352" width="8.83203125" style="223"/>
    <col min="4353" max="4353" width="27.33203125" style="223" customWidth="1"/>
    <col min="4354" max="4355" width="7.83203125" style="223" customWidth="1"/>
    <col min="4356" max="4356" width="31" style="223" customWidth="1"/>
    <col min="4357" max="4358" width="7.83203125" style="223" customWidth="1"/>
    <col min="4359" max="4608" width="8.83203125" style="223"/>
    <col min="4609" max="4609" width="27.33203125" style="223" customWidth="1"/>
    <col min="4610" max="4611" width="7.83203125" style="223" customWidth="1"/>
    <col min="4612" max="4612" width="31" style="223" customWidth="1"/>
    <col min="4613" max="4614" width="7.83203125" style="223" customWidth="1"/>
    <col min="4615" max="4864" width="8.83203125" style="223"/>
    <col min="4865" max="4865" width="27.33203125" style="223" customWidth="1"/>
    <col min="4866" max="4867" width="7.83203125" style="223" customWidth="1"/>
    <col min="4868" max="4868" width="31" style="223" customWidth="1"/>
    <col min="4869" max="4870" width="7.83203125" style="223" customWidth="1"/>
    <col min="4871" max="5120" width="8.83203125" style="223"/>
    <col min="5121" max="5121" width="27.33203125" style="223" customWidth="1"/>
    <col min="5122" max="5123" width="7.83203125" style="223" customWidth="1"/>
    <col min="5124" max="5124" width="31" style="223" customWidth="1"/>
    <col min="5125" max="5126" width="7.83203125" style="223" customWidth="1"/>
    <col min="5127" max="5376" width="8.83203125" style="223"/>
    <col min="5377" max="5377" width="27.33203125" style="223" customWidth="1"/>
    <col min="5378" max="5379" width="7.83203125" style="223" customWidth="1"/>
    <col min="5380" max="5380" width="31" style="223" customWidth="1"/>
    <col min="5381" max="5382" width="7.83203125" style="223" customWidth="1"/>
    <col min="5383" max="5632" width="8.83203125" style="223"/>
    <col min="5633" max="5633" width="27.33203125" style="223" customWidth="1"/>
    <col min="5634" max="5635" width="7.83203125" style="223" customWidth="1"/>
    <col min="5636" max="5636" width="31" style="223" customWidth="1"/>
    <col min="5637" max="5638" width="7.83203125" style="223" customWidth="1"/>
    <col min="5639" max="5888" width="8.83203125" style="223"/>
    <col min="5889" max="5889" width="27.33203125" style="223" customWidth="1"/>
    <col min="5890" max="5891" width="7.83203125" style="223" customWidth="1"/>
    <col min="5892" max="5892" width="31" style="223" customWidth="1"/>
    <col min="5893" max="5894" width="7.83203125" style="223" customWidth="1"/>
    <col min="5895" max="6144" width="8.83203125" style="223"/>
    <col min="6145" max="6145" width="27.33203125" style="223" customWidth="1"/>
    <col min="6146" max="6147" width="7.83203125" style="223" customWidth="1"/>
    <col min="6148" max="6148" width="31" style="223" customWidth="1"/>
    <col min="6149" max="6150" width="7.83203125" style="223" customWidth="1"/>
    <col min="6151" max="6400" width="8.83203125" style="223"/>
    <col min="6401" max="6401" width="27.33203125" style="223" customWidth="1"/>
    <col min="6402" max="6403" width="7.83203125" style="223" customWidth="1"/>
    <col min="6404" max="6404" width="31" style="223" customWidth="1"/>
    <col min="6405" max="6406" width="7.83203125" style="223" customWidth="1"/>
    <col min="6407" max="6656" width="8.83203125" style="223"/>
    <col min="6657" max="6657" width="27.33203125" style="223" customWidth="1"/>
    <col min="6658" max="6659" width="7.83203125" style="223" customWidth="1"/>
    <col min="6660" max="6660" width="31" style="223" customWidth="1"/>
    <col min="6661" max="6662" width="7.83203125" style="223" customWidth="1"/>
    <col min="6663" max="6912" width="8.83203125" style="223"/>
    <col min="6913" max="6913" width="27.33203125" style="223" customWidth="1"/>
    <col min="6914" max="6915" width="7.83203125" style="223" customWidth="1"/>
    <col min="6916" max="6916" width="31" style="223" customWidth="1"/>
    <col min="6917" max="6918" width="7.83203125" style="223" customWidth="1"/>
    <col min="6919" max="7168" width="8.83203125" style="223"/>
    <col min="7169" max="7169" width="27.33203125" style="223" customWidth="1"/>
    <col min="7170" max="7171" width="7.83203125" style="223" customWidth="1"/>
    <col min="7172" max="7172" width="31" style="223" customWidth="1"/>
    <col min="7173" max="7174" width="7.83203125" style="223" customWidth="1"/>
    <col min="7175" max="7424" width="8.83203125" style="223"/>
    <col min="7425" max="7425" width="27.33203125" style="223" customWidth="1"/>
    <col min="7426" max="7427" width="7.83203125" style="223" customWidth="1"/>
    <col min="7428" max="7428" width="31" style="223" customWidth="1"/>
    <col min="7429" max="7430" width="7.83203125" style="223" customWidth="1"/>
    <col min="7431" max="7680" width="8.83203125" style="223"/>
    <col min="7681" max="7681" width="27.33203125" style="223" customWidth="1"/>
    <col min="7682" max="7683" width="7.83203125" style="223" customWidth="1"/>
    <col min="7684" max="7684" width="31" style="223" customWidth="1"/>
    <col min="7685" max="7686" width="7.83203125" style="223" customWidth="1"/>
    <col min="7687" max="7936" width="8.83203125" style="223"/>
    <col min="7937" max="7937" width="27.33203125" style="223" customWidth="1"/>
    <col min="7938" max="7939" width="7.83203125" style="223" customWidth="1"/>
    <col min="7940" max="7940" width="31" style="223" customWidth="1"/>
    <col min="7941" max="7942" width="7.83203125" style="223" customWidth="1"/>
    <col min="7943" max="8192" width="8.83203125" style="223"/>
    <col min="8193" max="8193" width="27.33203125" style="223" customWidth="1"/>
    <col min="8194" max="8195" width="7.83203125" style="223" customWidth="1"/>
    <col min="8196" max="8196" width="31" style="223" customWidth="1"/>
    <col min="8197" max="8198" width="7.83203125" style="223" customWidth="1"/>
    <col min="8199" max="8448" width="8.83203125" style="223"/>
    <col min="8449" max="8449" width="27.33203125" style="223" customWidth="1"/>
    <col min="8450" max="8451" width="7.83203125" style="223" customWidth="1"/>
    <col min="8452" max="8452" width="31" style="223" customWidth="1"/>
    <col min="8453" max="8454" width="7.83203125" style="223" customWidth="1"/>
    <col min="8455" max="8704" width="8.83203125" style="223"/>
    <col min="8705" max="8705" width="27.33203125" style="223" customWidth="1"/>
    <col min="8706" max="8707" width="7.83203125" style="223" customWidth="1"/>
    <col min="8708" max="8708" width="31" style="223" customWidth="1"/>
    <col min="8709" max="8710" width="7.83203125" style="223" customWidth="1"/>
    <col min="8711" max="8960" width="8.83203125" style="223"/>
    <col min="8961" max="8961" width="27.33203125" style="223" customWidth="1"/>
    <col min="8962" max="8963" width="7.83203125" style="223" customWidth="1"/>
    <col min="8964" max="8964" width="31" style="223" customWidth="1"/>
    <col min="8965" max="8966" width="7.83203125" style="223" customWidth="1"/>
    <col min="8967" max="9216" width="8.83203125" style="223"/>
    <col min="9217" max="9217" width="27.33203125" style="223" customWidth="1"/>
    <col min="9218" max="9219" width="7.83203125" style="223" customWidth="1"/>
    <col min="9220" max="9220" width="31" style="223" customWidth="1"/>
    <col min="9221" max="9222" width="7.83203125" style="223" customWidth="1"/>
    <col min="9223" max="9472" width="8.83203125" style="223"/>
    <col min="9473" max="9473" width="27.33203125" style="223" customWidth="1"/>
    <col min="9474" max="9475" width="7.83203125" style="223" customWidth="1"/>
    <col min="9476" max="9476" width="31" style="223" customWidth="1"/>
    <col min="9477" max="9478" width="7.83203125" style="223" customWidth="1"/>
    <col min="9479" max="9728" width="8.83203125" style="223"/>
    <col min="9729" max="9729" width="27.33203125" style="223" customWidth="1"/>
    <col min="9730" max="9731" width="7.83203125" style="223" customWidth="1"/>
    <col min="9732" max="9732" width="31" style="223" customWidth="1"/>
    <col min="9733" max="9734" width="7.83203125" style="223" customWidth="1"/>
    <col min="9735" max="9984" width="8.83203125" style="223"/>
    <col min="9985" max="9985" width="27.33203125" style="223" customWidth="1"/>
    <col min="9986" max="9987" width="7.83203125" style="223" customWidth="1"/>
    <col min="9988" max="9988" width="31" style="223" customWidth="1"/>
    <col min="9989" max="9990" width="7.83203125" style="223" customWidth="1"/>
    <col min="9991" max="10240" width="8.83203125" style="223"/>
    <col min="10241" max="10241" width="27.33203125" style="223" customWidth="1"/>
    <col min="10242" max="10243" width="7.83203125" style="223" customWidth="1"/>
    <col min="10244" max="10244" width="31" style="223" customWidth="1"/>
    <col min="10245" max="10246" width="7.83203125" style="223" customWidth="1"/>
    <col min="10247" max="10496" width="8.83203125" style="223"/>
    <col min="10497" max="10497" width="27.33203125" style="223" customWidth="1"/>
    <col min="10498" max="10499" width="7.83203125" style="223" customWidth="1"/>
    <col min="10500" max="10500" width="31" style="223" customWidth="1"/>
    <col min="10501" max="10502" width="7.83203125" style="223" customWidth="1"/>
    <col min="10503" max="10752" width="8.83203125" style="223"/>
    <col min="10753" max="10753" width="27.33203125" style="223" customWidth="1"/>
    <col min="10754" max="10755" width="7.83203125" style="223" customWidth="1"/>
    <col min="10756" max="10756" width="31" style="223" customWidth="1"/>
    <col min="10757" max="10758" width="7.83203125" style="223" customWidth="1"/>
    <col min="10759" max="11008" width="8.83203125" style="223"/>
    <col min="11009" max="11009" width="27.33203125" style="223" customWidth="1"/>
    <col min="11010" max="11011" width="7.83203125" style="223" customWidth="1"/>
    <col min="11012" max="11012" width="31" style="223" customWidth="1"/>
    <col min="11013" max="11014" width="7.83203125" style="223" customWidth="1"/>
    <col min="11015" max="11264" width="8.83203125" style="223"/>
    <col min="11265" max="11265" width="27.33203125" style="223" customWidth="1"/>
    <col min="11266" max="11267" width="7.83203125" style="223" customWidth="1"/>
    <col min="11268" max="11268" width="31" style="223" customWidth="1"/>
    <col min="11269" max="11270" width="7.83203125" style="223" customWidth="1"/>
    <col min="11271" max="11520" width="8.83203125" style="223"/>
    <col min="11521" max="11521" width="27.33203125" style="223" customWidth="1"/>
    <col min="11522" max="11523" width="7.83203125" style="223" customWidth="1"/>
    <col min="11524" max="11524" width="31" style="223" customWidth="1"/>
    <col min="11525" max="11526" width="7.83203125" style="223" customWidth="1"/>
    <col min="11527" max="11776" width="8.83203125" style="223"/>
    <col min="11777" max="11777" width="27.33203125" style="223" customWidth="1"/>
    <col min="11778" max="11779" width="7.83203125" style="223" customWidth="1"/>
    <col min="11780" max="11780" width="31" style="223" customWidth="1"/>
    <col min="11781" max="11782" width="7.83203125" style="223" customWidth="1"/>
    <col min="11783" max="12032" width="8.83203125" style="223"/>
    <col min="12033" max="12033" width="27.33203125" style="223" customWidth="1"/>
    <col min="12034" max="12035" width="7.83203125" style="223" customWidth="1"/>
    <col min="12036" max="12036" width="31" style="223" customWidth="1"/>
    <col min="12037" max="12038" width="7.83203125" style="223" customWidth="1"/>
    <col min="12039" max="12288" width="8.83203125" style="223"/>
    <col min="12289" max="12289" width="27.33203125" style="223" customWidth="1"/>
    <col min="12290" max="12291" width="7.83203125" style="223" customWidth="1"/>
    <col min="12292" max="12292" width="31" style="223" customWidth="1"/>
    <col min="12293" max="12294" width="7.83203125" style="223" customWidth="1"/>
    <col min="12295" max="12544" width="8.83203125" style="223"/>
    <col min="12545" max="12545" width="27.33203125" style="223" customWidth="1"/>
    <col min="12546" max="12547" width="7.83203125" style="223" customWidth="1"/>
    <col min="12548" max="12548" width="31" style="223" customWidth="1"/>
    <col min="12549" max="12550" width="7.83203125" style="223" customWidth="1"/>
    <col min="12551" max="12800" width="8.83203125" style="223"/>
    <col min="12801" max="12801" width="27.33203125" style="223" customWidth="1"/>
    <col min="12802" max="12803" width="7.83203125" style="223" customWidth="1"/>
    <col min="12804" max="12804" width="31" style="223" customWidth="1"/>
    <col min="12805" max="12806" width="7.83203125" style="223" customWidth="1"/>
    <col min="12807" max="13056" width="8.83203125" style="223"/>
    <col min="13057" max="13057" width="27.33203125" style="223" customWidth="1"/>
    <col min="13058" max="13059" width="7.83203125" style="223" customWidth="1"/>
    <col min="13060" max="13060" width="31" style="223" customWidth="1"/>
    <col min="13061" max="13062" width="7.83203125" style="223" customWidth="1"/>
    <col min="13063" max="13312" width="8.83203125" style="223"/>
    <col min="13313" max="13313" width="27.33203125" style="223" customWidth="1"/>
    <col min="13314" max="13315" width="7.83203125" style="223" customWidth="1"/>
    <col min="13316" max="13316" width="31" style="223" customWidth="1"/>
    <col min="13317" max="13318" width="7.83203125" style="223" customWidth="1"/>
    <col min="13319" max="13568" width="8.83203125" style="223"/>
    <col min="13569" max="13569" width="27.33203125" style="223" customWidth="1"/>
    <col min="13570" max="13571" width="7.83203125" style="223" customWidth="1"/>
    <col min="13572" max="13572" width="31" style="223" customWidth="1"/>
    <col min="13573" max="13574" width="7.83203125" style="223" customWidth="1"/>
    <col min="13575" max="13824" width="8.83203125" style="223"/>
    <col min="13825" max="13825" width="27.33203125" style="223" customWidth="1"/>
    <col min="13826" max="13827" width="7.83203125" style="223" customWidth="1"/>
    <col min="13828" max="13828" width="31" style="223" customWidth="1"/>
    <col min="13829" max="13830" width="7.83203125" style="223" customWidth="1"/>
    <col min="13831" max="14080" width="8.83203125" style="223"/>
    <col min="14081" max="14081" width="27.33203125" style="223" customWidth="1"/>
    <col min="14082" max="14083" width="7.83203125" style="223" customWidth="1"/>
    <col min="14084" max="14084" width="31" style="223" customWidth="1"/>
    <col min="14085" max="14086" width="7.83203125" style="223" customWidth="1"/>
    <col min="14087" max="14336" width="8.83203125" style="223"/>
    <col min="14337" max="14337" width="27.33203125" style="223" customWidth="1"/>
    <col min="14338" max="14339" width="7.83203125" style="223" customWidth="1"/>
    <col min="14340" max="14340" width="31" style="223" customWidth="1"/>
    <col min="14341" max="14342" width="7.83203125" style="223" customWidth="1"/>
    <col min="14343" max="14592" width="8.83203125" style="223"/>
    <col min="14593" max="14593" width="27.33203125" style="223" customWidth="1"/>
    <col min="14594" max="14595" width="7.83203125" style="223" customWidth="1"/>
    <col min="14596" max="14596" width="31" style="223" customWidth="1"/>
    <col min="14597" max="14598" width="7.83203125" style="223" customWidth="1"/>
    <col min="14599" max="14848" width="8.83203125" style="223"/>
    <col min="14849" max="14849" width="27.33203125" style="223" customWidth="1"/>
    <col min="14850" max="14851" width="7.83203125" style="223" customWidth="1"/>
    <col min="14852" max="14852" width="31" style="223" customWidth="1"/>
    <col min="14853" max="14854" width="7.83203125" style="223" customWidth="1"/>
    <col min="14855" max="15104" width="8.83203125" style="223"/>
    <col min="15105" max="15105" width="27.33203125" style="223" customWidth="1"/>
    <col min="15106" max="15107" width="7.83203125" style="223" customWidth="1"/>
    <col min="15108" max="15108" width="31" style="223" customWidth="1"/>
    <col min="15109" max="15110" width="7.83203125" style="223" customWidth="1"/>
    <col min="15111" max="15360" width="8.83203125" style="223"/>
    <col min="15361" max="15361" width="27.33203125" style="223" customWidth="1"/>
    <col min="15362" max="15363" width="7.83203125" style="223" customWidth="1"/>
    <col min="15364" max="15364" width="31" style="223" customWidth="1"/>
    <col min="15365" max="15366" width="7.83203125" style="223" customWidth="1"/>
    <col min="15367" max="15616" width="8.83203125" style="223"/>
    <col min="15617" max="15617" width="27.33203125" style="223" customWidth="1"/>
    <col min="15618" max="15619" width="7.83203125" style="223" customWidth="1"/>
    <col min="15620" max="15620" width="31" style="223" customWidth="1"/>
    <col min="15621" max="15622" width="7.83203125" style="223" customWidth="1"/>
    <col min="15623" max="15872" width="8.83203125" style="223"/>
    <col min="15873" max="15873" width="27.33203125" style="223" customWidth="1"/>
    <col min="15874" max="15875" width="7.83203125" style="223" customWidth="1"/>
    <col min="15876" max="15876" width="31" style="223" customWidth="1"/>
    <col min="15877" max="15878" width="7.83203125" style="223" customWidth="1"/>
    <col min="15879" max="16128" width="8.83203125" style="223"/>
    <col min="16129" max="16129" width="27.33203125" style="223" customWidth="1"/>
    <col min="16130" max="16131" width="7.83203125" style="223" customWidth="1"/>
    <col min="16132" max="16132" width="31" style="223" customWidth="1"/>
    <col min="16133" max="16134" width="7.83203125" style="223" customWidth="1"/>
    <col min="16135" max="16384" width="8.83203125" style="223"/>
  </cols>
  <sheetData>
    <row r="1" spans="1:6" s="220" customFormat="1" ht="26">
      <c r="A1" s="217" t="s">
        <v>270</v>
      </c>
      <c r="B1" s="218"/>
      <c r="C1" s="219"/>
      <c r="D1" s="219"/>
      <c r="E1" s="219"/>
      <c r="F1" s="219"/>
    </row>
    <row r="3" spans="1:6" ht="12" customHeight="1">
      <c r="A3" s="221" t="s">
        <v>271</v>
      </c>
      <c r="B3" s="1985" t="s">
        <v>272</v>
      </c>
      <c r="C3" s="1985"/>
      <c r="D3" s="222"/>
      <c r="E3" s="1985" t="s">
        <v>272</v>
      </c>
      <c r="F3" s="1985"/>
    </row>
    <row r="4" spans="1:6" ht="12" customHeight="1">
      <c r="A4" s="221"/>
      <c r="B4" s="224" t="s">
        <v>273</v>
      </c>
      <c r="C4" s="224" t="s">
        <v>274</v>
      </c>
      <c r="D4" s="222"/>
      <c r="E4" s="224" t="s">
        <v>273</v>
      </c>
      <c r="F4" s="224" t="s">
        <v>274</v>
      </c>
    </row>
    <row r="5" spans="1:6" ht="6" customHeight="1">
      <c r="A5" s="221"/>
      <c r="B5" s="221"/>
      <c r="C5" s="221"/>
      <c r="D5" s="221"/>
      <c r="E5" s="221"/>
      <c r="F5" s="221"/>
    </row>
    <row r="6" spans="1:6" ht="12" customHeight="1">
      <c r="A6" s="225" t="s">
        <v>275</v>
      </c>
      <c r="B6" s="225"/>
      <c r="C6" s="221"/>
      <c r="D6" s="225" t="s">
        <v>276</v>
      </c>
      <c r="E6" s="225"/>
      <c r="F6" s="221"/>
    </row>
    <row r="7" spans="1:6" ht="12" customHeight="1">
      <c r="A7" s="221" t="s">
        <v>277</v>
      </c>
      <c r="B7" s="226">
        <f>C7*0.95</f>
        <v>24.795000000000002</v>
      </c>
      <c r="C7" s="227">
        <v>26.1</v>
      </c>
      <c r="D7" s="221" t="s">
        <v>278</v>
      </c>
      <c r="E7" s="226">
        <v>12.3</v>
      </c>
      <c r="F7" s="227">
        <v>13.9</v>
      </c>
    </row>
    <row r="8" spans="1:6" ht="12" customHeight="1">
      <c r="A8" s="221" t="s">
        <v>279</v>
      </c>
      <c r="B8" s="226">
        <f>C8*0.95</f>
        <v>24.13</v>
      </c>
      <c r="C8" s="227">
        <v>25.4</v>
      </c>
      <c r="D8" s="221" t="s">
        <v>280</v>
      </c>
      <c r="E8" s="226">
        <v>12.1</v>
      </c>
      <c r="F8" s="227">
        <v>13.7</v>
      </c>
    </row>
    <row r="9" spans="1:6" ht="12" customHeight="1">
      <c r="A9" s="221" t="s">
        <v>281</v>
      </c>
      <c r="B9" s="226">
        <f>C9*0.95</f>
        <v>30.97</v>
      </c>
      <c r="C9" s="227">
        <v>32.6</v>
      </c>
      <c r="D9" s="221" t="s">
        <v>282</v>
      </c>
      <c r="E9" s="226">
        <f>F9*0.85</f>
        <v>12.75</v>
      </c>
      <c r="F9" s="227">
        <v>15</v>
      </c>
    </row>
    <row r="10" spans="1:6" ht="12" customHeight="1">
      <c r="A10" s="221" t="s">
        <v>283</v>
      </c>
      <c r="B10" s="228"/>
      <c r="C10" s="229"/>
      <c r="D10" s="221" t="s">
        <v>284</v>
      </c>
      <c r="E10" s="226">
        <f>F10*0.84</f>
        <v>7.3920000000000003</v>
      </c>
      <c r="F10" s="227">
        <v>8.8000000000000007</v>
      </c>
    </row>
    <row r="11" spans="1:6" ht="12" customHeight="1">
      <c r="A11" s="221" t="s">
        <v>285</v>
      </c>
      <c r="B11" s="226">
        <f>C11*0.95</f>
        <v>28.974999999999998</v>
      </c>
      <c r="C11" s="227">
        <v>30.5</v>
      </c>
      <c r="D11" s="221" t="s">
        <v>286</v>
      </c>
      <c r="E11" s="226">
        <f>F11*0.84</f>
        <v>15.624000000000001</v>
      </c>
      <c r="F11" s="227">
        <v>18.600000000000001</v>
      </c>
    </row>
    <row r="12" spans="1:6" ht="12" customHeight="1">
      <c r="A12" s="221" t="s">
        <v>287</v>
      </c>
      <c r="B12" s="226">
        <f t="shared" ref="B12:B21" si="0">C12*0.95</f>
        <v>28.214999999999996</v>
      </c>
      <c r="C12" s="227">
        <v>29.7</v>
      </c>
      <c r="D12" s="221" t="s">
        <v>288</v>
      </c>
      <c r="E12" s="226">
        <f>F12*0.95</f>
        <v>15.2</v>
      </c>
      <c r="F12" s="227">
        <v>16</v>
      </c>
    </row>
    <row r="13" spans="1:6" ht="12" customHeight="1">
      <c r="A13" s="221" t="s">
        <v>289</v>
      </c>
      <c r="B13" s="226">
        <f t="shared" si="0"/>
        <v>26.599999999999998</v>
      </c>
      <c r="C13" s="227">
        <v>28</v>
      </c>
      <c r="D13" s="221" t="s">
        <v>290</v>
      </c>
      <c r="E13" s="226">
        <f>F13*0.95</f>
        <v>13.299999999999999</v>
      </c>
      <c r="F13" s="227">
        <v>14</v>
      </c>
    </row>
    <row r="14" spans="1:6" ht="12" customHeight="1">
      <c r="A14" s="221" t="s">
        <v>291</v>
      </c>
      <c r="B14" s="226">
        <f t="shared" si="0"/>
        <v>28.88</v>
      </c>
      <c r="C14" s="227">
        <v>30.4</v>
      </c>
      <c r="D14" s="221" t="s">
        <v>292</v>
      </c>
      <c r="E14" s="226">
        <f>F14*0.7</f>
        <v>6.6499999999999995</v>
      </c>
      <c r="F14" s="227">
        <v>9.5</v>
      </c>
    </row>
    <row r="15" spans="1:6" ht="12" customHeight="1">
      <c r="A15" s="221" t="s">
        <v>293</v>
      </c>
      <c r="B15" s="226">
        <f t="shared" si="0"/>
        <v>25.65</v>
      </c>
      <c r="C15" s="227">
        <v>27</v>
      </c>
      <c r="D15" s="221" t="s">
        <v>294</v>
      </c>
      <c r="E15" s="226">
        <f>F15*0.7</f>
        <v>12.95</v>
      </c>
      <c r="F15" s="227">
        <v>18.5</v>
      </c>
    </row>
    <row r="16" spans="1:6" ht="12" customHeight="1">
      <c r="A16" s="221" t="s">
        <v>295</v>
      </c>
      <c r="B16" s="226">
        <f t="shared" si="0"/>
        <v>24.13</v>
      </c>
      <c r="C16" s="227">
        <v>25.4</v>
      </c>
      <c r="D16" s="221" t="s">
        <v>296</v>
      </c>
      <c r="E16" s="226">
        <v>9.3000000000000007</v>
      </c>
      <c r="F16" s="227">
        <v>11.1</v>
      </c>
    </row>
    <row r="17" spans="1:8" ht="12" customHeight="1">
      <c r="A17" s="221" t="s">
        <v>297</v>
      </c>
      <c r="B17" s="226">
        <f t="shared" si="0"/>
        <v>28.88</v>
      </c>
      <c r="C17" s="227">
        <v>30.4</v>
      </c>
      <c r="D17" s="221" t="s">
        <v>298</v>
      </c>
      <c r="E17" s="230" t="s">
        <v>263</v>
      </c>
      <c r="F17" s="227">
        <v>32</v>
      </c>
    </row>
    <row r="18" spans="1:8" ht="12" customHeight="1">
      <c r="A18" s="221" t="s">
        <v>299</v>
      </c>
      <c r="B18" s="226">
        <f t="shared" si="0"/>
        <v>25.364999999999998</v>
      </c>
      <c r="C18" s="227">
        <v>26.7</v>
      </c>
      <c r="D18" s="221"/>
      <c r="E18" s="231"/>
      <c r="F18" s="232"/>
    </row>
    <row r="19" spans="1:8" ht="12" customHeight="1">
      <c r="A19" s="221" t="s">
        <v>300</v>
      </c>
      <c r="B19" s="226">
        <f t="shared" si="0"/>
        <v>28.024999999999999</v>
      </c>
      <c r="C19" s="227">
        <v>29.5</v>
      </c>
      <c r="D19" s="225" t="s">
        <v>301</v>
      </c>
      <c r="E19" s="233"/>
      <c r="F19" s="232"/>
    </row>
    <row r="20" spans="1:8" ht="12" customHeight="1">
      <c r="A20" s="221" t="s">
        <v>302</v>
      </c>
      <c r="B20" s="226">
        <f t="shared" si="0"/>
        <v>27.929999999999996</v>
      </c>
      <c r="C20" s="227">
        <v>29.4</v>
      </c>
      <c r="D20" s="221" t="s">
        <v>303</v>
      </c>
      <c r="E20" s="234">
        <v>43.371365384442143</v>
      </c>
      <c r="F20" s="235">
        <v>45.654068825728572</v>
      </c>
      <c r="H20" s="236"/>
    </row>
    <row r="21" spans="1:8" ht="12" customHeight="1">
      <c r="A21" s="221" t="s">
        <v>304</v>
      </c>
      <c r="B21" s="226">
        <f t="shared" si="0"/>
        <v>26.22</v>
      </c>
      <c r="C21" s="227">
        <v>27.6</v>
      </c>
      <c r="D21" s="221" t="s">
        <v>305</v>
      </c>
      <c r="E21" s="234">
        <v>43.754628403318421</v>
      </c>
      <c r="F21" s="237">
        <v>46.057503582440447</v>
      </c>
      <c r="G21" s="223">
        <f>F21*30000000*Unit.MJ</f>
        <v>0.38381252985367037</v>
      </c>
      <c r="H21" s="236"/>
    </row>
    <row r="22" spans="1:8" ht="12" customHeight="1">
      <c r="A22" s="221" t="s">
        <v>306</v>
      </c>
      <c r="B22" s="228"/>
      <c r="C22" s="232"/>
      <c r="D22" s="221" t="s">
        <v>307</v>
      </c>
      <c r="E22" s="234">
        <v>46.601867162581009</v>
      </c>
      <c r="F22" s="235">
        <v>50.654203437588052</v>
      </c>
      <c r="H22" s="236"/>
    </row>
    <row r="23" spans="1:8" ht="12" customHeight="1">
      <c r="A23" s="221" t="s">
        <v>308</v>
      </c>
      <c r="B23" s="228"/>
      <c r="C23" s="232"/>
      <c r="D23" s="221"/>
      <c r="E23" s="228"/>
      <c r="F23" s="232"/>
      <c r="H23" s="236"/>
    </row>
    <row r="24" spans="1:8" ht="12" customHeight="1">
      <c r="A24" s="221" t="s">
        <v>309</v>
      </c>
      <c r="B24" s="226">
        <f>C24*0.95</f>
        <v>28.024999999999999</v>
      </c>
      <c r="C24" s="227">
        <v>29.5</v>
      </c>
      <c r="D24" s="221" t="s">
        <v>310</v>
      </c>
      <c r="E24" s="234">
        <v>45.906668363195465</v>
      </c>
      <c r="F24" s="235">
        <v>49.293104652845983</v>
      </c>
      <c r="H24" s="236"/>
    </row>
    <row r="25" spans="1:8" ht="12" customHeight="1">
      <c r="A25" s="221" t="s">
        <v>311</v>
      </c>
      <c r="B25" s="226">
        <f>C25*0.95</f>
        <v>24.795000000000002</v>
      </c>
      <c r="C25" s="227">
        <v>26.1</v>
      </c>
      <c r="D25" s="221" t="s">
        <v>312</v>
      </c>
      <c r="E25" s="234">
        <v>45.274121759809745</v>
      </c>
      <c r="F25" s="235">
        <v>47.656970273483942</v>
      </c>
      <c r="H25" s="236"/>
    </row>
    <row r="26" spans="1:8" ht="12" customHeight="1">
      <c r="A26" s="221"/>
      <c r="B26" s="231"/>
      <c r="C26" s="232"/>
      <c r="D26" s="221" t="s">
        <v>313</v>
      </c>
      <c r="E26" s="234">
        <v>45.0159854155849</v>
      </c>
      <c r="F26" s="235">
        <v>47.385247805878848</v>
      </c>
      <c r="H26" s="236"/>
    </row>
    <row r="27" spans="1:8" ht="12" customHeight="1">
      <c r="B27" s="238"/>
      <c r="C27" s="239"/>
      <c r="D27" s="221" t="s">
        <v>314</v>
      </c>
      <c r="E27" s="234">
        <v>43.869054390679381</v>
      </c>
      <c r="F27" s="235">
        <v>46.177951990188824</v>
      </c>
      <c r="H27" s="236"/>
    </row>
    <row r="28" spans="1:8" ht="12" customHeight="1">
      <c r="A28" s="225" t="s">
        <v>38</v>
      </c>
      <c r="B28" s="233"/>
      <c r="C28" s="232"/>
      <c r="D28" s="221" t="s">
        <v>315</v>
      </c>
      <c r="E28" s="234">
        <v>44.738426529958893</v>
      </c>
      <c r="F28" s="235">
        <v>47.093080557851472</v>
      </c>
      <c r="H28" s="236"/>
    </row>
    <row r="29" spans="1:8" ht="12" customHeight="1">
      <c r="A29" s="221" t="s">
        <v>316</v>
      </c>
      <c r="B29" s="226">
        <f>C29*0.95</f>
        <v>28.974999999999998</v>
      </c>
      <c r="C29" s="227">
        <v>30.5</v>
      </c>
      <c r="D29" s="221" t="s">
        <v>317</v>
      </c>
      <c r="E29" s="234">
        <v>43.851769299324857</v>
      </c>
      <c r="F29" s="235">
        <v>46.15975715718406</v>
      </c>
      <c r="H29" s="236"/>
    </row>
    <row r="30" spans="1:8" ht="12" customHeight="1">
      <c r="A30" s="221" t="s">
        <v>318</v>
      </c>
      <c r="B30" s="226">
        <f>C30*0.95</f>
        <v>32.965000000000003</v>
      </c>
      <c r="C30" s="227">
        <v>34.700000000000003</v>
      </c>
      <c r="D30" s="221" t="s">
        <v>319</v>
      </c>
      <c r="E30" s="234">
        <v>42.813932275437679</v>
      </c>
      <c r="F30" s="235">
        <v>45.546736463231575</v>
      </c>
      <c r="H30" s="236"/>
    </row>
    <row r="31" spans="1:8" ht="12" customHeight="1">
      <c r="A31" s="221" t="s">
        <v>320</v>
      </c>
      <c r="B31" s="226">
        <f>C31*0.95</f>
        <v>28.12</v>
      </c>
      <c r="C31" s="227">
        <v>29.6</v>
      </c>
      <c r="D31" s="221" t="s">
        <v>321</v>
      </c>
      <c r="E31" s="234">
        <v>40.972793020838921</v>
      </c>
      <c r="F31" s="235">
        <v>43.588077681743535</v>
      </c>
      <c r="H31" s="236"/>
    </row>
    <row r="32" spans="1:8" ht="12" customHeight="1">
      <c r="A32" s="221" t="s">
        <v>322</v>
      </c>
      <c r="B32" s="226">
        <f>C32*0.95</f>
        <v>25.934999999999999</v>
      </c>
      <c r="C32" s="227">
        <v>27.3</v>
      </c>
      <c r="D32" s="221" t="s">
        <v>323</v>
      </c>
      <c r="E32" s="234">
        <v>40.972793020838921</v>
      </c>
      <c r="F32" s="235">
        <v>43.588077681743535</v>
      </c>
      <c r="H32" s="236"/>
    </row>
    <row r="33" spans="1:8" ht="12" customHeight="1">
      <c r="A33" s="221" t="s">
        <v>324</v>
      </c>
      <c r="B33" s="226">
        <f>C33*0.95</f>
        <v>31.349999999999998</v>
      </c>
      <c r="C33" s="227">
        <v>33</v>
      </c>
      <c r="D33" s="221" t="s">
        <v>325</v>
      </c>
      <c r="E33" s="234">
        <v>40.926410956344426</v>
      </c>
      <c r="F33" s="235">
        <v>43.080432585625715</v>
      </c>
      <c r="H33" s="236"/>
    </row>
    <row r="34" spans="1:8" ht="6" customHeight="1">
      <c r="A34" s="221"/>
      <c r="B34" s="228"/>
      <c r="C34" s="232"/>
      <c r="D34" s="221"/>
      <c r="E34" s="231"/>
      <c r="F34" s="231"/>
    </row>
    <row r="35" spans="1:8" ht="12" customHeight="1">
      <c r="A35" s="221"/>
      <c r="B35" s="228"/>
      <c r="C35" s="232"/>
      <c r="D35" s="221"/>
      <c r="E35" s="1986" t="s">
        <v>326</v>
      </c>
      <c r="F35" s="1986"/>
    </row>
    <row r="36" spans="1:8" ht="12" customHeight="1">
      <c r="A36" s="221"/>
      <c r="B36" s="228"/>
      <c r="C36" s="232"/>
      <c r="D36" s="221"/>
      <c r="E36" s="240" t="s">
        <v>273</v>
      </c>
      <c r="F36" s="240" t="s">
        <v>274</v>
      </c>
    </row>
    <row r="37" spans="1:8" ht="12" customHeight="1">
      <c r="A37" s="221" t="s">
        <v>327</v>
      </c>
      <c r="B37" s="238"/>
      <c r="C37" s="238"/>
      <c r="D37" s="221" t="s">
        <v>328</v>
      </c>
      <c r="E37" s="234">
        <v>35.694950436443094</v>
      </c>
      <c r="F37" s="237">
        <v>39.661056040492326</v>
      </c>
    </row>
    <row r="38" spans="1:8" ht="12" customHeight="1">
      <c r="A38" s="221" t="s">
        <v>329</v>
      </c>
      <c r="B38" s="226">
        <f>C38*1</f>
        <v>29.8</v>
      </c>
      <c r="C38" s="227">
        <v>29.8</v>
      </c>
      <c r="D38" s="221" t="s">
        <v>330</v>
      </c>
      <c r="E38" s="226">
        <v>35.5</v>
      </c>
      <c r="F38" s="227">
        <v>39.4</v>
      </c>
    </row>
    <row r="39" spans="1:8" ht="12" customHeight="1">
      <c r="A39" s="221" t="s">
        <v>331</v>
      </c>
      <c r="B39" s="226">
        <f>C39*1</f>
        <v>24.8</v>
      </c>
      <c r="C39" s="227">
        <v>24.8</v>
      </c>
      <c r="D39" s="221" t="s">
        <v>257</v>
      </c>
      <c r="E39" s="226">
        <f>F39*0.9</f>
        <v>16.2</v>
      </c>
      <c r="F39" s="227">
        <v>18</v>
      </c>
    </row>
    <row r="40" spans="1:8" ht="12" customHeight="1">
      <c r="A40" s="221" t="s">
        <v>332</v>
      </c>
      <c r="B40" s="226">
        <f>C40*0.95</f>
        <v>30.97</v>
      </c>
      <c r="C40" s="227">
        <v>32.6</v>
      </c>
      <c r="D40" s="221" t="s">
        <v>252</v>
      </c>
      <c r="E40" s="226">
        <f>F40*0.99</f>
        <v>2.9699999999999998</v>
      </c>
      <c r="F40" s="227">
        <v>3</v>
      </c>
    </row>
    <row r="41" spans="1:8" ht="12" customHeight="1">
      <c r="A41" s="221"/>
      <c r="B41" s="231"/>
      <c r="C41" s="231"/>
      <c r="D41" s="221" t="s">
        <v>333</v>
      </c>
      <c r="E41" s="241" t="s">
        <v>334</v>
      </c>
      <c r="F41" s="241" t="s">
        <v>335</v>
      </c>
    </row>
    <row r="42" spans="1:8" ht="12" customHeight="1">
      <c r="A42" s="221"/>
      <c r="B42" s="231"/>
      <c r="C42" s="231"/>
      <c r="D42" s="221" t="s">
        <v>336</v>
      </c>
      <c r="E42" s="241" t="s">
        <v>334</v>
      </c>
      <c r="F42" s="241" t="s">
        <v>335</v>
      </c>
    </row>
    <row r="43" spans="1:8" ht="6" customHeight="1">
      <c r="A43" s="221"/>
      <c r="B43" s="221"/>
      <c r="C43" s="221"/>
      <c r="D43" s="221"/>
      <c r="E43" s="242"/>
      <c r="F43" s="242"/>
    </row>
    <row r="44" spans="1:8" s="222" customFormat="1" ht="12" customHeight="1">
      <c r="A44" s="243" t="s">
        <v>337</v>
      </c>
      <c r="B44" s="243"/>
      <c r="C44" s="221"/>
      <c r="D44" s="221"/>
      <c r="E44" s="221"/>
      <c r="F44" s="221"/>
    </row>
    <row r="45" spans="1:8" s="222" customFormat="1" ht="12" customHeight="1">
      <c r="A45" s="243" t="s">
        <v>338</v>
      </c>
      <c r="B45" s="243"/>
      <c r="C45" s="221"/>
      <c r="D45" s="221"/>
      <c r="E45" s="221"/>
      <c r="F45" s="221"/>
    </row>
    <row r="46" spans="1:8" s="238" customFormat="1" ht="12" customHeight="1">
      <c r="A46" s="243" t="s">
        <v>339</v>
      </c>
      <c r="B46" s="244"/>
      <c r="C46" s="231"/>
      <c r="D46" s="231"/>
      <c r="E46" s="231"/>
      <c r="F46" s="231"/>
    </row>
    <row r="47" spans="1:8" s="238" customFormat="1" ht="12" customHeight="1">
      <c r="A47" s="243" t="s">
        <v>340</v>
      </c>
      <c r="B47" s="244"/>
      <c r="C47" s="231"/>
      <c r="D47" s="231"/>
      <c r="E47" s="231"/>
      <c r="F47" s="231"/>
    </row>
    <row r="48" spans="1:8" s="238" customFormat="1" ht="12" customHeight="1">
      <c r="A48" s="243" t="s">
        <v>341</v>
      </c>
      <c r="B48" s="244"/>
      <c r="C48" s="231"/>
      <c r="D48" s="231"/>
      <c r="E48" s="231"/>
      <c r="F48" s="231"/>
    </row>
    <row r="49" spans="1:6" s="238" customFormat="1" ht="12" customHeight="1">
      <c r="A49" s="243" t="s">
        <v>342</v>
      </c>
      <c r="B49" s="244"/>
      <c r="C49" s="231"/>
      <c r="D49" s="231"/>
      <c r="E49" s="231"/>
      <c r="F49" s="231"/>
    </row>
    <row r="50" spans="1:6" s="222" customFormat="1" ht="12" customHeight="1">
      <c r="A50" s="243" t="s">
        <v>343</v>
      </c>
      <c r="B50" s="243"/>
      <c r="C50" s="221"/>
      <c r="D50" s="221"/>
      <c r="E50" s="221"/>
      <c r="F50" s="221"/>
    </row>
    <row r="51" spans="1:6" s="222" customFormat="1" ht="12" customHeight="1">
      <c r="A51" s="243" t="s">
        <v>344</v>
      </c>
      <c r="B51" s="243"/>
      <c r="C51" s="221"/>
      <c r="D51" s="221"/>
      <c r="E51" s="221"/>
      <c r="F51" s="221"/>
    </row>
    <row r="52" spans="1:6" s="222" customFormat="1" ht="12" customHeight="1">
      <c r="A52" s="243" t="s">
        <v>345</v>
      </c>
      <c r="B52" s="243"/>
      <c r="C52" s="221"/>
      <c r="D52" s="221"/>
      <c r="E52" s="221"/>
      <c r="F52" s="221"/>
    </row>
    <row r="53" spans="1:6" s="222" customFormat="1" ht="12" customHeight="1">
      <c r="A53" s="243" t="s">
        <v>346</v>
      </c>
      <c r="B53" s="243"/>
      <c r="C53" s="221"/>
      <c r="D53" s="221"/>
      <c r="E53" s="221"/>
      <c r="F53" s="221"/>
    </row>
    <row r="54" spans="1:6" s="222" customFormat="1" ht="12" customHeight="1">
      <c r="A54" s="243" t="s">
        <v>347</v>
      </c>
      <c r="B54" s="243"/>
      <c r="C54" s="221"/>
      <c r="D54" s="221"/>
      <c r="E54" s="221"/>
      <c r="F54" s="221"/>
    </row>
    <row r="55" spans="1:6" s="222" customFormat="1" ht="12" customHeight="1">
      <c r="A55" s="243" t="s">
        <v>348</v>
      </c>
      <c r="B55" s="243"/>
      <c r="C55" s="221"/>
      <c r="D55" s="221"/>
      <c r="E55" s="221"/>
      <c r="F55" s="221"/>
    </row>
    <row r="56" spans="1:6" s="238" customFormat="1" ht="12" customHeight="1">
      <c r="A56" s="243" t="s">
        <v>349</v>
      </c>
      <c r="B56" s="244"/>
      <c r="C56" s="231"/>
      <c r="D56" s="231"/>
      <c r="E56" s="231"/>
      <c r="F56" s="231"/>
    </row>
    <row r="57" spans="1:6" s="238" customFormat="1" ht="6" customHeight="1">
      <c r="A57" s="244"/>
      <c r="B57" s="244"/>
      <c r="C57" s="231"/>
      <c r="D57" s="231"/>
      <c r="E57" s="231"/>
      <c r="F57" s="231"/>
    </row>
    <row r="58" spans="1:6" s="238" customFormat="1" ht="12" customHeight="1">
      <c r="A58" s="221" t="s">
        <v>350</v>
      </c>
      <c r="B58" s="231"/>
      <c r="D58" s="231"/>
      <c r="E58" s="231"/>
      <c r="F58" s="231"/>
    </row>
    <row r="59" spans="1:6" s="238" customFormat="1" ht="12" customHeight="1">
      <c r="A59" s="221" t="s">
        <v>351</v>
      </c>
      <c r="B59" s="231"/>
    </row>
    <row r="60" spans="1:6" s="238" customFormat="1" ht="12" customHeight="1">
      <c r="A60" s="221" t="s">
        <v>352</v>
      </c>
      <c r="B60" s="231"/>
    </row>
    <row r="61" spans="1:6" s="238" customFormat="1" ht="12" customHeight="1">
      <c r="A61" s="221" t="s">
        <v>353</v>
      </c>
      <c r="B61" s="231"/>
    </row>
    <row r="62" spans="1:6" s="238" customFormat="1" ht="12" customHeight="1">
      <c r="A62" s="221" t="s">
        <v>354</v>
      </c>
      <c r="B62" s="231"/>
    </row>
    <row r="63" spans="1:6" s="238" customFormat="1" ht="12" customHeight="1">
      <c r="A63" s="221" t="s">
        <v>355</v>
      </c>
      <c r="B63" s="231"/>
    </row>
    <row r="64" spans="1:6" s="238" customFormat="1" ht="6" customHeight="1">
      <c r="A64" s="222"/>
    </row>
    <row r="65" spans="1:6" s="238" customFormat="1" ht="12" customHeight="1">
      <c r="A65" s="221" t="s">
        <v>356</v>
      </c>
      <c r="B65" s="231"/>
    </row>
    <row r="66" spans="1:6" s="238" customFormat="1" ht="12">
      <c r="A66" s="221" t="s">
        <v>357</v>
      </c>
      <c r="B66" s="231"/>
    </row>
    <row r="67" spans="1:6">
      <c r="F67" s="245"/>
    </row>
  </sheetData>
  <mergeCells count="3">
    <mergeCell ref="B3:C3"/>
    <mergeCell ref="E3:F3"/>
    <mergeCell ref="E35:F35"/>
  </mergeCells>
  <pageMargins left="0.6692913385826772" right="0.51181102362204722" top="0.51181102362204722" bottom="0.51181102362204722" header="0.27559055118110237" footer="0.27559055118110237"/>
  <pageSetup paperSize="9" orientation="portrait"/>
  <headerFooter alignWithMargins="0">
    <oddFooter>&amp;C&amp;P</oddFooter>
  </headerFooter>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3" enableFormatConditionsCalculation="0">
    <pageSetUpPr fitToPage="1"/>
  </sheetPr>
  <dimension ref="A1:U54"/>
  <sheetViews>
    <sheetView workbookViewId="0"/>
  </sheetViews>
  <sheetFormatPr baseColWidth="10" defaultColWidth="8.83203125" defaultRowHeight="12" x14ac:dyDescent="0"/>
  <cols>
    <col min="1" max="1" width="13.5" style="88" customWidth="1"/>
    <col min="2" max="2" width="25.5" style="88" customWidth="1"/>
    <col min="3" max="3" width="13" style="88" customWidth="1"/>
    <col min="4" max="4" width="8.83203125" style="88"/>
    <col min="5" max="5" width="13" style="88" customWidth="1"/>
    <col min="6" max="6" width="12.1640625" style="88" customWidth="1"/>
    <col min="7" max="9" width="8.83203125" style="88"/>
    <col min="10" max="10" width="29.1640625" style="88" customWidth="1"/>
    <col min="11" max="11" width="11.33203125" style="88" customWidth="1"/>
    <col min="12" max="256" width="8.83203125" style="88"/>
    <col min="257" max="257" width="13.5" style="88" customWidth="1"/>
    <col min="258" max="258" width="25.5" style="88" customWidth="1"/>
    <col min="259" max="259" width="13" style="88" customWidth="1"/>
    <col min="260" max="260" width="8.83203125" style="88"/>
    <col min="261" max="261" width="13" style="88" customWidth="1"/>
    <col min="262" max="262" width="12.1640625" style="88" customWidth="1"/>
    <col min="263" max="265" width="8.83203125" style="88"/>
    <col min="266" max="266" width="29.1640625" style="88" customWidth="1"/>
    <col min="267" max="267" width="11.33203125" style="88" customWidth="1"/>
    <col min="268" max="512" width="8.83203125" style="88"/>
    <col min="513" max="513" width="13.5" style="88" customWidth="1"/>
    <col min="514" max="514" width="25.5" style="88" customWidth="1"/>
    <col min="515" max="515" width="13" style="88" customWidth="1"/>
    <col min="516" max="516" width="8.83203125" style="88"/>
    <col min="517" max="517" width="13" style="88" customWidth="1"/>
    <col min="518" max="518" width="12.1640625" style="88" customWidth="1"/>
    <col min="519" max="521" width="8.83203125" style="88"/>
    <col min="522" max="522" width="29.1640625" style="88" customWidth="1"/>
    <col min="523" max="523" width="11.33203125" style="88" customWidth="1"/>
    <col min="524" max="768" width="8.83203125" style="88"/>
    <col min="769" max="769" width="13.5" style="88" customWidth="1"/>
    <col min="770" max="770" width="25.5" style="88" customWidth="1"/>
    <col min="771" max="771" width="13" style="88" customWidth="1"/>
    <col min="772" max="772" width="8.83203125" style="88"/>
    <col min="773" max="773" width="13" style="88" customWidth="1"/>
    <col min="774" max="774" width="12.1640625" style="88" customWidth="1"/>
    <col min="775" max="777" width="8.83203125" style="88"/>
    <col min="778" max="778" width="29.1640625" style="88" customWidth="1"/>
    <col min="779" max="779" width="11.33203125" style="88" customWidth="1"/>
    <col min="780" max="1024" width="8.83203125" style="88"/>
    <col min="1025" max="1025" width="13.5" style="88" customWidth="1"/>
    <col min="1026" max="1026" width="25.5" style="88" customWidth="1"/>
    <col min="1027" max="1027" width="13" style="88" customWidth="1"/>
    <col min="1028" max="1028" width="8.83203125" style="88"/>
    <col min="1029" max="1029" width="13" style="88" customWidth="1"/>
    <col min="1030" max="1030" width="12.1640625" style="88" customWidth="1"/>
    <col min="1031" max="1033" width="8.83203125" style="88"/>
    <col min="1034" max="1034" width="29.1640625" style="88" customWidth="1"/>
    <col min="1035" max="1035" width="11.33203125" style="88" customWidth="1"/>
    <col min="1036" max="1280" width="8.83203125" style="88"/>
    <col min="1281" max="1281" width="13.5" style="88" customWidth="1"/>
    <col min="1282" max="1282" width="25.5" style="88" customWidth="1"/>
    <col min="1283" max="1283" width="13" style="88" customWidth="1"/>
    <col min="1284" max="1284" width="8.83203125" style="88"/>
    <col min="1285" max="1285" width="13" style="88" customWidth="1"/>
    <col min="1286" max="1286" width="12.1640625" style="88" customWidth="1"/>
    <col min="1287" max="1289" width="8.83203125" style="88"/>
    <col min="1290" max="1290" width="29.1640625" style="88" customWidth="1"/>
    <col min="1291" max="1291" width="11.33203125" style="88" customWidth="1"/>
    <col min="1292" max="1536" width="8.83203125" style="88"/>
    <col min="1537" max="1537" width="13.5" style="88" customWidth="1"/>
    <col min="1538" max="1538" width="25.5" style="88" customWidth="1"/>
    <col min="1539" max="1539" width="13" style="88" customWidth="1"/>
    <col min="1540" max="1540" width="8.83203125" style="88"/>
    <col min="1541" max="1541" width="13" style="88" customWidth="1"/>
    <col min="1542" max="1542" width="12.1640625" style="88" customWidth="1"/>
    <col min="1543" max="1545" width="8.83203125" style="88"/>
    <col min="1546" max="1546" width="29.1640625" style="88" customWidth="1"/>
    <col min="1547" max="1547" width="11.33203125" style="88" customWidth="1"/>
    <col min="1548" max="1792" width="8.83203125" style="88"/>
    <col min="1793" max="1793" width="13.5" style="88" customWidth="1"/>
    <col min="1794" max="1794" width="25.5" style="88" customWidth="1"/>
    <col min="1795" max="1795" width="13" style="88" customWidth="1"/>
    <col min="1796" max="1796" width="8.83203125" style="88"/>
    <col min="1797" max="1797" width="13" style="88" customWidth="1"/>
    <col min="1798" max="1798" width="12.1640625" style="88" customWidth="1"/>
    <col min="1799" max="1801" width="8.83203125" style="88"/>
    <col min="1802" max="1802" width="29.1640625" style="88" customWidth="1"/>
    <col min="1803" max="1803" width="11.33203125" style="88" customWidth="1"/>
    <col min="1804" max="2048" width="8.83203125" style="88"/>
    <col min="2049" max="2049" width="13.5" style="88" customWidth="1"/>
    <col min="2050" max="2050" width="25.5" style="88" customWidth="1"/>
    <col min="2051" max="2051" width="13" style="88" customWidth="1"/>
    <col min="2052" max="2052" width="8.83203125" style="88"/>
    <col min="2053" max="2053" width="13" style="88" customWidth="1"/>
    <col min="2054" max="2054" width="12.1640625" style="88" customWidth="1"/>
    <col min="2055" max="2057" width="8.83203125" style="88"/>
    <col min="2058" max="2058" width="29.1640625" style="88" customWidth="1"/>
    <col min="2059" max="2059" width="11.33203125" style="88" customWidth="1"/>
    <col min="2060" max="2304" width="8.83203125" style="88"/>
    <col min="2305" max="2305" width="13.5" style="88" customWidth="1"/>
    <col min="2306" max="2306" width="25.5" style="88" customWidth="1"/>
    <col min="2307" max="2307" width="13" style="88" customWidth="1"/>
    <col min="2308" max="2308" width="8.83203125" style="88"/>
    <col min="2309" max="2309" width="13" style="88" customWidth="1"/>
    <col min="2310" max="2310" width="12.1640625" style="88" customWidth="1"/>
    <col min="2311" max="2313" width="8.83203125" style="88"/>
    <col min="2314" max="2314" width="29.1640625" style="88" customWidth="1"/>
    <col min="2315" max="2315" width="11.33203125" style="88" customWidth="1"/>
    <col min="2316" max="2560" width="8.83203125" style="88"/>
    <col min="2561" max="2561" width="13.5" style="88" customWidth="1"/>
    <col min="2562" max="2562" width="25.5" style="88" customWidth="1"/>
    <col min="2563" max="2563" width="13" style="88" customWidth="1"/>
    <col min="2564" max="2564" width="8.83203125" style="88"/>
    <col min="2565" max="2565" width="13" style="88" customWidth="1"/>
    <col min="2566" max="2566" width="12.1640625" style="88" customWidth="1"/>
    <col min="2567" max="2569" width="8.83203125" style="88"/>
    <col min="2570" max="2570" width="29.1640625" style="88" customWidth="1"/>
    <col min="2571" max="2571" width="11.33203125" style="88" customWidth="1"/>
    <col min="2572" max="2816" width="8.83203125" style="88"/>
    <col min="2817" max="2817" width="13.5" style="88" customWidth="1"/>
    <col min="2818" max="2818" width="25.5" style="88" customWidth="1"/>
    <col min="2819" max="2819" width="13" style="88" customWidth="1"/>
    <col min="2820" max="2820" width="8.83203125" style="88"/>
    <col min="2821" max="2821" width="13" style="88" customWidth="1"/>
    <col min="2822" max="2822" width="12.1640625" style="88" customWidth="1"/>
    <col min="2823" max="2825" width="8.83203125" style="88"/>
    <col min="2826" max="2826" width="29.1640625" style="88" customWidth="1"/>
    <col min="2827" max="2827" width="11.33203125" style="88" customWidth="1"/>
    <col min="2828" max="3072" width="8.83203125" style="88"/>
    <col min="3073" max="3073" width="13.5" style="88" customWidth="1"/>
    <col min="3074" max="3074" width="25.5" style="88" customWidth="1"/>
    <col min="3075" max="3075" width="13" style="88" customWidth="1"/>
    <col min="3076" max="3076" width="8.83203125" style="88"/>
    <col min="3077" max="3077" width="13" style="88" customWidth="1"/>
    <col min="3078" max="3078" width="12.1640625" style="88" customWidth="1"/>
    <col min="3079" max="3081" width="8.83203125" style="88"/>
    <col min="3082" max="3082" width="29.1640625" style="88" customWidth="1"/>
    <col min="3083" max="3083" width="11.33203125" style="88" customWidth="1"/>
    <col min="3084" max="3328" width="8.83203125" style="88"/>
    <col min="3329" max="3329" width="13.5" style="88" customWidth="1"/>
    <col min="3330" max="3330" width="25.5" style="88" customWidth="1"/>
    <col min="3331" max="3331" width="13" style="88" customWidth="1"/>
    <col min="3332" max="3332" width="8.83203125" style="88"/>
    <col min="3333" max="3333" width="13" style="88" customWidth="1"/>
    <col min="3334" max="3334" width="12.1640625" style="88" customWidth="1"/>
    <col min="3335" max="3337" width="8.83203125" style="88"/>
    <col min="3338" max="3338" width="29.1640625" style="88" customWidth="1"/>
    <col min="3339" max="3339" width="11.33203125" style="88" customWidth="1"/>
    <col min="3340" max="3584" width="8.83203125" style="88"/>
    <col min="3585" max="3585" width="13.5" style="88" customWidth="1"/>
    <col min="3586" max="3586" width="25.5" style="88" customWidth="1"/>
    <col min="3587" max="3587" width="13" style="88" customWidth="1"/>
    <col min="3588" max="3588" width="8.83203125" style="88"/>
    <col min="3589" max="3589" width="13" style="88" customWidth="1"/>
    <col min="3590" max="3590" width="12.1640625" style="88" customWidth="1"/>
    <col min="3591" max="3593" width="8.83203125" style="88"/>
    <col min="3594" max="3594" width="29.1640625" style="88" customWidth="1"/>
    <col min="3595" max="3595" width="11.33203125" style="88" customWidth="1"/>
    <col min="3596" max="3840" width="8.83203125" style="88"/>
    <col min="3841" max="3841" width="13.5" style="88" customWidth="1"/>
    <col min="3842" max="3842" width="25.5" style="88" customWidth="1"/>
    <col min="3843" max="3843" width="13" style="88" customWidth="1"/>
    <col min="3844" max="3844" width="8.83203125" style="88"/>
    <col min="3845" max="3845" width="13" style="88" customWidth="1"/>
    <col min="3846" max="3846" width="12.1640625" style="88" customWidth="1"/>
    <col min="3847" max="3849" width="8.83203125" style="88"/>
    <col min="3850" max="3850" width="29.1640625" style="88" customWidth="1"/>
    <col min="3851" max="3851" width="11.33203125" style="88" customWidth="1"/>
    <col min="3852" max="4096" width="8.83203125" style="88"/>
    <col min="4097" max="4097" width="13.5" style="88" customWidth="1"/>
    <col min="4098" max="4098" width="25.5" style="88" customWidth="1"/>
    <col min="4099" max="4099" width="13" style="88" customWidth="1"/>
    <col min="4100" max="4100" width="8.83203125" style="88"/>
    <col min="4101" max="4101" width="13" style="88" customWidth="1"/>
    <col min="4102" max="4102" width="12.1640625" style="88" customWidth="1"/>
    <col min="4103" max="4105" width="8.83203125" style="88"/>
    <col min="4106" max="4106" width="29.1640625" style="88" customWidth="1"/>
    <col min="4107" max="4107" width="11.33203125" style="88" customWidth="1"/>
    <col min="4108" max="4352" width="8.83203125" style="88"/>
    <col min="4353" max="4353" width="13.5" style="88" customWidth="1"/>
    <col min="4354" max="4354" width="25.5" style="88" customWidth="1"/>
    <col min="4355" max="4355" width="13" style="88" customWidth="1"/>
    <col min="4356" max="4356" width="8.83203125" style="88"/>
    <col min="4357" max="4357" width="13" style="88" customWidth="1"/>
    <col min="4358" max="4358" width="12.1640625" style="88" customWidth="1"/>
    <col min="4359" max="4361" width="8.83203125" style="88"/>
    <col min="4362" max="4362" width="29.1640625" style="88" customWidth="1"/>
    <col min="4363" max="4363" width="11.33203125" style="88" customWidth="1"/>
    <col min="4364" max="4608" width="8.83203125" style="88"/>
    <col min="4609" max="4609" width="13.5" style="88" customWidth="1"/>
    <col min="4610" max="4610" width="25.5" style="88" customWidth="1"/>
    <col min="4611" max="4611" width="13" style="88" customWidth="1"/>
    <col min="4612" max="4612" width="8.83203125" style="88"/>
    <col min="4613" max="4613" width="13" style="88" customWidth="1"/>
    <col min="4614" max="4614" width="12.1640625" style="88" customWidth="1"/>
    <col min="4615" max="4617" width="8.83203125" style="88"/>
    <col min="4618" max="4618" width="29.1640625" style="88" customWidth="1"/>
    <col min="4619" max="4619" width="11.33203125" style="88" customWidth="1"/>
    <col min="4620" max="4864" width="8.83203125" style="88"/>
    <col min="4865" max="4865" width="13.5" style="88" customWidth="1"/>
    <col min="4866" max="4866" width="25.5" style="88" customWidth="1"/>
    <col min="4867" max="4867" width="13" style="88" customWidth="1"/>
    <col min="4868" max="4868" width="8.83203125" style="88"/>
    <col min="4869" max="4869" width="13" style="88" customWidth="1"/>
    <col min="4870" max="4870" width="12.1640625" style="88" customWidth="1"/>
    <col min="4871" max="4873" width="8.83203125" style="88"/>
    <col min="4874" max="4874" width="29.1640625" style="88" customWidth="1"/>
    <col min="4875" max="4875" width="11.33203125" style="88" customWidth="1"/>
    <col min="4876" max="5120" width="8.83203125" style="88"/>
    <col min="5121" max="5121" width="13.5" style="88" customWidth="1"/>
    <col min="5122" max="5122" width="25.5" style="88" customWidth="1"/>
    <col min="5123" max="5123" width="13" style="88" customWidth="1"/>
    <col min="5124" max="5124" width="8.83203125" style="88"/>
    <col min="5125" max="5125" width="13" style="88" customWidth="1"/>
    <col min="5126" max="5126" width="12.1640625" style="88" customWidth="1"/>
    <col min="5127" max="5129" width="8.83203125" style="88"/>
    <col min="5130" max="5130" width="29.1640625" style="88" customWidth="1"/>
    <col min="5131" max="5131" width="11.33203125" style="88" customWidth="1"/>
    <col min="5132" max="5376" width="8.83203125" style="88"/>
    <col min="5377" max="5377" width="13.5" style="88" customWidth="1"/>
    <col min="5378" max="5378" width="25.5" style="88" customWidth="1"/>
    <col min="5379" max="5379" width="13" style="88" customWidth="1"/>
    <col min="5380" max="5380" width="8.83203125" style="88"/>
    <col min="5381" max="5381" width="13" style="88" customWidth="1"/>
    <col min="5382" max="5382" width="12.1640625" style="88" customWidth="1"/>
    <col min="5383" max="5385" width="8.83203125" style="88"/>
    <col min="5386" max="5386" width="29.1640625" style="88" customWidth="1"/>
    <col min="5387" max="5387" width="11.33203125" style="88" customWidth="1"/>
    <col min="5388" max="5632" width="8.83203125" style="88"/>
    <col min="5633" max="5633" width="13.5" style="88" customWidth="1"/>
    <col min="5634" max="5634" width="25.5" style="88" customWidth="1"/>
    <col min="5635" max="5635" width="13" style="88" customWidth="1"/>
    <col min="5636" max="5636" width="8.83203125" style="88"/>
    <col min="5637" max="5637" width="13" style="88" customWidth="1"/>
    <col min="5638" max="5638" width="12.1640625" style="88" customWidth="1"/>
    <col min="5639" max="5641" width="8.83203125" style="88"/>
    <col min="5642" max="5642" width="29.1640625" style="88" customWidth="1"/>
    <col min="5643" max="5643" width="11.33203125" style="88" customWidth="1"/>
    <col min="5644" max="5888" width="8.83203125" style="88"/>
    <col min="5889" max="5889" width="13.5" style="88" customWidth="1"/>
    <col min="5890" max="5890" width="25.5" style="88" customWidth="1"/>
    <col min="5891" max="5891" width="13" style="88" customWidth="1"/>
    <col min="5892" max="5892" width="8.83203125" style="88"/>
    <col min="5893" max="5893" width="13" style="88" customWidth="1"/>
    <col min="5894" max="5894" width="12.1640625" style="88" customWidth="1"/>
    <col min="5895" max="5897" width="8.83203125" style="88"/>
    <col min="5898" max="5898" width="29.1640625" style="88" customWidth="1"/>
    <col min="5899" max="5899" width="11.33203125" style="88" customWidth="1"/>
    <col min="5900" max="6144" width="8.83203125" style="88"/>
    <col min="6145" max="6145" width="13.5" style="88" customWidth="1"/>
    <col min="6146" max="6146" width="25.5" style="88" customWidth="1"/>
    <col min="6147" max="6147" width="13" style="88" customWidth="1"/>
    <col min="6148" max="6148" width="8.83203125" style="88"/>
    <col min="6149" max="6149" width="13" style="88" customWidth="1"/>
    <col min="6150" max="6150" width="12.1640625" style="88" customWidth="1"/>
    <col min="6151" max="6153" width="8.83203125" style="88"/>
    <col min="6154" max="6154" width="29.1640625" style="88" customWidth="1"/>
    <col min="6155" max="6155" width="11.33203125" style="88" customWidth="1"/>
    <col min="6156" max="6400" width="8.83203125" style="88"/>
    <col min="6401" max="6401" width="13.5" style="88" customWidth="1"/>
    <col min="6402" max="6402" width="25.5" style="88" customWidth="1"/>
    <col min="6403" max="6403" width="13" style="88" customWidth="1"/>
    <col min="6404" max="6404" width="8.83203125" style="88"/>
    <col min="6405" max="6405" width="13" style="88" customWidth="1"/>
    <col min="6406" max="6406" width="12.1640625" style="88" customWidth="1"/>
    <col min="6407" max="6409" width="8.83203125" style="88"/>
    <col min="6410" max="6410" width="29.1640625" style="88" customWidth="1"/>
    <col min="6411" max="6411" width="11.33203125" style="88" customWidth="1"/>
    <col min="6412" max="6656" width="8.83203125" style="88"/>
    <col min="6657" max="6657" width="13.5" style="88" customWidth="1"/>
    <col min="6658" max="6658" width="25.5" style="88" customWidth="1"/>
    <col min="6659" max="6659" width="13" style="88" customWidth="1"/>
    <col min="6660" max="6660" width="8.83203125" style="88"/>
    <col min="6661" max="6661" width="13" style="88" customWidth="1"/>
    <col min="6662" max="6662" width="12.1640625" style="88" customWidth="1"/>
    <col min="6663" max="6665" width="8.83203125" style="88"/>
    <col min="6666" max="6666" width="29.1640625" style="88" customWidth="1"/>
    <col min="6667" max="6667" width="11.33203125" style="88" customWidth="1"/>
    <col min="6668" max="6912" width="8.83203125" style="88"/>
    <col min="6913" max="6913" width="13.5" style="88" customWidth="1"/>
    <col min="6914" max="6914" width="25.5" style="88" customWidth="1"/>
    <col min="6915" max="6915" width="13" style="88" customWidth="1"/>
    <col min="6916" max="6916" width="8.83203125" style="88"/>
    <col min="6917" max="6917" width="13" style="88" customWidth="1"/>
    <col min="6918" max="6918" width="12.1640625" style="88" customWidth="1"/>
    <col min="6919" max="6921" width="8.83203125" style="88"/>
    <col min="6922" max="6922" width="29.1640625" style="88" customWidth="1"/>
    <col min="6923" max="6923" width="11.33203125" style="88" customWidth="1"/>
    <col min="6924" max="7168" width="8.83203125" style="88"/>
    <col min="7169" max="7169" width="13.5" style="88" customWidth="1"/>
    <col min="7170" max="7170" width="25.5" style="88" customWidth="1"/>
    <col min="7171" max="7171" width="13" style="88" customWidth="1"/>
    <col min="7172" max="7172" width="8.83203125" style="88"/>
    <col min="7173" max="7173" width="13" style="88" customWidth="1"/>
    <col min="7174" max="7174" width="12.1640625" style="88" customWidth="1"/>
    <col min="7175" max="7177" width="8.83203125" style="88"/>
    <col min="7178" max="7178" width="29.1640625" style="88" customWidth="1"/>
    <col min="7179" max="7179" width="11.33203125" style="88" customWidth="1"/>
    <col min="7180" max="7424" width="8.83203125" style="88"/>
    <col min="7425" max="7425" width="13.5" style="88" customWidth="1"/>
    <col min="7426" max="7426" width="25.5" style="88" customWidth="1"/>
    <col min="7427" max="7427" width="13" style="88" customWidth="1"/>
    <col min="7428" max="7428" width="8.83203125" style="88"/>
    <col min="7429" max="7429" width="13" style="88" customWidth="1"/>
    <col min="7430" max="7430" width="12.1640625" style="88" customWidth="1"/>
    <col min="7431" max="7433" width="8.83203125" style="88"/>
    <col min="7434" max="7434" width="29.1640625" style="88" customWidth="1"/>
    <col min="7435" max="7435" width="11.33203125" style="88" customWidth="1"/>
    <col min="7436" max="7680" width="8.83203125" style="88"/>
    <col min="7681" max="7681" width="13.5" style="88" customWidth="1"/>
    <col min="7682" max="7682" width="25.5" style="88" customWidth="1"/>
    <col min="7683" max="7683" width="13" style="88" customWidth="1"/>
    <col min="7684" max="7684" width="8.83203125" style="88"/>
    <col min="7685" max="7685" width="13" style="88" customWidth="1"/>
    <col min="7686" max="7686" width="12.1640625" style="88" customWidth="1"/>
    <col min="7687" max="7689" width="8.83203125" style="88"/>
    <col min="7690" max="7690" width="29.1640625" style="88" customWidth="1"/>
    <col min="7691" max="7691" width="11.33203125" style="88" customWidth="1"/>
    <col min="7692" max="7936" width="8.83203125" style="88"/>
    <col min="7937" max="7937" width="13.5" style="88" customWidth="1"/>
    <col min="7938" max="7938" width="25.5" style="88" customWidth="1"/>
    <col min="7939" max="7939" width="13" style="88" customWidth="1"/>
    <col min="7940" max="7940" width="8.83203125" style="88"/>
    <col min="7941" max="7941" width="13" style="88" customWidth="1"/>
    <col min="7942" max="7942" width="12.1640625" style="88" customWidth="1"/>
    <col min="7943" max="7945" width="8.83203125" style="88"/>
    <col min="7946" max="7946" width="29.1640625" style="88" customWidth="1"/>
    <col min="7947" max="7947" width="11.33203125" style="88" customWidth="1"/>
    <col min="7948" max="8192" width="8.83203125" style="88"/>
    <col min="8193" max="8193" width="13.5" style="88" customWidth="1"/>
    <col min="8194" max="8194" width="25.5" style="88" customWidth="1"/>
    <col min="8195" max="8195" width="13" style="88" customWidth="1"/>
    <col min="8196" max="8196" width="8.83203125" style="88"/>
    <col min="8197" max="8197" width="13" style="88" customWidth="1"/>
    <col min="8198" max="8198" width="12.1640625" style="88" customWidth="1"/>
    <col min="8199" max="8201" width="8.83203125" style="88"/>
    <col min="8202" max="8202" width="29.1640625" style="88" customWidth="1"/>
    <col min="8203" max="8203" width="11.33203125" style="88" customWidth="1"/>
    <col min="8204" max="8448" width="8.83203125" style="88"/>
    <col min="8449" max="8449" width="13.5" style="88" customWidth="1"/>
    <col min="8450" max="8450" width="25.5" style="88" customWidth="1"/>
    <col min="8451" max="8451" width="13" style="88" customWidth="1"/>
    <col min="8452" max="8452" width="8.83203125" style="88"/>
    <col min="8453" max="8453" width="13" style="88" customWidth="1"/>
    <col min="8454" max="8454" width="12.1640625" style="88" customWidth="1"/>
    <col min="8455" max="8457" width="8.83203125" style="88"/>
    <col min="8458" max="8458" width="29.1640625" style="88" customWidth="1"/>
    <col min="8459" max="8459" width="11.33203125" style="88" customWidth="1"/>
    <col min="8460" max="8704" width="8.83203125" style="88"/>
    <col min="8705" max="8705" width="13.5" style="88" customWidth="1"/>
    <col min="8706" max="8706" width="25.5" style="88" customWidth="1"/>
    <col min="8707" max="8707" width="13" style="88" customWidth="1"/>
    <col min="8708" max="8708" width="8.83203125" style="88"/>
    <col min="8709" max="8709" width="13" style="88" customWidth="1"/>
    <col min="8710" max="8710" width="12.1640625" style="88" customWidth="1"/>
    <col min="8711" max="8713" width="8.83203125" style="88"/>
    <col min="8714" max="8714" width="29.1640625" style="88" customWidth="1"/>
    <col min="8715" max="8715" width="11.33203125" style="88" customWidth="1"/>
    <col min="8716" max="8960" width="8.83203125" style="88"/>
    <col min="8961" max="8961" width="13.5" style="88" customWidth="1"/>
    <col min="8962" max="8962" width="25.5" style="88" customWidth="1"/>
    <col min="8963" max="8963" width="13" style="88" customWidth="1"/>
    <col min="8964" max="8964" width="8.83203125" style="88"/>
    <col min="8965" max="8965" width="13" style="88" customWidth="1"/>
    <col min="8966" max="8966" width="12.1640625" style="88" customWidth="1"/>
    <col min="8967" max="8969" width="8.83203125" style="88"/>
    <col min="8970" max="8970" width="29.1640625" style="88" customWidth="1"/>
    <col min="8971" max="8971" width="11.33203125" style="88" customWidth="1"/>
    <col min="8972" max="9216" width="8.83203125" style="88"/>
    <col min="9217" max="9217" width="13.5" style="88" customWidth="1"/>
    <col min="9218" max="9218" width="25.5" style="88" customWidth="1"/>
    <col min="9219" max="9219" width="13" style="88" customWidth="1"/>
    <col min="9220" max="9220" width="8.83203125" style="88"/>
    <col min="9221" max="9221" width="13" style="88" customWidth="1"/>
    <col min="9222" max="9222" width="12.1640625" style="88" customWidth="1"/>
    <col min="9223" max="9225" width="8.83203125" style="88"/>
    <col min="9226" max="9226" width="29.1640625" style="88" customWidth="1"/>
    <col min="9227" max="9227" width="11.33203125" style="88" customWidth="1"/>
    <col min="9228" max="9472" width="8.83203125" style="88"/>
    <col min="9473" max="9473" width="13.5" style="88" customWidth="1"/>
    <col min="9474" max="9474" width="25.5" style="88" customWidth="1"/>
    <col min="9475" max="9475" width="13" style="88" customWidth="1"/>
    <col min="9476" max="9476" width="8.83203125" style="88"/>
    <col min="9477" max="9477" width="13" style="88" customWidth="1"/>
    <col min="9478" max="9478" width="12.1640625" style="88" customWidth="1"/>
    <col min="9479" max="9481" width="8.83203125" style="88"/>
    <col min="9482" max="9482" width="29.1640625" style="88" customWidth="1"/>
    <col min="9483" max="9483" width="11.33203125" style="88" customWidth="1"/>
    <col min="9484" max="9728" width="8.83203125" style="88"/>
    <col min="9729" max="9729" width="13.5" style="88" customWidth="1"/>
    <col min="9730" max="9730" width="25.5" style="88" customWidth="1"/>
    <col min="9731" max="9731" width="13" style="88" customWidth="1"/>
    <col min="9732" max="9732" width="8.83203125" style="88"/>
    <col min="9733" max="9733" width="13" style="88" customWidth="1"/>
    <col min="9734" max="9734" width="12.1640625" style="88" customWidth="1"/>
    <col min="9735" max="9737" width="8.83203125" style="88"/>
    <col min="9738" max="9738" width="29.1640625" style="88" customWidth="1"/>
    <col min="9739" max="9739" width="11.33203125" style="88" customWidth="1"/>
    <col min="9740" max="9984" width="8.83203125" style="88"/>
    <col min="9985" max="9985" width="13.5" style="88" customWidth="1"/>
    <col min="9986" max="9986" width="25.5" style="88" customWidth="1"/>
    <col min="9987" max="9987" width="13" style="88" customWidth="1"/>
    <col min="9988" max="9988" width="8.83203125" style="88"/>
    <col min="9989" max="9989" width="13" style="88" customWidth="1"/>
    <col min="9990" max="9990" width="12.1640625" style="88" customWidth="1"/>
    <col min="9991" max="9993" width="8.83203125" style="88"/>
    <col min="9994" max="9994" width="29.1640625" style="88" customWidth="1"/>
    <col min="9995" max="9995" width="11.33203125" style="88" customWidth="1"/>
    <col min="9996" max="10240" width="8.83203125" style="88"/>
    <col min="10241" max="10241" width="13.5" style="88" customWidth="1"/>
    <col min="10242" max="10242" width="25.5" style="88" customWidth="1"/>
    <col min="10243" max="10243" width="13" style="88" customWidth="1"/>
    <col min="10244" max="10244" width="8.83203125" style="88"/>
    <col min="10245" max="10245" width="13" style="88" customWidth="1"/>
    <col min="10246" max="10246" width="12.1640625" style="88" customWidth="1"/>
    <col min="10247" max="10249" width="8.83203125" style="88"/>
    <col min="10250" max="10250" width="29.1640625" style="88" customWidth="1"/>
    <col min="10251" max="10251" width="11.33203125" style="88" customWidth="1"/>
    <col min="10252" max="10496" width="8.83203125" style="88"/>
    <col min="10497" max="10497" width="13.5" style="88" customWidth="1"/>
    <col min="10498" max="10498" width="25.5" style="88" customWidth="1"/>
    <col min="10499" max="10499" width="13" style="88" customWidth="1"/>
    <col min="10500" max="10500" width="8.83203125" style="88"/>
    <col min="10501" max="10501" width="13" style="88" customWidth="1"/>
    <col min="10502" max="10502" width="12.1640625" style="88" customWidth="1"/>
    <col min="10503" max="10505" width="8.83203125" style="88"/>
    <col min="10506" max="10506" width="29.1640625" style="88" customWidth="1"/>
    <col min="10507" max="10507" width="11.33203125" style="88" customWidth="1"/>
    <col min="10508" max="10752" width="8.83203125" style="88"/>
    <col min="10753" max="10753" width="13.5" style="88" customWidth="1"/>
    <col min="10754" max="10754" width="25.5" style="88" customWidth="1"/>
    <col min="10755" max="10755" width="13" style="88" customWidth="1"/>
    <col min="10756" max="10756" width="8.83203125" style="88"/>
    <col min="10757" max="10757" width="13" style="88" customWidth="1"/>
    <col min="10758" max="10758" width="12.1640625" style="88" customWidth="1"/>
    <col min="10759" max="10761" width="8.83203125" style="88"/>
    <col min="10762" max="10762" width="29.1640625" style="88" customWidth="1"/>
    <col min="10763" max="10763" width="11.33203125" style="88" customWidth="1"/>
    <col min="10764" max="11008" width="8.83203125" style="88"/>
    <col min="11009" max="11009" width="13.5" style="88" customWidth="1"/>
    <col min="11010" max="11010" width="25.5" style="88" customWidth="1"/>
    <col min="11011" max="11011" width="13" style="88" customWidth="1"/>
    <col min="11012" max="11012" width="8.83203125" style="88"/>
    <col min="11013" max="11013" width="13" style="88" customWidth="1"/>
    <col min="11014" max="11014" width="12.1640625" style="88" customWidth="1"/>
    <col min="11015" max="11017" width="8.83203125" style="88"/>
    <col min="11018" max="11018" width="29.1640625" style="88" customWidth="1"/>
    <col min="11019" max="11019" width="11.33203125" style="88" customWidth="1"/>
    <col min="11020" max="11264" width="8.83203125" style="88"/>
    <col min="11265" max="11265" width="13.5" style="88" customWidth="1"/>
    <col min="11266" max="11266" width="25.5" style="88" customWidth="1"/>
    <col min="11267" max="11267" width="13" style="88" customWidth="1"/>
    <col min="11268" max="11268" width="8.83203125" style="88"/>
    <col min="11269" max="11269" width="13" style="88" customWidth="1"/>
    <col min="11270" max="11270" width="12.1640625" style="88" customWidth="1"/>
    <col min="11271" max="11273" width="8.83203125" style="88"/>
    <col min="11274" max="11274" width="29.1640625" style="88" customWidth="1"/>
    <col min="11275" max="11275" width="11.33203125" style="88" customWidth="1"/>
    <col min="11276" max="11520" width="8.83203125" style="88"/>
    <col min="11521" max="11521" width="13.5" style="88" customWidth="1"/>
    <col min="11522" max="11522" width="25.5" style="88" customWidth="1"/>
    <col min="11523" max="11523" width="13" style="88" customWidth="1"/>
    <col min="11524" max="11524" width="8.83203125" style="88"/>
    <col min="11525" max="11525" width="13" style="88" customWidth="1"/>
    <col min="11526" max="11526" width="12.1640625" style="88" customWidth="1"/>
    <col min="11527" max="11529" width="8.83203125" style="88"/>
    <col min="11530" max="11530" width="29.1640625" style="88" customWidth="1"/>
    <col min="11531" max="11531" width="11.33203125" style="88" customWidth="1"/>
    <col min="11532" max="11776" width="8.83203125" style="88"/>
    <col min="11777" max="11777" width="13.5" style="88" customWidth="1"/>
    <col min="11778" max="11778" width="25.5" style="88" customWidth="1"/>
    <col min="11779" max="11779" width="13" style="88" customWidth="1"/>
    <col min="11780" max="11780" width="8.83203125" style="88"/>
    <col min="11781" max="11781" width="13" style="88" customWidth="1"/>
    <col min="11782" max="11782" width="12.1640625" style="88" customWidth="1"/>
    <col min="11783" max="11785" width="8.83203125" style="88"/>
    <col min="11786" max="11786" width="29.1640625" style="88" customWidth="1"/>
    <col min="11787" max="11787" width="11.33203125" style="88" customWidth="1"/>
    <col min="11788" max="12032" width="8.83203125" style="88"/>
    <col min="12033" max="12033" width="13.5" style="88" customWidth="1"/>
    <col min="12034" max="12034" width="25.5" style="88" customWidth="1"/>
    <col min="12035" max="12035" width="13" style="88" customWidth="1"/>
    <col min="12036" max="12036" width="8.83203125" style="88"/>
    <col min="12037" max="12037" width="13" style="88" customWidth="1"/>
    <col min="12038" max="12038" width="12.1640625" style="88" customWidth="1"/>
    <col min="12039" max="12041" width="8.83203125" style="88"/>
    <col min="12042" max="12042" width="29.1640625" style="88" customWidth="1"/>
    <col min="12043" max="12043" width="11.33203125" style="88" customWidth="1"/>
    <col min="12044" max="12288" width="8.83203125" style="88"/>
    <col min="12289" max="12289" width="13.5" style="88" customWidth="1"/>
    <col min="12290" max="12290" width="25.5" style="88" customWidth="1"/>
    <col min="12291" max="12291" width="13" style="88" customWidth="1"/>
    <col min="12292" max="12292" width="8.83203125" style="88"/>
    <col min="12293" max="12293" width="13" style="88" customWidth="1"/>
    <col min="12294" max="12294" width="12.1640625" style="88" customWidth="1"/>
    <col min="12295" max="12297" width="8.83203125" style="88"/>
    <col min="12298" max="12298" width="29.1640625" style="88" customWidth="1"/>
    <col min="12299" max="12299" width="11.33203125" style="88" customWidth="1"/>
    <col min="12300" max="12544" width="8.83203125" style="88"/>
    <col min="12545" max="12545" width="13.5" style="88" customWidth="1"/>
    <col min="12546" max="12546" width="25.5" style="88" customWidth="1"/>
    <col min="12547" max="12547" width="13" style="88" customWidth="1"/>
    <col min="12548" max="12548" width="8.83203125" style="88"/>
    <col min="12549" max="12549" width="13" style="88" customWidth="1"/>
    <col min="12550" max="12550" width="12.1640625" style="88" customWidth="1"/>
    <col min="12551" max="12553" width="8.83203125" style="88"/>
    <col min="12554" max="12554" width="29.1640625" style="88" customWidth="1"/>
    <col min="12555" max="12555" width="11.33203125" style="88" customWidth="1"/>
    <col min="12556" max="12800" width="8.83203125" style="88"/>
    <col min="12801" max="12801" width="13.5" style="88" customWidth="1"/>
    <col min="12802" max="12802" width="25.5" style="88" customWidth="1"/>
    <col min="12803" max="12803" width="13" style="88" customWidth="1"/>
    <col min="12804" max="12804" width="8.83203125" style="88"/>
    <col min="12805" max="12805" width="13" style="88" customWidth="1"/>
    <col min="12806" max="12806" width="12.1640625" style="88" customWidth="1"/>
    <col min="12807" max="12809" width="8.83203125" style="88"/>
    <col min="12810" max="12810" width="29.1640625" style="88" customWidth="1"/>
    <col min="12811" max="12811" width="11.33203125" style="88" customWidth="1"/>
    <col min="12812" max="13056" width="8.83203125" style="88"/>
    <col min="13057" max="13057" width="13.5" style="88" customWidth="1"/>
    <col min="13058" max="13058" width="25.5" style="88" customWidth="1"/>
    <col min="13059" max="13059" width="13" style="88" customWidth="1"/>
    <col min="13060" max="13060" width="8.83203125" style="88"/>
    <col min="13061" max="13061" width="13" style="88" customWidth="1"/>
    <col min="13062" max="13062" width="12.1640625" style="88" customWidth="1"/>
    <col min="13063" max="13065" width="8.83203125" style="88"/>
    <col min="13066" max="13066" width="29.1640625" style="88" customWidth="1"/>
    <col min="13067" max="13067" width="11.33203125" style="88" customWidth="1"/>
    <col min="13068" max="13312" width="8.83203125" style="88"/>
    <col min="13313" max="13313" width="13.5" style="88" customWidth="1"/>
    <col min="13314" max="13314" width="25.5" style="88" customWidth="1"/>
    <col min="13315" max="13315" width="13" style="88" customWidth="1"/>
    <col min="13316" max="13316" width="8.83203125" style="88"/>
    <col min="13317" max="13317" width="13" style="88" customWidth="1"/>
    <col min="13318" max="13318" width="12.1640625" style="88" customWidth="1"/>
    <col min="13319" max="13321" width="8.83203125" style="88"/>
    <col min="13322" max="13322" width="29.1640625" style="88" customWidth="1"/>
    <col min="13323" max="13323" width="11.33203125" style="88" customWidth="1"/>
    <col min="13324" max="13568" width="8.83203125" style="88"/>
    <col min="13569" max="13569" width="13.5" style="88" customWidth="1"/>
    <col min="13570" max="13570" width="25.5" style="88" customWidth="1"/>
    <col min="13571" max="13571" width="13" style="88" customWidth="1"/>
    <col min="13572" max="13572" width="8.83203125" style="88"/>
    <col min="13573" max="13573" width="13" style="88" customWidth="1"/>
    <col min="13574" max="13574" width="12.1640625" style="88" customWidth="1"/>
    <col min="13575" max="13577" width="8.83203125" style="88"/>
    <col min="13578" max="13578" width="29.1640625" style="88" customWidth="1"/>
    <col min="13579" max="13579" width="11.33203125" style="88" customWidth="1"/>
    <col min="13580" max="13824" width="8.83203125" style="88"/>
    <col min="13825" max="13825" width="13.5" style="88" customWidth="1"/>
    <col min="13826" max="13826" width="25.5" style="88" customWidth="1"/>
    <col min="13827" max="13827" width="13" style="88" customWidth="1"/>
    <col min="13828" max="13828" width="8.83203125" style="88"/>
    <col min="13829" max="13829" width="13" style="88" customWidth="1"/>
    <col min="13830" max="13830" width="12.1640625" style="88" customWidth="1"/>
    <col min="13831" max="13833" width="8.83203125" style="88"/>
    <col min="13834" max="13834" width="29.1640625" style="88" customWidth="1"/>
    <col min="13835" max="13835" width="11.33203125" style="88" customWidth="1"/>
    <col min="13836" max="14080" width="8.83203125" style="88"/>
    <col min="14081" max="14081" width="13.5" style="88" customWidth="1"/>
    <col min="14082" max="14082" width="25.5" style="88" customWidth="1"/>
    <col min="14083" max="14083" width="13" style="88" customWidth="1"/>
    <col min="14084" max="14084" width="8.83203125" style="88"/>
    <col min="14085" max="14085" width="13" style="88" customWidth="1"/>
    <col min="14086" max="14086" width="12.1640625" style="88" customWidth="1"/>
    <col min="14087" max="14089" width="8.83203125" style="88"/>
    <col min="14090" max="14090" width="29.1640625" style="88" customWidth="1"/>
    <col min="14091" max="14091" width="11.33203125" style="88" customWidth="1"/>
    <col min="14092" max="14336" width="8.83203125" style="88"/>
    <col min="14337" max="14337" width="13.5" style="88" customWidth="1"/>
    <col min="14338" max="14338" width="25.5" style="88" customWidth="1"/>
    <col min="14339" max="14339" width="13" style="88" customWidth="1"/>
    <col min="14340" max="14340" width="8.83203125" style="88"/>
    <col min="14341" max="14341" width="13" style="88" customWidth="1"/>
    <col min="14342" max="14342" width="12.1640625" style="88" customWidth="1"/>
    <col min="14343" max="14345" width="8.83203125" style="88"/>
    <col min="14346" max="14346" width="29.1640625" style="88" customWidth="1"/>
    <col min="14347" max="14347" width="11.33203125" style="88" customWidth="1"/>
    <col min="14348" max="14592" width="8.83203125" style="88"/>
    <col min="14593" max="14593" width="13.5" style="88" customWidth="1"/>
    <col min="14594" max="14594" width="25.5" style="88" customWidth="1"/>
    <col min="14595" max="14595" width="13" style="88" customWidth="1"/>
    <col min="14596" max="14596" width="8.83203125" style="88"/>
    <col min="14597" max="14597" width="13" style="88" customWidth="1"/>
    <col min="14598" max="14598" width="12.1640625" style="88" customWidth="1"/>
    <col min="14599" max="14601" width="8.83203125" style="88"/>
    <col min="14602" max="14602" width="29.1640625" style="88" customWidth="1"/>
    <col min="14603" max="14603" width="11.33203125" style="88" customWidth="1"/>
    <col min="14604" max="14848" width="8.83203125" style="88"/>
    <col min="14849" max="14849" width="13.5" style="88" customWidth="1"/>
    <col min="14850" max="14850" width="25.5" style="88" customWidth="1"/>
    <col min="14851" max="14851" width="13" style="88" customWidth="1"/>
    <col min="14852" max="14852" width="8.83203125" style="88"/>
    <col min="14853" max="14853" width="13" style="88" customWidth="1"/>
    <col min="14854" max="14854" width="12.1640625" style="88" customWidth="1"/>
    <col min="14855" max="14857" width="8.83203125" style="88"/>
    <col min="14858" max="14858" width="29.1640625" style="88" customWidth="1"/>
    <col min="14859" max="14859" width="11.33203125" style="88" customWidth="1"/>
    <col min="14860" max="15104" width="8.83203125" style="88"/>
    <col min="15105" max="15105" width="13.5" style="88" customWidth="1"/>
    <col min="15106" max="15106" width="25.5" style="88" customWidth="1"/>
    <col min="15107" max="15107" width="13" style="88" customWidth="1"/>
    <col min="15108" max="15108" width="8.83203125" style="88"/>
    <col min="15109" max="15109" width="13" style="88" customWidth="1"/>
    <col min="15110" max="15110" width="12.1640625" style="88" customWidth="1"/>
    <col min="15111" max="15113" width="8.83203125" style="88"/>
    <col min="15114" max="15114" width="29.1640625" style="88" customWidth="1"/>
    <col min="15115" max="15115" width="11.33203125" style="88" customWidth="1"/>
    <col min="15116" max="15360" width="8.83203125" style="88"/>
    <col min="15361" max="15361" width="13.5" style="88" customWidth="1"/>
    <col min="15362" max="15362" width="25.5" style="88" customWidth="1"/>
    <col min="15363" max="15363" width="13" style="88" customWidth="1"/>
    <col min="15364" max="15364" width="8.83203125" style="88"/>
    <col min="15365" max="15365" width="13" style="88" customWidth="1"/>
    <col min="15366" max="15366" width="12.1640625" style="88" customWidth="1"/>
    <col min="15367" max="15369" width="8.83203125" style="88"/>
    <col min="15370" max="15370" width="29.1640625" style="88" customWidth="1"/>
    <col min="15371" max="15371" width="11.33203125" style="88" customWidth="1"/>
    <col min="15372" max="15616" width="8.83203125" style="88"/>
    <col min="15617" max="15617" width="13.5" style="88" customWidth="1"/>
    <col min="15618" max="15618" width="25.5" style="88" customWidth="1"/>
    <col min="15619" max="15619" width="13" style="88" customWidth="1"/>
    <col min="15620" max="15620" width="8.83203125" style="88"/>
    <col min="15621" max="15621" width="13" style="88" customWidth="1"/>
    <col min="15622" max="15622" width="12.1640625" style="88" customWidth="1"/>
    <col min="15623" max="15625" width="8.83203125" style="88"/>
    <col min="15626" max="15626" width="29.1640625" style="88" customWidth="1"/>
    <col min="15627" max="15627" width="11.33203125" style="88" customWidth="1"/>
    <col min="15628" max="15872" width="8.83203125" style="88"/>
    <col min="15873" max="15873" width="13.5" style="88" customWidth="1"/>
    <col min="15874" max="15874" width="25.5" style="88" customWidth="1"/>
    <col min="15875" max="15875" width="13" style="88" customWidth="1"/>
    <col min="15876" max="15876" width="8.83203125" style="88"/>
    <col min="15877" max="15877" width="13" style="88" customWidth="1"/>
    <col min="15878" max="15878" width="12.1640625" style="88" customWidth="1"/>
    <col min="15879" max="15881" width="8.83203125" style="88"/>
    <col min="15882" max="15882" width="29.1640625" style="88" customWidth="1"/>
    <col min="15883" max="15883" width="11.33203125" style="88" customWidth="1"/>
    <col min="15884" max="16128" width="8.83203125" style="88"/>
    <col min="16129" max="16129" width="13.5" style="88" customWidth="1"/>
    <col min="16130" max="16130" width="25.5" style="88" customWidth="1"/>
    <col min="16131" max="16131" width="13" style="88" customWidth="1"/>
    <col min="16132" max="16132" width="8.83203125" style="88"/>
    <col min="16133" max="16133" width="13" style="88" customWidth="1"/>
    <col min="16134" max="16134" width="12.1640625" style="88" customWidth="1"/>
    <col min="16135" max="16137" width="8.83203125" style="88"/>
    <col min="16138" max="16138" width="29.1640625" style="88" customWidth="1"/>
    <col min="16139" max="16139" width="11.33203125" style="88" customWidth="1"/>
    <col min="16140" max="16384" width="8.83203125" style="88"/>
  </cols>
  <sheetData>
    <row r="1" spans="1:21" ht="21" customHeight="1">
      <c r="A1" s="87" t="s">
        <v>183</v>
      </c>
    </row>
    <row r="2" spans="1:21" ht="15" customHeight="1" thickBot="1">
      <c r="A2" s="89"/>
      <c r="B2" s="90"/>
      <c r="C2" s="90"/>
      <c r="D2" s="90"/>
      <c r="E2" s="90"/>
      <c r="F2" s="90"/>
      <c r="G2" s="91" t="s">
        <v>124</v>
      </c>
      <c r="I2" s="92"/>
      <c r="R2" s="92"/>
      <c r="S2" s="92"/>
      <c r="T2" s="92"/>
      <c r="U2" s="92"/>
    </row>
    <row r="3" spans="1:21" ht="15" customHeight="1" thickTop="1">
      <c r="A3" s="93" t="s">
        <v>184</v>
      </c>
      <c r="B3" s="94" t="s">
        <v>185</v>
      </c>
      <c r="C3" s="95" t="s">
        <v>14</v>
      </c>
      <c r="D3" s="95" t="s">
        <v>186</v>
      </c>
      <c r="E3" s="95" t="s">
        <v>187</v>
      </c>
      <c r="F3" s="95" t="s">
        <v>5</v>
      </c>
      <c r="G3" s="95" t="s">
        <v>132</v>
      </c>
      <c r="I3" s="92"/>
      <c r="R3" s="92"/>
      <c r="S3" s="92"/>
      <c r="T3" s="92"/>
      <c r="U3" s="92"/>
    </row>
    <row r="4" spans="1:21" ht="15" customHeight="1">
      <c r="A4" s="88" t="s">
        <v>38</v>
      </c>
      <c r="B4" s="96" t="s">
        <v>107</v>
      </c>
      <c r="C4" s="97">
        <v>20761.808160068431</v>
      </c>
      <c r="D4" s="97">
        <v>2123.3524133312758</v>
      </c>
      <c r="E4" s="97">
        <v>524.2644503326494</v>
      </c>
      <c r="F4" s="97">
        <v>1201.3294743559929</v>
      </c>
      <c r="G4" s="97">
        <v>24610.754498088347</v>
      </c>
      <c r="R4" s="92"/>
      <c r="S4" s="92"/>
      <c r="T4" s="92"/>
      <c r="U4" s="92"/>
    </row>
    <row r="5" spans="1:21" ht="15" customHeight="1">
      <c r="B5" s="96" t="s">
        <v>188</v>
      </c>
      <c r="C5" s="97">
        <v>8900.1650974163058</v>
      </c>
      <c r="D5" s="97">
        <v>749.68389888293814</v>
      </c>
      <c r="E5" s="97">
        <v>152.75342740376871</v>
      </c>
      <c r="F5" s="97">
        <v>1391.0011648617194</v>
      </c>
      <c r="G5" s="97">
        <v>11193.603588564732</v>
      </c>
      <c r="I5" s="1428">
        <f>11194*Unit.ktoe</f>
        <v>130.18621999999999</v>
      </c>
      <c r="J5" s="90"/>
      <c r="K5" s="90"/>
      <c r="L5" s="90"/>
      <c r="M5" s="90"/>
      <c r="N5" s="91"/>
      <c r="O5" s="91"/>
      <c r="P5" s="92"/>
      <c r="R5" s="92"/>
      <c r="S5" s="92"/>
      <c r="T5" s="92"/>
      <c r="U5" s="92"/>
    </row>
    <row r="6" spans="1:21" ht="15" customHeight="1">
      <c r="B6" s="96" t="s">
        <v>189</v>
      </c>
      <c r="C6" s="97">
        <v>682.38249995224271</v>
      </c>
      <c r="D6" s="97">
        <v>3.5181593929284705</v>
      </c>
      <c r="E6" s="97">
        <v>2.977912368790709</v>
      </c>
      <c r="F6" s="97">
        <v>586.86909715644913</v>
      </c>
      <c r="G6" s="97">
        <v>1275.747668870411</v>
      </c>
      <c r="I6" s="98"/>
      <c r="J6" s="99"/>
      <c r="K6" s="99"/>
      <c r="L6" s="99"/>
      <c r="M6" s="99"/>
      <c r="N6" s="99"/>
      <c r="O6" s="99"/>
      <c r="P6" s="92"/>
      <c r="R6" s="92"/>
      <c r="S6" s="92"/>
      <c r="T6" s="92"/>
      <c r="U6" s="92"/>
    </row>
    <row r="7" spans="1:21" ht="15" customHeight="1">
      <c r="B7" s="100" t="s">
        <v>190</v>
      </c>
      <c r="C7" s="100">
        <v>30344.355757436981</v>
      </c>
      <c r="D7" s="100">
        <v>2876.5544716071422</v>
      </c>
      <c r="E7" s="100">
        <v>679.99579010520881</v>
      </c>
      <c r="F7" s="100">
        <v>3179.1997363741616</v>
      </c>
      <c r="G7" s="100">
        <v>37080.105755523495</v>
      </c>
      <c r="I7" s="101"/>
      <c r="J7" s="91"/>
      <c r="K7" s="91"/>
      <c r="L7" s="91"/>
      <c r="M7" s="91"/>
      <c r="N7" s="91"/>
      <c r="O7" s="91"/>
      <c r="P7" s="92"/>
      <c r="R7" s="92"/>
      <c r="S7" s="92"/>
      <c r="T7" s="92"/>
      <c r="U7" s="92"/>
    </row>
    <row r="8" spans="1:21" ht="15" customHeight="1">
      <c r="B8" s="100" t="s">
        <v>65</v>
      </c>
      <c r="C8" s="102">
        <v>3.2402428691751259</v>
      </c>
      <c r="D8" s="103" t="s">
        <v>191</v>
      </c>
      <c r="E8" s="103" t="s">
        <v>191</v>
      </c>
      <c r="F8" s="100">
        <v>6713.3698951860279</v>
      </c>
      <c r="G8" s="100">
        <v>6716.6101380552027</v>
      </c>
      <c r="I8" s="101"/>
      <c r="J8" s="91"/>
      <c r="K8" s="91"/>
      <c r="L8" s="91"/>
      <c r="M8" s="91"/>
      <c r="N8" s="91"/>
      <c r="O8" s="91"/>
      <c r="P8" s="92"/>
      <c r="R8" s="92"/>
      <c r="S8" s="92"/>
      <c r="T8" s="92"/>
      <c r="U8" s="92"/>
    </row>
    <row r="9" spans="1:21" ht="18" customHeight="1" thickBot="1">
      <c r="B9" s="104" t="s">
        <v>192</v>
      </c>
      <c r="C9" s="104">
        <v>30347.596000306155</v>
      </c>
      <c r="D9" s="104">
        <v>2876.5544716071422</v>
      </c>
      <c r="E9" s="104">
        <v>679.99579010520881</v>
      </c>
      <c r="F9" s="104">
        <v>9892.569631560189</v>
      </c>
      <c r="G9" s="104">
        <v>43796.715893578701</v>
      </c>
      <c r="I9" s="101"/>
      <c r="J9" s="91"/>
      <c r="K9" s="91"/>
      <c r="L9" s="91"/>
      <c r="M9" s="91"/>
      <c r="N9" s="91"/>
      <c r="O9" s="91"/>
      <c r="P9" s="92"/>
      <c r="R9" s="92"/>
      <c r="S9" s="92"/>
      <c r="T9" s="92"/>
      <c r="U9" s="92"/>
    </row>
    <row r="10" spans="1:21" ht="15" customHeight="1" thickTop="1">
      <c r="B10" s="90"/>
      <c r="C10" s="90"/>
      <c r="D10" s="90"/>
      <c r="E10" s="90"/>
      <c r="F10" s="90"/>
      <c r="G10" s="90"/>
      <c r="I10" s="101"/>
      <c r="J10" s="91"/>
      <c r="K10" s="91"/>
      <c r="L10" s="91"/>
      <c r="M10" s="91"/>
      <c r="N10" s="91"/>
      <c r="O10" s="91"/>
      <c r="P10" s="92"/>
      <c r="R10" s="92"/>
      <c r="S10" s="92"/>
      <c r="T10" s="92"/>
      <c r="U10" s="92"/>
    </row>
    <row r="11" spans="1:21" ht="15" customHeight="1">
      <c r="A11" s="88" t="s">
        <v>193</v>
      </c>
      <c r="B11" s="96" t="s">
        <v>107</v>
      </c>
      <c r="C11" s="105">
        <v>6228.4146697154792</v>
      </c>
      <c r="D11" s="105">
        <v>1056.729525903982</v>
      </c>
      <c r="E11" s="105">
        <v>10.104010221874312</v>
      </c>
      <c r="F11" s="105">
        <v>1207.7243864928994</v>
      </c>
      <c r="G11" s="105">
        <v>8502.9725923342339</v>
      </c>
      <c r="I11" s="101"/>
      <c r="J11" s="91"/>
      <c r="K11" s="91"/>
      <c r="L11" s="91"/>
      <c r="M11" s="91"/>
      <c r="N11" s="91"/>
      <c r="O11" s="91"/>
      <c r="P11" s="92"/>
      <c r="R11" s="92"/>
      <c r="S11" s="92"/>
      <c r="T11" s="92"/>
      <c r="U11" s="92"/>
    </row>
    <row r="12" spans="1:21" ht="15" customHeight="1">
      <c r="B12" s="96" t="s">
        <v>188</v>
      </c>
      <c r="C12" s="105">
        <v>1251.2212731879906</v>
      </c>
      <c r="D12" s="105">
        <v>100.03914835165267</v>
      </c>
      <c r="E12" s="105">
        <v>1.061255973783479</v>
      </c>
      <c r="F12" s="105">
        <v>284.8159539711279</v>
      </c>
      <c r="G12" s="105">
        <v>1637.1376314845547</v>
      </c>
      <c r="I12" s="98"/>
      <c r="J12" s="91"/>
      <c r="K12" s="91"/>
      <c r="L12" s="91"/>
      <c r="M12" s="91"/>
      <c r="N12" s="91"/>
      <c r="O12" s="91"/>
      <c r="P12" s="92"/>
      <c r="R12" s="92"/>
      <c r="S12" s="92"/>
      <c r="T12" s="92"/>
      <c r="U12" s="92"/>
    </row>
    <row r="13" spans="1:21" ht="15" customHeight="1">
      <c r="B13" s="96" t="s">
        <v>189</v>
      </c>
      <c r="C13" s="105">
        <v>755.68635160556403</v>
      </c>
      <c r="D13" s="105">
        <v>38.014686919374739</v>
      </c>
      <c r="E13" s="105" t="s">
        <v>191</v>
      </c>
      <c r="F13" s="105">
        <v>1137.719344181108</v>
      </c>
      <c r="G13" s="105">
        <v>1931.4203827060469</v>
      </c>
      <c r="I13" s="90"/>
      <c r="J13" s="91"/>
      <c r="K13" s="91"/>
      <c r="L13" s="91"/>
      <c r="M13" s="91"/>
      <c r="N13" s="91"/>
      <c r="O13" s="91"/>
      <c r="P13" s="92"/>
      <c r="R13" s="92"/>
      <c r="S13" s="92"/>
      <c r="T13" s="92"/>
      <c r="U13" s="92"/>
    </row>
    <row r="14" spans="1:21" ht="15" customHeight="1">
      <c r="B14" s="100" t="s">
        <v>190</v>
      </c>
      <c r="C14" s="103">
        <v>8235.3222945090347</v>
      </c>
      <c r="D14" s="103">
        <v>1194.7833611750095</v>
      </c>
      <c r="E14" s="103">
        <v>11.165266195657791</v>
      </c>
      <c r="F14" s="103">
        <v>2630.2596846451352</v>
      </c>
      <c r="G14" s="103">
        <v>12071.530606524837</v>
      </c>
      <c r="I14" s="98"/>
      <c r="J14" s="106"/>
      <c r="K14" s="106"/>
      <c r="L14" s="106"/>
      <c r="M14" s="106"/>
      <c r="N14" s="106"/>
      <c r="O14" s="106"/>
      <c r="P14" s="92"/>
      <c r="R14" s="92"/>
      <c r="S14" s="92"/>
      <c r="T14" s="92"/>
      <c r="U14" s="92"/>
    </row>
    <row r="15" spans="1:21" ht="15" customHeight="1">
      <c r="B15" s="96" t="s">
        <v>110</v>
      </c>
      <c r="C15" s="105" t="s">
        <v>191</v>
      </c>
      <c r="D15" s="105" t="s">
        <v>191</v>
      </c>
      <c r="E15" s="105" t="s">
        <v>191</v>
      </c>
      <c r="F15" s="105">
        <v>453.17031975990915</v>
      </c>
      <c r="G15" s="105">
        <v>453.17031975990915</v>
      </c>
      <c r="I15" s="90"/>
      <c r="J15" s="92"/>
      <c r="K15" s="92"/>
      <c r="L15" s="92"/>
      <c r="M15" s="92"/>
      <c r="N15" s="92"/>
      <c r="O15" s="92"/>
      <c r="P15" s="92"/>
      <c r="R15" s="92"/>
      <c r="S15" s="92"/>
      <c r="T15" s="92"/>
      <c r="U15" s="92"/>
    </row>
    <row r="16" spans="1:21" ht="15" customHeight="1">
      <c r="B16" s="96" t="s">
        <v>111</v>
      </c>
      <c r="C16" s="105">
        <v>34.98397921679743</v>
      </c>
      <c r="D16" s="105" t="s">
        <v>191</v>
      </c>
      <c r="E16" s="105" t="s">
        <v>191</v>
      </c>
      <c r="F16" s="105">
        <v>775.39567838460971</v>
      </c>
      <c r="G16" s="105">
        <v>810.37965760140719</v>
      </c>
      <c r="I16" s="92"/>
      <c r="J16" s="92"/>
      <c r="K16" s="92"/>
      <c r="L16" s="92"/>
      <c r="M16" s="92"/>
      <c r="N16" s="92"/>
      <c r="O16" s="92"/>
      <c r="P16" s="92"/>
    </row>
    <row r="17" spans="1:16" ht="15" customHeight="1">
      <c r="B17" s="96" t="s">
        <v>112</v>
      </c>
      <c r="C17" s="105" t="s">
        <v>191</v>
      </c>
      <c r="D17" s="105" t="s">
        <v>191</v>
      </c>
      <c r="E17" s="105" t="s">
        <v>191</v>
      </c>
      <c r="F17" s="105">
        <v>3373.2875772165198</v>
      </c>
      <c r="G17" s="105">
        <v>3373.2875772165198</v>
      </c>
      <c r="I17" s="92"/>
      <c r="J17" s="92"/>
      <c r="K17" s="92"/>
      <c r="L17" s="92"/>
      <c r="M17" s="92"/>
      <c r="N17" s="92"/>
      <c r="O17" s="92"/>
      <c r="P17" s="92"/>
    </row>
    <row r="18" spans="1:16" ht="15" customHeight="1">
      <c r="B18" s="96" t="s">
        <v>113</v>
      </c>
      <c r="C18" s="105">
        <v>133.08471060015648</v>
      </c>
      <c r="D18" s="105">
        <v>11.649257784068206</v>
      </c>
      <c r="E18" s="105" t="s">
        <v>191</v>
      </c>
      <c r="F18" s="105">
        <v>1115.3734578442952</v>
      </c>
      <c r="G18" s="105">
        <v>1260.1074262285199</v>
      </c>
      <c r="I18" s="92"/>
      <c r="J18" s="92"/>
      <c r="K18" s="92"/>
      <c r="L18" s="92"/>
      <c r="M18" s="92"/>
      <c r="N18" s="92"/>
      <c r="O18" s="92"/>
      <c r="P18" s="92"/>
    </row>
    <row r="19" spans="1:16" ht="17.25" customHeight="1" thickBot="1">
      <c r="B19" s="104" t="s">
        <v>192</v>
      </c>
      <c r="C19" s="107">
        <v>8403.390984325988</v>
      </c>
      <c r="D19" s="107">
        <v>1206.4326189590777</v>
      </c>
      <c r="E19" s="107">
        <v>11.165266195657791</v>
      </c>
      <c r="F19" s="107">
        <v>8347.4867178504683</v>
      </c>
      <c r="G19" s="107">
        <v>17968.475587331191</v>
      </c>
    </row>
    <row r="20" spans="1:16" ht="15" customHeight="1" thickTop="1">
      <c r="B20" s="90"/>
      <c r="C20" s="91"/>
      <c r="D20" s="91"/>
      <c r="E20" s="91"/>
      <c r="F20" s="91"/>
      <c r="G20" s="91"/>
    </row>
    <row r="21" spans="1:16" ht="15" customHeight="1">
      <c r="A21" s="88" t="s">
        <v>194</v>
      </c>
      <c r="B21" s="96" t="s">
        <v>107</v>
      </c>
      <c r="C21" s="97">
        <v>1369.4177746045293</v>
      </c>
      <c r="D21" s="97">
        <v>689.35063688899413</v>
      </c>
      <c r="E21" s="97">
        <v>93.4622114043284</v>
      </c>
      <c r="F21" s="97">
        <v>798.18708166868896</v>
      </c>
      <c r="G21" s="97">
        <v>2950.417704566541</v>
      </c>
    </row>
    <row r="22" spans="1:16" ht="15" customHeight="1">
      <c r="B22" s="96" t="s">
        <v>116</v>
      </c>
      <c r="C22" s="97">
        <v>2152.7854444625532</v>
      </c>
      <c r="D22" s="97">
        <v>259.32568093147376</v>
      </c>
      <c r="E22" s="97">
        <v>1189.3091878280718</v>
      </c>
      <c r="F22" s="97">
        <v>1286.0583033816426</v>
      </c>
      <c r="G22" s="97">
        <v>4887.478616603742</v>
      </c>
    </row>
    <row r="23" spans="1:16" ht="15" customHeight="1">
      <c r="B23" s="96" t="s">
        <v>117</v>
      </c>
      <c r="C23" s="97">
        <v>4793.4818800379771</v>
      </c>
      <c r="D23" s="97">
        <v>1834.1450867625672</v>
      </c>
      <c r="E23" s="97">
        <v>243.02101718527183</v>
      </c>
      <c r="F23" s="97">
        <v>1679.6365789530998</v>
      </c>
      <c r="G23" s="97">
        <v>8550.2845629389158</v>
      </c>
    </row>
    <row r="24" spans="1:16" ht="15" customHeight="1">
      <c r="B24" s="96" t="s">
        <v>118</v>
      </c>
      <c r="C24" s="97">
        <v>1679.4997615193138</v>
      </c>
      <c r="D24" s="97">
        <v>741.97706310508181</v>
      </c>
      <c r="E24" s="97">
        <v>151.6871471618133</v>
      </c>
      <c r="F24" s="97">
        <v>621.53506222563453</v>
      </c>
      <c r="G24" s="97">
        <v>3194.6990340118437</v>
      </c>
    </row>
    <row r="25" spans="1:16" ht="15" customHeight="1">
      <c r="B25" s="100" t="s">
        <v>190</v>
      </c>
      <c r="C25" s="100">
        <v>9995.184860624373</v>
      </c>
      <c r="D25" s="100">
        <v>3524.7984676881169</v>
      </c>
      <c r="E25" s="100">
        <v>1677.4795635794853</v>
      </c>
      <c r="F25" s="100">
        <v>4385.4170262290663</v>
      </c>
      <c r="G25" s="100">
        <v>19582.879918121042</v>
      </c>
    </row>
    <row r="26" spans="1:16" ht="15" customHeight="1">
      <c r="B26" s="96" t="s">
        <v>119</v>
      </c>
      <c r="C26" s="105" t="s">
        <v>191</v>
      </c>
      <c r="D26" s="105" t="s">
        <v>191</v>
      </c>
      <c r="E26" s="105" t="s">
        <v>191</v>
      </c>
      <c r="F26" s="105">
        <v>3210.6270060518964</v>
      </c>
      <c r="G26" s="90">
        <v>3210.6270060518964</v>
      </c>
    </row>
    <row r="27" spans="1:16" ht="15" customHeight="1">
      <c r="B27" s="96" t="s">
        <v>120</v>
      </c>
      <c r="C27" s="105" t="s">
        <v>191</v>
      </c>
      <c r="D27" s="105" t="s">
        <v>191</v>
      </c>
      <c r="E27" s="105" t="s">
        <v>191</v>
      </c>
      <c r="F27" s="105">
        <v>933.55506550179769</v>
      </c>
      <c r="G27" s="105">
        <v>933.55506550179769</v>
      </c>
    </row>
    <row r="28" spans="1:16" ht="15" customHeight="1">
      <c r="B28" s="96" t="s">
        <v>112</v>
      </c>
      <c r="C28" s="105" t="s">
        <v>191</v>
      </c>
      <c r="D28" s="105" t="s">
        <v>191</v>
      </c>
      <c r="E28" s="105" t="s">
        <v>191</v>
      </c>
      <c r="F28" s="105">
        <v>319.64348874124767</v>
      </c>
      <c r="G28" s="105">
        <v>319.64348874124767</v>
      </c>
    </row>
    <row r="29" spans="1:16" ht="15" customHeight="1">
      <c r="B29" s="96" t="s">
        <v>121</v>
      </c>
      <c r="C29" s="105" t="s">
        <v>191</v>
      </c>
      <c r="D29" s="105" t="s">
        <v>191</v>
      </c>
      <c r="E29" s="105" t="s">
        <v>191</v>
      </c>
      <c r="F29" s="105">
        <v>574.07630569071762</v>
      </c>
      <c r="G29" s="105">
        <v>574.07630569071762</v>
      </c>
    </row>
    <row r="30" spans="1:16" ht="15" customHeight="1">
      <c r="B30" s="96" t="s">
        <v>113</v>
      </c>
      <c r="C30" s="105">
        <v>1400.9454452386162</v>
      </c>
      <c r="D30" s="105">
        <v>492.8719860068295</v>
      </c>
      <c r="E30" s="105">
        <v>187.03051501601595</v>
      </c>
      <c r="F30" s="105">
        <v>500.03599669065829</v>
      </c>
      <c r="G30" s="105">
        <v>2580.8839429521204</v>
      </c>
    </row>
    <row r="31" spans="1:16" ht="15" customHeight="1" thickBot="1">
      <c r="B31" s="104" t="s">
        <v>195</v>
      </c>
      <c r="C31" s="107">
        <v>11396.130305862989</v>
      </c>
      <c r="D31" s="107">
        <v>4017.6704536949464</v>
      </c>
      <c r="E31" s="107">
        <v>1864.5100785955012</v>
      </c>
      <c r="F31" s="107">
        <v>9923.3548889053836</v>
      </c>
      <c r="G31" s="107">
        <v>27201.665727058818</v>
      </c>
    </row>
    <row r="32" spans="1:16" ht="15" customHeight="1" thickTop="1"/>
    <row r="33" spans="1:9" ht="15" customHeight="1">
      <c r="A33" s="108" t="s">
        <v>132</v>
      </c>
      <c r="B33" s="109" t="s">
        <v>107</v>
      </c>
      <c r="C33" s="110">
        <v>28359.640604388442</v>
      </c>
      <c r="D33" s="110">
        <v>3869.4325761242517</v>
      </c>
      <c r="E33" s="110">
        <v>627.83067195885212</v>
      </c>
      <c r="F33" s="110">
        <v>3207.2409425175811</v>
      </c>
      <c r="G33" s="110">
        <v>36064.144794989123</v>
      </c>
    </row>
    <row r="34" spans="1:9" ht="15" customHeight="1">
      <c r="A34" s="108"/>
      <c r="B34" s="109" t="s">
        <v>188</v>
      </c>
      <c r="C34" s="110">
        <v>10151.386370604296</v>
      </c>
      <c r="D34" s="110">
        <v>849.72304723459081</v>
      </c>
      <c r="E34" s="110">
        <v>153.8146833775522</v>
      </c>
      <c r="F34" s="110">
        <v>1675.8171188328474</v>
      </c>
      <c r="G34" s="110">
        <v>12830.741220049287</v>
      </c>
    </row>
    <row r="35" spans="1:9" ht="15" customHeight="1">
      <c r="A35" s="108"/>
      <c r="B35" s="109" t="s">
        <v>189</v>
      </c>
      <c r="C35" s="110">
        <v>1438.0688515578067</v>
      </c>
      <c r="D35" s="110">
        <v>41.532846312303207</v>
      </c>
      <c r="E35" s="110">
        <v>2.977912368790709</v>
      </c>
      <c r="F35" s="110">
        <v>1724.588441337557</v>
      </c>
      <c r="G35" s="110">
        <v>3207.1680515764579</v>
      </c>
    </row>
    <row r="36" spans="1:9" ht="15" customHeight="1">
      <c r="A36" s="108"/>
      <c r="B36" s="109" t="s">
        <v>196</v>
      </c>
      <c r="C36" s="110">
        <v>6946.2673245005299</v>
      </c>
      <c r="D36" s="110">
        <v>2093.4707676940411</v>
      </c>
      <c r="E36" s="110">
        <v>1432.3302050133436</v>
      </c>
      <c r="F36" s="110">
        <v>2965.6948823347425</v>
      </c>
      <c r="G36" s="110">
        <v>13437.763179542657</v>
      </c>
    </row>
    <row r="37" spans="1:9" ht="15" customHeight="1">
      <c r="A37" s="108"/>
      <c r="B37" s="109" t="s">
        <v>197</v>
      </c>
      <c r="C37" s="110">
        <v>1679.4997615193138</v>
      </c>
      <c r="D37" s="110">
        <v>741.97706310508181</v>
      </c>
      <c r="E37" s="110">
        <v>151.6871471618133</v>
      </c>
      <c r="F37" s="110">
        <v>621.53506222563453</v>
      </c>
      <c r="G37" s="110">
        <v>3194.6990340118437</v>
      </c>
    </row>
    <row r="38" spans="1:9" ht="15" customHeight="1">
      <c r="A38" s="108"/>
      <c r="B38" s="111" t="s">
        <v>190</v>
      </c>
      <c r="C38" s="112">
        <v>48574.862912570388</v>
      </c>
      <c r="D38" s="112">
        <v>7596.1363004702689</v>
      </c>
      <c r="E38" s="112">
        <v>2368.640619880352</v>
      </c>
      <c r="F38" s="112">
        <v>10194.876447248362</v>
      </c>
      <c r="G38" s="112">
        <v>68734.51628016938</v>
      </c>
      <c r="I38" s="113"/>
    </row>
    <row r="39" spans="1:9" ht="15" customHeight="1">
      <c r="A39" s="108"/>
      <c r="B39" s="109" t="s">
        <v>110</v>
      </c>
      <c r="C39" s="114" t="s">
        <v>191</v>
      </c>
      <c r="D39" s="114" t="s">
        <v>191</v>
      </c>
      <c r="E39" s="114" t="s">
        <v>191</v>
      </c>
      <c r="F39" s="110">
        <v>453.17031975990915</v>
      </c>
      <c r="G39" s="110">
        <v>453.17031975990915</v>
      </c>
    </row>
    <row r="40" spans="1:9" ht="15" customHeight="1">
      <c r="A40" s="108"/>
      <c r="B40" s="109" t="s">
        <v>111</v>
      </c>
      <c r="C40" s="110">
        <v>34.98397921679743</v>
      </c>
      <c r="D40" s="114" t="s">
        <v>191</v>
      </c>
      <c r="E40" s="114" t="s">
        <v>191</v>
      </c>
      <c r="F40" s="110">
        <v>775.39567838460971</v>
      </c>
      <c r="G40" s="110">
        <v>810.37965760140719</v>
      </c>
    </row>
    <row r="41" spans="1:9" ht="15" customHeight="1">
      <c r="A41" s="108"/>
      <c r="B41" s="109" t="s">
        <v>65</v>
      </c>
      <c r="C41" s="110">
        <v>3.2402428691751259</v>
      </c>
      <c r="D41" s="114" t="s">
        <v>191</v>
      </c>
      <c r="E41" s="114" t="s">
        <v>191</v>
      </c>
      <c r="F41" s="110">
        <v>10406.300961143796</v>
      </c>
      <c r="G41" s="110">
        <v>10409.54120401297</v>
      </c>
    </row>
    <row r="42" spans="1:9" ht="15" customHeight="1">
      <c r="A42" s="108"/>
      <c r="B42" s="109" t="s">
        <v>119</v>
      </c>
      <c r="C42" s="114" t="s">
        <v>191</v>
      </c>
      <c r="D42" s="114" t="s">
        <v>191</v>
      </c>
      <c r="E42" s="114" t="s">
        <v>191</v>
      </c>
      <c r="F42" s="110">
        <v>3210.6270060518964</v>
      </c>
      <c r="G42" s="110">
        <v>3210.6270060518964</v>
      </c>
    </row>
    <row r="43" spans="1:9" ht="15" customHeight="1">
      <c r="A43" s="108"/>
      <c r="B43" s="109" t="s">
        <v>120</v>
      </c>
      <c r="C43" s="114" t="s">
        <v>191</v>
      </c>
      <c r="D43" s="114" t="s">
        <v>191</v>
      </c>
      <c r="E43" s="114" t="s">
        <v>191</v>
      </c>
      <c r="F43" s="110">
        <v>933.55506550179769</v>
      </c>
      <c r="G43" s="110">
        <v>933.55506550179769</v>
      </c>
    </row>
    <row r="44" spans="1:9" ht="15" customHeight="1">
      <c r="A44" s="108"/>
      <c r="B44" s="109" t="s">
        <v>121</v>
      </c>
      <c r="C44" s="114" t="s">
        <v>191</v>
      </c>
      <c r="D44" s="114" t="s">
        <v>191</v>
      </c>
      <c r="E44" s="114" t="s">
        <v>191</v>
      </c>
      <c r="F44" s="110">
        <v>574.07630569071762</v>
      </c>
      <c r="G44" s="110">
        <v>574.07630569071762</v>
      </c>
    </row>
    <row r="45" spans="1:9" ht="15" customHeight="1">
      <c r="A45" s="108"/>
      <c r="B45" s="115" t="s">
        <v>113</v>
      </c>
      <c r="C45" s="116">
        <v>1534.0301558387728</v>
      </c>
      <c r="D45" s="116">
        <v>504.5212437908977</v>
      </c>
      <c r="E45" s="116">
        <v>187.03051501601595</v>
      </c>
      <c r="F45" s="116">
        <v>1615.4094545349535</v>
      </c>
      <c r="G45" s="116">
        <v>3840.9913691806405</v>
      </c>
    </row>
    <row r="46" spans="1:9" ht="15" customHeight="1">
      <c r="A46" s="108"/>
      <c r="B46" s="109" t="s">
        <v>198</v>
      </c>
      <c r="C46" s="110">
        <v>1572.2543779247453</v>
      </c>
      <c r="D46" s="110">
        <v>504.5212437908977</v>
      </c>
      <c r="E46" s="110">
        <v>187.03051501601595</v>
      </c>
      <c r="F46" s="110">
        <v>17968.534791067679</v>
      </c>
      <c r="G46" s="110">
        <v>20232.340927799338</v>
      </c>
    </row>
    <row r="47" spans="1:9" ht="15" customHeight="1" thickBot="1">
      <c r="A47" s="117"/>
      <c r="B47" s="118" t="s">
        <v>199</v>
      </c>
      <c r="C47" s="119">
        <v>50147.117290495131</v>
      </c>
      <c r="D47" s="119">
        <v>8100.6575442611665</v>
      </c>
      <c r="E47" s="119">
        <v>2555.6711348963681</v>
      </c>
      <c r="F47" s="119">
        <v>28163.411238316039</v>
      </c>
      <c r="G47" s="119">
        <v>88966.857207968715</v>
      </c>
    </row>
    <row r="48" spans="1:9" ht="15" customHeight="1" thickTop="1">
      <c r="A48" s="120" t="s">
        <v>200</v>
      </c>
    </row>
    <row r="49" spans="1:3" ht="15" customHeight="1">
      <c r="A49" s="121" t="s">
        <v>201</v>
      </c>
    </row>
    <row r="50" spans="1:3" ht="15" customHeight="1"/>
    <row r="51" spans="1:3" ht="15" customHeight="1">
      <c r="A51" s="122" t="s">
        <v>202</v>
      </c>
    </row>
    <row r="52" spans="1:3" ht="15" customHeight="1">
      <c r="A52" s="122" t="s">
        <v>203</v>
      </c>
      <c r="B52" s="122"/>
      <c r="C52" s="122"/>
    </row>
    <row r="53" spans="1:3" ht="15" customHeight="1"/>
    <row r="54" spans="1:3" ht="15" customHeight="1"/>
  </sheetData>
  <pageMargins left="0.75" right="0.75" top="1" bottom="1" header="0.5" footer="0.5"/>
  <headerFooter alignWithMargins="0"/>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4" enableFormatConditionsCalculation="0">
    <pageSetUpPr fitToPage="1"/>
  </sheetPr>
  <dimension ref="A1:BM48"/>
  <sheetViews>
    <sheetView workbookViewId="0"/>
  </sheetViews>
  <sheetFormatPr baseColWidth="10" defaultColWidth="8.83203125" defaultRowHeight="12" x14ac:dyDescent="0"/>
  <cols>
    <col min="1" max="1" width="8.83203125" style="88"/>
    <col min="2" max="2" width="13.33203125" style="88" customWidth="1"/>
    <col min="3" max="3" width="16" style="88" customWidth="1"/>
    <col min="4" max="4" width="16.6640625" style="88" customWidth="1"/>
    <col min="5" max="5" width="18.6640625" style="88" customWidth="1"/>
    <col min="6" max="6" width="14.6640625" style="88" customWidth="1"/>
    <col min="7" max="7" width="10.83203125" style="88" customWidth="1"/>
    <col min="8" max="8" width="13.83203125" style="88" customWidth="1"/>
    <col min="9" max="10" width="12" style="88" customWidth="1"/>
    <col min="11" max="11" width="13.1640625" style="88" customWidth="1"/>
    <col min="12" max="12" width="11.6640625" style="88" customWidth="1"/>
    <col min="13" max="13" width="9.33203125" style="88" customWidth="1"/>
    <col min="14" max="257" width="8.83203125" style="88"/>
    <col min="258" max="258" width="13.33203125" style="88" customWidth="1"/>
    <col min="259" max="259" width="16" style="88" customWidth="1"/>
    <col min="260" max="260" width="16.6640625" style="88" customWidth="1"/>
    <col min="261" max="261" width="18.6640625" style="88" customWidth="1"/>
    <col min="262" max="262" width="14.6640625" style="88" customWidth="1"/>
    <col min="263" max="263" width="10.83203125" style="88" customWidth="1"/>
    <col min="264" max="264" width="13.83203125" style="88" customWidth="1"/>
    <col min="265" max="266" width="12" style="88" customWidth="1"/>
    <col min="267" max="267" width="13.1640625" style="88" customWidth="1"/>
    <col min="268" max="268" width="11.6640625" style="88" customWidth="1"/>
    <col min="269" max="269" width="9.33203125" style="88" customWidth="1"/>
    <col min="270" max="513" width="8.83203125" style="88"/>
    <col min="514" max="514" width="13.33203125" style="88" customWidth="1"/>
    <col min="515" max="515" width="16" style="88" customWidth="1"/>
    <col min="516" max="516" width="16.6640625" style="88" customWidth="1"/>
    <col min="517" max="517" width="18.6640625" style="88" customWidth="1"/>
    <col min="518" max="518" width="14.6640625" style="88" customWidth="1"/>
    <col min="519" max="519" width="10.83203125" style="88" customWidth="1"/>
    <col min="520" max="520" width="13.83203125" style="88" customWidth="1"/>
    <col min="521" max="522" width="12" style="88" customWidth="1"/>
    <col min="523" max="523" width="13.1640625" style="88" customWidth="1"/>
    <col min="524" max="524" width="11.6640625" style="88" customWidth="1"/>
    <col min="525" max="525" width="9.33203125" style="88" customWidth="1"/>
    <col min="526" max="769" width="8.83203125" style="88"/>
    <col min="770" max="770" width="13.33203125" style="88" customWidth="1"/>
    <col min="771" max="771" width="16" style="88" customWidth="1"/>
    <col min="772" max="772" width="16.6640625" style="88" customWidth="1"/>
    <col min="773" max="773" width="18.6640625" style="88" customWidth="1"/>
    <col min="774" max="774" width="14.6640625" style="88" customWidth="1"/>
    <col min="775" max="775" width="10.83203125" style="88" customWidth="1"/>
    <col min="776" max="776" width="13.83203125" style="88" customWidth="1"/>
    <col min="777" max="778" width="12" style="88" customWidth="1"/>
    <col min="779" max="779" width="13.1640625" style="88" customWidth="1"/>
    <col min="780" max="780" width="11.6640625" style="88" customWidth="1"/>
    <col min="781" max="781" width="9.33203125" style="88" customWidth="1"/>
    <col min="782" max="1025" width="8.83203125" style="88"/>
    <col min="1026" max="1026" width="13.33203125" style="88" customWidth="1"/>
    <col min="1027" max="1027" width="16" style="88" customWidth="1"/>
    <col min="1028" max="1028" width="16.6640625" style="88" customWidth="1"/>
    <col min="1029" max="1029" width="18.6640625" style="88" customWidth="1"/>
    <col min="1030" max="1030" width="14.6640625" style="88" customWidth="1"/>
    <col min="1031" max="1031" width="10.83203125" style="88" customWidth="1"/>
    <col min="1032" max="1032" width="13.83203125" style="88" customWidth="1"/>
    <col min="1033" max="1034" width="12" style="88" customWidth="1"/>
    <col min="1035" max="1035" width="13.1640625" style="88" customWidth="1"/>
    <col min="1036" max="1036" width="11.6640625" style="88" customWidth="1"/>
    <col min="1037" max="1037" width="9.33203125" style="88" customWidth="1"/>
    <col min="1038" max="1281" width="8.83203125" style="88"/>
    <col min="1282" max="1282" width="13.33203125" style="88" customWidth="1"/>
    <col min="1283" max="1283" width="16" style="88" customWidth="1"/>
    <col min="1284" max="1284" width="16.6640625" style="88" customWidth="1"/>
    <col min="1285" max="1285" width="18.6640625" style="88" customWidth="1"/>
    <col min="1286" max="1286" width="14.6640625" style="88" customWidth="1"/>
    <col min="1287" max="1287" width="10.83203125" style="88" customWidth="1"/>
    <col min="1288" max="1288" width="13.83203125" style="88" customWidth="1"/>
    <col min="1289" max="1290" width="12" style="88" customWidth="1"/>
    <col min="1291" max="1291" width="13.1640625" style="88" customWidth="1"/>
    <col min="1292" max="1292" width="11.6640625" style="88" customWidth="1"/>
    <col min="1293" max="1293" width="9.33203125" style="88" customWidth="1"/>
    <col min="1294" max="1537" width="8.83203125" style="88"/>
    <col min="1538" max="1538" width="13.33203125" style="88" customWidth="1"/>
    <col min="1539" max="1539" width="16" style="88" customWidth="1"/>
    <col min="1540" max="1540" width="16.6640625" style="88" customWidth="1"/>
    <col min="1541" max="1541" width="18.6640625" style="88" customWidth="1"/>
    <col min="1542" max="1542" width="14.6640625" style="88" customWidth="1"/>
    <col min="1543" max="1543" width="10.83203125" style="88" customWidth="1"/>
    <col min="1544" max="1544" width="13.83203125" style="88" customWidth="1"/>
    <col min="1545" max="1546" width="12" style="88" customWidth="1"/>
    <col min="1547" max="1547" width="13.1640625" style="88" customWidth="1"/>
    <col min="1548" max="1548" width="11.6640625" style="88" customWidth="1"/>
    <col min="1549" max="1549" width="9.33203125" style="88" customWidth="1"/>
    <col min="1550" max="1793" width="8.83203125" style="88"/>
    <col min="1794" max="1794" width="13.33203125" style="88" customWidth="1"/>
    <col min="1795" max="1795" width="16" style="88" customWidth="1"/>
    <col min="1796" max="1796" width="16.6640625" style="88" customWidth="1"/>
    <col min="1797" max="1797" width="18.6640625" style="88" customWidth="1"/>
    <col min="1798" max="1798" width="14.6640625" style="88" customWidth="1"/>
    <col min="1799" max="1799" width="10.83203125" style="88" customWidth="1"/>
    <col min="1800" max="1800" width="13.83203125" style="88" customWidth="1"/>
    <col min="1801" max="1802" width="12" style="88" customWidth="1"/>
    <col min="1803" max="1803" width="13.1640625" style="88" customWidth="1"/>
    <col min="1804" max="1804" width="11.6640625" style="88" customWidth="1"/>
    <col min="1805" max="1805" width="9.33203125" style="88" customWidth="1"/>
    <col min="1806" max="2049" width="8.83203125" style="88"/>
    <col min="2050" max="2050" width="13.33203125" style="88" customWidth="1"/>
    <col min="2051" max="2051" width="16" style="88" customWidth="1"/>
    <col min="2052" max="2052" width="16.6640625" style="88" customWidth="1"/>
    <col min="2053" max="2053" width="18.6640625" style="88" customWidth="1"/>
    <col min="2054" max="2054" width="14.6640625" style="88" customWidth="1"/>
    <col min="2055" max="2055" width="10.83203125" style="88" customWidth="1"/>
    <col min="2056" max="2056" width="13.83203125" style="88" customWidth="1"/>
    <col min="2057" max="2058" width="12" style="88" customWidth="1"/>
    <col min="2059" max="2059" width="13.1640625" style="88" customWidth="1"/>
    <col min="2060" max="2060" width="11.6640625" style="88" customWidth="1"/>
    <col min="2061" max="2061" width="9.33203125" style="88" customWidth="1"/>
    <col min="2062" max="2305" width="8.83203125" style="88"/>
    <col min="2306" max="2306" width="13.33203125" style="88" customWidth="1"/>
    <col min="2307" max="2307" width="16" style="88" customWidth="1"/>
    <col min="2308" max="2308" width="16.6640625" style="88" customWidth="1"/>
    <col min="2309" max="2309" width="18.6640625" style="88" customWidth="1"/>
    <col min="2310" max="2310" width="14.6640625" style="88" customWidth="1"/>
    <col min="2311" max="2311" width="10.83203125" style="88" customWidth="1"/>
    <col min="2312" max="2312" width="13.83203125" style="88" customWidth="1"/>
    <col min="2313" max="2314" width="12" style="88" customWidth="1"/>
    <col min="2315" max="2315" width="13.1640625" style="88" customWidth="1"/>
    <col min="2316" max="2316" width="11.6640625" style="88" customWidth="1"/>
    <col min="2317" max="2317" width="9.33203125" style="88" customWidth="1"/>
    <col min="2318" max="2561" width="8.83203125" style="88"/>
    <col min="2562" max="2562" width="13.33203125" style="88" customWidth="1"/>
    <col min="2563" max="2563" width="16" style="88" customWidth="1"/>
    <col min="2564" max="2564" width="16.6640625" style="88" customWidth="1"/>
    <col min="2565" max="2565" width="18.6640625" style="88" customWidth="1"/>
    <col min="2566" max="2566" width="14.6640625" style="88" customWidth="1"/>
    <col min="2567" max="2567" width="10.83203125" style="88" customWidth="1"/>
    <col min="2568" max="2568" width="13.83203125" style="88" customWidth="1"/>
    <col min="2569" max="2570" width="12" style="88" customWidth="1"/>
    <col min="2571" max="2571" width="13.1640625" style="88" customWidth="1"/>
    <col min="2572" max="2572" width="11.6640625" style="88" customWidth="1"/>
    <col min="2573" max="2573" width="9.33203125" style="88" customWidth="1"/>
    <col min="2574" max="2817" width="8.83203125" style="88"/>
    <col min="2818" max="2818" width="13.33203125" style="88" customWidth="1"/>
    <col min="2819" max="2819" width="16" style="88" customWidth="1"/>
    <col min="2820" max="2820" width="16.6640625" style="88" customWidth="1"/>
    <col min="2821" max="2821" width="18.6640625" style="88" customWidth="1"/>
    <col min="2822" max="2822" width="14.6640625" style="88" customWidth="1"/>
    <col min="2823" max="2823" width="10.83203125" style="88" customWidth="1"/>
    <col min="2824" max="2824" width="13.83203125" style="88" customWidth="1"/>
    <col min="2825" max="2826" width="12" style="88" customWidth="1"/>
    <col min="2827" max="2827" width="13.1640625" style="88" customWidth="1"/>
    <col min="2828" max="2828" width="11.6640625" style="88" customWidth="1"/>
    <col min="2829" max="2829" width="9.33203125" style="88" customWidth="1"/>
    <col min="2830" max="3073" width="8.83203125" style="88"/>
    <col min="3074" max="3074" width="13.33203125" style="88" customWidth="1"/>
    <col min="3075" max="3075" width="16" style="88" customWidth="1"/>
    <col min="3076" max="3076" width="16.6640625" style="88" customWidth="1"/>
    <col min="3077" max="3077" width="18.6640625" style="88" customWidth="1"/>
    <col min="3078" max="3078" width="14.6640625" style="88" customWidth="1"/>
    <col min="3079" max="3079" width="10.83203125" style="88" customWidth="1"/>
    <col min="3080" max="3080" width="13.83203125" style="88" customWidth="1"/>
    <col min="3081" max="3082" width="12" style="88" customWidth="1"/>
    <col min="3083" max="3083" width="13.1640625" style="88" customWidth="1"/>
    <col min="3084" max="3084" width="11.6640625" style="88" customWidth="1"/>
    <col min="3085" max="3085" width="9.33203125" style="88" customWidth="1"/>
    <col min="3086" max="3329" width="8.83203125" style="88"/>
    <col min="3330" max="3330" width="13.33203125" style="88" customWidth="1"/>
    <col min="3331" max="3331" width="16" style="88" customWidth="1"/>
    <col min="3332" max="3332" width="16.6640625" style="88" customWidth="1"/>
    <col min="3333" max="3333" width="18.6640625" style="88" customWidth="1"/>
    <col min="3334" max="3334" width="14.6640625" style="88" customWidth="1"/>
    <col min="3335" max="3335" width="10.83203125" style="88" customWidth="1"/>
    <col min="3336" max="3336" width="13.83203125" style="88" customWidth="1"/>
    <col min="3337" max="3338" width="12" style="88" customWidth="1"/>
    <col min="3339" max="3339" width="13.1640625" style="88" customWidth="1"/>
    <col min="3340" max="3340" width="11.6640625" style="88" customWidth="1"/>
    <col min="3341" max="3341" width="9.33203125" style="88" customWidth="1"/>
    <col min="3342" max="3585" width="8.83203125" style="88"/>
    <col min="3586" max="3586" width="13.33203125" style="88" customWidth="1"/>
    <col min="3587" max="3587" width="16" style="88" customWidth="1"/>
    <col min="3588" max="3588" width="16.6640625" style="88" customWidth="1"/>
    <col min="3589" max="3589" width="18.6640625" style="88" customWidth="1"/>
    <col min="3590" max="3590" width="14.6640625" style="88" customWidth="1"/>
    <col min="3591" max="3591" width="10.83203125" style="88" customWidth="1"/>
    <col min="3592" max="3592" width="13.83203125" style="88" customWidth="1"/>
    <col min="3593" max="3594" width="12" style="88" customWidth="1"/>
    <col min="3595" max="3595" width="13.1640625" style="88" customWidth="1"/>
    <col min="3596" max="3596" width="11.6640625" style="88" customWidth="1"/>
    <col min="3597" max="3597" width="9.33203125" style="88" customWidth="1"/>
    <col min="3598" max="3841" width="8.83203125" style="88"/>
    <col min="3842" max="3842" width="13.33203125" style="88" customWidth="1"/>
    <col min="3843" max="3843" width="16" style="88" customWidth="1"/>
    <col min="3844" max="3844" width="16.6640625" style="88" customWidth="1"/>
    <col min="3845" max="3845" width="18.6640625" style="88" customWidth="1"/>
    <col min="3846" max="3846" width="14.6640625" style="88" customWidth="1"/>
    <col min="3847" max="3847" width="10.83203125" style="88" customWidth="1"/>
    <col min="3848" max="3848" width="13.83203125" style="88" customWidth="1"/>
    <col min="3849" max="3850" width="12" style="88" customWidth="1"/>
    <col min="3851" max="3851" width="13.1640625" style="88" customWidth="1"/>
    <col min="3852" max="3852" width="11.6640625" style="88" customWidth="1"/>
    <col min="3853" max="3853" width="9.33203125" style="88" customWidth="1"/>
    <col min="3854" max="4097" width="8.83203125" style="88"/>
    <col min="4098" max="4098" width="13.33203125" style="88" customWidth="1"/>
    <col min="4099" max="4099" width="16" style="88" customWidth="1"/>
    <col min="4100" max="4100" width="16.6640625" style="88" customWidth="1"/>
    <col min="4101" max="4101" width="18.6640625" style="88" customWidth="1"/>
    <col min="4102" max="4102" width="14.6640625" style="88" customWidth="1"/>
    <col min="4103" max="4103" width="10.83203125" style="88" customWidth="1"/>
    <col min="4104" max="4104" width="13.83203125" style="88" customWidth="1"/>
    <col min="4105" max="4106" width="12" style="88" customWidth="1"/>
    <col min="4107" max="4107" width="13.1640625" style="88" customWidth="1"/>
    <col min="4108" max="4108" width="11.6640625" style="88" customWidth="1"/>
    <col min="4109" max="4109" width="9.33203125" style="88" customWidth="1"/>
    <col min="4110" max="4353" width="8.83203125" style="88"/>
    <col min="4354" max="4354" width="13.33203125" style="88" customWidth="1"/>
    <col min="4355" max="4355" width="16" style="88" customWidth="1"/>
    <col min="4356" max="4356" width="16.6640625" style="88" customWidth="1"/>
    <col min="4357" max="4357" width="18.6640625" style="88" customWidth="1"/>
    <col min="4358" max="4358" width="14.6640625" style="88" customWidth="1"/>
    <col min="4359" max="4359" width="10.83203125" style="88" customWidth="1"/>
    <col min="4360" max="4360" width="13.83203125" style="88" customWidth="1"/>
    <col min="4361" max="4362" width="12" style="88" customWidth="1"/>
    <col min="4363" max="4363" width="13.1640625" style="88" customWidth="1"/>
    <col min="4364" max="4364" width="11.6640625" style="88" customWidth="1"/>
    <col min="4365" max="4365" width="9.33203125" style="88" customWidth="1"/>
    <col min="4366" max="4609" width="8.83203125" style="88"/>
    <col min="4610" max="4610" width="13.33203125" style="88" customWidth="1"/>
    <col min="4611" max="4611" width="16" style="88" customWidth="1"/>
    <col min="4612" max="4612" width="16.6640625" style="88" customWidth="1"/>
    <col min="4613" max="4613" width="18.6640625" style="88" customWidth="1"/>
    <col min="4614" max="4614" width="14.6640625" style="88" customWidth="1"/>
    <col min="4615" max="4615" width="10.83203125" style="88" customWidth="1"/>
    <col min="4616" max="4616" width="13.83203125" style="88" customWidth="1"/>
    <col min="4617" max="4618" width="12" style="88" customWidth="1"/>
    <col min="4619" max="4619" width="13.1640625" style="88" customWidth="1"/>
    <col min="4620" max="4620" width="11.6640625" style="88" customWidth="1"/>
    <col min="4621" max="4621" width="9.33203125" style="88" customWidth="1"/>
    <col min="4622" max="4865" width="8.83203125" style="88"/>
    <col min="4866" max="4866" width="13.33203125" style="88" customWidth="1"/>
    <col min="4867" max="4867" width="16" style="88" customWidth="1"/>
    <col min="4868" max="4868" width="16.6640625" style="88" customWidth="1"/>
    <col min="4869" max="4869" width="18.6640625" style="88" customWidth="1"/>
    <col min="4870" max="4870" width="14.6640625" style="88" customWidth="1"/>
    <col min="4871" max="4871" width="10.83203125" style="88" customWidth="1"/>
    <col min="4872" max="4872" width="13.83203125" style="88" customWidth="1"/>
    <col min="4873" max="4874" width="12" style="88" customWidth="1"/>
    <col min="4875" max="4875" width="13.1640625" style="88" customWidth="1"/>
    <col min="4876" max="4876" width="11.6640625" style="88" customWidth="1"/>
    <col min="4877" max="4877" width="9.33203125" style="88" customWidth="1"/>
    <col min="4878" max="5121" width="8.83203125" style="88"/>
    <col min="5122" max="5122" width="13.33203125" style="88" customWidth="1"/>
    <col min="5123" max="5123" width="16" style="88" customWidth="1"/>
    <col min="5124" max="5124" width="16.6640625" style="88" customWidth="1"/>
    <col min="5125" max="5125" width="18.6640625" style="88" customWidth="1"/>
    <col min="5126" max="5126" width="14.6640625" style="88" customWidth="1"/>
    <col min="5127" max="5127" width="10.83203125" style="88" customWidth="1"/>
    <col min="5128" max="5128" width="13.83203125" style="88" customWidth="1"/>
    <col min="5129" max="5130" width="12" style="88" customWidth="1"/>
    <col min="5131" max="5131" width="13.1640625" style="88" customWidth="1"/>
    <col min="5132" max="5132" width="11.6640625" style="88" customWidth="1"/>
    <col min="5133" max="5133" width="9.33203125" style="88" customWidth="1"/>
    <col min="5134" max="5377" width="8.83203125" style="88"/>
    <col min="5378" max="5378" width="13.33203125" style="88" customWidth="1"/>
    <col min="5379" max="5379" width="16" style="88" customWidth="1"/>
    <col min="5380" max="5380" width="16.6640625" style="88" customWidth="1"/>
    <col min="5381" max="5381" width="18.6640625" style="88" customWidth="1"/>
    <col min="5382" max="5382" width="14.6640625" style="88" customWidth="1"/>
    <col min="5383" max="5383" width="10.83203125" style="88" customWidth="1"/>
    <col min="5384" max="5384" width="13.83203125" style="88" customWidth="1"/>
    <col min="5385" max="5386" width="12" style="88" customWidth="1"/>
    <col min="5387" max="5387" width="13.1640625" style="88" customWidth="1"/>
    <col min="5388" max="5388" width="11.6640625" style="88" customWidth="1"/>
    <col min="5389" max="5389" width="9.33203125" style="88" customWidth="1"/>
    <col min="5390" max="5633" width="8.83203125" style="88"/>
    <col min="5634" max="5634" width="13.33203125" style="88" customWidth="1"/>
    <col min="5635" max="5635" width="16" style="88" customWidth="1"/>
    <col min="5636" max="5636" width="16.6640625" style="88" customWidth="1"/>
    <col min="5637" max="5637" width="18.6640625" style="88" customWidth="1"/>
    <col min="5638" max="5638" width="14.6640625" style="88" customWidth="1"/>
    <col min="5639" max="5639" width="10.83203125" style="88" customWidth="1"/>
    <col min="5640" max="5640" width="13.83203125" style="88" customWidth="1"/>
    <col min="5641" max="5642" width="12" style="88" customWidth="1"/>
    <col min="5643" max="5643" width="13.1640625" style="88" customWidth="1"/>
    <col min="5644" max="5644" width="11.6640625" style="88" customWidth="1"/>
    <col min="5645" max="5645" width="9.33203125" style="88" customWidth="1"/>
    <col min="5646" max="5889" width="8.83203125" style="88"/>
    <col min="5890" max="5890" width="13.33203125" style="88" customWidth="1"/>
    <col min="5891" max="5891" width="16" style="88" customWidth="1"/>
    <col min="5892" max="5892" width="16.6640625" style="88" customWidth="1"/>
    <col min="5893" max="5893" width="18.6640625" style="88" customWidth="1"/>
    <col min="5894" max="5894" width="14.6640625" style="88" customWidth="1"/>
    <col min="5895" max="5895" width="10.83203125" style="88" customWidth="1"/>
    <col min="5896" max="5896" width="13.83203125" style="88" customWidth="1"/>
    <col min="5897" max="5898" width="12" style="88" customWidth="1"/>
    <col min="5899" max="5899" width="13.1640625" style="88" customWidth="1"/>
    <col min="5900" max="5900" width="11.6640625" style="88" customWidth="1"/>
    <col min="5901" max="5901" width="9.33203125" style="88" customWidth="1"/>
    <col min="5902" max="6145" width="8.83203125" style="88"/>
    <col min="6146" max="6146" width="13.33203125" style="88" customWidth="1"/>
    <col min="6147" max="6147" width="16" style="88" customWidth="1"/>
    <col min="6148" max="6148" width="16.6640625" style="88" customWidth="1"/>
    <col min="6149" max="6149" width="18.6640625" style="88" customWidth="1"/>
    <col min="6150" max="6150" width="14.6640625" style="88" customWidth="1"/>
    <col min="6151" max="6151" width="10.83203125" style="88" customWidth="1"/>
    <col min="6152" max="6152" width="13.83203125" style="88" customWidth="1"/>
    <col min="6153" max="6154" width="12" style="88" customWidth="1"/>
    <col min="6155" max="6155" width="13.1640625" style="88" customWidth="1"/>
    <col min="6156" max="6156" width="11.6640625" style="88" customWidth="1"/>
    <col min="6157" max="6157" width="9.33203125" style="88" customWidth="1"/>
    <col min="6158" max="6401" width="8.83203125" style="88"/>
    <col min="6402" max="6402" width="13.33203125" style="88" customWidth="1"/>
    <col min="6403" max="6403" width="16" style="88" customWidth="1"/>
    <col min="6404" max="6404" width="16.6640625" style="88" customWidth="1"/>
    <col min="6405" max="6405" width="18.6640625" style="88" customWidth="1"/>
    <col min="6406" max="6406" width="14.6640625" style="88" customWidth="1"/>
    <col min="6407" max="6407" width="10.83203125" style="88" customWidth="1"/>
    <col min="6408" max="6408" width="13.83203125" style="88" customWidth="1"/>
    <col min="6409" max="6410" width="12" style="88" customWidth="1"/>
    <col min="6411" max="6411" width="13.1640625" style="88" customWidth="1"/>
    <col min="6412" max="6412" width="11.6640625" style="88" customWidth="1"/>
    <col min="6413" max="6413" width="9.33203125" style="88" customWidth="1"/>
    <col min="6414" max="6657" width="8.83203125" style="88"/>
    <col min="6658" max="6658" width="13.33203125" style="88" customWidth="1"/>
    <col min="6659" max="6659" width="16" style="88" customWidth="1"/>
    <col min="6660" max="6660" width="16.6640625" style="88" customWidth="1"/>
    <col min="6661" max="6661" width="18.6640625" style="88" customWidth="1"/>
    <col min="6662" max="6662" width="14.6640625" style="88" customWidth="1"/>
    <col min="6663" max="6663" width="10.83203125" style="88" customWidth="1"/>
    <col min="6664" max="6664" width="13.83203125" style="88" customWidth="1"/>
    <col min="6665" max="6666" width="12" style="88" customWidth="1"/>
    <col min="6667" max="6667" width="13.1640625" style="88" customWidth="1"/>
    <col min="6668" max="6668" width="11.6640625" style="88" customWidth="1"/>
    <col min="6669" max="6669" width="9.33203125" style="88" customWidth="1"/>
    <col min="6670" max="6913" width="8.83203125" style="88"/>
    <col min="6914" max="6914" width="13.33203125" style="88" customWidth="1"/>
    <col min="6915" max="6915" width="16" style="88" customWidth="1"/>
    <col min="6916" max="6916" width="16.6640625" style="88" customWidth="1"/>
    <col min="6917" max="6917" width="18.6640625" style="88" customWidth="1"/>
    <col min="6918" max="6918" width="14.6640625" style="88" customWidth="1"/>
    <col min="6919" max="6919" width="10.83203125" style="88" customWidth="1"/>
    <col min="6920" max="6920" width="13.83203125" style="88" customWidth="1"/>
    <col min="6921" max="6922" width="12" style="88" customWidth="1"/>
    <col min="6923" max="6923" width="13.1640625" style="88" customWidth="1"/>
    <col min="6924" max="6924" width="11.6640625" style="88" customWidth="1"/>
    <col min="6925" max="6925" width="9.33203125" style="88" customWidth="1"/>
    <col min="6926" max="7169" width="8.83203125" style="88"/>
    <col min="7170" max="7170" width="13.33203125" style="88" customWidth="1"/>
    <col min="7171" max="7171" width="16" style="88" customWidth="1"/>
    <col min="7172" max="7172" width="16.6640625" style="88" customWidth="1"/>
    <col min="7173" max="7173" width="18.6640625" style="88" customWidth="1"/>
    <col min="7174" max="7174" width="14.6640625" style="88" customWidth="1"/>
    <col min="7175" max="7175" width="10.83203125" style="88" customWidth="1"/>
    <col min="7176" max="7176" width="13.83203125" style="88" customWidth="1"/>
    <col min="7177" max="7178" width="12" style="88" customWidth="1"/>
    <col min="7179" max="7179" width="13.1640625" style="88" customWidth="1"/>
    <col min="7180" max="7180" width="11.6640625" style="88" customWidth="1"/>
    <col min="7181" max="7181" width="9.33203125" style="88" customWidth="1"/>
    <col min="7182" max="7425" width="8.83203125" style="88"/>
    <col min="7426" max="7426" width="13.33203125" style="88" customWidth="1"/>
    <col min="7427" max="7427" width="16" style="88" customWidth="1"/>
    <col min="7428" max="7428" width="16.6640625" style="88" customWidth="1"/>
    <col min="7429" max="7429" width="18.6640625" style="88" customWidth="1"/>
    <col min="7430" max="7430" width="14.6640625" style="88" customWidth="1"/>
    <col min="7431" max="7431" width="10.83203125" style="88" customWidth="1"/>
    <col min="7432" max="7432" width="13.83203125" style="88" customWidth="1"/>
    <col min="7433" max="7434" width="12" style="88" customWidth="1"/>
    <col min="7435" max="7435" width="13.1640625" style="88" customWidth="1"/>
    <col min="7436" max="7436" width="11.6640625" style="88" customWidth="1"/>
    <col min="7437" max="7437" width="9.33203125" style="88" customWidth="1"/>
    <col min="7438" max="7681" width="8.83203125" style="88"/>
    <col min="7682" max="7682" width="13.33203125" style="88" customWidth="1"/>
    <col min="7683" max="7683" width="16" style="88" customWidth="1"/>
    <col min="7684" max="7684" width="16.6640625" style="88" customWidth="1"/>
    <col min="7685" max="7685" width="18.6640625" style="88" customWidth="1"/>
    <col min="7686" max="7686" width="14.6640625" style="88" customWidth="1"/>
    <col min="7687" max="7687" width="10.83203125" style="88" customWidth="1"/>
    <col min="7688" max="7688" width="13.83203125" style="88" customWidth="1"/>
    <col min="7689" max="7690" width="12" style="88" customWidth="1"/>
    <col min="7691" max="7691" width="13.1640625" style="88" customWidth="1"/>
    <col min="7692" max="7692" width="11.6640625" style="88" customWidth="1"/>
    <col min="7693" max="7693" width="9.33203125" style="88" customWidth="1"/>
    <col min="7694" max="7937" width="8.83203125" style="88"/>
    <col min="7938" max="7938" width="13.33203125" style="88" customWidth="1"/>
    <col min="7939" max="7939" width="16" style="88" customWidth="1"/>
    <col min="7940" max="7940" width="16.6640625" style="88" customWidth="1"/>
    <col min="7941" max="7941" width="18.6640625" style="88" customWidth="1"/>
    <col min="7942" max="7942" width="14.6640625" style="88" customWidth="1"/>
    <col min="7943" max="7943" width="10.83203125" style="88" customWidth="1"/>
    <col min="7944" max="7944" width="13.83203125" style="88" customWidth="1"/>
    <col min="7945" max="7946" width="12" style="88" customWidth="1"/>
    <col min="7947" max="7947" width="13.1640625" style="88" customWidth="1"/>
    <col min="7948" max="7948" width="11.6640625" style="88" customWidth="1"/>
    <col min="7949" max="7949" width="9.33203125" style="88" customWidth="1"/>
    <col min="7950" max="8193" width="8.83203125" style="88"/>
    <col min="8194" max="8194" width="13.33203125" style="88" customWidth="1"/>
    <col min="8195" max="8195" width="16" style="88" customWidth="1"/>
    <col min="8196" max="8196" width="16.6640625" style="88" customWidth="1"/>
    <col min="8197" max="8197" width="18.6640625" style="88" customWidth="1"/>
    <col min="8198" max="8198" width="14.6640625" style="88" customWidth="1"/>
    <col min="8199" max="8199" width="10.83203125" style="88" customWidth="1"/>
    <col min="8200" max="8200" width="13.83203125" style="88" customWidth="1"/>
    <col min="8201" max="8202" width="12" style="88" customWidth="1"/>
    <col min="8203" max="8203" width="13.1640625" style="88" customWidth="1"/>
    <col min="8204" max="8204" width="11.6640625" style="88" customWidth="1"/>
    <col min="8205" max="8205" width="9.33203125" style="88" customWidth="1"/>
    <col min="8206" max="8449" width="8.83203125" style="88"/>
    <col min="8450" max="8450" width="13.33203125" style="88" customWidth="1"/>
    <col min="8451" max="8451" width="16" style="88" customWidth="1"/>
    <col min="8452" max="8452" width="16.6640625" style="88" customWidth="1"/>
    <col min="8453" max="8453" width="18.6640625" style="88" customWidth="1"/>
    <col min="8454" max="8454" width="14.6640625" style="88" customWidth="1"/>
    <col min="8455" max="8455" width="10.83203125" style="88" customWidth="1"/>
    <col min="8456" max="8456" width="13.83203125" style="88" customWidth="1"/>
    <col min="8457" max="8458" width="12" style="88" customWidth="1"/>
    <col min="8459" max="8459" width="13.1640625" style="88" customWidth="1"/>
    <col min="8460" max="8460" width="11.6640625" style="88" customWidth="1"/>
    <col min="8461" max="8461" width="9.33203125" style="88" customWidth="1"/>
    <col min="8462" max="8705" width="8.83203125" style="88"/>
    <col min="8706" max="8706" width="13.33203125" style="88" customWidth="1"/>
    <col min="8707" max="8707" width="16" style="88" customWidth="1"/>
    <col min="8708" max="8708" width="16.6640625" style="88" customWidth="1"/>
    <col min="8709" max="8709" width="18.6640625" style="88" customWidth="1"/>
    <col min="8710" max="8710" width="14.6640625" style="88" customWidth="1"/>
    <col min="8711" max="8711" width="10.83203125" style="88" customWidth="1"/>
    <col min="8712" max="8712" width="13.83203125" style="88" customWidth="1"/>
    <col min="8713" max="8714" width="12" style="88" customWidth="1"/>
    <col min="8715" max="8715" width="13.1640625" style="88" customWidth="1"/>
    <col min="8716" max="8716" width="11.6640625" style="88" customWidth="1"/>
    <col min="8717" max="8717" width="9.33203125" style="88" customWidth="1"/>
    <col min="8718" max="8961" width="8.83203125" style="88"/>
    <col min="8962" max="8962" width="13.33203125" style="88" customWidth="1"/>
    <col min="8963" max="8963" width="16" style="88" customWidth="1"/>
    <col min="8964" max="8964" width="16.6640625" style="88" customWidth="1"/>
    <col min="8965" max="8965" width="18.6640625" style="88" customWidth="1"/>
    <col min="8966" max="8966" width="14.6640625" style="88" customWidth="1"/>
    <col min="8967" max="8967" width="10.83203125" style="88" customWidth="1"/>
    <col min="8968" max="8968" width="13.83203125" style="88" customWidth="1"/>
    <col min="8969" max="8970" width="12" style="88" customWidth="1"/>
    <col min="8971" max="8971" width="13.1640625" style="88" customWidth="1"/>
    <col min="8972" max="8972" width="11.6640625" style="88" customWidth="1"/>
    <col min="8973" max="8973" width="9.33203125" style="88" customWidth="1"/>
    <col min="8974" max="9217" width="8.83203125" style="88"/>
    <col min="9218" max="9218" width="13.33203125" style="88" customWidth="1"/>
    <col min="9219" max="9219" width="16" style="88" customWidth="1"/>
    <col min="9220" max="9220" width="16.6640625" style="88" customWidth="1"/>
    <col min="9221" max="9221" width="18.6640625" style="88" customWidth="1"/>
    <col min="9222" max="9222" width="14.6640625" style="88" customWidth="1"/>
    <col min="9223" max="9223" width="10.83203125" style="88" customWidth="1"/>
    <col min="9224" max="9224" width="13.83203125" style="88" customWidth="1"/>
    <col min="9225" max="9226" width="12" style="88" customWidth="1"/>
    <col min="9227" max="9227" width="13.1640625" style="88" customWidth="1"/>
    <col min="9228" max="9228" width="11.6640625" style="88" customWidth="1"/>
    <col min="9229" max="9229" width="9.33203125" style="88" customWidth="1"/>
    <col min="9230" max="9473" width="8.83203125" style="88"/>
    <col min="9474" max="9474" width="13.33203125" style="88" customWidth="1"/>
    <col min="9475" max="9475" width="16" style="88" customWidth="1"/>
    <col min="9476" max="9476" width="16.6640625" style="88" customWidth="1"/>
    <col min="9477" max="9477" width="18.6640625" style="88" customWidth="1"/>
    <col min="9478" max="9478" width="14.6640625" style="88" customWidth="1"/>
    <col min="9479" max="9479" width="10.83203125" style="88" customWidth="1"/>
    <col min="9480" max="9480" width="13.83203125" style="88" customWidth="1"/>
    <col min="9481" max="9482" width="12" style="88" customWidth="1"/>
    <col min="9483" max="9483" width="13.1640625" style="88" customWidth="1"/>
    <col min="9484" max="9484" width="11.6640625" style="88" customWidth="1"/>
    <col min="9485" max="9485" width="9.33203125" style="88" customWidth="1"/>
    <col min="9486" max="9729" width="8.83203125" style="88"/>
    <col min="9730" max="9730" width="13.33203125" style="88" customWidth="1"/>
    <col min="9731" max="9731" width="16" style="88" customWidth="1"/>
    <col min="9732" max="9732" width="16.6640625" style="88" customWidth="1"/>
    <col min="9733" max="9733" width="18.6640625" style="88" customWidth="1"/>
    <col min="9734" max="9734" width="14.6640625" style="88" customWidth="1"/>
    <col min="9735" max="9735" width="10.83203125" style="88" customWidth="1"/>
    <col min="9736" max="9736" width="13.83203125" style="88" customWidth="1"/>
    <col min="9737" max="9738" width="12" style="88" customWidth="1"/>
    <col min="9739" max="9739" width="13.1640625" style="88" customWidth="1"/>
    <col min="9740" max="9740" width="11.6640625" style="88" customWidth="1"/>
    <col min="9741" max="9741" width="9.33203125" style="88" customWidth="1"/>
    <col min="9742" max="9985" width="8.83203125" style="88"/>
    <col min="9986" max="9986" width="13.33203125" style="88" customWidth="1"/>
    <col min="9987" max="9987" width="16" style="88" customWidth="1"/>
    <col min="9988" max="9988" width="16.6640625" style="88" customWidth="1"/>
    <col min="9989" max="9989" width="18.6640625" style="88" customWidth="1"/>
    <col min="9990" max="9990" width="14.6640625" style="88" customWidth="1"/>
    <col min="9991" max="9991" width="10.83203125" style="88" customWidth="1"/>
    <col min="9992" max="9992" width="13.83203125" style="88" customWidth="1"/>
    <col min="9993" max="9994" width="12" style="88" customWidth="1"/>
    <col min="9995" max="9995" width="13.1640625" style="88" customWidth="1"/>
    <col min="9996" max="9996" width="11.6640625" style="88" customWidth="1"/>
    <col min="9997" max="9997" width="9.33203125" style="88" customWidth="1"/>
    <col min="9998" max="10241" width="8.83203125" style="88"/>
    <col min="10242" max="10242" width="13.33203125" style="88" customWidth="1"/>
    <col min="10243" max="10243" width="16" style="88" customWidth="1"/>
    <col min="10244" max="10244" width="16.6640625" style="88" customWidth="1"/>
    <col min="10245" max="10245" width="18.6640625" style="88" customWidth="1"/>
    <col min="10246" max="10246" width="14.6640625" style="88" customWidth="1"/>
    <col min="10247" max="10247" width="10.83203125" style="88" customWidth="1"/>
    <col min="10248" max="10248" width="13.83203125" style="88" customWidth="1"/>
    <col min="10249" max="10250" width="12" style="88" customWidth="1"/>
    <col min="10251" max="10251" width="13.1640625" style="88" customWidth="1"/>
    <col min="10252" max="10252" width="11.6640625" style="88" customWidth="1"/>
    <col min="10253" max="10253" width="9.33203125" style="88" customWidth="1"/>
    <col min="10254" max="10497" width="8.83203125" style="88"/>
    <col min="10498" max="10498" width="13.33203125" style="88" customWidth="1"/>
    <col min="10499" max="10499" width="16" style="88" customWidth="1"/>
    <col min="10500" max="10500" width="16.6640625" style="88" customWidth="1"/>
    <col min="10501" max="10501" width="18.6640625" style="88" customWidth="1"/>
    <col min="10502" max="10502" width="14.6640625" style="88" customWidth="1"/>
    <col min="10503" max="10503" width="10.83203125" style="88" customWidth="1"/>
    <col min="10504" max="10504" width="13.83203125" style="88" customWidth="1"/>
    <col min="10505" max="10506" width="12" style="88" customWidth="1"/>
    <col min="10507" max="10507" width="13.1640625" style="88" customWidth="1"/>
    <col min="10508" max="10508" width="11.6640625" style="88" customWidth="1"/>
    <col min="10509" max="10509" width="9.33203125" style="88" customWidth="1"/>
    <col min="10510" max="10753" width="8.83203125" style="88"/>
    <col min="10754" max="10754" width="13.33203125" style="88" customWidth="1"/>
    <col min="10755" max="10755" width="16" style="88" customWidth="1"/>
    <col min="10756" max="10756" width="16.6640625" style="88" customWidth="1"/>
    <col min="10757" max="10757" width="18.6640625" style="88" customWidth="1"/>
    <col min="10758" max="10758" width="14.6640625" style="88" customWidth="1"/>
    <col min="10759" max="10759" width="10.83203125" style="88" customWidth="1"/>
    <col min="10760" max="10760" width="13.83203125" style="88" customWidth="1"/>
    <col min="10761" max="10762" width="12" style="88" customWidth="1"/>
    <col min="10763" max="10763" width="13.1640625" style="88" customWidth="1"/>
    <col min="10764" max="10764" width="11.6640625" style="88" customWidth="1"/>
    <col min="10765" max="10765" width="9.33203125" style="88" customWidth="1"/>
    <col min="10766" max="11009" width="8.83203125" style="88"/>
    <col min="11010" max="11010" width="13.33203125" style="88" customWidth="1"/>
    <col min="11011" max="11011" width="16" style="88" customWidth="1"/>
    <col min="11012" max="11012" width="16.6640625" style="88" customWidth="1"/>
    <col min="11013" max="11013" width="18.6640625" style="88" customWidth="1"/>
    <col min="11014" max="11014" width="14.6640625" style="88" customWidth="1"/>
    <col min="11015" max="11015" width="10.83203125" style="88" customWidth="1"/>
    <col min="11016" max="11016" width="13.83203125" style="88" customWidth="1"/>
    <col min="11017" max="11018" width="12" style="88" customWidth="1"/>
    <col min="11019" max="11019" width="13.1640625" style="88" customWidth="1"/>
    <col min="11020" max="11020" width="11.6640625" style="88" customWidth="1"/>
    <col min="11021" max="11021" width="9.33203125" style="88" customWidth="1"/>
    <col min="11022" max="11265" width="8.83203125" style="88"/>
    <col min="11266" max="11266" width="13.33203125" style="88" customWidth="1"/>
    <col min="11267" max="11267" width="16" style="88" customWidth="1"/>
    <col min="11268" max="11268" width="16.6640625" style="88" customWidth="1"/>
    <col min="11269" max="11269" width="18.6640625" style="88" customWidth="1"/>
    <col min="11270" max="11270" width="14.6640625" style="88" customWidth="1"/>
    <col min="11271" max="11271" width="10.83203125" style="88" customWidth="1"/>
    <col min="11272" max="11272" width="13.83203125" style="88" customWidth="1"/>
    <col min="11273" max="11274" width="12" style="88" customWidth="1"/>
    <col min="11275" max="11275" width="13.1640625" style="88" customWidth="1"/>
    <col min="11276" max="11276" width="11.6640625" style="88" customWidth="1"/>
    <col min="11277" max="11277" width="9.33203125" style="88" customWidth="1"/>
    <col min="11278" max="11521" width="8.83203125" style="88"/>
    <col min="11522" max="11522" width="13.33203125" style="88" customWidth="1"/>
    <col min="11523" max="11523" width="16" style="88" customWidth="1"/>
    <col min="11524" max="11524" width="16.6640625" style="88" customWidth="1"/>
    <col min="11525" max="11525" width="18.6640625" style="88" customWidth="1"/>
    <col min="11526" max="11526" width="14.6640625" style="88" customWidth="1"/>
    <col min="11527" max="11527" width="10.83203125" style="88" customWidth="1"/>
    <col min="11528" max="11528" width="13.83203125" style="88" customWidth="1"/>
    <col min="11529" max="11530" width="12" style="88" customWidth="1"/>
    <col min="11531" max="11531" width="13.1640625" style="88" customWidth="1"/>
    <col min="11532" max="11532" width="11.6640625" style="88" customWidth="1"/>
    <col min="11533" max="11533" width="9.33203125" style="88" customWidth="1"/>
    <col min="11534" max="11777" width="8.83203125" style="88"/>
    <col min="11778" max="11778" width="13.33203125" style="88" customWidth="1"/>
    <col min="11779" max="11779" width="16" style="88" customWidth="1"/>
    <col min="11780" max="11780" width="16.6640625" style="88" customWidth="1"/>
    <col min="11781" max="11781" width="18.6640625" style="88" customWidth="1"/>
    <col min="11782" max="11782" width="14.6640625" style="88" customWidth="1"/>
    <col min="11783" max="11783" width="10.83203125" style="88" customWidth="1"/>
    <col min="11784" max="11784" width="13.83203125" style="88" customWidth="1"/>
    <col min="11785" max="11786" width="12" style="88" customWidth="1"/>
    <col min="11787" max="11787" width="13.1640625" style="88" customWidth="1"/>
    <col min="11788" max="11788" width="11.6640625" style="88" customWidth="1"/>
    <col min="11789" max="11789" width="9.33203125" style="88" customWidth="1"/>
    <col min="11790" max="12033" width="8.83203125" style="88"/>
    <col min="12034" max="12034" width="13.33203125" style="88" customWidth="1"/>
    <col min="12035" max="12035" width="16" style="88" customWidth="1"/>
    <col min="12036" max="12036" width="16.6640625" style="88" customWidth="1"/>
    <col min="12037" max="12037" width="18.6640625" style="88" customWidth="1"/>
    <col min="12038" max="12038" width="14.6640625" style="88" customWidth="1"/>
    <col min="12039" max="12039" width="10.83203125" style="88" customWidth="1"/>
    <col min="12040" max="12040" width="13.83203125" style="88" customWidth="1"/>
    <col min="12041" max="12042" width="12" style="88" customWidth="1"/>
    <col min="12043" max="12043" width="13.1640625" style="88" customWidth="1"/>
    <col min="12044" max="12044" width="11.6640625" style="88" customWidth="1"/>
    <col min="12045" max="12045" width="9.33203125" style="88" customWidth="1"/>
    <col min="12046" max="12289" width="8.83203125" style="88"/>
    <col min="12290" max="12290" width="13.33203125" style="88" customWidth="1"/>
    <col min="12291" max="12291" width="16" style="88" customWidth="1"/>
    <col min="12292" max="12292" width="16.6640625" style="88" customWidth="1"/>
    <col min="12293" max="12293" width="18.6640625" style="88" customWidth="1"/>
    <col min="12294" max="12294" width="14.6640625" style="88" customWidth="1"/>
    <col min="12295" max="12295" width="10.83203125" style="88" customWidth="1"/>
    <col min="12296" max="12296" width="13.83203125" style="88" customWidth="1"/>
    <col min="12297" max="12298" width="12" style="88" customWidth="1"/>
    <col min="12299" max="12299" width="13.1640625" style="88" customWidth="1"/>
    <col min="12300" max="12300" width="11.6640625" style="88" customWidth="1"/>
    <col min="12301" max="12301" width="9.33203125" style="88" customWidth="1"/>
    <col min="12302" max="12545" width="8.83203125" style="88"/>
    <col min="12546" max="12546" width="13.33203125" style="88" customWidth="1"/>
    <col min="12547" max="12547" width="16" style="88" customWidth="1"/>
    <col min="12548" max="12548" width="16.6640625" style="88" customWidth="1"/>
    <col min="12549" max="12549" width="18.6640625" style="88" customWidth="1"/>
    <col min="12550" max="12550" width="14.6640625" style="88" customWidth="1"/>
    <col min="12551" max="12551" width="10.83203125" style="88" customWidth="1"/>
    <col min="12552" max="12552" width="13.83203125" style="88" customWidth="1"/>
    <col min="12553" max="12554" width="12" style="88" customWidth="1"/>
    <col min="12555" max="12555" width="13.1640625" style="88" customWidth="1"/>
    <col min="12556" max="12556" width="11.6640625" style="88" customWidth="1"/>
    <col min="12557" max="12557" width="9.33203125" style="88" customWidth="1"/>
    <col min="12558" max="12801" width="8.83203125" style="88"/>
    <col min="12802" max="12802" width="13.33203125" style="88" customWidth="1"/>
    <col min="12803" max="12803" width="16" style="88" customWidth="1"/>
    <col min="12804" max="12804" width="16.6640625" style="88" customWidth="1"/>
    <col min="12805" max="12805" width="18.6640625" style="88" customWidth="1"/>
    <col min="12806" max="12806" width="14.6640625" style="88" customWidth="1"/>
    <col min="12807" max="12807" width="10.83203125" style="88" customWidth="1"/>
    <col min="12808" max="12808" width="13.83203125" style="88" customWidth="1"/>
    <col min="12809" max="12810" width="12" style="88" customWidth="1"/>
    <col min="12811" max="12811" width="13.1640625" style="88" customWidth="1"/>
    <col min="12812" max="12812" width="11.6640625" style="88" customWidth="1"/>
    <col min="12813" max="12813" width="9.33203125" style="88" customWidth="1"/>
    <col min="12814" max="13057" width="8.83203125" style="88"/>
    <col min="13058" max="13058" width="13.33203125" style="88" customWidth="1"/>
    <col min="13059" max="13059" width="16" style="88" customWidth="1"/>
    <col min="13060" max="13060" width="16.6640625" style="88" customWidth="1"/>
    <col min="13061" max="13061" width="18.6640625" style="88" customWidth="1"/>
    <col min="13062" max="13062" width="14.6640625" style="88" customWidth="1"/>
    <col min="13063" max="13063" width="10.83203125" style="88" customWidth="1"/>
    <col min="13064" max="13064" width="13.83203125" style="88" customWidth="1"/>
    <col min="13065" max="13066" width="12" style="88" customWidth="1"/>
    <col min="13067" max="13067" width="13.1640625" style="88" customWidth="1"/>
    <col min="13068" max="13068" width="11.6640625" style="88" customWidth="1"/>
    <col min="13069" max="13069" width="9.33203125" style="88" customWidth="1"/>
    <col min="13070" max="13313" width="8.83203125" style="88"/>
    <col min="13314" max="13314" width="13.33203125" style="88" customWidth="1"/>
    <col min="13315" max="13315" width="16" style="88" customWidth="1"/>
    <col min="13316" max="13316" width="16.6640625" style="88" customWidth="1"/>
    <col min="13317" max="13317" width="18.6640625" style="88" customWidth="1"/>
    <col min="13318" max="13318" width="14.6640625" style="88" customWidth="1"/>
    <col min="13319" max="13319" width="10.83203125" style="88" customWidth="1"/>
    <col min="13320" max="13320" width="13.83203125" style="88" customWidth="1"/>
    <col min="13321" max="13322" width="12" style="88" customWidth="1"/>
    <col min="13323" max="13323" width="13.1640625" style="88" customWidth="1"/>
    <col min="13324" max="13324" width="11.6640625" style="88" customWidth="1"/>
    <col min="13325" max="13325" width="9.33203125" style="88" customWidth="1"/>
    <col min="13326" max="13569" width="8.83203125" style="88"/>
    <col min="13570" max="13570" width="13.33203125" style="88" customWidth="1"/>
    <col min="13571" max="13571" width="16" style="88" customWidth="1"/>
    <col min="13572" max="13572" width="16.6640625" style="88" customWidth="1"/>
    <col min="13573" max="13573" width="18.6640625" style="88" customWidth="1"/>
    <col min="13574" max="13574" width="14.6640625" style="88" customWidth="1"/>
    <col min="13575" max="13575" width="10.83203125" style="88" customWidth="1"/>
    <col min="13576" max="13576" width="13.83203125" style="88" customWidth="1"/>
    <col min="13577" max="13578" width="12" style="88" customWidth="1"/>
    <col min="13579" max="13579" width="13.1640625" style="88" customWidth="1"/>
    <col min="13580" max="13580" width="11.6640625" style="88" customWidth="1"/>
    <col min="13581" max="13581" width="9.33203125" style="88" customWidth="1"/>
    <col min="13582" max="13825" width="8.83203125" style="88"/>
    <col min="13826" max="13826" width="13.33203125" style="88" customWidth="1"/>
    <col min="13827" max="13827" width="16" style="88" customWidth="1"/>
    <col min="13828" max="13828" width="16.6640625" style="88" customWidth="1"/>
    <col min="13829" max="13829" width="18.6640625" style="88" customWidth="1"/>
    <col min="13830" max="13830" width="14.6640625" style="88" customWidth="1"/>
    <col min="13831" max="13831" width="10.83203125" style="88" customWidth="1"/>
    <col min="13832" max="13832" width="13.83203125" style="88" customWidth="1"/>
    <col min="13833" max="13834" width="12" style="88" customWidth="1"/>
    <col min="13835" max="13835" width="13.1640625" style="88" customWidth="1"/>
    <col min="13836" max="13836" width="11.6640625" style="88" customWidth="1"/>
    <col min="13837" max="13837" width="9.33203125" style="88" customWidth="1"/>
    <col min="13838" max="14081" width="8.83203125" style="88"/>
    <col min="14082" max="14082" width="13.33203125" style="88" customWidth="1"/>
    <col min="14083" max="14083" width="16" style="88" customWidth="1"/>
    <col min="14084" max="14084" width="16.6640625" style="88" customWidth="1"/>
    <col min="14085" max="14085" width="18.6640625" style="88" customWidth="1"/>
    <col min="14086" max="14086" width="14.6640625" style="88" customWidth="1"/>
    <col min="14087" max="14087" width="10.83203125" style="88" customWidth="1"/>
    <col min="14088" max="14088" width="13.83203125" style="88" customWidth="1"/>
    <col min="14089" max="14090" width="12" style="88" customWidth="1"/>
    <col min="14091" max="14091" width="13.1640625" style="88" customWidth="1"/>
    <col min="14092" max="14092" width="11.6640625" style="88" customWidth="1"/>
    <col min="14093" max="14093" width="9.33203125" style="88" customWidth="1"/>
    <col min="14094" max="14337" width="8.83203125" style="88"/>
    <col min="14338" max="14338" width="13.33203125" style="88" customWidth="1"/>
    <col min="14339" max="14339" width="16" style="88" customWidth="1"/>
    <col min="14340" max="14340" width="16.6640625" style="88" customWidth="1"/>
    <col min="14341" max="14341" width="18.6640625" style="88" customWidth="1"/>
    <col min="14342" max="14342" width="14.6640625" style="88" customWidth="1"/>
    <col min="14343" max="14343" width="10.83203125" style="88" customWidth="1"/>
    <col min="14344" max="14344" width="13.83203125" style="88" customWidth="1"/>
    <col min="14345" max="14346" width="12" style="88" customWidth="1"/>
    <col min="14347" max="14347" width="13.1640625" style="88" customWidth="1"/>
    <col min="14348" max="14348" width="11.6640625" style="88" customWidth="1"/>
    <col min="14349" max="14349" width="9.33203125" style="88" customWidth="1"/>
    <col min="14350" max="14593" width="8.83203125" style="88"/>
    <col min="14594" max="14594" width="13.33203125" style="88" customWidth="1"/>
    <col min="14595" max="14595" width="16" style="88" customWidth="1"/>
    <col min="14596" max="14596" width="16.6640625" style="88" customWidth="1"/>
    <col min="14597" max="14597" width="18.6640625" style="88" customWidth="1"/>
    <col min="14598" max="14598" width="14.6640625" style="88" customWidth="1"/>
    <col min="14599" max="14599" width="10.83203125" style="88" customWidth="1"/>
    <col min="14600" max="14600" width="13.83203125" style="88" customWidth="1"/>
    <col min="14601" max="14602" width="12" style="88" customWidth="1"/>
    <col min="14603" max="14603" width="13.1640625" style="88" customWidth="1"/>
    <col min="14604" max="14604" width="11.6640625" style="88" customWidth="1"/>
    <col min="14605" max="14605" width="9.33203125" style="88" customWidth="1"/>
    <col min="14606" max="14849" width="8.83203125" style="88"/>
    <col min="14850" max="14850" width="13.33203125" style="88" customWidth="1"/>
    <col min="14851" max="14851" width="16" style="88" customWidth="1"/>
    <col min="14852" max="14852" width="16.6640625" style="88" customWidth="1"/>
    <col min="14853" max="14853" width="18.6640625" style="88" customWidth="1"/>
    <col min="14854" max="14854" width="14.6640625" style="88" customWidth="1"/>
    <col min="14855" max="14855" width="10.83203125" style="88" customWidth="1"/>
    <col min="14856" max="14856" width="13.83203125" style="88" customWidth="1"/>
    <col min="14857" max="14858" width="12" style="88" customWidth="1"/>
    <col min="14859" max="14859" width="13.1640625" style="88" customWidth="1"/>
    <col min="14860" max="14860" width="11.6640625" style="88" customWidth="1"/>
    <col min="14861" max="14861" width="9.33203125" style="88" customWidth="1"/>
    <col min="14862" max="15105" width="8.83203125" style="88"/>
    <col min="15106" max="15106" width="13.33203125" style="88" customWidth="1"/>
    <col min="15107" max="15107" width="16" style="88" customWidth="1"/>
    <col min="15108" max="15108" width="16.6640625" style="88" customWidth="1"/>
    <col min="15109" max="15109" width="18.6640625" style="88" customWidth="1"/>
    <col min="15110" max="15110" width="14.6640625" style="88" customWidth="1"/>
    <col min="15111" max="15111" width="10.83203125" style="88" customWidth="1"/>
    <col min="15112" max="15112" width="13.83203125" style="88" customWidth="1"/>
    <col min="15113" max="15114" width="12" style="88" customWidth="1"/>
    <col min="15115" max="15115" width="13.1640625" style="88" customWidth="1"/>
    <col min="15116" max="15116" width="11.6640625" style="88" customWidth="1"/>
    <col min="15117" max="15117" width="9.33203125" style="88" customWidth="1"/>
    <col min="15118" max="15361" width="8.83203125" style="88"/>
    <col min="15362" max="15362" width="13.33203125" style="88" customWidth="1"/>
    <col min="15363" max="15363" width="16" style="88" customWidth="1"/>
    <col min="15364" max="15364" width="16.6640625" style="88" customWidth="1"/>
    <col min="15365" max="15365" width="18.6640625" style="88" customWidth="1"/>
    <col min="15366" max="15366" width="14.6640625" style="88" customWidth="1"/>
    <col min="15367" max="15367" width="10.83203125" style="88" customWidth="1"/>
    <col min="15368" max="15368" width="13.83203125" style="88" customWidth="1"/>
    <col min="15369" max="15370" width="12" style="88" customWidth="1"/>
    <col min="15371" max="15371" width="13.1640625" style="88" customWidth="1"/>
    <col min="15372" max="15372" width="11.6640625" style="88" customWidth="1"/>
    <col min="15373" max="15373" width="9.33203125" style="88" customWidth="1"/>
    <col min="15374" max="15617" width="8.83203125" style="88"/>
    <col min="15618" max="15618" width="13.33203125" style="88" customWidth="1"/>
    <col min="15619" max="15619" width="16" style="88" customWidth="1"/>
    <col min="15620" max="15620" width="16.6640625" style="88" customWidth="1"/>
    <col min="15621" max="15621" width="18.6640625" style="88" customWidth="1"/>
    <col min="15622" max="15622" width="14.6640625" style="88" customWidth="1"/>
    <col min="15623" max="15623" width="10.83203125" style="88" customWidth="1"/>
    <col min="15624" max="15624" width="13.83203125" style="88" customWidth="1"/>
    <col min="15625" max="15626" width="12" style="88" customWidth="1"/>
    <col min="15627" max="15627" width="13.1640625" style="88" customWidth="1"/>
    <col min="15628" max="15628" width="11.6640625" style="88" customWidth="1"/>
    <col min="15629" max="15629" width="9.33203125" style="88" customWidth="1"/>
    <col min="15630" max="15873" width="8.83203125" style="88"/>
    <col min="15874" max="15874" width="13.33203125" style="88" customWidth="1"/>
    <col min="15875" max="15875" width="16" style="88" customWidth="1"/>
    <col min="15876" max="15876" width="16.6640625" style="88" customWidth="1"/>
    <col min="15877" max="15877" width="18.6640625" style="88" customWidth="1"/>
    <col min="15878" max="15878" width="14.6640625" style="88" customWidth="1"/>
    <col min="15879" max="15879" width="10.83203125" style="88" customWidth="1"/>
    <col min="15880" max="15880" width="13.83203125" style="88" customWidth="1"/>
    <col min="15881" max="15882" width="12" style="88" customWidth="1"/>
    <col min="15883" max="15883" width="13.1640625" style="88" customWidth="1"/>
    <col min="15884" max="15884" width="11.6640625" style="88" customWidth="1"/>
    <col min="15885" max="15885" width="9.33203125" style="88" customWidth="1"/>
    <col min="15886" max="16129" width="8.83203125" style="88"/>
    <col min="16130" max="16130" width="13.33203125" style="88" customWidth="1"/>
    <col min="16131" max="16131" width="16" style="88" customWidth="1"/>
    <col min="16132" max="16132" width="16.6640625" style="88" customWidth="1"/>
    <col min="16133" max="16133" width="18.6640625" style="88" customWidth="1"/>
    <col min="16134" max="16134" width="14.6640625" style="88" customWidth="1"/>
    <col min="16135" max="16135" width="10.83203125" style="88" customWidth="1"/>
    <col min="16136" max="16136" width="13.83203125" style="88" customWidth="1"/>
    <col min="16137" max="16138" width="12" style="88" customWidth="1"/>
    <col min="16139" max="16139" width="13.1640625" style="88" customWidth="1"/>
    <col min="16140" max="16140" width="11.6640625" style="88" customWidth="1"/>
    <col min="16141" max="16141" width="9.33203125" style="88" customWidth="1"/>
    <col min="16142" max="16384" width="8.83203125" style="88"/>
  </cols>
  <sheetData>
    <row r="1" spans="1:14" ht="21" customHeight="1">
      <c r="A1" s="196" t="s">
        <v>253</v>
      </c>
      <c r="B1" s="197"/>
      <c r="C1" s="198"/>
      <c r="D1" s="198"/>
      <c r="E1" s="198"/>
      <c r="F1" s="198"/>
      <c r="G1" s="198"/>
      <c r="H1" s="198"/>
      <c r="I1" s="198"/>
      <c r="J1" s="198"/>
      <c r="K1" s="198"/>
      <c r="L1" s="198"/>
      <c r="M1" s="198"/>
      <c r="N1" s="198"/>
    </row>
    <row r="2" spans="1:14" ht="15" customHeight="1" thickBot="1">
      <c r="A2" s="199"/>
      <c r="B2" s="199"/>
      <c r="C2" s="89"/>
      <c r="D2" s="89"/>
      <c r="E2" s="89"/>
      <c r="F2" s="89"/>
      <c r="G2" s="89"/>
      <c r="H2" s="89"/>
      <c r="I2" s="200"/>
      <c r="J2" s="200"/>
      <c r="K2" s="89"/>
      <c r="L2" s="89"/>
      <c r="M2" s="199" t="s">
        <v>124</v>
      </c>
    </row>
    <row r="3" spans="1:14" s="204" customFormat="1" ht="15" customHeight="1" thickTop="1">
      <c r="A3" s="201"/>
      <c r="B3" s="201" t="s">
        <v>125</v>
      </c>
      <c r="C3" s="201" t="s">
        <v>254</v>
      </c>
      <c r="D3" s="201" t="s">
        <v>255</v>
      </c>
      <c r="E3" s="201" t="s">
        <v>256</v>
      </c>
      <c r="F3" s="201" t="s">
        <v>257</v>
      </c>
      <c r="G3" s="201" t="s">
        <v>258</v>
      </c>
      <c r="H3" s="201" t="s">
        <v>259</v>
      </c>
      <c r="I3" s="201" t="s">
        <v>5</v>
      </c>
      <c r="J3" s="201" t="s">
        <v>260</v>
      </c>
      <c r="K3" s="201" t="s">
        <v>46</v>
      </c>
      <c r="L3" s="201" t="s">
        <v>261</v>
      </c>
      <c r="M3" s="202" t="s">
        <v>262</v>
      </c>
      <c r="N3" s="203"/>
    </row>
    <row r="4" spans="1:14" ht="15" customHeight="1">
      <c r="A4" s="205">
        <v>1970</v>
      </c>
      <c r="B4" s="206">
        <v>12681</v>
      </c>
      <c r="C4" s="206">
        <v>9655</v>
      </c>
      <c r="D4" s="206">
        <v>209</v>
      </c>
      <c r="E4" s="207" t="s">
        <v>263</v>
      </c>
      <c r="F4" s="206">
        <v>1164</v>
      </c>
      <c r="G4" s="206">
        <v>1778</v>
      </c>
      <c r="H4" s="206">
        <v>1788</v>
      </c>
      <c r="I4" s="206">
        <v>6275</v>
      </c>
      <c r="J4" s="207" t="s">
        <v>263</v>
      </c>
      <c r="K4" s="207" t="s">
        <v>263</v>
      </c>
      <c r="L4" s="206">
        <v>28397</v>
      </c>
      <c r="M4" s="206">
        <v>62333</v>
      </c>
      <c r="N4" s="120"/>
    </row>
    <row r="5" spans="1:14" ht="15" customHeight="1">
      <c r="A5" s="205">
        <v>1971</v>
      </c>
      <c r="B5" s="206">
        <v>10232</v>
      </c>
      <c r="C5" s="206">
        <v>8298</v>
      </c>
      <c r="D5" s="206">
        <v>176</v>
      </c>
      <c r="E5" s="207" t="s">
        <v>263</v>
      </c>
      <c r="F5" s="206">
        <v>1118</v>
      </c>
      <c r="G5" s="206">
        <v>1038</v>
      </c>
      <c r="H5" s="206">
        <v>5194</v>
      </c>
      <c r="I5" s="206">
        <v>6313</v>
      </c>
      <c r="J5" s="207" t="s">
        <v>263</v>
      </c>
      <c r="K5" s="207" t="s">
        <v>263</v>
      </c>
      <c r="L5" s="206">
        <v>28130</v>
      </c>
      <c r="M5" s="206">
        <v>60746</v>
      </c>
      <c r="N5" s="120"/>
    </row>
    <row r="6" spans="1:14" ht="15" customHeight="1">
      <c r="A6" s="205">
        <v>1972</v>
      </c>
      <c r="B6" s="206">
        <v>7675</v>
      </c>
      <c r="C6" s="206">
        <v>7832</v>
      </c>
      <c r="D6" s="206">
        <v>252</v>
      </c>
      <c r="E6" s="207" t="s">
        <v>263</v>
      </c>
      <c r="F6" s="206">
        <v>1111</v>
      </c>
      <c r="G6" s="206">
        <v>1154</v>
      </c>
      <c r="H6" s="206">
        <v>8136</v>
      </c>
      <c r="I6" s="206">
        <v>6292</v>
      </c>
      <c r="J6" s="207" t="s">
        <v>263</v>
      </c>
      <c r="K6" s="207" t="s">
        <v>263</v>
      </c>
      <c r="L6" s="206">
        <v>28674</v>
      </c>
      <c r="M6" s="206">
        <v>61307</v>
      </c>
      <c r="N6" s="120"/>
    </row>
    <row r="7" spans="1:14" ht="15" customHeight="1">
      <c r="A7" s="205">
        <v>1973</v>
      </c>
      <c r="B7" s="206">
        <v>7950</v>
      </c>
      <c r="C7" s="206">
        <v>8340</v>
      </c>
      <c r="D7" s="206">
        <v>226</v>
      </c>
      <c r="E7" s="207" t="s">
        <v>263</v>
      </c>
      <c r="F7" s="206">
        <v>1290</v>
      </c>
      <c r="G7" s="206">
        <v>788</v>
      </c>
      <c r="H7" s="206">
        <v>10791</v>
      </c>
      <c r="I7" s="206">
        <v>6884</v>
      </c>
      <c r="J7" s="207" t="s">
        <v>263</v>
      </c>
      <c r="K7" s="207" t="s">
        <v>263</v>
      </c>
      <c r="L7" s="206">
        <v>28691</v>
      </c>
      <c r="M7" s="206">
        <v>65149</v>
      </c>
      <c r="N7" s="120"/>
    </row>
    <row r="8" spans="1:14" ht="15" customHeight="1">
      <c r="A8" s="205">
        <v>1974</v>
      </c>
      <c r="B8" s="206">
        <v>7290</v>
      </c>
      <c r="C8" s="206">
        <v>7167</v>
      </c>
      <c r="D8" s="206">
        <v>201</v>
      </c>
      <c r="E8" s="207" t="s">
        <v>263</v>
      </c>
      <c r="F8" s="206">
        <v>975</v>
      </c>
      <c r="G8" s="206">
        <v>494</v>
      </c>
      <c r="H8" s="206">
        <v>12320</v>
      </c>
      <c r="I8" s="206">
        <v>6517</v>
      </c>
      <c r="J8" s="207" t="s">
        <v>263</v>
      </c>
      <c r="K8" s="207" t="s">
        <v>263</v>
      </c>
      <c r="L8" s="206">
        <v>24968</v>
      </c>
      <c r="M8" s="206">
        <v>60058</v>
      </c>
      <c r="N8" s="120"/>
    </row>
    <row r="9" spans="1:14" ht="15" customHeight="1">
      <c r="A9" s="205">
        <v>1975</v>
      </c>
      <c r="B9" s="206">
        <v>6373</v>
      </c>
      <c r="C9" s="206">
        <v>6338</v>
      </c>
      <c r="D9" s="206">
        <v>199</v>
      </c>
      <c r="E9" s="207" t="s">
        <v>263</v>
      </c>
      <c r="F9" s="206">
        <v>1038</v>
      </c>
      <c r="G9" s="206">
        <v>222</v>
      </c>
      <c r="H9" s="206">
        <v>12555</v>
      </c>
      <c r="I9" s="206">
        <v>6479</v>
      </c>
      <c r="J9" s="207" t="s">
        <v>263</v>
      </c>
      <c r="K9" s="207" t="s">
        <v>263</v>
      </c>
      <c r="L9" s="206">
        <v>22145</v>
      </c>
      <c r="M9" s="206">
        <v>55444</v>
      </c>
      <c r="N9" s="120"/>
    </row>
    <row r="10" spans="1:14" ht="15" customHeight="1">
      <c r="A10" s="205">
        <v>1976</v>
      </c>
      <c r="B10" s="206">
        <v>5902</v>
      </c>
      <c r="C10" s="206">
        <v>7129</v>
      </c>
      <c r="D10" s="206">
        <v>131</v>
      </c>
      <c r="E10" s="207" t="s">
        <v>263</v>
      </c>
      <c r="F10" s="206">
        <v>1091</v>
      </c>
      <c r="G10" s="206">
        <v>68</v>
      </c>
      <c r="H10" s="206">
        <v>14237</v>
      </c>
      <c r="I10" s="206">
        <v>6950</v>
      </c>
      <c r="J10" s="207" t="s">
        <v>263</v>
      </c>
      <c r="K10" s="207" t="s">
        <v>263</v>
      </c>
      <c r="L10" s="206">
        <v>21966</v>
      </c>
      <c r="M10" s="206">
        <v>57584</v>
      </c>
      <c r="N10" s="120"/>
    </row>
    <row r="11" spans="1:14" ht="15" customHeight="1">
      <c r="A11" s="205">
        <v>1977</v>
      </c>
      <c r="B11" s="206">
        <v>5947</v>
      </c>
      <c r="C11" s="206">
        <v>6368</v>
      </c>
      <c r="D11" s="206">
        <v>158</v>
      </c>
      <c r="E11" s="207" t="s">
        <v>263</v>
      </c>
      <c r="F11" s="206">
        <v>1010</v>
      </c>
      <c r="G11" s="206">
        <v>30</v>
      </c>
      <c r="H11" s="206">
        <v>14940</v>
      </c>
      <c r="I11" s="206">
        <v>7053</v>
      </c>
      <c r="J11" s="207" t="s">
        <v>263</v>
      </c>
      <c r="K11" s="207" t="s">
        <v>263</v>
      </c>
      <c r="L11" s="206">
        <v>21978</v>
      </c>
      <c r="M11" s="206">
        <v>57574</v>
      </c>
      <c r="N11" s="120"/>
    </row>
    <row r="12" spans="1:14" ht="15" customHeight="1">
      <c r="A12" s="205">
        <v>1978</v>
      </c>
      <c r="B12" s="206">
        <v>5627</v>
      </c>
      <c r="C12" s="206">
        <v>5932</v>
      </c>
      <c r="D12" s="206">
        <v>179</v>
      </c>
      <c r="E12" s="207" t="s">
        <v>263</v>
      </c>
      <c r="F12" s="206">
        <v>899</v>
      </c>
      <c r="G12" s="206">
        <v>15</v>
      </c>
      <c r="H12" s="206">
        <v>15149</v>
      </c>
      <c r="I12" s="206">
        <v>7222</v>
      </c>
      <c r="J12" s="207" t="s">
        <v>263</v>
      </c>
      <c r="K12" s="207" t="s">
        <v>263</v>
      </c>
      <c r="L12" s="206">
        <v>21570</v>
      </c>
      <c r="M12" s="206">
        <v>56673</v>
      </c>
      <c r="N12" s="120"/>
    </row>
    <row r="13" spans="1:14" ht="15" customHeight="1">
      <c r="A13" s="205">
        <v>1979</v>
      </c>
      <c r="B13" s="206">
        <v>6081</v>
      </c>
      <c r="C13" s="206">
        <v>6512</v>
      </c>
      <c r="D13" s="206">
        <v>148</v>
      </c>
      <c r="E13" s="207" t="s">
        <v>263</v>
      </c>
      <c r="F13" s="206">
        <v>977</v>
      </c>
      <c r="G13" s="206">
        <v>18</v>
      </c>
      <c r="H13" s="206">
        <v>15663</v>
      </c>
      <c r="I13" s="206">
        <v>7527</v>
      </c>
      <c r="J13" s="207" t="s">
        <v>263</v>
      </c>
      <c r="K13" s="207" t="s">
        <v>263</v>
      </c>
      <c r="L13" s="206">
        <v>21590</v>
      </c>
      <c r="M13" s="206">
        <v>58564</v>
      </c>
      <c r="N13" s="120"/>
    </row>
    <row r="14" spans="1:14" ht="15" customHeight="1">
      <c r="A14" s="205"/>
      <c r="B14" s="206"/>
      <c r="C14" s="206"/>
      <c r="D14" s="206"/>
      <c r="E14" s="207"/>
      <c r="F14" s="206"/>
      <c r="G14" s="206"/>
      <c r="H14" s="206"/>
      <c r="I14" s="206"/>
      <c r="J14" s="207"/>
      <c r="K14" s="207"/>
      <c r="L14" s="206"/>
      <c r="M14" s="206"/>
      <c r="N14" s="120"/>
    </row>
    <row r="15" spans="1:14" ht="15" customHeight="1">
      <c r="A15" s="205">
        <v>1980</v>
      </c>
      <c r="B15" s="206">
        <v>5083</v>
      </c>
      <c r="C15" s="206">
        <v>3335</v>
      </c>
      <c r="D15" s="206">
        <v>133</v>
      </c>
      <c r="E15" s="207" t="s">
        <v>263</v>
      </c>
      <c r="F15" s="206">
        <v>642</v>
      </c>
      <c r="G15" s="206">
        <v>13</v>
      </c>
      <c r="H15" s="206">
        <v>15258</v>
      </c>
      <c r="I15" s="206">
        <v>6854</v>
      </c>
      <c r="J15" s="207" t="s">
        <v>263</v>
      </c>
      <c r="K15" s="207" t="s">
        <v>263</v>
      </c>
      <c r="L15" s="206">
        <v>16938</v>
      </c>
      <c r="M15" s="206">
        <v>48291</v>
      </c>
      <c r="N15" s="120"/>
    </row>
    <row r="16" spans="1:14" ht="15" customHeight="1">
      <c r="A16" s="205">
        <v>1981</v>
      </c>
      <c r="B16" s="206">
        <v>4534</v>
      </c>
      <c r="C16" s="206">
        <v>4564</v>
      </c>
      <c r="D16" s="206">
        <v>116</v>
      </c>
      <c r="E16" s="207" t="s">
        <v>263</v>
      </c>
      <c r="F16" s="206">
        <v>665</v>
      </c>
      <c r="G16" s="206">
        <v>13</v>
      </c>
      <c r="H16" s="206">
        <v>14489</v>
      </c>
      <c r="I16" s="206">
        <v>6622</v>
      </c>
      <c r="J16" s="207" t="s">
        <v>263</v>
      </c>
      <c r="K16" s="207" t="s">
        <v>263</v>
      </c>
      <c r="L16" s="206">
        <v>14761</v>
      </c>
      <c r="M16" s="206">
        <v>45776</v>
      </c>
      <c r="N16" s="120"/>
    </row>
    <row r="17" spans="1:14" ht="15" customHeight="1">
      <c r="A17" s="205">
        <v>1982</v>
      </c>
      <c r="B17" s="206">
        <v>4668</v>
      </c>
      <c r="C17" s="206">
        <v>4083</v>
      </c>
      <c r="D17" s="206">
        <v>144</v>
      </c>
      <c r="E17" s="207" t="s">
        <v>263</v>
      </c>
      <c r="F17" s="206">
        <v>605</v>
      </c>
      <c r="G17" s="206">
        <v>8</v>
      </c>
      <c r="H17" s="206">
        <v>14588</v>
      </c>
      <c r="I17" s="206">
        <v>6353</v>
      </c>
      <c r="J17" s="207" t="s">
        <v>263</v>
      </c>
      <c r="K17" s="207" t="s">
        <v>263</v>
      </c>
      <c r="L17" s="206">
        <v>13530</v>
      </c>
      <c r="M17" s="206">
        <v>44007</v>
      </c>
      <c r="N17" s="120"/>
    </row>
    <row r="18" spans="1:14" ht="15" customHeight="1">
      <c r="A18" s="205">
        <v>1983</v>
      </c>
      <c r="B18" s="206">
        <v>4708</v>
      </c>
      <c r="C18" s="206">
        <v>4307</v>
      </c>
      <c r="D18" s="206">
        <v>126</v>
      </c>
      <c r="E18" s="207" t="s">
        <v>263</v>
      </c>
      <c r="F18" s="206">
        <v>635</v>
      </c>
      <c r="G18" s="206">
        <v>5</v>
      </c>
      <c r="H18" s="206">
        <v>14021</v>
      </c>
      <c r="I18" s="206">
        <v>6376</v>
      </c>
      <c r="J18" s="207" t="s">
        <v>263</v>
      </c>
      <c r="K18" s="207" t="s">
        <v>263</v>
      </c>
      <c r="L18" s="206">
        <v>11988</v>
      </c>
      <c r="M18" s="206">
        <v>42191</v>
      </c>
      <c r="N18" s="120"/>
    </row>
    <row r="19" spans="1:14" ht="15" customHeight="1">
      <c r="A19" s="205">
        <v>1984</v>
      </c>
      <c r="B19" s="206">
        <v>3796</v>
      </c>
      <c r="C19" s="206">
        <v>4408</v>
      </c>
      <c r="D19" s="206">
        <v>68</v>
      </c>
      <c r="E19" s="207" t="s">
        <v>263</v>
      </c>
      <c r="F19" s="206">
        <v>537</v>
      </c>
      <c r="G19" s="206">
        <v>5</v>
      </c>
      <c r="H19" s="206">
        <v>14686</v>
      </c>
      <c r="I19" s="206">
        <v>6758</v>
      </c>
      <c r="J19" s="207" t="s">
        <v>263</v>
      </c>
      <c r="K19" s="207" t="s">
        <v>263</v>
      </c>
      <c r="L19" s="206">
        <v>10859</v>
      </c>
      <c r="M19" s="206">
        <v>41138</v>
      </c>
      <c r="N19" s="120"/>
    </row>
    <row r="20" spans="1:14" ht="15" customHeight="1">
      <c r="A20" s="205">
        <v>1985</v>
      </c>
      <c r="B20" s="206">
        <v>4708</v>
      </c>
      <c r="C20" s="206">
        <v>4655</v>
      </c>
      <c r="D20" s="206">
        <v>151</v>
      </c>
      <c r="E20" s="207" t="s">
        <v>263</v>
      </c>
      <c r="F20" s="206">
        <v>768</v>
      </c>
      <c r="G20" s="206">
        <v>3</v>
      </c>
      <c r="H20" s="206">
        <v>14865</v>
      </c>
      <c r="I20" s="206">
        <v>6837</v>
      </c>
      <c r="J20" s="207" t="s">
        <v>263</v>
      </c>
      <c r="K20" s="207" t="s">
        <v>263</v>
      </c>
      <c r="L20" s="206">
        <v>9701</v>
      </c>
      <c r="M20" s="206">
        <v>41702</v>
      </c>
      <c r="N20" s="120"/>
    </row>
    <row r="21" spans="1:14" ht="15" customHeight="1">
      <c r="A21" s="205">
        <v>1986</v>
      </c>
      <c r="B21" s="206">
        <v>5242</v>
      </c>
      <c r="C21" s="206">
        <v>4144</v>
      </c>
      <c r="D21" s="206">
        <v>98</v>
      </c>
      <c r="E21" s="207" t="s">
        <v>263</v>
      </c>
      <c r="F21" s="206">
        <v>778</v>
      </c>
      <c r="G21" s="206">
        <v>3</v>
      </c>
      <c r="H21" s="206">
        <v>13542</v>
      </c>
      <c r="I21" s="206">
        <v>6884</v>
      </c>
      <c r="J21" s="207" t="s">
        <v>263</v>
      </c>
      <c r="K21" s="207" t="s">
        <v>263</v>
      </c>
      <c r="L21" s="206">
        <v>10240</v>
      </c>
      <c r="M21" s="206">
        <v>40931</v>
      </c>
      <c r="N21" s="120"/>
    </row>
    <row r="22" spans="1:14" ht="15" customHeight="1">
      <c r="A22" s="205">
        <v>1987</v>
      </c>
      <c r="B22" s="206">
        <v>4048</v>
      </c>
      <c r="C22" s="206">
        <v>4660</v>
      </c>
      <c r="D22" s="206">
        <v>80</v>
      </c>
      <c r="E22" s="207" t="s">
        <v>263</v>
      </c>
      <c r="F22" s="206">
        <v>821</v>
      </c>
      <c r="G22" s="206">
        <v>3</v>
      </c>
      <c r="H22" s="206">
        <v>14137</v>
      </c>
      <c r="I22" s="206">
        <v>8005</v>
      </c>
      <c r="J22" s="207" t="s">
        <v>263</v>
      </c>
      <c r="K22" s="207" t="s">
        <v>263</v>
      </c>
      <c r="L22" s="206">
        <v>8456</v>
      </c>
      <c r="M22" s="206">
        <v>40211</v>
      </c>
      <c r="N22" s="120"/>
    </row>
    <row r="23" spans="1:14" ht="15" customHeight="1">
      <c r="A23" s="205">
        <v>1988</v>
      </c>
      <c r="B23" s="206">
        <v>4166</v>
      </c>
      <c r="C23" s="206">
        <v>5041</v>
      </c>
      <c r="D23" s="206">
        <v>55</v>
      </c>
      <c r="E23" s="207" t="s">
        <v>263</v>
      </c>
      <c r="F23" s="206">
        <v>771</v>
      </c>
      <c r="G23" s="207" t="s">
        <v>191</v>
      </c>
      <c r="H23" s="206">
        <v>12883</v>
      </c>
      <c r="I23" s="206">
        <v>8350</v>
      </c>
      <c r="J23" s="207" t="s">
        <v>263</v>
      </c>
      <c r="K23" s="206">
        <v>100</v>
      </c>
      <c r="L23" s="206">
        <v>9441</v>
      </c>
      <c r="M23" s="206">
        <v>40807</v>
      </c>
      <c r="N23" s="120"/>
    </row>
    <row r="24" spans="1:14" ht="15" customHeight="1">
      <c r="A24" s="205">
        <v>1989</v>
      </c>
      <c r="B24" s="206">
        <v>4489</v>
      </c>
      <c r="C24" s="206">
        <v>4286</v>
      </c>
      <c r="D24" s="206">
        <v>30</v>
      </c>
      <c r="E24" s="207" t="s">
        <v>263</v>
      </c>
      <c r="F24" s="206">
        <v>613</v>
      </c>
      <c r="G24" s="207" t="s">
        <v>191</v>
      </c>
      <c r="H24" s="206">
        <v>12515</v>
      </c>
      <c r="I24" s="206">
        <v>8550</v>
      </c>
      <c r="J24" s="207" t="s">
        <v>263</v>
      </c>
      <c r="K24" s="206">
        <v>101.8</v>
      </c>
      <c r="L24" s="206">
        <v>8820</v>
      </c>
      <c r="M24" s="206">
        <v>39404.800000000003</v>
      </c>
      <c r="N24" s="120"/>
    </row>
    <row r="25" spans="1:14" ht="15" customHeight="1">
      <c r="B25" s="205"/>
      <c r="D25" s="205"/>
      <c r="E25" s="207"/>
      <c r="G25" s="204"/>
      <c r="H25" s="206"/>
      <c r="I25" s="206"/>
      <c r="J25" s="206"/>
      <c r="K25" s="206"/>
      <c r="L25" s="206"/>
      <c r="M25" s="206"/>
      <c r="N25" s="120"/>
    </row>
    <row r="26" spans="1:14" ht="15" customHeight="1">
      <c r="A26" s="205">
        <v>1990</v>
      </c>
      <c r="B26" s="206">
        <v>4172</v>
      </c>
      <c r="C26" s="206">
        <v>3951</v>
      </c>
      <c r="D26" s="206">
        <v>42</v>
      </c>
      <c r="E26" s="207" t="s">
        <v>263</v>
      </c>
      <c r="F26" s="206">
        <v>602</v>
      </c>
      <c r="G26" s="207" t="s">
        <v>191</v>
      </c>
      <c r="H26" s="206">
        <v>12889</v>
      </c>
      <c r="I26" s="206">
        <v>8655</v>
      </c>
      <c r="J26" s="207" t="s">
        <v>263</v>
      </c>
      <c r="K26" s="206">
        <v>106.6</v>
      </c>
      <c r="L26" s="206">
        <v>8242</v>
      </c>
      <c r="M26" s="206">
        <v>38659.599999999999</v>
      </c>
      <c r="N26" s="120"/>
    </row>
    <row r="27" spans="1:14" ht="15" customHeight="1">
      <c r="A27" s="205">
        <v>1991</v>
      </c>
      <c r="B27" s="206">
        <v>4270</v>
      </c>
      <c r="C27" s="206">
        <v>3691</v>
      </c>
      <c r="D27" s="206">
        <v>14</v>
      </c>
      <c r="E27" s="207" t="s">
        <v>263</v>
      </c>
      <c r="F27" s="206">
        <v>570</v>
      </c>
      <c r="G27" s="207" t="s">
        <v>191</v>
      </c>
      <c r="H27" s="206">
        <v>12311</v>
      </c>
      <c r="I27" s="206">
        <v>8563</v>
      </c>
      <c r="J27" s="207" t="s">
        <v>263</v>
      </c>
      <c r="K27" s="206">
        <v>108.7</v>
      </c>
      <c r="L27" s="206">
        <v>8729</v>
      </c>
      <c r="M27" s="206">
        <v>38256.699999999997</v>
      </c>
      <c r="N27" s="120"/>
    </row>
    <row r="28" spans="1:14" ht="15" customHeight="1">
      <c r="A28" s="205">
        <v>1992</v>
      </c>
      <c r="B28" s="206">
        <v>4375</v>
      </c>
      <c r="C28" s="206">
        <v>3601</v>
      </c>
      <c r="D28" s="206">
        <v>14</v>
      </c>
      <c r="E28" s="207" t="s">
        <v>263</v>
      </c>
      <c r="F28" s="206">
        <v>534</v>
      </c>
      <c r="G28" s="207" t="s">
        <v>191</v>
      </c>
      <c r="H28" s="206">
        <v>11380</v>
      </c>
      <c r="I28" s="206">
        <v>8194</v>
      </c>
      <c r="J28" s="207" t="s">
        <v>263</v>
      </c>
      <c r="K28" s="206">
        <v>278.60000000000002</v>
      </c>
      <c r="L28" s="206">
        <v>8334</v>
      </c>
      <c r="M28" s="206">
        <v>36710.6</v>
      </c>
      <c r="N28" s="120"/>
    </row>
    <row r="29" spans="1:14" ht="15" customHeight="1">
      <c r="A29" s="205">
        <v>1993</v>
      </c>
      <c r="B29" s="206">
        <v>3553</v>
      </c>
      <c r="C29" s="206">
        <v>3613</v>
      </c>
      <c r="D29" s="206">
        <v>7</v>
      </c>
      <c r="E29" s="207" t="s">
        <v>263</v>
      </c>
      <c r="F29" s="206">
        <v>560</v>
      </c>
      <c r="G29" s="207" t="s">
        <v>191</v>
      </c>
      <c r="H29" s="206">
        <v>11521</v>
      </c>
      <c r="I29" s="206">
        <v>8328</v>
      </c>
      <c r="J29" s="207" t="s">
        <v>263</v>
      </c>
      <c r="K29" s="206">
        <v>265.8</v>
      </c>
      <c r="L29" s="206">
        <v>8592</v>
      </c>
      <c r="M29" s="206">
        <v>36439.800000000003</v>
      </c>
      <c r="N29" s="120"/>
    </row>
    <row r="30" spans="1:14" ht="15" customHeight="1">
      <c r="A30" s="205">
        <v>1994</v>
      </c>
      <c r="B30" s="206">
        <v>3402</v>
      </c>
      <c r="C30" s="206">
        <v>3818</v>
      </c>
      <c r="D30" s="206">
        <v>194</v>
      </c>
      <c r="E30" s="207" t="s">
        <v>263</v>
      </c>
      <c r="F30" s="206">
        <v>590</v>
      </c>
      <c r="G30" s="207" t="s">
        <v>191</v>
      </c>
      <c r="H30" s="206">
        <v>12885</v>
      </c>
      <c r="I30" s="206">
        <v>8082</v>
      </c>
      <c r="J30" s="207" t="s">
        <v>263</v>
      </c>
      <c r="K30" s="206">
        <v>487.3</v>
      </c>
      <c r="L30" s="206">
        <v>8253</v>
      </c>
      <c r="M30" s="206">
        <v>37711.300000000003</v>
      </c>
      <c r="N30" s="120"/>
    </row>
    <row r="31" spans="1:14" ht="15" customHeight="1">
      <c r="A31" s="208" t="s">
        <v>264</v>
      </c>
      <c r="B31" s="209">
        <v>2840</v>
      </c>
      <c r="C31" s="209">
        <v>3750</v>
      </c>
      <c r="D31" s="209">
        <v>184</v>
      </c>
      <c r="E31" s="210" t="s">
        <v>263</v>
      </c>
      <c r="F31" s="209">
        <v>576.49</v>
      </c>
      <c r="G31" s="210" t="s">
        <v>191</v>
      </c>
      <c r="H31" s="209">
        <v>12679.621668099731</v>
      </c>
      <c r="I31" s="209">
        <v>8654.4453998280333</v>
      </c>
      <c r="J31" s="210" t="s">
        <v>263</v>
      </c>
      <c r="K31" s="209">
        <v>525.9</v>
      </c>
      <c r="L31" s="209">
        <v>7066</v>
      </c>
      <c r="M31" s="209">
        <v>36276.457067927768</v>
      </c>
      <c r="N31" s="120"/>
    </row>
    <row r="32" spans="1:14" ht="15" customHeight="1">
      <c r="A32" s="205" t="s">
        <v>265</v>
      </c>
      <c r="B32" s="206">
        <v>1959.4604401333877</v>
      </c>
      <c r="C32" s="206">
        <v>855.29747778733156</v>
      </c>
      <c r="D32" s="206">
        <v>232.80261775102701</v>
      </c>
      <c r="E32" s="211">
        <v>308.06634000000003</v>
      </c>
      <c r="F32" s="206">
        <v>439.09986000000004</v>
      </c>
      <c r="G32" s="207" t="s">
        <v>191</v>
      </c>
      <c r="H32" s="206">
        <v>14080.851246775579</v>
      </c>
      <c r="I32" s="206">
        <v>9004.0835399999978</v>
      </c>
      <c r="J32" s="207" t="s">
        <v>263</v>
      </c>
      <c r="K32" s="206">
        <v>532.5</v>
      </c>
      <c r="L32" s="206">
        <v>7058.0414471449803</v>
      </c>
      <c r="M32" s="206">
        <v>34470.202969592305</v>
      </c>
      <c r="N32" s="120"/>
    </row>
    <row r="33" spans="1:65" ht="15" customHeight="1">
      <c r="A33" s="205">
        <v>1997</v>
      </c>
      <c r="B33" s="206">
        <v>1963.1071607044119</v>
      </c>
      <c r="C33" s="206">
        <v>787.26870163370586</v>
      </c>
      <c r="D33" s="206">
        <v>248.88711780744961</v>
      </c>
      <c r="E33" s="211">
        <v>331.64230438521065</v>
      </c>
      <c r="F33" s="206">
        <v>457.17970765262254</v>
      </c>
      <c r="G33" s="207" t="s">
        <v>191</v>
      </c>
      <c r="H33" s="206">
        <v>14754.084264832329</v>
      </c>
      <c r="I33" s="206">
        <v>9188.6500429922598</v>
      </c>
      <c r="J33" s="207" t="s">
        <v>263</v>
      </c>
      <c r="K33" s="206">
        <v>532</v>
      </c>
      <c r="L33" s="206">
        <v>6314.6608698091777</v>
      </c>
      <c r="M33" s="206">
        <v>34577.480169817172</v>
      </c>
      <c r="N33" s="120"/>
    </row>
    <row r="34" spans="1:65" ht="15" customHeight="1">
      <c r="A34" s="205">
        <v>1998</v>
      </c>
      <c r="B34" s="206">
        <v>1606.8251093521822</v>
      </c>
      <c r="C34" s="206">
        <v>803.21486576860605</v>
      </c>
      <c r="D34" s="206">
        <v>242.79659883443207</v>
      </c>
      <c r="E34" s="211">
        <v>278.33190025795358</v>
      </c>
      <c r="F34" s="206">
        <v>384.86672398968182</v>
      </c>
      <c r="G34" s="207" t="s">
        <v>191</v>
      </c>
      <c r="H34" s="206">
        <v>15140.498710232159</v>
      </c>
      <c r="I34" s="206">
        <v>9215.5631986242479</v>
      </c>
      <c r="J34" s="207" t="s">
        <v>263</v>
      </c>
      <c r="K34" s="206">
        <v>460.9</v>
      </c>
      <c r="L34" s="206">
        <v>6379.1577292778102</v>
      </c>
      <c r="M34" s="206">
        <v>34512.154836337075</v>
      </c>
      <c r="N34" s="120"/>
    </row>
    <row r="35" spans="1:65" ht="15" customHeight="1">
      <c r="A35" s="205">
        <v>1999</v>
      </c>
      <c r="B35" s="206">
        <v>1353.4860278212193</v>
      </c>
      <c r="C35" s="206">
        <v>819.69045571797074</v>
      </c>
      <c r="D35" s="206">
        <v>215.26268271711092</v>
      </c>
      <c r="E35" s="211">
        <v>138.95098882201202</v>
      </c>
      <c r="F35" s="206">
        <v>205.07308684436799</v>
      </c>
      <c r="G35" s="207" t="s">
        <v>191</v>
      </c>
      <c r="H35" s="206">
        <v>15203.353396388651</v>
      </c>
      <c r="I35" s="206">
        <v>9542.3903697334481</v>
      </c>
      <c r="J35" s="206">
        <v>1086.1661188306107</v>
      </c>
      <c r="K35" s="206">
        <v>283.2</v>
      </c>
      <c r="L35" s="206">
        <v>5374.2926994359959</v>
      </c>
      <c r="M35" s="206">
        <v>34221.86582631139</v>
      </c>
      <c r="N35" s="120"/>
    </row>
    <row r="36" spans="1:65" ht="15" customHeight="1">
      <c r="A36" s="205"/>
      <c r="B36" s="206"/>
      <c r="C36" s="206"/>
      <c r="D36" s="206"/>
      <c r="E36" s="211"/>
      <c r="F36" s="206"/>
      <c r="G36" s="207"/>
      <c r="H36" s="206"/>
      <c r="I36" s="206"/>
      <c r="J36" s="206"/>
      <c r="K36" s="206"/>
      <c r="L36" s="206"/>
      <c r="M36" s="206"/>
      <c r="N36" s="120"/>
    </row>
    <row r="37" spans="1:65" ht="15" customHeight="1">
      <c r="A37" s="212">
        <v>2000</v>
      </c>
      <c r="B37" s="206">
        <v>1227.7435056157328</v>
      </c>
      <c r="C37" s="206">
        <v>753.44893474730111</v>
      </c>
      <c r="D37" s="206">
        <v>70.515668290818667</v>
      </c>
      <c r="E37" s="211">
        <v>95.786758383490962</v>
      </c>
      <c r="F37" s="206">
        <v>216.2510748065348</v>
      </c>
      <c r="G37" s="207" t="s">
        <v>191</v>
      </c>
      <c r="H37" s="206">
        <v>15773.086844368012</v>
      </c>
      <c r="I37" s="206">
        <v>9811.9518486672405</v>
      </c>
      <c r="J37" s="206">
        <v>1099.4159071367155</v>
      </c>
      <c r="K37" s="206">
        <v>264.06</v>
      </c>
      <c r="L37" s="206">
        <v>6039.4734330869005</v>
      </c>
      <c r="M37" s="206">
        <v>35351.733975102747</v>
      </c>
      <c r="N37" s="120"/>
    </row>
    <row r="38" spans="1:65" ht="15" customHeight="1">
      <c r="A38" s="212">
        <v>2001</v>
      </c>
      <c r="B38" s="206">
        <v>1194.9551082855403</v>
      </c>
      <c r="C38" s="206">
        <v>718.59176459348419</v>
      </c>
      <c r="D38" s="206">
        <v>210.29304003057223</v>
      </c>
      <c r="E38" s="211">
        <v>272.14101461736885</v>
      </c>
      <c r="F38" s="206">
        <v>154.25623387790196</v>
      </c>
      <c r="G38" s="207" t="s">
        <v>191</v>
      </c>
      <c r="H38" s="206">
        <v>15463.71453138435</v>
      </c>
      <c r="I38" s="206">
        <v>9573.3447979363718</v>
      </c>
      <c r="J38" s="206">
        <v>1001.2271281169391</v>
      </c>
      <c r="K38" s="206">
        <v>243.07</v>
      </c>
      <c r="L38" s="206">
        <v>6611.0456630972485</v>
      </c>
      <c r="M38" s="206">
        <v>35442.639281939773</v>
      </c>
      <c r="N38" s="120"/>
    </row>
    <row r="39" spans="1:65" ht="15" customHeight="1">
      <c r="A39" s="212">
        <v>2002</v>
      </c>
      <c r="B39" s="206">
        <v>1185.6913298407339</v>
      </c>
      <c r="C39" s="206">
        <v>610.41470062061512</v>
      </c>
      <c r="D39" s="206">
        <v>169.9778064871698</v>
      </c>
      <c r="E39" s="211">
        <v>226.28987491886218</v>
      </c>
      <c r="F39" s="206">
        <v>78.182356285427431</v>
      </c>
      <c r="G39" s="207" t="s">
        <v>191</v>
      </c>
      <c r="H39" s="206">
        <v>14201.691417826749</v>
      </c>
      <c r="I39" s="206">
        <v>9685.9845227858968</v>
      </c>
      <c r="J39" s="206">
        <v>1320.6416165090284</v>
      </c>
      <c r="K39" s="206">
        <v>250.03</v>
      </c>
      <c r="L39" s="206">
        <v>6248.2606866719052</v>
      </c>
      <c r="M39" s="206">
        <v>33977.164311946384</v>
      </c>
      <c r="N39" s="120"/>
    </row>
    <row r="40" spans="1:65" ht="15" customHeight="1">
      <c r="A40" s="212">
        <v>2003</v>
      </c>
      <c r="B40" s="206">
        <v>1247.9660292310678</v>
      </c>
      <c r="C40" s="206">
        <v>588.60115832873737</v>
      </c>
      <c r="D40" s="206">
        <v>50.516284744968857</v>
      </c>
      <c r="E40" s="211">
        <v>36.372164584811628</v>
      </c>
      <c r="F40" s="206">
        <v>53.189439497637615</v>
      </c>
      <c r="G40" s="207" t="s">
        <v>191</v>
      </c>
      <c r="H40" s="206">
        <v>14292.024855908721</v>
      </c>
      <c r="I40" s="206">
        <v>9747.0659963538128</v>
      </c>
      <c r="J40" s="206">
        <v>1128.3124710266552</v>
      </c>
      <c r="K40" s="206">
        <v>266.69</v>
      </c>
      <c r="L40" s="206">
        <v>6899.2176642987397</v>
      </c>
      <c r="M40" s="206">
        <v>34309.956063975158</v>
      </c>
      <c r="N40" s="120"/>
    </row>
    <row r="41" spans="1:65" ht="15" customHeight="1">
      <c r="A41" s="212">
        <v>2004</v>
      </c>
      <c r="B41" s="206">
        <v>1235.2520132036436</v>
      </c>
      <c r="C41" s="206">
        <v>559.20629439932907</v>
      </c>
      <c r="D41" s="206">
        <v>68.221053353019443</v>
      </c>
      <c r="E41" s="211">
        <v>32.245697511607844</v>
      </c>
      <c r="F41" s="206">
        <v>67.499392691315592</v>
      </c>
      <c r="G41" s="207" t="s">
        <v>191</v>
      </c>
      <c r="H41" s="206">
        <v>13237.600393465918</v>
      </c>
      <c r="I41" s="206">
        <v>9960.5653554826949</v>
      </c>
      <c r="J41" s="206">
        <v>832.34041616509035</v>
      </c>
      <c r="K41" s="206">
        <v>265.24</v>
      </c>
      <c r="L41" s="206">
        <v>6918.4197487788297</v>
      </c>
      <c r="M41" s="206">
        <v>33176.590365051452</v>
      </c>
      <c r="N41" s="120"/>
    </row>
    <row r="42" spans="1:65" ht="15" customHeight="1">
      <c r="A42" s="212">
        <v>2005</v>
      </c>
      <c r="B42" s="206">
        <v>1179.6881117459734</v>
      </c>
      <c r="C42" s="206">
        <v>534.73643589228084</v>
      </c>
      <c r="D42" s="206">
        <v>170.69525506006937</v>
      </c>
      <c r="E42" s="211">
        <v>28.007826574376686</v>
      </c>
      <c r="F42" s="206">
        <v>78.515824180567449</v>
      </c>
      <c r="G42" s="207" t="s">
        <v>191</v>
      </c>
      <c r="H42" s="206">
        <v>13017.28326089252</v>
      </c>
      <c r="I42" s="206">
        <v>10363.204866971857</v>
      </c>
      <c r="J42" s="206">
        <v>830.50753787745134</v>
      </c>
      <c r="K42" s="206">
        <v>188.51</v>
      </c>
      <c r="L42" s="206">
        <v>7226.6014610611655</v>
      </c>
      <c r="M42" s="206">
        <v>33617.750580256266</v>
      </c>
      <c r="N42" s="120"/>
    </row>
    <row r="43" spans="1:65" ht="15" customHeight="1">
      <c r="A43" s="212">
        <v>2006</v>
      </c>
      <c r="B43" s="206">
        <v>1130.5779200432621</v>
      </c>
      <c r="C43" s="206">
        <v>487.61874462715599</v>
      </c>
      <c r="D43" s="206">
        <v>177.79029955354378</v>
      </c>
      <c r="E43" s="211">
        <v>77.543167864144806</v>
      </c>
      <c r="F43" s="206">
        <v>106.23725760963013</v>
      </c>
      <c r="G43" s="207" t="s">
        <v>191</v>
      </c>
      <c r="H43" s="206">
        <v>12530.846714651076</v>
      </c>
      <c r="I43" s="206">
        <v>10139.148579366911</v>
      </c>
      <c r="J43" s="206">
        <v>808.93292777300076</v>
      </c>
      <c r="K43" s="206">
        <v>213.48946654426669</v>
      </c>
      <c r="L43" s="206">
        <v>7220.2826353769306</v>
      </c>
      <c r="M43" s="206">
        <v>32892.467713409918</v>
      </c>
      <c r="N43" s="120"/>
    </row>
    <row r="44" spans="1:65" ht="15" customHeight="1">
      <c r="A44" s="212">
        <v>2007</v>
      </c>
      <c r="B44" s="206">
        <v>1240.4875496309458</v>
      </c>
      <c r="C44" s="206">
        <v>513.05061144173726</v>
      </c>
      <c r="D44" s="206">
        <v>175.32459359523079</v>
      </c>
      <c r="E44" s="211">
        <v>59.161225011178054</v>
      </c>
      <c r="F44" s="206">
        <v>113.8087435253655</v>
      </c>
      <c r="G44" s="207" t="s">
        <v>191</v>
      </c>
      <c r="H44" s="206">
        <v>11630.301010071018</v>
      </c>
      <c r="I44" s="206">
        <v>10060.801902903399</v>
      </c>
      <c r="J44" s="206">
        <v>692.4816921754084</v>
      </c>
      <c r="K44" s="206">
        <v>276.33064723402265</v>
      </c>
      <c r="L44" s="206">
        <v>6826.8147628055231</v>
      </c>
      <c r="M44" s="206">
        <v>31588.56273839383</v>
      </c>
      <c r="N44" s="120"/>
    </row>
    <row r="45" spans="1:65" ht="15" customHeight="1" thickBot="1">
      <c r="A45" s="213">
        <v>2008</v>
      </c>
      <c r="B45" s="214">
        <v>1247.1148584760256</v>
      </c>
      <c r="C45" s="214">
        <v>441.84872705268845</v>
      </c>
      <c r="D45" s="214">
        <v>172.47868246461212</v>
      </c>
      <c r="E45" s="215">
        <v>42.107330618087126</v>
      </c>
      <c r="F45" s="214">
        <v>86.735275182598997</v>
      </c>
      <c r="G45" s="216" t="s">
        <v>191</v>
      </c>
      <c r="H45" s="214">
        <v>11393.001688985318</v>
      </c>
      <c r="I45" s="214">
        <v>9764.1980460827108</v>
      </c>
      <c r="J45" s="214">
        <v>690.26303439380911</v>
      </c>
      <c r="K45" s="214">
        <v>336.12423558524898</v>
      </c>
      <c r="L45" s="214">
        <v>6360.1296462422433</v>
      </c>
      <c r="M45" s="214">
        <v>30534.001525083346</v>
      </c>
      <c r="N45" s="120"/>
    </row>
    <row r="46" spans="1:65" ht="15" customHeight="1" thickTop="1">
      <c r="A46" s="121" t="s">
        <v>266</v>
      </c>
    </row>
    <row r="47" spans="1:65" ht="15" customHeight="1">
      <c r="B47" s="206"/>
      <c r="C47" s="206"/>
      <c r="D47" s="206"/>
      <c r="E47" s="206"/>
      <c r="F47" s="206"/>
      <c r="G47" s="206"/>
      <c r="H47" s="206"/>
      <c r="I47" s="92"/>
      <c r="J47" s="92"/>
      <c r="K47" s="92"/>
      <c r="L47" s="92"/>
      <c r="M47" s="92"/>
      <c r="N47" s="92"/>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row>
    <row r="48" spans="1:65">
      <c r="A48" s="122" t="s">
        <v>267</v>
      </c>
    </row>
  </sheetData>
  <pageMargins left="0.74803149606299213" right="0.74803149606299213" top="0.98425196850393704" bottom="0.98425196850393704" header="0.51181102362204722" footer="0.51181102362204722"/>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36</vt:i4>
      </vt:variant>
    </vt:vector>
  </HeadingPairs>
  <TitlesOfParts>
    <vt:vector size="36" baseType="lpstr">
      <vt:lpstr>Contents</vt:lpstr>
      <vt:lpstr>Instructions</vt:lpstr>
      <vt:lpstr>CHANGELOG</vt:lpstr>
      <vt:lpstr>Glossary</vt:lpstr>
      <vt:lpstr>Control</vt:lpstr>
      <vt:lpstr>Preferences</vt:lpstr>
      <vt:lpstr>Cost Charts</vt:lpstr>
      <vt:lpstr>Costs</vt:lpstr>
      <vt:lpstr>Global cost assumptions</vt:lpstr>
      <vt:lpstr>Intermediate output</vt:lpstr>
      <vt:lpstr>Conversions</vt:lpstr>
      <vt:lpstr>Global assumptions</vt:lpstr>
      <vt:lpstr>Constants</vt:lpstr>
      <vt:lpstr>Combustion Emissions Factors</vt:lpstr>
      <vt:lpstr>{Workstreams}</vt:lpstr>
      <vt:lpstr>{Modules}</vt:lpstr>
      <vt:lpstr>{Energy vectors}</vt:lpstr>
      <vt:lpstr>{Emissions}</vt:lpstr>
      <vt:lpstr>I.a</vt:lpstr>
      <vt:lpstr>I.b</vt:lpstr>
      <vt:lpstr>XV.b</vt:lpstr>
      <vt:lpstr>XVI.a</vt:lpstr>
      <vt:lpstr>XVI.b</vt:lpstr>
      <vt:lpstr>XVII.a</vt:lpstr>
      <vt:lpstr>XVIII</vt:lpstr>
      <vt:lpstr>2050</vt:lpstr>
      <vt:lpstr>DUKES 09 (1.2)</vt:lpstr>
      <vt:lpstr>DUKES 09 (1.9)</vt:lpstr>
      <vt:lpstr>DUKES 09 (2.5)</vt:lpstr>
      <vt:lpstr>DUKES 09 (5.1)</vt:lpstr>
      <vt:lpstr>DUKES 09 (5.6)</vt:lpstr>
      <vt:lpstr>DUKES 09 (7.2)</vt:lpstr>
      <vt:lpstr>DUKES 09 (7.4)</vt:lpstr>
      <vt:lpstr>DUKES 09 (A.1)</vt:lpstr>
      <vt:lpstr>DECC Energy Cons. (1.14)</vt:lpstr>
      <vt:lpstr>DECC Energy Cons. (4.1)</vt:lpstr>
    </vt:vector>
  </TitlesOfParts>
  <Company>Defra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Geddes</dc:creator>
  <cp:lastModifiedBy>Thomas Counsell</cp:lastModifiedBy>
  <cp:lastPrinted>2011-03-28T13:04:04Z</cp:lastPrinted>
  <dcterms:created xsi:type="dcterms:W3CDTF">2009-09-22T13:50:50Z</dcterms:created>
  <dcterms:modified xsi:type="dcterms:W3CDTF">2011-05-06T06:56:34Z</dcterms:modified>
</cp:coreProperties>
</file>