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7229788375ca3d/Lectures/Smarter Decisions/"/>
    </mc:Choice>
  </mc:AlternateContent>
  <xr:revisionPtr revIDLastSave="119179" documentId="8_{BA167AE5-3FC1-4499-A020-E11AD193C101}" xr6:coauthVersionLast="47" xr6:coauthVersionMax="47" xr10:uidLastSave="{57D526D0-6549-48D6-B662-42D0510B9E18}"/>
  <bookViews>
    <workbookView xWindow="-28920" yWindow="45" windowWidth="29040" windowHeight="15720" activeTab="3" xr2:uid="{35134DE5-DF19-4A2E-BD61-15A15AA2CB7D}"/>
  </bookViews>
  <sheets>
    <sheet name="FTE or Freelancer" sheetId="1" r:id="rId1"/>
    <sheet name="FTE or Freelancer (Names)" sheetId="2" r:id="rId2"/>
    <sheet name="SaaS Cloud Cost " sheetId="3" r:id="rId3"/>
    <sheet name="Library Selection" sheetId="4" r:id="rId4"/>
    <sheet name="Sheet4" sheetId="5" r:id="rId5"/>
  </sheets>
  <definedNames>
    <definedName name="Above_8_Freelancer_Cost">'FTE or Freelancer (Names)'!$C$12</definedName>
    <definedName name="Additional_office_cost_for_days_3">'FTE or Freelancer (Names)'!$C$9</definedName>
    <definedName name="AsiaPacific_RoutedLoad">'SaaS Cloud Cost '!$F$17:$I$17</definedName>
    <definedName name="Budget_contraint">'SaaS Cloud Cost '!$C$10</definedName>
    <definedName name="Criticality_weight">'SaaS Cloud Cost '!$C$7</definedName>
    <definedName name="DailyCost">'FTE or Freelancer (Names)'!$C$13</definedName>
    <definedName name="EUCentral_RoutedLoad">'SaaS Cloud Cost '!$F$16:$I$16</definedName>
    <definedName name="Freelancer_Cost">'FTE or Freelancer (Names)'!$C$10</definedName>
    <definedName name="Freelancer_Productivity">'FTE or Freelancer (Names)'!$C$18</definedName>
    <definedName name="Freelancers">'FTE or Freelancer (Names)'!$C$4</definedName>
    <definedName name="FTE_Cost">'FTE or Freelancer (Names)'!$C$11</definedName>
    <definedName name="FTE_Home_Productivity">'FTE or Freelancer (Names)'!$C$16</definedName>
    <definedName name="FTE_Office_Productivity">'FTE or Freelancer (Names)'!$C$17</definedName>
    <definedName name="FTEs">'FTE or Freelancer (Names)'!$C$6</definedName>
    <definedName name="Max_Latency">'SaaS Cloud Cost '!$C$9</definedName>
    <definedName name="Minimal_CU">'SaaS Cloud Cost '!$C$8</definedName>
    <definedName name="Office_Cost">'FTE or Freelancer (Names)'!$C$8</definedName>
    <definedName name="Office_Days">'FTE or Freelancer (Names)'!$C$5</definedName>
    <definedName name="Project_Duration">'FTE or Freelancer (Names)'!$C$23</definedName>
    <definedName name="Project_size">'FTE or Freelancer (Names)'!$C$1</definedName>
    <definedName name="solver_adj" localSheetId="2" hidden="1">'SaaS Cloud Cost '!$L$14:$N$17,'SaaS Cloud Cost '!$F$14:$I$17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'SaaS Cloud Cost '!$J$14:$J$17</definedName>
    <definedName name="solver_lhs10" localSheetId="2" hidden="1">'SaaS Cloud Cost '!$Q$17</definedName>
    <definedName name="solver_lhs11" localSheetId="2" hidden="1">'SaaS Cloud Cost '!$R$18</definedName>
    <definedName name="solver_lhs2" localSheetId="2" hidden="1">'SaaS Cloud Cost '!$L$14:$N$17</definedName>
    <definedName name="solver_lhs3" localSheetId="2" hidden="1">'SaaS Cloud Cost '!$L$14:$N$17</definedName>
    <definedName name="solver_lhs4" localSheetId="2" hidden="1">'SaaS Cloud Cost '!$O$14:$O$17</definedName>
    <definedName name="solver_lhs5" localSheetId="2" hidden="1">'SaaS Cloud Cost '!$P$14:$P$17</definedName>
    <definedName name="solver_lhs6" localSheetId="2" hidden="1">'SaaS Cloud Cost '!$P$14:$P$17</definedName>
    <definedName name="solver_lhs7" localSheetId="2" hidden="1">'SaaS Cloud Cost '!$Q$14</definedName>
    <definedName name="solver_lhs8" localSheetId="2" hidden="1">'SaaS Cloud Cost '!$Q$15</definedName>
    <definedName name="solver_lhs9" localSheetId="2" hidden="1">'SaaS Cloud Cost '!$Q$16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11</definedName>
    <definedName name="solver_nwt" localSheetId="2" hidden="1">1</definedName>
    <definedName name="solver_opt" localSheetId="2" hidden="1">'SaaS Cloud Cost '!$R$18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10" localSheetId="2" hidden="1">1</definedName>
    <definedName name="solver_rel11" localSheetId="2" hidden="1">1</definedName>
    <definedName name="solver_rel2" localSheetId="2" hidden="1">4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1</definedName>
    <definedName name="solver_rhs10" localSheetId="2" hidden="1">Max_Latency</definedName>
    <definedName name="solver_rhs11" localSheetId="2" hidden="1">Budget_contraint</definedName>
    <definedName name="solver_rhs2" localSheetId="2" hidden="1">"integer"</definedName>
    <definedName name="solver_rhs3" localSheetId="2" hidden="1">0</definedName>
    <definedName name="solver_rhs4" localSheetId="2" hidden="1">1</definedName>
    <definedName name="solver_rhs5" localSheetId="2" hidden="1">1</definedName>
    <definedName name="solver_rhs6" localSheetId="2" hidden="1">Minimal_CU</definedName>
    <definedName name="solver_rhs7" localSheetId="2" hidden="1">Max_Latency</definedName>
    <definedName name="solver_rhs8" localSheetId="2" hidden="1">Max_Latency</definedName>
    <definedName name="solver_rhs9" localSheetId="2" hidden="1">Max_Latency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Team_Size">'FTE or Freelancer (Names)'!$C$2</definedName>
    <definedName name="Total_Freelancer_Productivity">'FTE or Freelancer (Names)'!$C$20</definedName>
    <definedName name="Total_FTE_Proudctivity">'FTE or Freelancer (Names)'!$C$19</definedName>
    <definedName name="Total_Productivity">'FTE or Freelancer (Names)'!$C$21</definedName>
    <definedName name="TotalCost">'SaaS Cloud Cost '!$R$18</definedName>
    <definedName name="USEast_RoutedLoad">'SaaS Cloud Cost '!$F$14:$I$14</definedName>
    <definedName name="USWest_RoutedLoad">'SaaS Cloud Cost '!$F$15:$I$15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3" l="1"/>
  <c r="K3" i="4"/>
  <c r="K4" i="4"/>
  <c r="K5" i="4"/>
  <c r="K6" i="4"/>
  <c r="K7" i="4"/>
  <c r="K8" i="4"/>
  <c r="K9" i="4"/>
  <c r="K10" i="4"/>
  <c r="K11" i="4"/>
  <c r="K12" i="4"/>
  <c r="J3" i="4"/>
  <c r="L3" i="4"/>
  <c r="M3" i="4"/>
  <c r="N3" i="4"/>
  <c r="J4" i="4"/>
  <c r="L4" i="4"/>
  <c r="M4" i="4"/>
  <c r="N4" i="4"/>
  <c r="J5" i="4"/>
  <c r="L5" i="4"/>
  <c r="M5" i="4"/>
  <c r="N5" i="4"/>
  <c r="J6" i="4"/>
  <c r="L6" i="4"/>
  <c r="M6" i="4"/>
  <c r="N6" i="4"/>
  <c r="J7" i="4"/>
  <c r="L7" i="4"/>
  <c r="M7" i="4"/>
  <c r="N7" i="4"/>
  <c r="J8" i="4"/>
  <c r="L8" i="4"/>
  <c r="M8" i="4"/>
  <c r="N8" i="4"/>
  <c r="J9" i="4"/>
  <c r="L9" i="4"/>
  <c r="M9" i="4"/>
  <c r="N9" i="4"/>
  <c r="J10" i="4"/>
  <c r="L10" i="4"/>
  <c r="M10" i="4"/>
  <c r="N10" i="4"/>
  <c r="J11" i="4"/>
  <c r="L11" i="4"/>
  <c r="M11" i="4"/>
  <c r="N11" i="4"/>
  <c r="J12" i="4"/>
  <c r="L12" i="4"/>
  <c r="M12" i="4"/>
  <c r="N12" i="4"/>
  <c r="C14" i="4"/>
  <c r="D14" i="4"/>
  <c r="E14" i="4"/>
  <c r="F14" i="4"/>
  <c r="G14" i="4"/>
  <c r="C15" i="4"/>
  <c r="D15" i="4"/>
  <c r="E15" i="4"/>
  <c r="F15" i="4"/>
  <c r="G15" i="4"/>
  <c r="B15" i="4"/>
  <c r="B14" i="4"/>
  <c r="I4" i="4"/>
  <c r="I5" i="4"/>
  <c r="I6" i="4"/>
  <c r="I7" i="4"/>
  <c r="I8" i="4"/>
  <c r="I9" i="4"/>
  <c r="I10" i="4"/>
  <c r="I11" i="4"/>
  <c r="I12" i="4"/>
  <c r="I3" i="4"/>
  <c r="K17" i="3"/>
  <c r="K16" i="3"/>
  <c r="K15" i="3"/>
  <c r="J17" i="3"/>
  <c r="J16" i="3"/>
  <c r="J15" i="3"/>
  <c r="J14" i="3"/>
  <c r="O15" i="3"/>
  <c r="O16" i="3"/>
  <c r="O17" i="3"/>
  <c r="O14" i="3"/>
  <c r="D5" i="3"/>
  <c r="E5" i="3"/>
  <c r="C5" i="3"/>
  <c r="P15" i="3"/>
  <c r="P16" i="3"/>
  <c r="P17" i="3"/>
  <c r="P14" i="3"/>
  <c r="C6" i="2"/>
  <c r="C13" i="2" s="1"/>
  <c r="C20" i="2"/>
  <c r="C30" i="2"/>
  <c r="C29" i="1"/>
  <c r="C6" i="1"/>
  <c r="C17" i="1" s="1"/>
  <c r="C18" i="1"/>
  <c r="E24" i="2"/>
  <c r="E19" i="2"/>
  <c r="E20" i="2"/>
  <c r="E21" i="2"/>
  <c r="E23" i="2"/>
  <c r="E6" i="2"/>
  <c r="Q14" i="3" l="1"/>
  <c r="Q15" i="3"/>
  <c r="Q16" i="3"/>
  <c r="Q17" i="3"/>
  <c r="Q4" i="4"/>
  <c r="N14" i="4"/>
  <c r="L15" i="4"/>
  <c r="P8" i="4"/>
  <c r="J15" i="4"/>
  <c r="K14" i="4"/>
  <c r="N15" i="4"/>
  <c r="M15" i="4"/>
  <c r="I14" i="4"/>
  <c r="L14" i="4"/>
  <c r="Q8" i="4"/>
  <c r="I15" i="4"/>
  <c r="P7" i="4"/>
  <c r="P9" i="4"/>
  <c r="Q9" i="4"/>
  <c r="M14" i="4"/>
  <c r="P6" i="4"/>
  <c r="J14" i="4"/>
  <c r="P5" i="4"/>
  <c r="Q5" i="4"/>
  <c r="P12" i="4"/>
  <c r="K15" i="4"/>
  <c r="P11" i="4"/>
  <c r="Q11" i="4"/>
  <c r="Q7" i="4"/>
  <c r="Q6" i="4"/>
  <c r="P3" i="4"/>
  <c r="Q3" i="4"/>
  <c r="P4" i="4"/>
  <c r="Q12" i="4"/>
  <c r="P10" i="4"/>
  <c r="Q10" i="4"/>
  <c r="R15" i="3"/>
  <c r="R17" i="3"/>
  <c r="R16" i="3"/>
  <c r="R14" i="3"/>
  <c r="C19" i="2"/>
  <c r="C21" i="2" s="1"/>
  <c r="C12" i="1"/>
  <c r="C19" i="1"/>
  <c r="C21" i="1" s="1"/>
  <c r="E13" i="2"/>
  <c r="R10" i="4" l="1"/>
  <c r="R7" i="4"/>
  <c r="R11" i="4"/>
  <c r="R9" i="4"/>
  <c r="R12" i="4"/>
  <c r="Q14" i="4"/>
  <c r="Q15" i="4"/>
  <c r="R3" i="4"/>
  <c r="R5" i="4"/>
  <c r="P14" i="4"/>
  <c r="P15" i="4"/>
  <c r="R8" i="4"/>
  <c r="R6" i="4"/>
  <c r="R4" i="4"/>
  <c r="R18" i="3"/>
  <c r="C23" i="2"/>
  <c r="C24" i="2" s="1"/>
  <c r="C22" i="1"/>
  <c r="J3" i="1" s="1"/>
  <c r="J3" i="2" l="1"/>
</calcChain>
</file>

<file path=xl/sharedStrings.xml><?xml version="1.0" encoding="utf-8"?>
<sst xmlns="http://schemas.openxmlformats.org/spreadsheetml/2006/main" count="131" uniqueCount="89">
  <si>
    <t>total productivity</t>
  </si>
  <si>
    <t>FTE cost</t>
  </si>
  <si>
    <t>per day</t>
  </si>
  <si>
    <t>Freelancer cost</t>
  </si>
  <si>
    <t>Office cost per FTE</t>
  </si>
  <si>
    <t>FTEs</t>
  </si>
  <si>
    <t>days</t>
  </si>
  <si>
    <t>FTE home productivity</t>
  </si>
  <si>
    <t>FTE office productivity</t>
  </si>
  <si>
    <t>project duration</t>
  </si>
  <si>
    <t>Target function to minimize</t>
  </si>
  <si>
    <t>#Freelancers</t>
  </si>
  <si>
    <t>Days in the office</t>
  </si>
  <si>
    <t>Team size</t>
  </si>
  <si>
    <t>Freelancers</t>
  </si>
  <si>
    <t>FTE days in the office</t>
  </si>
  <si>
    <t>Freelancer cost if #&gt;8</t>
  </si>
  <si>
    <t>Total fte productivity</t>
  </si>
  <si>
    <t>Total freelancer productivity</t>
  </si>
  <si>
    <t>Freelancer productivity</t>
  </si>
  <si>
    <t>Day  cost</t>
  </si>
  <si>
    <t>Project size</t>
  </si>
  <si>
    <t>Day Cost * Duration</t>
  </si>
  <si>
    <t>Costs</t>
  </si>
  <si>
    <t>Productivity</t>
  </si>
  <si>
    <t>Total FTE productivity</t>
  </si>
  <si>
    <t>FTEs (Full Time Employees)</t>
  </si>
  <si>
    <t>Days</t>
  </si>
  <si>
    <t>Total productivity</t>
  </si>
  <si>
    <t>Additional office cost for days&gt;3</t>
  </si>
  <si>
    <t>man days</t>
  </si>
  <si>
    <t>probability</t>
  </si>
  <si>
    <t>Small</t>
  </si>
  <si>
    <t>CU</t>
  </si>
  <si>
    <t>Medium</t>
  </si>
  <si>
    <t>Large</t>
  </si>
  <si>
    <t>Minimal CU</t>
  </si>
  <si>
    <t xml:space="preserve">Max Latency </t>
  </si>
  <si>
    <t>ms</t>
  </si>
  <si>
    <t>US-East</t>
  </si>
  <si>
    <t>US-West</t>
  </si>
  <si>
    <t>EU-Central</t>
  </si>
  <si>
    <t>Asia-Pacific</t>
  </si>
  <si>
    <t>Critical</t>
  </si>
  <si>
    <t xml:space="preserve">Budget contraint </t>
  </si>
  <si>
    <t>#Small</t>
  </si>
  <si>
    <t>#Medium</t>
  </si>
  <si>
    <t>#Large</t>
  </si>
  <si>
    <t>Total CU</t>
  </si>
  <si>
    <t>Load</t>
  </si>
  <si>
    <t>Latency</t>
  </si>
  <si>
    <t xml:space="preserve">Criticality weight </t>
  </si>
  <si>
    <t>we penalize the latency to make sure we put more resources where critical</t>
  </si>
  <si>
    <t>Cost(per hour)</t>
  </si>
  <si>
    <t>Cost(per month)</t>
  </si>
  <si>
    <t>Monthly cost</t>
  </si>
  <si>
    <t>Total</t>
  </si>
  <si>
    <t>Instance Types</t>
  </si>
  <si>
    <t>SUM(RoutedLoad)</t>
  </si>
  <si>
    <t>Base Load</t>
  </si>
  <si>
    <t>Routed load to</t>
  </si>
  <si>
    <t>Instances</t>
  </si>
  <si>
    <t>Region</t>
  </si>
  <si>
    <t>Base latency 
(ms)</t>
  </si>
  <si>
    <t>Total 
instances</t>
  </si>
  <si>
    <t>Library</t>
  </si>
  <si>
    <t>Library1</t>
  </si>
  <si>
    <t>Library2</t>
  </si>
  <si>
    <t>Library3</t>
  </si>
  <si>
    <t>Library4</t>
  </si>
  <si>
    <t>Library5</t>
  </si>
  <si>
    <t>Library6</t>
  </si>
  <si>
    <t>Library7</t>
  </si>
  <si>
    <t>Library8</t>
  </si>
  <si>
    <t>Library9</t>
  </si>
  <si>
    <t>Library10</t>
  </si>
  <si>
    <t>Ease of use (1-10)</t>
  </si>
  <si>
    <t>Performance (TPS)</t>
  </si>
  <si>
    <t>Cost($)</t>
  </si>
  <si>
    <t>Support (1,0)</t>
  </si>
  <si>
    <t>Documentation Quality (1-10)</t>
  </si>
  <si>
    <t xml:space="preserve">Downloads </t>
  </si>
  <si>
    <t>normalized</t>
  </si>
  <si>
    <t>Average</t>
  </si>
  <si>
    <t>STDDEV</t>
  </si>
  <si>
    <t>Cost($)
multipled by -1 to reverse the order</t>
  </si>
  <si>
    <t>Score</t>
  </si>
  <si>
    <t>IMDB Score</t>
  </si>
  <si>
    <t>Score withou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</si>
</sst>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44" fontId="0" fillId="0" borderId="1" xfId="1" applyFont="1" applyBorder="1"/>
    <xf numFmtId="0" fontId="0" fillId="2" borderId="1" xfId="0" applyFill="1" applyBorder="1"/>
    <xf numFmtId="0" fontId="0" fillId="0" borderId="4" xfId="0" applyBorder="1"/>
    <xf numFmtId="9" fontId="0" fillId="0" borderId="1" xfId="2" applyFont="1" applyBorder="1"/>
    <xf numFmtId="0" fontId="0" fillId="5" borderId="1" xfId="0" applyFill="1" applyBorder="1"/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44" fontId="0" fillId="0" borderId="11" xfId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18" xfId="0" applyFont="1" applyBorder="1"/>
    <xf numFmtId="0" fontId="3" fillId="0" borderId="17" xfId="0" applyFont="1" applyBorder="1"/>
    <xf numFmtId="0" fontId="3" fillId="0" borderId="19" xfId="0" applyFont="1" applyBorder="1"/>
    <xf numFmtId="0" fontId="0" fillId="7" borderId="1" xfId="0" applyFill="1" applyBorder="1"/>
    <xf numFmtId="44" fontId="0" fillId="7" borderId="1" xfId="1" applyFont="1" applyFill="1" applyBorder="1"/>
    <xf numFmtId="0" fontId="0" fillId="6" borderId="0" xfId="0" applyFill="1" applyAlignment="1">
      <alignment horizontal="center"/>
    </xf>
    <xf numFmtId="0" fontId="3" fillId="0" borderId="0" xfId="0" applyFont="1"/>
    <xf numFmtId="44" fontId="0" fillId="0" borderId="0" xfId="1" applyFont="1" applyBorder="1"/>
    <xf numFmtId="0" fontId="0" fillId="0" borderId="8" xfId="0" applyBorder="1"/>
    <xf numFmtId="0" fontId="0" fillId="0" borderId="2" xfId="0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0" fillId="0" borderId="10" xfId="0" applyBorder="1"/>
    <xf numFmtId="0" fontId="0" fillId="7" borderId="13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0" fillId="3" borderId="10" xfId="0" applyFill="1" applyBorder="1"/>
    <xf numFmtId="0" fontId="3" fillId="7" borderId="13" xfId="0" applyFont="1" applyFill="1" applyBorder="1"/>
    <xf numFmtId="0" fontId="0" fillId="0" borderId="1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13" xfId="0" applyFont="1" applyFill="1" applyBorder="1" applyAlignment="1">
      <alignment vertical="center"/>
    </xf>
    <xf numFmtId="0" fontId="2" fillId="8" borderId="13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0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4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3" fillId="0" borderId="2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2">
    <dxf>
      <numFmt numFmtId="164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Sheet4!$B$3:$B$7</c:f>
              <c:numCache>
                <c:formatCode>General</c:formatCode>
                <c:ptCount val="5"/>
                <c:pt idx="0">
                  <c:v>0.375</c:v>
                </c:pt>
                <c:pt idx="1">
                  <c:v>0.375</c:v>
                </c:pt>
                <c:pt idx="2">
                  <c:v>0.15</c:v>
                </c:pt>
                <c:pt idx="3">
                  <c:v>0.05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E-4147-A534-239966C9F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"/>
        <c:overlap val="-27"/>
        <c:axId val="1019932048"/>
        <c:axId val="1019936368"/>
      </c:barChart>
      <c:catAx>
        <c:axId val="10199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936368"/>
        <c:crosses val="autoZero"/>
        <c:auto val="1"/>
        <c:lblAlgn val="ctr"/>
        <c:lblOffset val="100"/>
        <c:noMultiLvlLbl val="0"/>
      </c:catAx>
      <c:valAx>
        <c:axId val="10199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93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47625</xdr:rowOff>
    </xdr:from>
    <xdr:to>
      <xdr:col>18</xdr:col>
      <xdr:colOff>228600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1AF2C0-FD3D-CB7D-69B4-EEAEB09B5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C628F-E216-41C7-ACF7-2C0F8F626DC5}" name="Table1" displayName="Table1" ref="A2:G12" totalsRowShown="0" headerRowDxfId="21" headerRowBorderDxfId="20" tableBorderDxfId="19" totalsRowBorderDxfId="18">
  <tableColumns count="7">
    <tableColumn id="1" xr3:uid="{A33DF430-6BE5-434B-AC65-11E9892C01E7}" name="Library" dataDxfId="17"/>
    <tableColumn id="2" xr3:uid="{97229A6D-858A-46A9-992B-9CBA091A65EF}" name="Ease of use (1-10)" dataDxfId="16"/>
    <tableColumn id="3" xr3:uid="{48911D1C-B3DD-4F51-99C8-D6A939291C42}" name="Performance (TPS)" dataDxfId="15"/>
    <tableColumn id="4" xr3:uid="{9E7B3776-B545-42F4-8F8B-2FF5DD052637}" name="Cost($)" dataDxfId="14"/>
    <tableColumn id="5" xr3:uid="{C4DC3CB1-D5B2-45C0-B520-082ECD2A7A1F}" name="Support (1,0)" dataDxfId="13"/>
    <tableColumn id="6" xr3:uid="{04705CED-F380-4D12-A3DF-B1B5C120FD23}" name="Documentation Quality (1-10)" dataDxfId="12"/>
    <tableColumn id="7" xr3:uid="{F1085FE3-F643-47DC-8305-3589282AD4FA}" name="Downloads 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5E560-A8AC-4350-9115-9720492B08C0}" name="Table2" displayName="Table2" ref="I2:N12" totalsRowShown="0" headerRowDxfId="10" dataDxfId="8" headerRowBorderDxfId="9" tableBorderDxfId="7" totalsRowBorderDxfId="6">
  <autoFilter ref="I2:N12" xr:uid="{88E5E560-A8AC-4350-9115-9720492B08C0}"/>
  <tableColumns count="6">
    <tableColumn id="1" xr3:uid="{CE6D7A18-5FBD-4B52-9151-810C9CBB5C1C}" name="Ease of use (1-10)" dataDxfId="5">
      <calculatedColumnFormula>(Table1[[#This Row],[Ease of use (1-10)]]-AVERAGE(Table1[Ease of use (1-10)]))/_xlfn.STDEV.P(Table1[Ease of use (1-10)])</calculatedColumnFormula>
    </tableColumn>
    <tableColumn id="2" xr3:uid="{15190BF9-F2B7-48DC-942D-6D2451974951}" name="Performance (TPS)" dataDxfId="4">
      <calculatedColumnFormula>(Table1[[#This Row],[Performance (TPS)]]-AVERAGE(Table1[Performance (TPS)]))/_xlfn.STDEV.P(Table1[Performance (TPS)])</calculatedColumnFormula>
    </tableColumn>
    <tableColumn id="3" xr3:uid="{E4557D2D-CB28-46CF-ABBB-7A1512F17B08}" name="Cost($)_x000a_multipled by -1 to reverse the order" dataDxfId="3">
      <calculatedColumnFormula>-1*(Table1[[#This Row],[Cost($)]]-AVERAGE(Table1[Cost($)]))/_xlfn.STDEV.P(Table1[Cost($)])</calculatedColumnFormula>
    </tableColumn>
    <tableColumn id="4" xr3:uid="{F6338F66-7BCA-4DA6-8D08-661884E4832E}" name="Support (1,0)" dataDxfId="2">
      <calculatedColumnFormula>(Table1[[#This Row],[Support (1,0)]]-AVERAGE(Table1[Support (1,0)]))/_xlfn.STDEV.P(Table1[Support (1,0)])</calculatedColumnFormula>
    </tableColumn>
    <tableColumn id="5" xr3:uid="{40A31F7E-5CD7-4DF4-8A5E-6422C0CAEAB7}" name="Documentation Quality (1-10)" dataDxfId="1">
      <calculatedColumnFormula>(Table1[[#This Row],[Documentation Quality (1-10)]]-AVERAGE(Table1[Documentation Quality (1-10)]))/_xlfn.STDEV.P(Table1[Documentation Quality (1-10)])</calculatedColumnFormula>
    </tableColumn>
    <tableColumn id="6" xr3:uid="{6F60A73B-0407-4691-B1C5-07AB0AF8F622}" name="Downloads " dataDxfId="0">
      <calculatedColumnFormula>(Table1[[#This Row],[Downloads ]]-AVERAGE(Table1[[Downloads ]]))/_xlfn.STDEV.P(Table1[[Downloads 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B53C-1983-46C3-8DF9-070673688B36}">
  <dimension ref="A1:P29"/>
  <sheetViews>
    <sheetView workbookViewId="0">
      <selection activeCell="J3" sqref="J3"/>
    </sheetView>
  </sheetViews>
  <sheetFormatPr defaultRowHeight="15" x14ac:dyDescent="0.25"/>
  <cols>
    <col min="1" max="1" width="5" customWidth="1"/>
    <col min="2" max="2" width="27.5703125" bestFit="1" customWidth="1"/>
    <col min="3" max="3" width="10.5703125" bestFit="1" customWidth="1"/>
    <col min="4" max="4" width="18.42578125" bestFit="1" customWidth="1"/>
    <col min="5" max="5" width="3.85546875" customWidth="1"/>
    <col min="6" max="6" width="2.7109375" customWidth="1"/>
    <col min="8" max="8" width="4.28515625" customWidth="1"/>
    <col min="9" max="9" width="3.7109375" bestFit="1" customWidth="1"/>
  </cols>
  <sheetData>
    <row r="1" spans="1:16" x14ac:dyDescent="0.25">
      <c r="B1" s="9" t="s">
        <v>21</v>
      </c>
      <c r="C1" s="8">
        <v>360</v>
      </c>
      <c r="D1" s="1" t="s">
        <v>30</v>
      </c>
    </row>
    <row r="2" spans="1:16" x14ac:dyDescent="0.25">
      <c r="B2" s="9" t="s">
        <v>13</v>
      </c>
      <c r="C2" s="8">
        <v>10</v>
      </c>
      <c r="D2" s="1"/>
      <c r="K2" s="57" t="s">
        <v>12</v>
      </c>
      <c r="L2" s="58"/>
      <c r="M2" s="58"/>
      <c r="N2" s="58"/>
      <c r="O2" s="58"/>
      <c r="P2" s="59"/>
    </row>
    <row r="3" spans="1:16" x14ac:dyDescent="0.25">
      <c r="J3">
        <f>C22</f>
        <v>135000</v>
      </c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</row>
    <row r="4" spans="1:16" x14ac:dyDescent="0.25">
      <c r="B4" s="1" t="s">
        <v>14</v>
      </c>
      <c r="C4" s="2">
        <v>10</v>
      </c>
      <c r="I4" s="60" t="s">
        <v>11</v>
      </c>
      <c r="J4" s="1">
        <v>0</v>
      </c>
      <c r="K4">
        <f t="dataTable" ref="K4:P14" dt2D="1" dtr="1" r1="C5" r2="C4"/>
        <v>120000</v>
      </c>
      <c r="L4">
        <v>127565.21739130435</v>
      </c>
      <c r="M4">
        <v>134808.51063829786</v>
      </c>
      <c r="N4">
        <v>141750</v>
      </c>
      <c r="O4">
        <v>151346.93877551018</v>
      </c>
      <c r="P4">
        <v>158400</v>
      </c>
    </row>
    <row r="5" spans="1:16" x14ac:dyDescent="0.25">
      <c r="B5" s="1" t="s">
        <v>15</v>
      </c>
      <c r="C5" s="2">
        <v>0</v>
      </c>
      <c r="I5" s="60"/>
      <c r="J5" s="1">
        <v>1</v>
      </c>
      <c r="K5">
        <v>118112.35955056178</v>
      </c>
      <c r="L5">
        <v>125048.45814977973</v>
      </c>
      <c r="M5">
        <v>131714.90280777536</v>
      </c>
      <c r="N5">
        <v>138127.11864406776</v>
      </c>
      <c r="O5">
        <v>147293.13929313928</v>
      </c>
      <c r="P5">
        <v>153918.36734693876</v>
      </c>
    </row>
    <row r="6" spans="1:16" x14ac:dyDescent="0.25">
      <c r="B6" s="1" t="s">
        <v>5</v>
      </c>
      <c r="C6" s="3">
        <f>C2-C4</f>
        <v>0</v>
      </c>
      <c r="I6" s="60"/>
      <c r="J6" s="1">
        <v>2</v>
      </c>
      <c r="K6">
        <v>116181.81818181818</v>
      </c>
      <c r="L6">
        <v>122464.28571428572</v>
      </c>
      <c r="M6">
        <v>128526.31578947367</v>
      </c>
      <c r="N6">
        <v>134379.31034482759</v>
      </c>
      <c r="O6">
        <v>143084.74576271183</v>
      </c>
      <c r="P6">
        <v>149250</v>
      </c>
    </row>
    <row r="7" spans="1:16" ht="15" customHeight="1" x14ac:dyDescent="0.25">
      <c r="A7" s="61" t="s">
        <v>23</v>
      </c>
      <c r="I7" s="60"/>
      <c r="J7" s="1">
        <v>3</v>
      </c>
      <c r="K7">
        <v>114206.89655172414</v>
      </c>
      <c r="L7">
        <v>119809.95475113121</v>
      </c>
      <c r="M7">
        <v>125238.30734966592</v>
      </c>
      <c r="N7">
        <v>130499.99999999997</v>
      </c>
      <c r="O7">
        <v>138712.74298056154</v>
      </c>
      <c r="P7">
        <v>144382.97872340423</v>
      </c>
    </row>
    <row r="8" spans="1:16" x14ac:dyDescent="0.25">
      <c r="A8" s="62"/>
      <c r="B8" s="1" t="s">
        <v>4</v>
      </c>
      <c r="C8" s="4">
        <v>130</v>
      </c>
      <c r="D8" t="s">
        <v>2</v>
      </c>
      <c r="I8" s="60"/>
      <c r="J8" s="1">
        <v>4</v>
      </c>
      <c r="K8">
        <v>112186.04651162789</v>
      </c>
      <c r="L8">
        <v>117082.56880733946</v>
      </c>
      <c r="M8">
        <v>121846.15384615384</v>
      </c>
      <c r="N8">
        <v>126482.14285714284</v>
      </c>
      <c r="O8">
        <v>134167.40088105726</v>
      </c>
      <c r="P8">
        <v>139304.34782608695</v>
      </c>
    </row>
    <row r="9" spans="1:16" x14ac:dyDescent="0.25">
      <c r="A9" s="62"/>
      <c r="B9" s="1" t="s">
        <v>3</v>
      </c>
      <c r="C9" s="4">
        <v>220</v>
      </c>
      <c r="D9" t="s">
        <v>2</v>
      </c>
      <c r="I9" s="60"/>
      <c r="J9" s="1">
        <v>5</v>
      </c>
      <c r="K9">
        <v>110117.64705882352</v>
      </c>
      <c r="L9">
        <v>114279.06976744186</v>
      </c>
      <c r="M9">
        <v>118344.8275862069</v>
      </c>
      <c r="N9">
        <v>122318.18181818181</v>
      </c>
      <c r="O9">
        <v>129438.202247191</v>
      </c>
      <c r="P9">
        <v>134000</v>
      </c>
    </row>
    <row r="10" spans="1:16" x14ac:dyDescent="0.25">
      <c r="A10" s="62"/>
      <c r="B10" s="1" t="s">
        <v>1</v>
      </c>
      <c r="C10" s="4">
        <v>300</v>
      </c>
      <c r="D10" t="s">
        <v>2</v>
      </c>
      <c r="I10" s="60"/>
      <c r="J10" s="1">
        <v>6</v>
      </c>
      <c r="K10">
        <v>107999.99999999999</v>
      </c>
      <c r="L10">
        <v>111396.22641509434</v>
      </c>
      <c r="M10">
        <v>114728.97196261682</v>
      </c>
      <c r="N10">
        <v>118000</v>
      </c>
      <c r="O10">
        <v>124513.7614678899</v>
      </c>
      <c r="P10">
        <v>128454.54545454544</v>
      </c>
    </row>
    <row r="11" spans="1:16" x14ac:dyDescent="0.25">
      <c r="A11" s="62"/>
      <c r="B11" s="1" t="s">
        <v>16</v>
      </c>
      <c r="C11" s="4">
        <v>300</v>
      </c>
      <c r="D11" t="s">
        <v>2</v>
      </c>
      <c r="I11" s="60"/>
      <c r="J11" s="1">
        <v>7</v>
      </c>
      <c r="K11">
        <v>105831.32530120482</v>
      </c>
      <c r="L11">
        <v>108430.62200956939</v>
      </c>
      <c r="M11">
        <v>110992.87410926363</v>
      </c>
      <c r="N11">
        <v>113518.8679245283</v>
      </c>
      <c r="O11">
        <v>119381.73302107726</v>
      </c>
      <c r="P11">
        <v>122651.16279069766</v>
      </c>
    </row>
    <row r="12" spans="1:16" x14ac:dyDescent="0.25">
      <c r="A12" s="63"/>
      <c r="B12" s="1" t="s">
        <v>20</v>
      </c>
      <c r="C12" s="4">
        <f>C6*(C10+C5*C8/5)+C4*IF(C4&gt;8,C11,C9)+IF(C5&gt;3,20,0)*C5</f>
        <v>3000</v>
      </c>
      <c r="I12" s="60"/>
      <c r="J12" s="1">
        <v>8</v>
      </c>
      <c r="K12">
        <v>103609.75609756097</v>
      </c>
      <c r="L12">
        <v>105378.64077669903</v>
      </c>
      <c r="M12">
        <v>107130.43478260867</v>
      </c>
      <c r="N12">
        <v>108865.38461538461</v>
      </c>
      <c r="O12">
        <v>114028.70813397127</v>
      </c>
      <c r="P12">
        <v>116571.42857142857</v>
      </c>
    </row>
    <row r="13" spans="1:16" ht="24" x14ac:dyDescent="0.4">
      <c r="A13" s="10"/>
      <c r="I13" s="60"/>
      <c r="J13" s="1">
        <v>9</v>
      </c>
      <c r="K13">
        <v>133333.33333333334</v>
      </c>
      <c r="L13">
        <v>134157.63546798026</v>
      </c>
      <c r="M13">
        <v>134977.88697788696</v>
      </c>
      <c r="N13">
        <v>135794.11764705883</v>
      </c>
      <c r="O13">
        <v>140127.13936430321</v>
      </c>
      <c r="P13">
        <v>141804.87804878049</v>
      </c>
    </row>
    <row r="14" spans="1:16" x14ac:dyDescent="0.25">
      <c r="A14" s="64" t="s">
        <v>24</v>
      </c>
      <c r="B14" s="1" t="s">
        <v>7</v>
      </c>
      <c r="C14" s="7">
        <v>0.9</v>
      </c>
      <c r="D14" t="s">
        <v>2</v>
      </c>
      <c r="I14" s="60"/>
      <c r="J14" s="1">
        <v>10</v>
      </c>
      <c r="K14">
        <v>135000</v>
      </c>
      <c r="L14">
        <v>135000</v>
      </c>
      <c r="M14">
        <v>135000</v>
      </c>
      <c r="N14">
        <v>135000</v>
      </c>
      <c r="O14">
        <v>138600</v>
      </c>
      <c r="P14">
        <v>139500</v>
      </c>
    </row>
    <row r="15" spans="1:16" x14ac:dyDescent="0.25">
      <c r="A15" s="64"/>
      <c r="B15" s="1" t="s">
        <v>8</v>
      </c>
      <c r="C15" s="7">
        <v>1</v>
      </c>
      <c r="D15" t="s">
        <v>2</v>
      </c>
    </row>
    <row r="16" spans="1:16" x14ac:dyDescent="0.25">
      <c r="A16" s="64"/>
      <c r="B16" s="1" t="s">
        <v>19</v>
      </c>
      <c r="C16" s="7">
        <v>0.8</v>
      </c>
      <c r="D16" t="s">
        <v>6</v>
      </c>
    </row>
    <row r="17" spans="1:4" x14ac:dyDescent="0.25">
      <c r="A17" s="64"/>
      <c r="B17" s="1" t="s">
        <v>17</v>
      </c>
      <c r="C17" s="1">
        <f>C6*((C5*C15+(5-C5)*(C14))/5)</f>
        <v>0</v>
      </c>
      <c r="D17" t="s">
        <v>6</v>
      </c>
    </row>
    <row r="18" spans="1:4" x14ac:dyDescent="0.25">
      <c r="A18" s="64"/>
      <c r="B18" s="1" t="s">
        <v>18</v>
      </c>
      <c r="C18" s="1">
        <f>C4*C16</f>
        <v>8</v>
      </c>
    </row>
    <row r="19" spans="1:4" x14ac:dyDescent="0.25">
      <c r="A19" s="64"/>
      <c r="B19" s="1" t="s">
        <v>0</v>
      </c>
      <c r="C19" s="1">
        <f>C17+C18</f>
        <v>8</v>
      </c>
    </row>
    <row r="21" spans="1:4" x14ac:dyDescent="0.25">
      <c r="B21" s="1" t="s">
        <v>9</v>
      </c>
      <c r="C21" s="1">
        <f>C1/C19</f>
        <v>45</v>
      </c>
    </row>
    <row r="22" spans="1:4" x14ac:dyDescent="0.25">
      <c r="B22" s="1" t="s">
        <v>10</v>
      </c>
      <c r="C22" s="5">
        <f>C21*C12</f>
        <v>135000</v>
      </c>
      <c r="D22" t="s">
        <v>22</v>
      </c>
    </row>
    <row r="29" spans="1:4" x14ac:dyDescent="0.25">
      <c r="C29">
        <f>IF(C5&gt;3,20,0)</f>
        <v>0</v>
      </c>
    </row>
  </sheetData>
  <mergeCells count="4">
    <mergeCell ref="K2:P2"/>
    <mergeCell ref="I4:I14"/>
    <mergeCell ref="A7:A12"/>
    <mergeCell ref="A14:A19"/>
  </mergeCells>
  <conditionalFormatting sqref="K4: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F32E-2FBB-466D-A7D8-664E5B21A824}">
  <dimension ref="A1:P30"/>
  <sheetViews>
    <sheetView workbookViewId="0">
      <selection activeCell="O16" sqref="O16"/>
    </sheetView>
  </sheetViews>
  <sheetFormatPr defaultRowHeight="15" x14ac:dyDescent="0.25"/>
  <cols>
    <col min="1" max="1" width="5" customWidth="1"/>
    <col min="2" max="2" width="29.42578125" customWidth="1"/>
    <col min="3" max="3" width="10.5703125" bestFit="1" customWidth="1"/>
    <col min="4" max="4" width="18.7109375" customWidth="1"/>
    <col min="5" max="5" width="60.140625" customWidth="1"/>
    <col min="6" max="6" width="2.7109375" customWidth="1"/>
    <col min="8" max="8" width="4.28515625" customWidth="1"/>
    <col min="9" max="9" width="3.7109375" bestFit="1" customWidth="1"/>
  </cols>
  <sheetData>
    <row r="1" spans="1:16" x14ac:dyDescent="0.25">
      <c r="B1" s="9" t="s">
        <v>21</v>
      </c>
      <c r="C1" s="8">
        <v>360</v>
      </c>
      <c r="D1" s="1" t="s">
        <v>30</v>
      </c>
    </row>
    <row r="2" spans="1:16" x14ac:dyDescent="0.25">
      <c r="B2" s="9" t="s">
        <v>13</v>
      </c>
      <c r="C2" s="8">
        <v>10</v>
      </c>
      <c r="D2" s="1"/>
      <c r="K2" s="57" t="s">
        <v>12</v>
      </c>
      <c r="L2" s="58"/>
      <c r="M2" s="58"/>
      <c r="N2" s="58"/>
      <c r="O2" s="58"/>
      <c r="P2" s="59"/>
    </row>
    <row r="3" spans="1:16" x14ac:dyDescent="0.25">
      <c r="J3">
        <f>C24</f>
        <v>135000</v>
      </c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</row>
    <row r="4" spans="1:16" x14ac:dyDescent="0.25">
      <c r="B4" s="1" t="s">
        <v>14</v>
      </c>
      <c r="C4" s="2">
        <v>10</v>
      </c>
      <c r="I4" s="60" t="s">
        <v>11</v>
      </c>
      <c r="J4" s="1">
        <v>0</v>
      </c>
      <c r="K4">
        <f t="dataTable" ref="K4:P14" dt2D="1" dtr="1" r1="C5" r2="C4"/>
        <v>120000</v>
      </c>
      <c r="L4">
        <v>127565.21739130435</v>
      </c>
      <c r="M4">
        <v>134808.51063829786</v>
      </c>
      <c r="N4">
        <v>141750</v>
      </c>
      <c r="O4">
        <v>151346.93877551018</v>
      </c>
      <c r="P4">
        <v>158400</v>
      </c>
    </row>
    <row r="5" spans="1:16" x14ac:dyDescent="0.25">
      <c r="B5" s="1" t="s">
        <v>15</v>
      </c>
      <c r="C5" s="2">
        <v>0</v>
      </c>
      <c r="I5" s="60"/>
      <c r="J5" s="1">
        <v>1</v>
      </c>
      <c r="K5">
        <v>118112.35955056178</v>
      </c>
      <c r="L5">
        <v>125048.45814977973</v>
      </c>
      <c r="M5">
        <v>131714.90280777536</v>
      </c>
      <c r="N5">
        <v>138127.11864406776</v>
      </c>
      <c r="O5">
        <v>147293.13929313928</v>
      </c>
      <c r="P5">
        <v>153918.36734693876</v>
      </c>
    </row>
    <row r="6" spans="1:16" x14ac:dyDescent="0.25">
      <c r="B6" s="1" t="s">
        <v>26</v>
      </c>
      <c r="C6" s="3">
        <f>Team_Size-Freelancers</f>
        <v>0</v>
      </c>
      <c r="E6" t="str">
        <f t="shared" ref="E6" ca="1" si="0">_xlfn.FORMULATEXT(C6)</f>
        <v>=Team_Size-Freelancers</v>
      </c>
      <c r="I6" s="60"/>
      <c r="J6" s="1">
        <v>2</v>
      </c>
      <c r="K6">
        <v>116181.81818181818</v>
      </c>
      <c r="L6">
        <v>122464.28571428572</v>
      </c>
      <c r="M6">
        <v>128526.31578947367</v>
      </c>
      <c r="N6">
        <v>134379.31034482759</v>
      </c>
      <c r="O6">
        <v>143084.74576271183</v>
      </c>
      <c r="P6">
        <v>149250</v>
      </c>
    </row>
    <row r="7" spans="1:16" ht="15" customHeight="1" x14ac:dyDescent="0.25">
      <c r="I7" s="60"/>
      <c r="J7" s="1">
        <v>3</v>
      </c>
      <c r="K7">
        <v>114206.89655172414</v>
      </c>
      <c r="L7">
        <v>119809.95475113121</v>
      </c>
      <c r="M7">
        <v>125238.30734966592</v>
      </c>
      <c r="N7">
        <v>130499.99999999997</v>
      </c>
      <c r="O7">
        <v>138712.74298056154</v>
      </c>
      <c r="P7">
        <v>144382.97872340423</v>
      </c>
    </row>
    <row r="8" spans="1:16" ht="15" customHeight="1" x14ac:dyDescent="0.25">
      <c r="A8" s="65" t="s">
        <v>23</v>
      </c>
      <c r="B8" s="1" t="s">
        <v>4</v>
      </c>
      <c r="C8" s="4">
        <v>130</v>
      </c>
      <c r="D8" t="s">
        <v>2</v>
      </c>
      <c r="I8" s="60"/>
      <c r="J8" s="1">
        <v>4</v>
      </c>
      <c r="K8">
        <v>112186.04651162789</v>
      </c>
      <c r="L8">
        <v>117082.56880733946</v>
      </c>
      <c r="M8">
        <v>121846.15384615384</v>
      </c>
      <c r="N8">
        <v>126482.14285714284</v>
      </c>
      <c r="O8">
        <v>134167.40088105726</v>
      </c>
      <c r="P8">
        <v>139304.34782608695</v>
      </c>
    </row>
    <row r="9" spans="1:16" x14ac:dyDescent="0.25">
      <c r="A9" s="66"/>
      <c r="B9" s="1" t="s">
        <v>29</v>
      </c>
      <c r="C9" s="4">
        <v>20</v>
      </c>
      <c r="D9" t="s">
        <v>2</v>
      </c>
      <c r="I9" s="60"/>
      <c r="J9" s="1">
        <v>5</v>
      </c>
      <c r="K9">
        <v>110117.64705882352</v>
      </c>
      <c r="L9">
        <v>114279.06976744186</v>
      </c>
      <c r="M9">
        <v>118344.8275862069</v>
      </c>
      <c r="N9">
        <v>122318.18181818181</v>
      </c>
      <c r="O9">
        <v>129438.202247191</v>
      </c>
      <c r="P9">
        <v>134000</v>
      </c>
    </row>
    <row r="10" spans="1:16" x14ac:dyDescent="0.25">
      <c r="A10" s="66"/>
      <c r="B10" s="1" t="s">
        <v>3</v>
      </c>
      <c r="C10" s="4">
        <v>220</v>
      </c>
      <c r="D10" t="s">
        <v>2</v>
      </c>
      <c r="I10" s="60"/>
      <c r="J10" s="1">
        <v>6</v>
      </c>
      <c r="K10">
        <v>107999.99999999999</v>
      </c>
      <c r="L10">
        <v>111396.22641509434</v>
      </c>
      <c r="M10">
        <v>114728.97196261682</v>
      </c>
      <c r="N10">
        <v>118000</v>
      </c>
      <c r="O10">
        <v>124513.7614678899</v>
      </c>
      <c r="P10">
        <v>128454.54545454544</v>
      </c>
    </row>
    <row r="11" spans="1:16" x14ac:dyDescent="0.25">
      <c r="A11" s="66"/>
      <c r="B11" s="1" t="s">
        <v>1</v>
      </c>
      <c r="C11" s="4">
        <v>300</v>
      </c>
      <c r="D11" t="s">
        <v>2</v>
      </c>
      <c r="I11" s="60"/>
      <c r="J11" s="1">
        <v>7</v>
      </c>
      <c r="K11">
        <v>105831.32530120482</v>
      </c>
      <c r="L11">
        <v>108430.62200956939</v>
      </c>
      <c r="M11">
        <v>110992.87410926363</v>
      </c>
      <c r="N11">
        <v>113518.8679245283</v>
      </c>
      <c r="O11">
        <v>119381.73302107726</v>
      </c>
      <c r="P11">
        <v>122651.16279069766</v>
      </c>
    </row>
    <row r="12" spans="1:16" ht="44.25" customHeight="1" x14ac:dyDescent="0.25">
      <c r="A12" s="66"/>
      <c r="B12" s="1" t="s">
        <v>16</v>
      </c>
      <c r="C12" s="4">
        <v>300</v>
      </c>
      <c r="D12" t="s">
        <v>2</v>
      </c>
      <c r="I12" s="60"/>
      <c r="J12" s="1">
        <v>8</v>
      </c>
      <c r="K12">
        <v>103609.75609756097</v>
      </c>
      <c r="L12">
        <v>105378.64077669903</v>
      </c>
      <c r="M12">
        <v>107130.43478260867</v>
      </c>
      <c r="N12">
        <v>108865.38461538461</v>
      </c>
      <c r="O12">
        <v>114028.70813397127</v>
      </c>
      <c r="P12">
        <v>116571.42857142857</v>
      </c>
    </row>
    <row r="13" spans="1:16" ht="45" x14ac:dyDescent="0.25">
      <c r="A13" s="67"/>
      <c r="B13" s="1" t="s">
        <v>20</v>
      </c>
      <c r="C13" s="4">
        <f>FTEs*(FTE_Cost+Office_Days*Office_Cost/5)+Freelancers*IF(Freelancers&gt;8,Above_8_Freelancer_Cost,Freelancer_Cost)+IF(Office_Days&gt;3,Additional_office_cost_for_days_3,0)*Office_Days</f>
        <v>3000</v>
      </c>
      <c r="E13" s="11" t="str">
        <f ca="1">_xlfn.FORMULATEXT(C13)</f>
        <v>=FTEs*(FTE_Cost+Office_Days*Office_Cost/5)+Freelancers*IF(Freelancers&gt;8,Above_8_Freelancer_Cost,Freelancer_Cost)+IF(Office_Days&gt;3,Additional_office_cost_for_days_3,0)*Office_Days</v>
      </c>
      <c r="I13" s="60"/>
      <c r="J13" s="1">
        <v>9</v>
      </c>
      <c r="K13">
        <v>133333.33333333334</v>
      </c>
      <c r="L13">
        <v>134157.63546798026</v>
      </c>
      <c r="M13">
        <v>134977.88697788696</v>
      </c>
      <c r="N13">
        <v>135794.11764705883</v>
      </c>
      <c r="O13">
        <v>140127.13936430321</v>
      </c>
      <c r="P13">
        <v>141804.87804878049</v>
      </c>
    </row>
    <row r="14" spans="1:16" ht="15" customHeight="1" x14ac:dyDescent="0.25">
      <c r="I14" s="60"/>
      <c r="J14" s="1">
        <v>10</v>
      </c>
      <c r="K14">
        <v>135000</v>
      </c>
      <c r="L14">
        <v>135000</v>
      </c>
      <c r="M14">
        <v>135000</v>
      </c>
      <c r="N14">
        <v>135000</v>
      </c>
      <c r="O14">
        <v>138600</v>
      </c>
      <c r="P14">
        <v>139500</v>
      </c>
    </row>
    <row r="16" spans="1:16" ht="92.25" customHeight="1" x14ac:dyDescent="0.25">
      <c r="A16" s="61" t="s">
        <v>24</v>
      </c>
      <c r="B16" s="1" t="s">
        <v>7</v>
      </c>
      <c r="C16" s="7">
        <v>0.9</v>
      </c>
    </row>
    <row r="17" spans="1:5" x14ac:dyDescent="0.25">
      <c r="A17" s="62"/>
      <c r="B17" s="1" t="s">
        <v>8</v>
      </c>
      <c r="C17" s="7">
        <v>1</v>
      </c>
    </row>
    <row r="18" spans="1:5" x14ac:dyDescent="0.25">
      <c r="A18" s="62"/>
      <c r="B18" s="1" t="s">
        <v>19</v>
      </c>
      <c r="C18" s="7">
        <v>0.8</v>
      </c>
    </row>
    <row r="19" spans="1:5" ht="30" x14ac:dyDescent="0.25">
      <c r="A19" s="62"/>
      <c r="B19" s="1" t="s">
        <v>25</v>
      </c>
      <c r="C19" s="1">
        <f>FTEs*((Office_Days*FTE_Office_Productivity+(5-Office_Days)*(FTE_Home_Productivity))/5)</f>
        <v>0</v>
      </c>
      <c r="D19" t="s">
        <v>6</v>
      </c>
      <c r="E19" s="11" t="str">
        <f ca="1">_xlfn.FORMULATEXT(C19)</f>
        <v>=FTEs*((Office_Days*FTE_Office_Productivity+(5-Office_Days)*(FTE_Home_Productivity))/5)</v>
      </c>
    </row>
    <row r="20" spans="1:5" x14ac:dyDescent="0.25">
      <c r="A20" s="62"/>
      <c r="B20" s="1" t="s">
        <v>18</v>
      </c>
      <c r="C20" s="1">
        <f>Freelancers*Freelancer_Productivity</f>
        <v>8</v>
      </c>
      <c r="E20" t="str">
        <f ca="1">_xlfn.FORMULATEXT(C20)</f>
        <v>=Freelancers*Freelancer_Productivity</v>
      </c>
    </row>
    <row r="21" spans="1:5" x14ac:dyDescent="0.25">
      <c r="A21" s="63"/>
      <c r="B21" s="1" t="s">
        <v>28</v>
      </c>
      <c r="C21" s="1">
        <f>Total_FTE_Proudctivity+Total_Freelancer_Productivity</f>
        <v>8</v>
      </c>
      <c r="E21" t="str">
        <f ca="1">_xlfn.FORMULATEXT(C21)</f>
        <v>=Total_FTE_Proudctivity+Total_Freelancer_Productivity</v>
      </c>
    </row>
    <row r="23" spans="1:5" x14ac:dyDescent="0.25">
      <c r="B23" s="1" t="s">
        <v>9</v>
      </c>
      <c r="C23" s="1">
        <f>Project_size/Total_Productivity</f>
        <v>45</v>
      </c>
      <c r="D23" t="s">
        <v>27</v>
      </c>
      <c r="E23" t="str">
        <f ca="1">_xlfn.FORMULATEXT(C23)</f>
        <v>=Project_size/Total_Productivity</v>
      </c>
    </row>
    <row r="24" spans="1:5" x14ac:dyDescent="0.25">
      <c r="B24" s="1" t="s">
        <v>10</v>
      </c>
      <c r="C24" s="5">
        <f>C23*C13</f>
        <v>135000</v>
      </c>
      <c r="D24" t="s">
        <v>22</v>
      </c>
      <c r="E24" t="str">
        <f ca="1">_xlfn.FORMULATEXT(C24)</f>
        <v>=C23*C13</v>
      </c>
    </row>
    <row r="30" spans="1:5" x14ac:dyDescent="0.25">
      <c r="C30">
        <f>IF(C5&gt;3,20,0)</f>
        <v>0</v>
      </c>
    </row>
  </sheetData>
  <mergeCells count="4">
    <mergeCell ref="A16:A21"/>
    <mergeCell ref="K2:P2"/>
    <mergeCell ref="I4:I14"/>
    <mergeCell ref="A8:A13"/>
  </mergeCells>
  <conditionalFormatting sqref="K4: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71DF-E8DE-4609-9422-0E2FF349FDDC}">
  <dimension ref="B1:R18"/>
  <sheetViews>
    <sheetView topLeftCell="A6" workbookViewId="0">
      <selection activeCell="M20" sqref="M20"/>
    </sheetView>
  </sheetViews>
  <sheetFormatPr defaultRowHeight="15" x14ac:dyDescent="0.25"/>
  <cols>
    <col min="2" max="2" width="16" bestFit="1" customWidth="1"/>
    <col min="3" max="3" width="11.5703125" bestFit="1" customWidth="1"/>
    <col min="4" max="4" width="12.42578125" customWidth="1"/>
    <col min="5" max="5" width="12" bestFit="1" customWidth="1"/>
    <col min="6" max="9" width="12" customWidth="1"/>
    <col min="10" max="10" width="16.85546875" customWidth="1"/>
    <col min="11" max="11" width="8.140625" customWidth="1"/>
    <col min="13" max="13" width="13.85546875" bestFit="1" customWidth="1"/>
    <col min="17" max="17" width="20" customWidth="1"/>
    <col min="18" max="18" width="12.140625" bestFit="1" customWidth="1"/>
  </cols>
  <sheetData>
    <row r="1" spans="2:18" x14ac:dyDescent="0.25">
      <c r="B1" s="74" t="s">
        <v>57</v>
      </c>
      <c r="C1" s="75"/>
      <c r="D1" s="75"/>
      <c r="E1" s="76"/>
      <c r="F1" s="24"/>
      <c r="G1" s="24"/>
      <c r="H1" s="24"/>
      <c r="I1" s="24"/>
      <c r="J1" s="24"/>
      <c r="K1" s="24"/>
    </row>
    <row r="2" spans="2:18" x14ac:dyDescent="0.25">
      <c r="B2" s="14"/>
      <c r="C2" s="9" t="s">
        <v>32</v>
      </c>
      <c r="D2" s="9" t="s">
        <v>34</v>
      </c>
      <c r="E2" s="19" t="s">
        <v>35</v>
      </c>
      <c r="F2" s="25"/>
      <c r="G2" s="25"/>
      <c r="H2" s="25"/>
      <c r="I2" s="25"/>
      <c r="J2" s="25"/>
      <c r="K2" s="25"/>
    </row>
    <row r="3" spans="2:18" x14ac:dyDescent="0.25">
      <c r="B3" s="20" t="s">
        <v>33</v>
      </c>
      <c r="C3" s="1">
        <v>50</v>
      </c>
      <c r="D3" s="1">
        <v>150</v>
      </c>
      <c r="E3" s="15">
        <v>300</v>
      </c>
    </row>
    <row r="4" spans="2:18" x14ac:dyDescent="0.25">
      <c r="B4" s="20" t="s">
        <v>53</v>
      </c>
      <c r="C4" s="1">
        <v>0.05</v>
      </c>
      <c r="D4" s="1">
        <v>0.12</v>
      </c>
      <c r="E4" s="15">
        <v>0.2</v>
      </c>
    </row>
    <row r="5" spans="2:18" ht="15.75" thickBot="1" x14ac:dyDescent="0.3">
      <c r="B5" s="21" t="s">
        <v>54</v>
      </c>
      <c r="C5" s="17">
        <f>730*C4</f>
        <v>36.5</v>
      </c>
      <c r="D5" s="17">
        <f t="shared" ref="D5:E5" si="0">730*D4</f>
        <v>87.6</v>
      </c>
      <c r="E5" s="18">
        <f t="shared" si="0"/>
        <v>146</v>
      </c>
    </row>
    <row r="7" spans="2:18" x14ac:dyDescent="0.25">
      <c r="B7" s="1" t="s">
        <v>51</v>
      </c>
      <c r="C7" s="1">
        <v>1.5</v>
      </c>
      <c r="D7" t="s">
        <v>52</v>
      </c>
    </row>
    <row r="8" spans="2:18" x14ac:dyDescent="0.25">
      <c r="B8" s="1" t="s">
        <v>36</v>
      </c>
      <c r="C8" s="1">
        <v>1000</v>
      </c>
    </row>
    <row r="9" spans="2:18" x14ac:dyDescent="0.25">
      <c r="B9" s="1" t="s">
        <v>37</v>
      </c>
      <c r="C9" s="1">
        <v>30</v>
      </c>
      <c r="D9" t="s">
        <v>38</v>
      </c>
    </row>
    <row r="10" spans="2:18" x14ac:dyDescent="0.25">
      <c r="B10" s="1" t="s">
        <v>44</v>
      </c>
      <c r="C10" s="4">
        <v>15000</v>
      </c>
    </row>
    <row r="11" spans="2:18" ht="15.75" thickBot="1" x14ac:dyDescent="0.3">
      <c r="C11" s="26"/>
    </row>
    <row r="12" spans="2:18" x14ac:dyDescent="0.25">
      <c r="B12" s="77" t="s">
        <v>62</v>
      </c>
      <c r="C12" s="68" t="s">
        <v>43</v>
      </c>
      <c r="D12" s="68" t="s">
        <v>59</v>
      </c>
      <c r="E12" s="79" t="s">
        <v>63</v>
      </c>
      <c r="F12" s="77" t="s">
        <v>60</v>
      </c>
      <c r="G12" s="68"/>
      <c r="H12" s="68"/>
      <c r="I12" s="78"/>
      <c r="J12" s="29"/>
      <c r="K12" s="38"/>
      <c r="L12" s="77" t="s">
        <v>61</v>
      </c>
      <c r="M12" s="68"/>
      <c r="N12" s="78"/>
      <c r="O12" s="70" t="s">
        <v>64</v>
      </c>
      <c r="P12" s="72" t="s">
        <v>48</v>
      </c>
      <c r="Q12" s="72" t="s">
        <v>50</v>
      </c>
      <c r="R12" s="72" t="s">
        <v>55</v>
      </c>
    </row>
    <row r="13" spans="2:18" x14ac:dyDescent="0.25">
      <c r="B13" s="81"/>
      <c r="C13" s="69"/>
      <c r="D13" s="69"/>
      <c r="E13" s="80"/>
      <c r="F13" s="20" t="s">
        <v>39</v>
      </c>
      <c r="G13" s="9" t="s">
        <v>40</v>
      </c>
      <c r="H13" s="9" t="s">
        <v>41</v>
      </c>
      <c r="I13" s="19" t="s">
        <v>42</v>
      </c>
      <c r="J13" s="30" t="s">
        <v>58</v>
      </c>
      <c r="K13" s="39" t="s">
        <v>49</v>
      </c>
      <c r="L13" s="20" t="s">
        <v>45</v>
      </c>
      <c r="M13" s="9" t="s">
        <v>46</v>
      </c>
      <c r="N13" s="19" t="s">
        <v>47</v>
      </c>
      <c r="O13" s="71"/>
      <c r="P13" s="73"/>
      <c r="Q13" s="73"/>
      <c r="R13" s="73"/>
    </row>
    <row r="14" spans="2:18" x14ac:dyDescent="0.25">
      <c r="B14" s="14" t="s">
        <v>39</v>
      </c>
      <c r="C14" s="1">
        <v>1</v>
      </c>
      <c r="D14" s="1">
        <v>4500</v>
      </c>
      <c r="E14" s="15">
        <v>50</v>
      </c>
      <c r="F14" s="33">
        <v>0</v>
      </c>
      <c r="G14" s="8">
        <v>0.85000001710379547</v>
      </c>
      <c r="H14" s="8">
        <v>0</v>
      </c>
      <c r="I14" s="34">
        <v>0.14999998289620461</v>
      </c>
      <c r="J14" s="31">
        <f>SUM(USEast_RoutedLoad)</f>
        <v>1</v>
      </c>
      <c r="K14" s="27">
        <f>SUMPRODUCT(F14:F17,$D$14:$D$17)</f>
        <v>629.9999936191349</v>
      </c>
      <c r="L14" s="33">
        <v>0</v>
      </c>
      <c r="M14" s="8">
        <v>1</v>
      </c>
      <c r="N14" s="34">
        <v>3</v>
      </c>
      <c r="O14" s="40">
        <f>N14+M14+L14</f>
        <v>4</v>
      </c>
      <c r="P14" s="1">
        <f>SUMPRODUCT(L14:N14,$C$3:$E$3)</f>
        <v>1050</v>
      </c>
      <c r="Q14" s="1">
        <f>((E14*K14)/P14)*(1/((1-C14)*$C$7+C14))</f>
        <v>29.999999696149281</v>
      </c>
      <c r="R14" s="4">
        <f>SUMPRODUCT(L14:N14,$C$5:$E$5)</f>
        <v>525.6</v>
      </c>
    </row>
    <row r="15" spans="2:18" x14ac:dyDescent="0.25">
      <c r="B15" s="14" t="s">
        <v>40</v>
      </c>
      <c r="C15" s="1">
        <v>0</v>
      </c>
      <c r="D15" s="1">
        <v>3200</v>
      </c>
      <c r="E15" s="15">
        <v>60</v>
      </c>
      <c r="F15" s="33">
        <v>0.15043724341504605</v>
      </c>
      <c r="G15" s="8">
        <v>0.84956273064065724</v>
      </c>
      <c r="H15" s="8">
        <v>0</v>
      </c>
      <c r="I15" s="34">
        <v>2.5944296564999565E-8</v>
      </c>
      <c r="J15" s="31">
        <f>SUM(USWest_RoutedLoad)</f>
        <v>0.99999999999999989</v>
      </c>
      <c r="K15" s="27">
        <f>SUMPRODUCT(G14:G17,$D$14:$D$17)</f>
        <v>14601.896544407107</v>
      </c>
      <c r="L15" s="33">
        <v>0</v>
      </c>
      <c r="M15" s="8">
        <v>0</v>
      </c>
      <c r="N15" s="34">
        <v>65</v>
      </c>
      <c r="O15" s="40">
        <f t="shared" ref="O15:O17" si="1">N15+M15+L15</f>
        <v>65</v>
      </c>
      <c r="P15" s="1">
        <f t="shared" ref="P15:P17" si="2">SUMPRODUCT(L15:N15,$C$3:$E$3)</f>
        <v>19500</v>
      </c>
      <c r="Q15" s="1">
        <f t="shared" ref="Q15:Q17" si="3">((E15*K15)/P15)*(1/((1-C15)*$C$7+C15))</f>
        <v>29.952608296219701</v>
      </c>
      <c r="R15" s="4">
        <f t="shared" ref="R15:R17" si="4">SUMPRODUCT(L15:N15,$C$5:$E$5)</f>
        <v>9490</v>
      </c>
    </row>
    <row r="16" spans="2:18" x14ac:dyDescent="0.25">
      <c r="B16" s="14" t="s">
        <v>41</v>
      </c>
      <c r="C16" s="1">
        <v>1</v>
      </c>
      <c r="D16" s="1">
        <v>3250</v>
      </c>
      <c r="E16" s="15">
        <v>58</v>
      </c>
      <c r="F16" s="33">
        <v>0</v>
      </c>
      <c r="G16" s="8">
        <v>1</v>
      </c>
      <c r="H16" s="8">
        <v>0</v>
      </c>
      <c r="I16" s="34">
        <v>0</v>
      </c>
      <c r="J16" s="31">
        <f>SUM(EUCentral_RoutedLoad)</f>
        <v>1</v>
      </c>
      <c r="K16" s="27">
        <f>SUMPRODUCT(H14:H17,$D$14:$D$17)</f>
        <v>543.10345591908936</v>
      </c>
      <c r="L16" s="33">
        <v>0</v>
      </c>
      <c r="M16" s="8">
        <v>1</v>
      </c>
      <c r="N16" s="34">
        <v>3</v>
      </c>
      <c r="O16" s="40">
        <f t="shared" si="1"/>
        <v>4</v>
      </c>
      <c r="P16" s="1">
        <f t="shared" si="2"/>
        <v>1050</v>
      </c>
      <c r="Q16" s="1">
        <f t="shared" si="3"/>
        <v>30.000000422197314</v>
      </c>
      <c r="R16" s="4">
        <f t="shared" si="4"/>
        <v>525.6</v>
      </c>
    </row>
    <row r="17" spans="2:18" ht="15.75" thickBot="1" x14ac:dyDescent="0.3">
      <c r="B17" s="16" t="s">
        <v>42</v>
      </c>
      <c r="C17" s="17">
        <v>0</v>
      </c>
      <c r="D17" s="17">
        <v>5500</v>
      </c>
      <c r="E17" s="18">
        <v>80</v>
      </c>
      <c r="F17" s="35">
        <v>2.7018329943815908E-2</v>
      </c>
      <c r="G17" s="36">
        <v>0.87423558716180416</v>
      </c>
      <c r="H17" s="36">
        <v>9.8746082894379889E-2</v>
      </c>
      <c r="I17" s="37">
        <v>0</v>
      </c>
      <c r="J17" s="31">
        <f>SUM(AsiaPacific_RoutedLoad)</f>
        <v>1</v>
      </c>
      <c r="K17" s="27">
        <f>SUMPRODUCT(I14:I17,$D$14:$D$17)</f>
        <v>675.00000605466971</v>
      </c>
      <c r="L17" s="35">
        <v>0</v>
      </c>
      <c r="M17" s="36">
        <v>0</v>
      </c>
      <c r="N17" s="37">
        <v>4</v>
      </c>
      <c r="O17" s="40">
        <f t="shared" si="1"/>
        <v>4</v>
      </c>
      <c r="P17" s="12">
        <f t="shared" si="2"/>
        <v>1200</v>
      </c>
      <c r="Q17" s="1">
        <f t="shared" si="3"/>
        <v>30.000000269096432</v>
      </c>
      <c r="R17" s="13">
        <f t="shared" si="4"/>
        <v>584</v>
      </c>
    </row>
    <row r="18" spans="2:18" x14ac:dyDescent="0.25">
      <c r="B18" s="41" t="s">
        <v>56</v>
      </c>
      <c r="C18" s="32"/>
      <c r="D18" s="32"/>
      <c r="E18" s="32"/>
      <c r="F18" s="32"/>
      <c r="G18" s="32"/>
      <c r="H18" s="32"/>
      <c r="I18" s="32"/>
      <c r="J18" s="22"/>
      <c r="K18" s="22"/>
      <c r="L18" s="32"/>
      <c r="M18" s="32"/>
      <c r="N18" s="32"/>
      <c r="O18" s="22"/>
      <c r="P18" s="22"/>
      <c r="Q18" s="22"/>
      <c r="R18" s="23">
        <f>SUM(R14:R17)</f>
        <v>11125.2</v>
      </c>
    </row>
  </sheetData>
  <mergeCells count="11">
    <mergeCell ref="R12:R13"/>
    <mergeCell ref="B1:E1"/>
    <mergeCell ref="F12:I12"/>
    <mergeCell ref="L12:N12"/>
    <mergeCell ref="E12:E13"/>
    <mergeCell ref="B12:B13"/>
    <mergeCell ref="C12:C13"/>
    <mergeCell ref="D12:D13"/>
    <mergeCell ref="O12:O13"/>
    <mergeCell ref="P12:P13"/>
    <mergeCell ref="Q12:Q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D5B0-6A13-4582-A66C-D333B89C5445}">
  <dimension ref="A1:R15"/>
  <sheetViews>
    <sheetView tabSelected="1" topLeftCell="E1" workbookViewId="0">
      <selection activeCell="R3" sqref="R3:R12"/>
    </sheetView>
  </sheetViews>
  <sheetFormatPr defaultRowHeight="15" x14ac:dyDescent="0.25"/>
  <cols>
    <col min="1" max="1" width="9" bestFit="1" customWidth="1"/>
    <col min="2" max="2" width="17" bestFit="1" customWidth="1"/>
    <col min="3" max="3" width="18" bestFit="1" customWidth="1"/>
    <col min="4" max="4" width="7.7109375" bestFit="1" customWidth="1"/>
    <col min="5" max="5" width="12.5703125" bestFit="1" customWidth="1"/>
    <col min="6" max="6" width="28" bestFit="1" customWidth="1"/>
    <col min="7" max="7" width="11.42578125" bestFit="1" customWidth="1"/>
    <col min="8" max="8" width="11.42578125" customWidth="1"/>
    <col min="9" max="9" width="19" customWidth="1"/>
    <col min="10" max="10" width="19.85546875" customWidth="1"/>
    <col min="11" max="11" width="35.7109375" bestFit="1" customWidth="1"/>
    <col min="12" max="12" width="14.7109375" customWidth="1"/>
    <col min="13" max="13" width="29.5703125" customWidth="1"/>
    <col min="14" max="14" width="13.5703125" customWidth="1"/>
    <col min="17" max="17" width="23" bestFit="1" customWidth="1"/>
  </cols>
  <sheetData>
    <row r="1" spans="1:18" x14ac:dyDescent="0.25">
      <c r="I1" s="82" t="s">
        <v>82</v>
      </c>
      <c r="J1" s="82"/>
      <c r="K1" s="82"/>
      <c r="L1" s="82"/>
      <c r="M1" s="82"/>
      <c r="N1" s="82"/>
    </row>
    <row r="2" spans="1:18" ht="36.75" customHeight="1" x14ac:dyDescent="0.25">
      <c r="A2" s="48" t="s">
        <v>65</v>
      </c>
      <c r="B2" s="42" t="s">
        <v>76</v>
      </c>
      <c r="C2" s="42" t="s">
        <v>77</v>
      </c>
      <c r="D2" s="42" t="s">
        <v>78</v>
      </c>
      <c r="E2" s="42" t="s">
        <v>79</v>
      </c>
      <c r="F2" s="42" t="s">
        <v>80</v>
      </c>
      <c r="G2" s="43" t="s">
        <v>81</v>
      </c>
      <c r="H2" s="50"/>
      <c r="I2" s="44" t="s">
        <v>76</v>
      </c>
      <c r="J2" s="45" t="s">
        <v>77</v>
      </c>
      <c r="K2" s="46" t="s">
        <v>85</v>
      </c>
      <c r="L2" s="45" t="s">
        <v>79</v>
      </c>
      <c r="M2" s="45" t="s">
        <v>80</v>
      </c>
      <c r="N2" s="47" t="s">
        <v>81</v>
      </c>
      <c r="P2" t="s">
        <v>86</v>
      </c>
      <c r="Q2" t="s">
        <v>88</v>
      </c>
      <c r="R2" t="s">
        <v>87</v>
      </c>
    </row>
    <row r="3" spans="1:18" x14ac:dyDescent="0.25">
      <c r="A3" s="31" t="s">
        <v>66</v>
      </c>
      <c r="B3" s="1">
        <v>5</v>
      </c>
      <c r="C3" s="1">
        <v>700</v>
      </c>
      <c r="D3" s="1">
        <v>500</v>
      </c>
      <c r="E3" s="1">
        <v>0</v>
      </c>
      <c r="F3" s="1">
        <v>7</v>
      </c>
      <c r="G3" s="27">
        <v>1000</v>
      </c>
      <c r="I3" s="51">
        <f>(Table1[[#This Row],[Ease of use (1-10)]]-AVERAGE(Table1[Ease of use (1-10)]))/_xlfn.STDEV.P(Table1[Ease of use (1-10)])</f>
        <v>-0.47826086956521729</v>
      </c>
      <c r="J3" s="52">
        <f>(Table1[[#This Row],[Performance (TPS)]]-AVERAGE(Table1[Performance (TPS)]))/_xlfn.STDEV.P(Table1[Performance (TPS)])</f>
        <v>0.22427045228226597</v>
      </c>
      <c r="K3" s="52">
        <f>-1*(Table1[[#This Row],[Cost($)]]-AVERAGE(Table1[Cost($)]))/_xlfn.STDEV.P(Table1[Cost($)])</f>
        <v>-5.959393263623166E-2</v>
      </c>
      <c r="L3" s="52">
        <f>(Table1[[#This Row],[Support (1,0)]]-AVERAGE(Table1[Support (1,0)]))/_xlfn.STDEV.P(Table1[Support (1,0)])</f>
        <v>-1.5275252316519465</v>
      </c>
      <c r="M3" s="52">
        <f>(Table1[[#This Row],[Documentation Quality (1-10)]]-AVERAGE(Table1[Documentation Quality (1-10)]))/_xlfn.STDEV.P(Table1[Documentation Quality (1-10)])</f>
        <v>0.338002094784906</v>
      </c>
      <c r="N3" s="53">
        <f>(Table1[[#This Row],[Downloads ]]-AVERAGE(Table1[[Downloads ]]))/_xlfn.STDEV.P(Table1[[Downloads ]])</f>
        <v>0.49699317737908172</v>
      </c>
      <c r="P3">
        <f>AVERAGE(Table2[#This Row])</f>
        <v>-0.16768571823452363</v>
      </c>
      <c r="Q3">
        <f>AVERAGE(Table2[[#This Row],[Ease of use (1-10)]:[Documentation Quality (1-10)]])</f>
        <v>-0.30062149735724469</v>
      </c>
      <c r="R3">
        <f>(Table1[[#This Row],[Downloads ]]*Q3+100*AVERAGE($Q$3:$Q$12))/(Table1[[#This Row],[Downloads ]]+100)</f>
        <v>-0.27329227032476794</v>
      </c>
    </row>
    <row r="4" spans="1:18" x14ac:dyDescent="0.25">
      <c r="A4" s="31" t="s">
        <v>67</v>
      </c>
      <c r="B4" s="1">
        <v>7</v>
      </c>
      <c r="C4" s="1">
        <v>650</v>
      </c>
      <c r="D4" s="1">
        <v>1200</v>
      </c>
      <c r="E4" s="1">
        <v>1</v>
      </c>
      <c r="F4" s="1">
        <v>6</v>
      </c>
      <c r="G4" s="27">
        <v>2000</v>
      </c>
      <c r="I4" s="51">
        <f>(Table1[[#This Row],[Ease of use (1-10)]]-AVERAGE(Table1[Ease of use (1-10)]))/_xlfn.STDEV.P(Table1[Ease of use (1-10)])</f>
        <v>0.39130434782608714</v>
      </c>
      <c r="J4" s="52">
        <f>(Table1[[#This Row],[Performance (TPS)]]-AVERAGE(Table1[Performance (TPS)]))/_xlfn.STDEV.P(Table1[Performance (TPS)])</f>
        <v>1.5062940824928399E-2</v>
      </c>
      <c r="K4" s="52">
        <f>-1*(Table1[[#This Row],[Cost($)]]-AVERAGE(Table1[Cost($)]))/_xlfn.STDEV.P(Table1[Cost($)])</f>
        <v>-2.255159871865819</v>
      </c>
      <c r="L4" s="52">
        <f>(Table1[[#This Row],[Support (1,0)]]-AVERAGE(Table1[Support (1,0)]))/_xlfn.STDEV.P(Table1[Support (1,0)])</f>
        <v>0.6546536707079772</v>
      </c>
      <c r="M4" s="52">
        <f>(Table1[[#This Row],[Documentation Quality (1-10)]]-AVERAGE(Table1[Documentation Quality (1-10)]))/_xlfn.STDEV.P(Table1[Documentation Quality (1-10)])</f>
        <v>-3.7555788309433846E-2</v>
      </c>
      <c r="N4" s="53">
        <f>(Table1[[#This Row],[Downloads ]]-AVERAGE(Table1[[Downloads ]]))/_xlfn.STDEV.P(Table1[[Downloads ]])</f>
        <v>2.477834856849316</v>
      </c>
      <c r="P4">
        <f>AVERAGE(Table2[#This Row])</f>
        <v>0.20769002600550932</v>
      </c>
      <c r="Q4">
        <f>AVERAGE(Table2[[#This Row],[Ease of use (1-10)]:[Documentation Quality (1-10)]])</f>
        <v>-0.24633894016325203</v>
      </c>
      <c r="R4">
        <f>(Table1[[#This Row],[Downloads ]]*Q4+100*AVERAGE($Q$3:$Q$12))/(Table1[[#This Row],[Downloads ]]+100)</f>
        <v>-0.23460851444119241</v>
      </c>
    </row>
    <row r="5" spans="1:18" x14ac:dyDescent="0.25">
      <c r="A5" s="31" t="s">
        <v>68</v>
      </c>
      <c r="B5" s="1">
        <v>8</v>
      </c>
      <c r="C5" s="1">
        <v>699</v>
      </c>
      <c r="D5" s="1">
        <v>450</v>
      </c>
      <c r="E5" s="1">
        <v>0</v>
      </c>
      <c r="F5" s="1">
        <v>9</v>
      </c>
      <c r="G5" s="27">
        <v>500</v>
      </c>
      <c r="I5" s="51">
        <f>(Table1[[#This Row],[Ease of use (1-10)]]-AVERAGE(Table1[Ease of use (1-10)]))/_xlfn.STDEV.P(Table1[Ease of use (1-10)])</f>
        <v>0.82608695652173936</v>
      </c>
      <c r="J5" s="52">
        <f>(Table1[[#This Row],[Performance (TPS)]]-AVERAGE(Table1[Performance (TPS)]))/_xlfn.STDEV.P(Table1[Performance (TPS)])</f>
        <v>0.22008630205311921</v>
      </c>
      <c r="K5" s="52">
        <f>-1*(Table1[[#This Row],[Cost($)]]-AVERAGE(Table1[Cost($)]))/_xlfn.STDEV.P(Table1[Cost($)])</f>
        <v>9.7232205880167441E-2</v>
      </c>
      <c r="L5" s="52">
        <f>(Table1[[#This Row],[Support (1,0)]]-AVERAGE(Table1[Support (1,0)]))/_xlfn.STDEV.P(Table1[Support (1,0)])</f>
        <v>-1.5275252316519465</v>
      </c>
      <c r="M5" s="52">
        <f>(Table1[[#This Row],[Documentation Quality (1-10)]]-AVERAGE(Table1[Documentation Quality (1-10)]))/_xlfn.STDEV.P(Table1[Documentation Quality (1-10)])</f>
        <v>1.0891178609735856</v>
      </c>
      <c r="N5" s="53">
        <f>(Table1[[#This Row],[Downloads ]]-AVERAGE(Table1[[Downloads ]]))/_xlfn.STDEV.P(Table1[[Downloads ]])</f>
        <v>-0.49342766235603536</v>
      </c>
      <c r="P5">
        <f>AVERAGE(Table2[#This Row])</f>
        <v>3.5261738570104957E-2</v>
      </c>
      <c r="Q5">
        <f>AVERAGE(Table2[[#This Row],[Ease of use (1-10)]:[Documentation Quality (1-10)]])</f>
        <v>0.14099961875533301</v>
      </c>
      <c r="R5">
        <f>(Table1[[#This Row],[Downloads ]]*Q5+100*AVERAGE($Q$3:$Q$12))/(Table1[[#This Row],[Downloads ]]+100)</f>
        <v>0.11749968229611085</v>
      </c>
    </row>
    <row r="6" spans="1:18" x14ac:dyDescent="0.25">
      <c r="A6" s="31" t="s">
        <v>69</v>
      </c>
      <c r="B6" s="1">
        <v>5</v>
      </c>
      <c r="C6" s="1">
        <v>520</v>
      </c>
      <c r="D6" s="1">
        <v>600</v>
      </c>
      <c r="E6" s="1">
        <v>1</v>
      </c>
      <c r="F6" s="1">
        <v>5</v>
      </c>
      <c r="G6" s="27">
        <v>900</v>
      </c>
      <c r="I6" s="51">
        <f>(Table1[[#This Row],[Ease of use (1-10)]]-AVERAGE(Table1[Ease of use (1-10)]))/_xlfn.STDEV.P(Table1[Ease of use (1-10)])</f>
        <v>-0.47826086956521729</v>
      </c>
      <c r="J6" s="52">
        <f>(Table1[[#This Row],[Performance (TPS)]]-AVERAGE(Table1[Performance (TPS)]))/_xlfn.STDEV.P(Table1[Performance (TPS)])</f>
        <v>-0.52887658896414924</v>
      </c>
      <c r="K6" s="52">
        <f>-1*(Table1[[#This Row],[Cost($)]]-AVERAGE(Table1[Cost($)]))/_xlfn.STDEV.P(Table1[Cost($)])</f>
        <v>-0.37324620966902988</v>
      </c>
      <c r="L6" s="52">
        <f>(Table1[[#This Row],[Support (1,0)]]-AVERAGE(Table1[Support (1,0)]))/_xlfn.STDEV.P(Table1[Support (1,0)])</f>
        <v>0.6546536707079772</v>
      </c>
      <c r="M6" s="52">
        <f>(Table1[[#This Row],[Documentation Quality (1-10)]]-AVERAGE(Table1[Documentation Quality (1-10)]))/_xlfn.STDEV.P(Table1[Documentation Quality (1-10)])</f>
        <v>-0.4131136714037737</v>
      </c>
      <c r="N6" s="53">
        <f>(Table1[[#This Row],[Downloads ]]-AVERAGE(Table1[[Downloads ]]))/_xlfn.STDEV.P(Table1[[Downloads ]])</f>
        <v>0.29890900943205828</v>
      </c>
      <c r="P6">
        <f>AVERAGE(Table2[#This Row])</f>
        <v>-0.13998910991035576</v>
      </c>
      <c r="Q6">
        <f>AVERAGE(Table2[[#This Row],[Ease of use (1-10)]:[Documentation Quality (1-10)]])</f>
        <v>-0.22776873377883861</v>
      </c>
      <c r="R6">
        <f>(Table1[[#This Row],[Downloads ]]*Q6+100*AVERAGE($Q$3:$Q$12))/(Table1[[#This Row],[Downloads ]]+100)</f>
        <v>-0.20499186040095474</v>
      </c>
    </row>
    <row r="7" spans="1:18" x14ac:dyDescent="0.25">
      <c r="A7" s="31" t="s">
        <v>70</v>
      </c>
      <c r="B7" s="1">
        <v>6</v>
      </c>
      <c r="C7" s="1">
        <v>200</v>
      </c>
      <c r="D7" s="1">
        <v>150</v>
      </c>
      <c r="E7" s="1">
        <v>1</v>
      </c>
      <c r="F7" s="1">
        <v>8</v>
      </c>
      <c r="G7" s="27">
        <v>250</v>
      </c>
      <c r="I7" s="51">
        <f>(Table1[[#This Row],[Ease of use (1-10)]]-AVERAGE(Table1[Ease of use (1-10)]))/_xlfn.STDEV.P(Table1[Ease of use (1-10)])</f>
        <v>-4.3478260869565064E-2</v>
      </c>
      <c r="J7" s="52">
        <f>(Table1[[#This Row],[Performance (TPS)]]-AVERAGE(Table1[Performance (TPS)]))/_xlfn.STDEV.P(Table1[Performance (TPS)])</f>
        <v>-1.8678046622911095</v>
      </c>
      <c r="K7" s="52">
        <f>-1*(Table1[[#This Row],[Cost($)]]-AVERAGE(Table1[Cost($)]))/_xlfn.STDEV.P(Table1[Cost($)])</f>
        <v>1.038189036978562</v>
      </c>
      <c r="L7" s="52">
        <f>(Table1[[#This Row],[Support (1,0)]]-AVERAGE(Table1[Support (1,0)]))/_xlfn.STDEV.P(Table1[Support (1,0)])</f>
        <v>0.6546536707079772</v>
      </c>
      <c r="M7" s="52">
        <f>(Table1[[#This Row],[Documentation Quality (1-10)]]-AVERAGE(Table1[Documentation Quality (1-10)]))/_xlfn.STDEV.P(Table1[Documentation Quality (1-10)])</f>
        <v>0.71355997787924585</v>
      </c>
      <c r="N7" s="53">
        <f>(Table1[[#This Row],[Downloads ]]-AVERAGE(Table1[[Downloads ]]))/_xlfn.STDEV.P(Table1[[Downloads ]])</f>
        <v>-0.98863808222359395</v>
      </c>
      <c r="P7">
        <f>AVERAGE(Table2[#This Row])</f>
        <v>-8.2253053303080567E-2</v>
      </c>
      <c r="Q7">
        <f>AVERAGE(Table2[[#This Row],[Ease of use (1-10)]:[Documentation Quality (1-10)]])</f>
        <v>9.9023952481022109E-2</v>
      </c>
      <c r="R7">
        <f>(Table1[[#This Row],[Downloads ]]*Q7+100*AVERAGE($Q$3:$Q$12))/(Table1[[#This Row],[Downloads ]]+100)</f>
        <v>7.0731394629301503E-2</v>
      </c>
    </row>
    <row r="8" spans="1:18" x14ac:dyDescent="0.25">
      <c r="A8" s="31" t="s">
        <v>71</v>
      </c>
      <c r="B8" s="1">
        <v>9</v>
      </c>
      <c r="C8" s="1">
        <v>600</v>
      </c>
      <c r="D8" s="1">
        <v>800</v>
      </c>
      <c r="E8" s="1">
        <v>0</v>
      </c>
      <c r="F8" s="1">
        <v>4</v>
      </c>
      <c r="G8" s="27">
        <v>740</v>
      </c>
      <c r="I8" s="51">
        <f>(Table1[[#This Row],[Ease of use (1-10)]]-AVERAGE(Table1[Ease of use (1-10)]))/_xlfn.STDEV.P(Table1[Ease of use (1-10)])</f>
        <v>1.2608695652173916</v>
      </c>
      <c r="J8" s="52">
        <f>(Table1[[#This Row],[Performance (TPS)]]-AVERAGE(Table1[Performance (TPS)]))/_xlfn.STDEV.P(Table1[Performance (TPS)])</f>
        <v>-0.19414457063240917</v>
      </c>
      <c r="K8" s="52">
        <f>-1*(Table1[[#This Row],[Cost($)]]-AVERAGE(Table1[Cost($)]))/_xlfn.STDEV.P(Table1[Cost($)])</f>
        <v>-1.0005507637346263</v>
      </c>
      <c r="L8" s="52">
        <f>(Table1[[#This Row],[Support (1,0)]]-AVERAGE(Table1[Support (1,0)]))/_xlfn.STDEV.P(Table1[Support (1,0)])</f>
        <v>-1.5275252316519465</v>
      </c>
      <c r="M8" s="52">
        <f>(Table1[[#This Row],[Documentation Quality (1-10)]]-AVERAGE(Table1[Documentation Quality (1-10)]))/_xlfn.STDEV.P(Table1[Documentation Quality (1-10)])</f>
        <v>-0.78867155449811355</v>
      </c>
      <c r="N8" s="53">
        <f>(Table1[[#This Row],[Downloads ]]-AVERAGE(Table1[[Downloads ]]))/_xlfn.STDEV.P(Table1[[Downloads ]])</f>
        <v>-1.8025659283179174E-2</v>
      </c>
      <c r="P8">
        <f>AVERAGE(Table2[#This Row])</f>
        <v>-0.37800803576381387</v>
      </c>
      <c r="Q8">
        <f>AVERAGE(Table2[[#This Row],[Ease of use (1-10)]:[Documentation Quality (1-10)]])</f>
        <v>-0.45000451105994077</v>
      </c>
      <c r="R8">
        <f>(Table1[[#This Row],[Downloads ]]*Q8+100*AVERAGE($Q$3:$Q$12))/(Table1[[#This Row],[Downloads ]]+100)</f>
        <v>-0.39643254545756684</v>
      </c>
    </row>
    <row r="9" spans="1:18" x14ac:dyDescent="0.25">
      <c r="A9" s="31" t="s">
        <v>72</v>
      </c>
      <c r="B9" s="1">
        <v>4</v>
      </c>
      <c r="C9" s="1">
        <v>320</v>
      </c>
      <c r="D9" s="1">
        <v>350</v>
      </c>
      <c r="E9" s="1">
        <v>1</v>
      </c>
      <c r="F9" s="1">
        <v>2</v>
      </c>
      <c r="G9" s="27">
        <v>800</v>
      </c>
      <c r="I9" s="51">
        <f>(Table1[[#This Row],[Ease of use (1-10)]]-AVERAGE(Table1[Ease of use (1-10)]))/_xlfn.STDEV.P(Table1[Ease of use (1-10)])</f>
        <v>-0.91304347826086951</v>
      </c>
      <c r="J9" s="52">
        <f>(Table1[[#This Row],[Performance (TPS)]]-AVERAGE(Table1[Performance (TPS)]))/_xlfn.STDEV.P(Table1[Performance (TPS)])</f>
        <v>-1.3657066347934994</v>
      </c>
      <c r="K9" s="52">
        <f>-1*(Table1[[#This Row],[Cost($)]]-AVERAGE(Table1[Cost($)]))/_xlfn.STDEV.P(Table1[Cost($)])</f>
        <v>0.41088448291296564</v>
      </c>
      <c r="L9" s="52">
        <f>(Table1[[#This Row],[Support (1,0)]]-AVERAGE(Table1[Support (1,0)]))/_xlfn.STDEV.P(Table1[Support (1,0)])</f>
        <v>0.6546536707079772</v>
      </c>
      <c r="M9" s="52">
        <f>(Table1[[#This Row],[Documentation Quality (1-10)]]-AVERAGE(Table1[Documentation Quality (1-10)]))/_xlfn.STDEV.P(Table1[Documentation Quality (1-10)])</f>
        <v>-1.5397873206867931</v>
      </c>
      <c r="N9" s="53">
        <f>(Table1[[#This Row],[Downloads ]]-AVERAGE(Table1[[Downloads ]]))/_xlfn.STDEV.P(Table1[[Downloads ]])</f>
        <v>0.10082484148503487</v>
      </c>
      <c r="P9">
        <f>AVERAGE(Table2[#This Row])</f>
        <v>-0.44202907310586409</v>
      </c>
      <c r="Q9">
        <f>AVERAGE(Table2[[#This Row],[Ease of use (1-10)]:[Documentation Quality (1-10)]])</f>
        <v>-0.55059985602404393</v>
      </c>
      <c r="R9">
        <f>(Table1[[#This Row],[Downloads ]]*Q9+100*AVERAGE($Q$3:$Q$12))/(Table1[[#This Row],[Downloads ]]+100)</f>
        <v>-0.48942209424359462</v>
      </c>
    </row>
    <row r="10" spans="1:18" x14ac:dyDescent="0.25">
      <c r="A10" s="31" t="s">
        <v>73</v>
      </c>
      <c r="B10" s="1">
        <v>5</v>
      </c>
      <c r="C10" s="1">
        <v>875</v>
      </c>
      <c r="D10" s="1">
        <v>300</v>
      </c>
      <c r="E10" s="1">
        <v>1</v>
      </c>
      <c r="F10" s="1">
        <v>8</v>
      </c>
      <c r="G10" s="27">
        <v>600</v>
      </c>
      <c r="I10" s="51">
        <f>(Table1[[#This Row],[Ease of use (1-10)]]-AVERAGE(Table1[Ease of use (1-10)]))/_xlfn.STDEV.P(Table1[Ease of use (1-10)])</f>
        <v>-0.47826086956521729</v>
      </c>
      <c r="J10" s="52">
        <f>(Table1[[#This Row],[Performance (TPS)]]-AVERAGE(Table1[Performance (TPS)]))/_xlfn.STDEV.P(Table1[Performance (TPS)])</f>
        <v>0.95649674238294735</v>
      </c>
      <c r="K10" s="52">
        <f>-1*(Table1[[#This Row],[Cost($)]]-AVERAGE(Table1[Cost($)]))/_xlfn.STDEV.P(Table1[Cost($)])</f>
        <v>0.56771062142936479</v>
      </c>
      <c r="L10" s="52">
        <f>(Table1[[#This Row],[Support (1,0)]]-AVERAGE(Table1[Support (1,0)]))/_xlfn.STDEV.P(Table1[Support (1,0)])</f>
        <v>0.6546536707079772</v>
      </c>
      <c r="M10" s="52">
        <f>(Table1[[#This Row],[Documentation Quality (1-10)]]-AVERAGE(Table1[Documentation Quality (1-10)]))/_xlfn.STDEV.P(Table1[Documentation Quality (1-10)])</f>
        <v>0.71355997787924585</v>
      </c>
      <c r="N10" s="53">
        <f>(Table1[[#This Row],[Downloads ]]-AVERAGE(Table1[[Downloads ]]))/_xlfn.STDEV.P(Table1[[Downloads ]])</f>
        <v>-0.29534349440901198</v>
      </c>
      <c r="P10">
        <f>AVERAGE(Table2[#This Row])</f>
        <v>0.3531361080708843</v>
      </c>
      <c r="Q10">
        <f>AVERAGE(Table2[[#This Row],[Ease of use (1-10)]:[Documentation Quality (1-10)]])</f>
        <v>0.48283202856686352</v>
      </c>
      <c r="R10">
        <f>(Table1[[#This Row],[Downloads ]]*Q10+100*AVERAGE($Q$3:$Q$12))/(Table1[[#This Row],[Downloads ]]+100)</f>
        <v>0.41385602448588299</v>
      </c>
    </row>
    <row r="11" spans="1:18" x14ac:dyDescent="0.25">
      <c r="A11" s="31" t="s">
        <v>74</v>
      </c>
      <c r="B11" s="1">
        <v>2</v>
      </c>
      <c r="C11" s="1">
        <v>900</v>
      </c>
      <c r="D11" s="1">
        <v>450</v>
      </c>
      <c r="E11" s="1">
        <v>1</v>
      </c>
      <c r="F11" s="1">
        <v>2</v>
      </c>
      <c r="G11" s="27">
        <v>700</v>
      </c>
      <c r="I11" s="51">
        <f>(Table1[[#This Row],[Ease of use (1-10)]]-AVERAGE(Table1[Ease of use (1-10)]))/_xlfn.STDEV.P(Table1[Ease of use (1-10)])</f>
        <v>-1.7826086956521738</v>
      </c>
      <c r="J11" s="52">
        <f>(Table1[[#This Row],[Performance (TPS)]]-AVERAGE(Table1[Performance (TPS)]))/_xlfn.STDEV.P(Table1[Performance (TPS)])</f>
        <v>1.0611004981116161</v>
      </c>
      <c r="K11" s="52">
        <f>-1*(Table1[[#This Row],[Cost($)]]-AVERAGE(Table1[Cost($)]))/_xlfn.STDEV.P(Table1[Cost($)])</f>
        <v>9.7232205880167441E-2</v>
      </c>
      <c r="L11" s="52">
        <f>(Table1[[#This Row],[Support (1,0)]]-AVERAGE(Table1[Support (1,0)]))/_xlfn.STDEV.P(Table1[Support (1,0)])</f>
        <v>0.6546536707079772</v>
      </c>
      <c r="M11" s="52">
        <f>(Table1[[#This Row],[Documentation Quality (1-10)]]-AVERAGE(Table1[Documentation Quality (1-10)]))/_xlfn.STDEV.P(Table1[Documentation Quality (1-10)])</f>
        <v>-1.5397873206867931</v>
      </c>
      <c r="N11" s="53">
        <f>(Table1[[#This Row],[Downloads ]]-AVERAGE(Table1[[Downloads ]]))/_xlfn.STDEV.P(Table1[[Downloads ]])</f>
        <v>-9.7259326461988538E-2</v>
      </c>
      <c r="P11">
        <f>AVERAGE(Table2[#This Row])</f>
        <v>-0.26777816135019911</v>
      </c>
      <c r="Q11">
        <f>AVERAGE(Table2[[#This Row],[Ease of use (1-10)]:[Documentation Quality (1-10)]])</f>
        <v>-0.30188192832784122</v>
      </c>
      <c r="R11">
        <f>(Table1[[#This Row],[Downloads ]]*Q11+100*AVERAGE($Q$3:$Q$12))/(Table1[[#This Row],[Downloads ]]+100)</f>
        <v>-0.26414668728686108</v>
      </c>
    </row>
    <row r="12" spans="1:18" x14ac:dyDescent="0.25">
      <c r="A12" s="6" t="s">
        <v>75</v>
      </c>
      <c r="B12" s="12">
        <v>10</v>
      </c>
      <c r="C12" s="12">
        <v>1000</v>
      </c>
      <c r="D12" s="12">
        <v>10</v>
      </c>
      <c r="E12" s="12">
        <v>1</v>
      </c>
      <c r="F12" s="12">
        <v>10</v>
      </c>
      <c r="G12" s="28">
        <v>1</v>
      </c>
      <c r="I12" s="54">
        <f>(Table1[[#This Row],[Ease of use (1-10)]]-AVERAGE(Table1[Ease of use (1-10)]))/_xlfn.STDEV.P(Table1[Ease of use (1-10)])</f>
        <v>1.6956521739130437</v>
      </c>
      <c r="J12" s="55">
        <f>(Table1[[#This Row],[Performance (TPS)]]-AVERAGE(Table1[Performance (TPS)]))/_xlfn.STDEV.P(Table1[Performance (TPS)])</f>
        <v>1.4795155210262914</v>
      </c>
      <c r="K12" s="55">
        <f>-1*(Table1[[#This Row],[Cost($)]]-AVERAGE(Table1[Cost($)]))/_xlfn.STDEV.P(Table1[Cost($)])</f>
        <v>1.4773022248244796</v>
      </c>
      <c r="L12" s="55">
        <f>(Table1[[#This Row],[Support (1,0)]]-AVERAGE(Table1[Support (1,0)]))/_xlfn.STDEV.P(Table1[Support (1,0)])</f>
        <v>0.6546536707079772</v>
      </c>
      <c r="M12" s="55">
        <f>(Table1[[#This Row],[Documentation Quality (1-10)]]-AVERAGE(Table1[Documentation Quality (1-10)]))/_xlfn.STDEV.P(Table1[Documentation Quality (1-10)])</f>
        <v>1.4646757440679254</v>
      </c>
      <c r="N12" s="56">
        <f>(Table1[[#This Row],[Downloads ]]-AVERAGE(Table1[[Downloads ]]))/_xlfn.STDEV.P(Table1[[Downloads ]])</f>
        <v>-1.4818676604116823</v>
      </c>
      <c r="P12">
        <f>AVERAGE(Table2[#This Row])</f>
        <v>0.88165527902133911</v>
      </c>
      <c r="Q12">
        <f>AVERAGE(Table2[[#This Row],[Ease of use (1-10)]:[Documentation Quality (1-10)]])</f>
        <v>1.3543598669079433</v>
      </c>
      <c r="R12">
        <f>(Table1[[#This Row],[Downloads ]]*Q12+100*AVERAGE($Q$3:$Q$12))/(Table1[[#This Row],[Downloads ]]+100)</f>
        <v>1.3409503632751913E-2</v>
      </c>
    </row>
    <row r="14" spans="1:18" x14ac:dyDescent="0.25">
      <c r="A14" s="9" t="s">
        <v>83</v>
      </c>
      <c r="B14" s="49">
        <f>AVERAGE(Table1[Ease of use (1-10)])</f>
        <v>6.1</v>
      </c>
      <c r="C14" s="49">
        <f>AVERAGE(Table1[Performance (TPS)])</f>
        <v>646.4</v>
      </c>
      <c r="D14" s="49">
        <f>AVERAGE(Table1[Cost($)])</f>
        <v>481</v>
      </c>
      <c r="E14" s="49">
        <f>AVERAGE(Table1[Support (1,0)])</f>
        <v>0.7</v>
      </c>
      <c r="F14" s="49">
        <f>AVERAGE(Table1[Documentation Quality (1-10)])</f>
        <v>6.1</v>
      </c>
      <c r="G14" s="49">
        <f>AVERAGE(Table1[[Downloads ]])</f>
        <v>749.1</v>
      </c>
      <c r="H14" s="49"/>
      <c r="I14" s="49">
        <f>AVERAGE(Table2[Ease of use (1-10)])</f>
        <v>0</v>
      </c>
      <c r="J14" s="49">
        <f>AVERAGE(Table2[Performance (TPS)])</f>
        <v>0</v>
      </c>
      <c r="K14" s="49">
        <f>AVERAGE(Table2[Cost($)
multipled by -1 to reverse the order])</f>
        <v>0</v>
      </c>
      <c r="L14" s="49">
        <f>AVERAGE(Table2[Support (1,0)])</f>
        <v>1.5543122344752191E-16</v>
      </c>
      <c r="M14" s="49">
        <f>AVERAGE(Table2[Documentation Quality (1-10)])</f>
        <v>0</v>
      </c>
      <c r="N14" s="49">
        <f>AVERAGE(Table2[[Downloads ]])</f>
        <v>0</v>
      </c>
      <c r="O14" s="49"/>
      <c r="P14" s="49">
        <f>AVERAGE(P3:P12)</f>
        <v>0</v>
      </c>
      <c r="Q14">
        <f>AVERAGE(Q3:Q12)</f>
        <v>0</v>
      </c>
    </row>
    <row r="15" spans="1:18" x14ac:dyDescent="0.25">
      <c r="A15" s="9" t="s">
        <v>84</v>
      </c>
      <c r="B15" s="49">
        <f>_xlfn.STDEV.P(Table1[Ease of use (1-10)])</f>
        <v>2.2999999999999998</v>
      </c>
      <c r="C15" s="49">
        <f>_xlfn.STDEV.P(Table1[Performance (TPS)])</f>
        <v>238.99715479477993</v>
      </c>
      <c r="D15" s="49">
        <f>_xlfn.STDEV.P(Table1[Cost($)])</f>
        <v>318.82440308106908</v>
      </c>
      <c r="E15" s="49">
        <f>_xlfn.STDEV.P(Table1[Support (1,0)])</f>
        <v>0.45825756949558399</v>
      </c>
      <c r="F15" s="49">
        <f>_xlfn.STDEV.P(Table1[Documentation Quality (1-10)])</f>
        <v>2.6627053911388696</v>
      </c>
      <c r="G15" s="49">
        <f>_xlfn.STDEV.P(Table1[[Downloads ]])</f>
        <v>504.83590403219142</v>
      </c>
      <c r="H15" s="49"/>
      <c r="I15" s="49">
        <f>STDEV(Table2[Ease of use (1-10)])</f>
        <v>1.0540925533894598</v>
      </c>
      <c r="J15" s="49">
        <f>STDEV(Table2[Performance (TPS)])</f>
        <v>1.0540925533894598</v>
      </c>
      <c r="K15" s="49">
        <f>STDEV(Table2[Cost($)
multipled by -1 to reverse the order])</f>
        <v>1.0540925533894598</v>
      </c>
      <c r="L15" s="49">
        <f>STDEV(Table2[Support (1,0)])</f>
        <v>1.0540925533894598</v>
      </c>
      <c r="M15" s="49">
        <f>STDEV(Table2[Documentation Quality (1-10)])</f>
        <v>1.0540925533894596</v>
      </c>
      <c r="N15" s="49">
        <f>STDEV(Table2[[Downloads ]])</f>
        <v>1.0540925533894598</v>
      </c>
      <c r="O15" s="49"/>
      <c r="P15" s="49">
        <f>STDEV(P3:P12)</f>
        <v>0.39593288081563954</v>
      </c>
      <c r="Q15">
        <f>STDEV(Q3:Q12)</f>
        <v>0.56733644406072559</v>
      </c>
    </row>
  </sheetData>
  <mergeCells count="1">
    <mergeCell ref="I1:N1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AE16-E921-4865-8080-A3AEF7B94417}">
  <dimension ref="A2:B7"/>
  <sheetViews>
    <sheetView workbookViewId="0">
      <selection activeCell="S6" sqref="S6"/>
    </sheetView>
  </sheetViews>
  <sheetFormatPr defaultRowHeight="15" x14ac:dyDescent="0.25"/>
  <sheetData>
    <row r="2" spans="1:2" x14ac:dyDescent="0.25">
      <c r="B2" t="s">
        <v>31</v>
      </c>
    </row>
    <row r="3" spans="1:2" x14ac:dyDescent="0.25">
      <c r="A3">
        <v>1</v>
      </c>
      <c r="B3">
        <v>0.375</v>
      </c>
    </row>
    <row r="4" spans="1:2" x14ac:dyDescent="0.25">
      <c r="A4">
        <v>2</v>
      </c>
      <c r="B4">
        <v>0.375</v>
      </c>
    </row>
    <row r="5" spans="1:2" x14ac:dyDescent="0.25">
      <c r="A5">
        <v>3</v>
      </c>
      <c r="B5">
        <v>0.15</v>
      </c>
    </row>
    <row r="6" spans="1:2" x14ac:dyDescent="0.25">
      <c r="A6">
        <v>4</v>
      </c>
      <c r="B6">
        <v>0.05</v>
      </c>
    </row>
    <row r="7" spans="1:2" x14ac:dyDescent="0.25">
      <c r="A7">
        <v>5</v>
      </c>
      <c r="B7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FTE or Freelancer</vt:lpstr>
      <vt:lpstr>FTE or Freelancer (Names)</vt:lpstr>
      <vt:lpstr>SaaS Cloud Cost </vt:lpstr>
      <vt:lpstr>Library Selection</vt:lpstr>
      <vt:lpstr>Sheet4</vt:lpstr>
      <vt:lpstr>Above_8_Freelancer_Cost</vt:lpstr>
      <vt:lpstr>Additional_office_cost_for_days_3</vt:lpstr>
      <vt:lpstr>AsiaPacific_RoutedLoad</vt:lpstr>
      <vt:lpstr>Budget_contraint</vt:lpstr>
      <vt:lpstr>Criticality_weight</vt:lpstr>
      <vt:lpstr>DailyCost</vt:lpstr>
      <vt:lpstr>EUCentral_RoutedLoad</vt:lpstr>
      <vt:lpstr>Freelancer_Cost</vt:lpstr>
      <vt:lpstr>Freelancer_Productivity</vt:lpstr>
      <vt:lpstr>Freelancers</vt:lpstr>
      <vt:lpstr>FTE_Cost</vt:lpstr>
      <vt:lpstr>FTE_Home_Productivity</vt:lpstr>
      <vt:lpstr>FTE_Office_Productivity</vt:lpstr>
      <vt:lpstr>FTEs</vt:lpstr>
      <vt:lpstr>Max_Latency</vt:lpstr>
      <vt:lpstr>Minimal_CU</vt:lpstr>
      <vt:lpstr>Office_Cost</vt:lpstr>
      <vt:lpstr>Office_Days</vt:lpstr>
      <vt:lpstr>Project_Duration</vt:lpstr>
      <vt:lpstr>Project_size</vt:lpstr>
      <vt:lpstr>Team_Size</vt:lpstr>
      <vt:lpstr>Total_Freelancer_Productivity</vt:lpstr>
      <vt:lpstr>Total_FTE_Proudctivity</vt:lpstr>
      <vt:lpstr>Total_Productivity</vt:lpstr>
      <vt:lpstr>TotalCost</vt:lpstr>
      <vt:lpstr>USEast_RoutedLoad</vt:lpstr>
      <vt:lpstr>USWest_RoutedLoad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Dresher</dc:creator>
  <cp:lastModifiedBy>Tamir Dresher</cp:lastModifiedBy>
  <dcterms:created xsi:type="dcterms:W3CDTF">2024-09-06T09:55:43Z</dcterms:created>
  <dcterms:modified xsi:type="dcterms:W3CDTF">2024-09-23T06:03:36Z</dcterms:modified>
</cp:coreProperties>
</file>