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 - INOVAÇÃO\PORTIFOLIO\NOVA APRESENTACAO\imagens\planilhas\"/>
    </mc:Choice>
  </mc:AlternateContent>
  <xr:revisionPtr revIDLastSave="0" documentId="13_ncr:1_{73FCD89D-7B1B-44CC-A3F6-A9D062FC3B50}" xr6:coauthVersionLast="47" xr6:coauthVersionMax="47" xr10:uidLastSave="{00000000-0000-0000-0000-000000000000}"/>
  <bookViews>
    <workbookView xWindow="-120" yWindow="-120" windowWidth="20730" windowHeight="11310" tabRatio="794" xr2:uid="{49763921-8694-4B7E-8A03-BBB05FE4BAD3}"/>
  </bookViews>
  <sheets>
    <sheet name="OPERAÇÕES" sheetId="3" r:id="rId1"/>
    <sheet name="FLUXO DE CAIXA" sheetId="5" r:id="rId2"/>
    <sheet name="DRE" sheetId="6" r:id="rId3"/>
    <sheet name="BALANÇO PATRIMONIAL 2022-2023" sheetId="1" r:id="rId4"/>
    <sheet name="ANALISE_TMA-TIR-Payback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4" l="1"/>
  <c r="H21" i="4"/>
  <c r="C19" i="6"/>
  <c r="D22" i="4"/>
  <c r="G21" i="4"/>
  <c r="F21" i="4"/>
  <c r="E21" i="4"/>
  <c r="G24" i="4"/>
  <c r="C4" i="4"/>
  <c r="C8" i="6"/>
  <c r="C18" i="6"/>
  <c r="J17" i="1"/>
  <c r="J8" i="1"/>
  <c r="H6" i="1"/>
  <c r="H13" i="1"/>
  <c r="J5" i="1"/>
  <c r="H12" i="1"/>
  <c r="H7" i="1"/>
  <c r="D9" i="5"/>
  <c r="C14" i="6"/>
  <c r="E6" i="5"/>
  <c r="H8" i="1"/>
  <c r="J18" i="1"/>
  <c r="J13" i="1"/>
  <c r="J14" i="1"/>
  <c r="J12" i="1"/>
  <c r="H9" i="1"/>
  <c r="D4" i="5"/>
  <c r="J11" i="1"/>
  <c r="H11" i="1"/>
  <c r="J4" i="1"/>
  <c r="C6" i="6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E24" i="4"/>
  <c r="F24" i="4"/>
  <c r="H24" i="4"/>
  <c r="I24" i="4"/>
  <c r="D23" i="4"/>
  <c r="D24" i="4"/>
  <c r="E11" i="4"/>
  <c r="E10" i="4"/>
  <c r="C17" i="4" s="1"/>
  <c r="C33" i="4" s="1"/>
  <c r="G33" i="4" s="1"/>
  <c r="E16" i="1"/>
  <c r="E11" i="1"/>
  <c r="C11" i="1"/>
  <c r="C4" i="1"/>
  <c r="C21" i="1" s="1"/>
  <c r="E4" i="1"/>
  <c r="E21" i="1" s="1"/>
  <c r="G25" i="4" l="1"/>
  <c r="E25" i="4"/>
  <c r="I25" i="4"/>
  <c r="H25" i="4"/>
  <c r="F25" i="4"/>
  <c r="D25" i="4"/>
  <c r="D27" i="4" s="1"/>
  <c r="C34" i="4"/>
  <c r="F15" i="5"/>
  <c r="C20" i="6"/>
  <c r="C23" i="6" s="1"/>
  <c r="E27" i="4" l="1"/>
  <c r="J19" i="1"/>
  <c r="J16" i="1" s="1"/>
  <c r="J21" i="1" s="1"/>
  <c r="F16" i="5"/>
  <c r="F27" i="4" l="1"/>
  <c r="F29" i="4" s="1"/>
  <c r="E29" i="4"/>
  <c r="G27" i="4"/>
  <c r="F17" i="5"/>
  <c r="H5" i="1" s="1"/>
  <c r="H4" i="1" s="1"/>
  <c r="H21" i="1" s="1"/>
  <c r="H27" i="4" l="1"/>
  <c r="H29" i="4" s="1"/>
  <c r="G29" i="4"/>
  <c r="I27" i="4"/>
  <c r="I29" i="4" s="1"/>
  <c r="D29" i="4" s="1"/>
  <c r="C3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6" authorId="0" shapeId="0" xr:uid="{99A6C411-5FE9-40B1-962F-F8BA2D0B1357}">
      <text>
        <r>
          <rPr>
            <b/>
            <sz val="9"/>
            <color indexed="81"/>
            <rFont val="Segoe UI"/>
            <family val="2"/>
          </rPr>
          <t>WACC = Taxa Mínima de Atratividade
RA = Retorno do Ativo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25" authorId="0" shapeId="0" xr:uid="{6B261864-C94E-4B9A-992C-4B3DB2A8E6DD}">
      <text>
        <r>
          <rPr>
            <b/>
            <sz val="9"/>
            <color indexed="81"/>
            <rFont val="Segoe UI"/>
            <family val="2"/>
          </rPr>
          <t>Formula:
FCLD = FCL / (1+TMA)^n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<sst xmlns="http://schemas.openxmlformats.org/spreadsheetml/2006/main" count="180" uniqueCount="134">
  <si>
    <t>ATIVO</t>
  </si>
  <si>
    <t>PASSIVO</t>
  </si>
  <si>
    <t>Ativo Circulante</t>
  </si>
  <si>
    <t>Passivo Circulante</t>
  </si>
  <si>
    <t>Ativo Não Circulante</t>
  </si>
  <si>
    <t>Veículos</t>
  </si>
  <si>
    <t>Impostos a recuperar</t>
  </si>
  <si>
    <t>Impostos a pagar</t>
  </si>
  <si>
    <t>Contas a pagar</t>
  </si>
  <si>
    <t>Passivo Não Circulante</t>
  </si>
  <si>
    <t>Empréstimos</t>
  </si>
  <si>
    <t>Financiamentos</t>
  </si>
  <si>
    <t>Contrato de fornecedor</t>
  </si>
  <si>
    <t>Outras obrigações</t>
  </si>
  <si>
    <t>Patrimônio Líquido</t>
  </si>
  <si>
    <t>Reservas de Capital</t>
  </si>
  <si>
    <t>Lucros Acumulados</t>
  </si>
  <si>
    <t>TOTAL ATIVO</t>
  </si>
  <si>
    <t>TOTAL PASSIVO</t>
  </si>
  <si>
    <t>RECEITA BRUTA</t>
  </si>
  <si>
    <t>(-)</t>
  </si>
  <si>
    <t>Descontos concedidos</t>
  </si>
  <si>
    <t>Devoluções</t>
  </si>
  <si>
    <t>Impostos sobre vendas</t>
  </si>
  <si>
    <t>=</t>
  </si>
  <si>
    <t>RECEITA LÍQUIDA</t>
  </si>
  <si>
    <t>Custo de produtos Vendidos (CMV)</t>
  </si>
  <si>
    <t>RESULTADO BRUTO</t>
  </si>
  <si>
    <t>Despesas Operacionais</t>
  </si>
  <si>
    <t>Despesas Administrativas</t>
  </si>
  <si>
    <t>Despesas de Vendas</t>
  </si>
  <si>
    <t>Despesas Financeiras</t>
  </si>
  <si>
    <t>Juros sobre Capital Próprio</t>
  </si>
  <si>
    <t>Receitas Operacionais</t>
  </si>
  <si>
    <t>Receitas Financeiras</t>
  </si>
  <si>
    <t>Outras Receitas Operacionais</t>
  </si>
  <si>
    <t>RESULTADO ANTES DO IR/CSLL</t>
  </si>
  <si>
    <t>(+)</t>
  </si>
  <si>
    <t>LUCRO LÍQUIDO ANTES DAS PARTICIPAÇÕES</t>
  </si>
  <si>
    <t>Pro Labore</t>
  </si>
  <si>
    <t>RESULTADO LÍQUIDO DO EXERCÍCIO</t>
  </si>
  <si>
    <t>Debêntures</t>
  </si>
  <si>
    <t>Caixa e bancos</t>
  </si>
  <si>
    <t>Aplicações financeiras</t>
  </si>
  <si>
    <t>Duplicatas a receber</t>
  </si>
  <si>
    <t>Estoque de mercadoria</t>
  </si>
  <si>
    <t>Fornecedores</t>
  </si>
  <si>
    <t>Salários a pagar</t>
  </si>
  <si>
    <t>Depreciações</t>
  </si>
  <si>
    <t>Gasto de capital</t>
  </si>
  <si>
    <t>Capital de giro</t>
  </si>
  <si>
    <t>Investimento Inicial (R$ mil)</t>
  </si>
  <si>
    <t>Formação do Capital (R$ mil)</t>
  </si>
  <si>
    <t>taxa (a.a.)</t>
  </si>
  <si>
    <t>Alíquota de IR 30%</t>
  </si>
  <si>
    <t>(CP) Próprio (acionistas)</t>
  </si>
  <si>
    <t>(CT) Terceiros (linha de crédito)</t>
  </si>
  <si>
    <r>
      <t xml:space="preserve">WACC = CT% * i * (1 -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) + CP% * R</t>
    </r>
    <r>
      <rPr>
        <vertAlign val="subscript"/>
        <sz val="11"/>
        <color theme="1"/>
        <rFont val="Calibri"/>
        <family val="2"/>
        <scheme val="minor"/>
      </rPr>
      <t>A</t>
    </r>
  </si>
  <si>
    <t>(% proporção)</t>
  </si>
  <si>
    <r>
      <t>IR% (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Calibri"/>
        <family val="2"/>
        <scheme val="minor"/>
      </rPr>
      <t>)</t>
    </r>
  </si>
  <si>
    <t>WACC = 0,50* 0,12*(1-0,30)+0,50</t>
  </si>
  <si>
    <t>Custo de Capital (WACC)</t>
  </si>
  <si>
    <t>TMA</t>
  </si>
  <si>
    <t>a.a.</t>
  </si>
  <si>
    <t>Ano 1</t>
  </si>
  <si>
    <t>Ano 2</t>
  </si>
  <si>
    <t>Ano 3</t>
  </si>
  <si>
    <t>Ano 4</t>
  </si>
  <si>
    <t>Ano 5</t>
  </si>
  <si>
    <t>Fxo Cx Operacional</t>
  </si>
  <si>
    <t>Gastos de capital</t>
  </si>
  <si>
    <t>Indicadores de Viabilidade Econômica</t>
  </si>
  <si>
    <t>Valor presente Líquido</t>
  </si>
  <si>
    <t>Taxa interna de retorno</t>
  </si>
  <si>
    <t>Payback descontado</t>
  </si>
  <si>
    <t>mil</t>
  </si>
  <si>
    <t>meses</t>
  </si>
  <si>
    <t>Fxo cx Livre (FCL)</t>
  </si>
  <si>
    <t>Fxo cx Livre Descontado (FCLD)</t>
  </si>
  <si>
    <t>FCLD Acumulado</t>
  </si>
  <si>
    <t>Payback Descontado</t>
  </si>
  <si>
    <t>Simulação de eventos ocorridos em uma empresa</t>
  </si>
  <si>
    <t>Operações de 2023</t>
  </si>
  <si>
    <t>Evento</t>
  </si>
  <si>
    <t>Descrição</t>
  </si>
  <si>
    <t>A empresa vendeu no período R$ 30.000, sendo que 75% foram recebidos a vista e o restante será recebido somente em 2024.</t>
  </si>
  <si>
    <t>A empresa comprou a prazo mais R$ 15.000 de mercadorias.</t>
  </si>
  <si>
    <t>O custo das mercadorias vendidas foi de R$ 10.500.</t>
  </si>
  <si>
    <t>Todos os salários de 2022 foram pagos em 2023.</t>
  </si>
  <si>
    <t>Ocorreu R$ 800 de despesas administrativas e R$ 1.400 de despesas de vendas no ano de 2023, sendo que 90% foram pagos em 2023 e 10% ficou como Salários a pagar para 2024.</t>
  </si>
  <si>
    <t>A depreciação acumulada no período (referente ao imobilizado das lojas) de 2023 foi de R$ 480,00 de veículos e R$ 200 dos móveis e utensílios.</t>
  </si>
  <si>
    <t>Foi obtido um novo empréstimo no valor de R$ 25.000, totalmente depositado em conta bancária da empresa.</t>
  </si>
  <si>
    <t>A empresa gerou R$ 1.250 de juros no ano de 2023 e pagou somente 80% desse valor quando o ano terminou.</t>
  </si>
  <si>
    <t>A empresa comprou a vista móveis e utensílios no valor de R$ 950.</t>
  </si>
  <si>
    <t>A empresa pagou metade do saldo da conta com fornecedores de 2022.</t>
  </si>
  <si>
    <t>Em veículos, houve acréscimo de R$ 1.500 devido novas aquisições a vista.</t>
  </si>
  <si>
    <t>Foram pagos R$ 5.000 por conta de amortização parcial de empréstimos.</t>
  </si>
  <si>
    <t>No final do ano, a empresa tirou R$ 1.300 do caixa e aplicou no mercado financeiro.</t>
  </si>
  <si>
    <t>Nº do evento</t>
  </si>
  <si>
    <t>ENTRADA</t>
  </si>
  <si>
    <t>SAÍDA</t>
  </si>
  <si>
    <t>SALDO</t>
  </si>
  <si>
    <t>BALANÇO PATRIMONIAL 2022</t>
  </si>
  <si>
    <t>BALANÇO PATRIMONIAL 2023</t>
  </si>
  <si>
    <t>Movéis e utensílios</t>
  </si>
  <si>
    <t>Capital Social</t>
  </si>
  <si>
    <t>FLUXO DE CAIXA 2023</t>
  </si>
  <si>
    <t>DRE 2023</t>
  </si>
  <si>
    <t>Saldo inicial</t>
  </si>
  <si>
    <t>Receita de 2023</t>
  </si>
  <si>
    <t>Despesas financeiras</t>
  </si>
  <si>
    <t>Juros a pagar</t>
  </si>
  <si>
    <t>Foi recebido 70% do saldo de duplicatas a receber de 2022 em 2023.</t>
  </si>
  <si>
    <t>Compra de móveis e utensílios</t>
  </si>
  <si>
    <t>Duplicatas recebidas de 2022</t>
  </si>
  <si>
    <t>Despesas adm &amp; vendas</t>
  </si>
  <si>
    <t>Pagamento de salários</t>
  </si>
  <si>
    <t>Pagamento de fornecedores</t>
  </si>
  <si>
    <t>Aquisições de veículos</t>
  </si>
  <si>
    <t>Pagamento parcial de emprestimos</t>
  </si>
  <si>
    <t>Aplicação no mercado financeiro</t>
  </si>
  <si>
    <t>Impostos IR e CSLL</t>
  </si>
  <si>
    <t>Saldo final</t>
  </si>
  <si>
    <t>Novos investimentos</t>
  </si>
  <si>
    <t>Empréstimo para operação</t>
  </si>
  <si>
    <t>Empréstimo para novo investimento</t>
  </si>
  <si>
    <t>Investimento de capital próprio</t>
  </si>
  <si>
    <t>A empresa efetuou investimento com capital próprio no valor de R$ 7.000 (16% a.a.) para investir em um novo negócio e tomou mais um empréstimo de R$ 7.000 (12% a.a.) para completar o montante necessário do investimento inicial de R$ 12.000 mais R$ 2.000 para uso de capital de giro.</t>
  </si>
  <si>
    <t>O ciclo de vida do produto deste novo investimento é estimado em 5 anos. As projeções de resultados futuros apontam a geração de fluxo de caixa operacional anual de R$ 2.000 para o 1º ano, R$ 4.000 para o 2º, R$ 5.000 no 3º, R$ 8.000 no 4º e R$ 4.000 para o 5º ano de operação. Estes dados serão considerados para calcular a; Taxa Mínima de Atratividade (TMA), com base no custo de capital (WACC); e também os demais indicadores de viabilidade do projeto: VPL, TIR e Payback descontado.</t>
  </si>
  <si>
    <t>DADOS DO NOVO INVESTIMENTO (Detalhado nas linhas 16 e 17 da aba "Operações")</t>
  </si>
  <si>
    <t>Projeções de Fluxo de Caixa (R$ mil)</t>
  </si>
  <si>
    <t>Parecer Técnico</t>
  </si>
  <si>
    <t>O imposto de renda que a empresa paga é de 30%.</t>
  </si>
  <si>
    <t>Projeções anuais (R$ mil)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</si>
</sst>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8"/>
      <name val="Calibri Light"/>
      <family val="2"/>
      <scheme val="major"/>
    </font>
    <font>
      <b/>
      <sz val="22"/>
      <name val="Calibri Light"/>
      <family val="2"/>
      <scheme val="major"/>
    </font>
    <font>
      <b/>
      <sz val="14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b/>
      <sz val="14"/>
      <color rgb="FFFF0000"/>
      <name val="Calibri Light"/>
      <family val="2"/>
      <scheme val="major"/>
    </font>
    <font>
      <b/>
      <sz val="12"/>
      <name val="Calibri Light"/>
      <family val="2"/>
      <scheme val="major"/>
    </font>
    <font>
      <b/>
      <i/>
      <sz val="14"/>
      <name val="Calibri Light"/>
      <family val="2"/>
      <scheme val="major"/>
    </font>
    <font>
      <b/>
      <i/>
      <sz val="14"/>
      <color rgb="FF0000FF"/>
      <name val="Calibri Light"/>
      <family val="2"/>
      <scheme val="major"/>
    </font>
    <font>
      <b/>
      <i/>
      <sz val="14"/>
      <color rgb="FFFF0000"/>
      <name val="Calibri Light"/>
      <family val="2"/>
      <scheme val="maj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9" fillId="0" borderId="0" xfId="0" applyFont="1"/>
    <xf numFmtId="0" fontId="1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2" borderId="0" xfId="0" applyFont="1" applyFill="1"/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left" vertical="center"/>
    </xf>
    <xf numFmtId="0" fontId="0" fillId="0" borderId="18" xfId="0" applyBorder="1"/>
    <xf numFmtId="0" fontId="2" fillId="0" borderId="18" xfId="0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left" vertical="center" wrapText="1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left" vertical="center" wrapText="1"/>
    </xf>
    <xf numFmtId="0" fontId="0" fillId="0" borderId="19" xfId="0" applyBorder="1"/>
    <xf numFmtId="0" fontId="2" fillId="0" borderId="19" xfId="0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left" vertical="center" wrapText="1"/>
    </xf>
    <xf numFmtId="0" fontId="18" fillId="3" borderId="12" xfId="3" applyFont="1" applyFill="1" applyBorder="1"/>
    <xf numFmtId="0" fontId="18" fillId="3" borderId="0" xfId="3" applyFont="1" applyFill="1"/>
    <xf numFmtId="44" fontId="18" fillId="3" borderId="13" xfId="3" applyNumberFormat="1" applyFont="1" applyFill="1" applyBorder="1"/>
    <xf numFmtId="0" fontId="18" fillId="0" borderId="12" xfId="3" applyFont="1" applyBorder="1"/>
    <xf numFmtId="0" fontId="18" fillId="0" borderId="0" xfId="3" applyFont="1"/>
    <xf numFmtId="44" fontId="18" fillId="0" borderId="13" xfId="3" applyNumberFormat="1" applyFont="1" applyBorder="1"/>
    <xf numFmtId="0" fontId="18" fillId="3" borderId="14" xfId="3" applyFont="1" applyFill="1" applyBorder="1"/>
    <xf numFmtId="0" fontId="18" fillId="3" borderId="15" xfId="3" applyFont="1" applyFill="1" applyBorder="1"/>
    <xf numFmtId="44" fontId="18" fillId="3" borderId="16" xfId="3" applyNumberFormat="1" applyFont="1" applyFill="1" applyBorder="1"/>
    <xf numFmtId="0" fontId="18" fillId="7" borderId="1" xfId="3" applyFont="1" applyFill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44" fontId="18" fillId="0" borderId="0" xfId="3" applyNumberFormat="1" applyFont="1"/>
    <xf numFmtId="0" fontId="15" fillId="0" borderId="0" xfId="0" applyFont="1"/>
    <xf numFmtId="0" fontId="21" fillId="3" borderId="1" xfId="3" applyFont="1" applyFill="1" applyBorder="1"/>
    <xf numFmtId="44" fontId="21" fillId="3" borderId="1" xfId="3" applyNumberFormat="1" applyFont="1" applyFill="1" applyBorder="1"/>
    <xf numFmtId="0" fontId="21" fillId="0" borderId="1" xfId="3" applyFont="1" applyBorder="1"/>
    <xf numFmtId="44" fontId="21" fillId="0" borderId="1" xfId="3" applyNumberFormat="1" applyFont="1" applyBorder="1"/>
    <xf numFmtId="0" fontId="21" fillId="0" borderId="5" xfId="3" applyFont="1" applyBorder="1"/>
    <xf numFmtId="44" fontId="21" fillId="0" borderId="5" xfId="3" applyNumberFormat="1" applyFont="1" applyBorder="1"/>
    <xf numFmtId="0" fontId="21" fillId="4" borderId="6" xfId="3" applyFont="1" applyFill="1" applyBorder="1" applyAlignment="1">
      <alignment vertical="center"/>
    </xf>
    <xf numFmtId="44" fontId="21" fillId="4" borderId="7" xfId="3" applyNumberFormat="1" applyFont="1" applyFill="1" applyBorder="1" applyAlignment="1">
      <alignment vertical="center"/>
    </xf>
    <xf numFmtId="0" fontId="21" fillId="4" borderId="7" xfId="3" applyFont="1" applyFill="1" applyBorder="1" applyAlignment="1">
      <alignment vertical="center"/>
    </xf>
    <xf numFmtId="44" fontId="21" fillId="4" borderId="8" xfId="3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44" fontId="19" fillId="0" borderId="1" xfId="1" applyFont="1" applyBorder="1" applyAlignment="1">
      <alignment horizontal="center" vertical="center"/>
    </xf>
    <xf numFmtId="44" fontId="20" fillId="0" borderId="1" xfId="1" applyFont="1" applyBorder="1" applyAlignment="1">
      <alignment horizontal="center" vertical="center"/>
    </xf>
    <xf numFmtId="44" fontId="18" fillId="9" borderId="1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8" fillId="7" borderId="1" xfId="3" applyFont="1" applyFill="1" applyBorder="1" applyAlignment="1">
      <alignment horizontal="left" vertical="center"/>
    </xf>
    <xf numFmtId="0" fontId="18" fillId="0" borderId="1" xfId="3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16" fillId="7" borderId="1" xfId="3" applyFont="1" applyFill="1" applyBorder="1" applyAlignment="1">
      <alignment horizontal="center" vertical="center"/>
    </xf>
    <xf numFmtId="0" fontId="17" fillId="2" borderId="9" xfId="3" applyFont="1" applyFill="1" applyBorder="1" applyAlignment="1">
      <alignment horizontal="center"/>
    </xf>
    <xf numFmtId="0" fontId="17" fillId="2" borderId="10" xfId="3" applyFont="1" applyFill="1" applyBorder="1" applyAlignment="1">
      <alignment horizontal="center"/>
    </xf>
    <xf numFmtId="0" fontId="17" fillId="2" borderId="11" xfId="3" applyFont="1" applyFill="1" applyBorder="1" applyAlignment="1">
      <alignment horizontal="center"/>
    </xf>
    <xf numFmtId="0" fontId="16" fillId="11" borderId="2" xfId="3" applyFont="1" applyFill="1" applyBorder="1" applyAlignment="1">
      <alignment horizontal="center"/>
    </xf>
    <xf numFmtId="0" fontId="21" fillId="7" borderId="3" xfId="3" applyFont="1" applyFill="1" applyBorder="1" applyAlignment="1">
      <alignment horizontal="center"/>
    </xf>
    <xf numFmtId="0" fontId="21" fillId="7" borderId="4" xfId="3" applyFont="1" applyFill="1" applyBorder="1" applyAlignment="1">
      <alignment horizontal="center"/>
    </xf>
    <xf numFmtId="0" fontId="16" fillId="10" borderId="2" xfId="3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2" fillId="6" borderId="0" xfId="0" applyFont="1" applyFill="1" applyAlignment="1">
      <alignment horizontal="center"/>
    </xf>
    <xf numFmtId="0" fontId="22" fillId="0" borderId="1" xfId="3" applyFont="1" applyBorder="1" applyAlignment="1">
      <alignment horizontal="center" vertical="center"/>
    </xf>
    <xf numFmtId="0" fontId="22" fillId="0" borderId="1" xfId="3" applyFont="1" applyBorder="1" applyAlignment="1">
      <alignment horizontal="left" vertical="center"/>
    </xf>
    <xf numFmtId="44" fontId="23" fillId="0" borderId="1" xfId="1" applyFont="1" applyBorder="1" applyAlignment="1">
      <alignment horizontal="center" vertical="center"/>
    </xf>
    <xf numFmtId="44" fontId="24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25" fillId="0" borderId="2" xfId="0" applyNumberFormat="1" applyFont="1" applyBorder="1" applyAlignment="1">
      <alignment horizontal="left" vertical="center" wrapText="1"/>
    </xf>
    <xf numFmtId="0" fontId="21" fillId="7" borderId="1" xfId="3" applyFont="1" applyFill="1" applyBorder="1" applyAlignment="1">
      <alignment horizontal="center" vertical="center" wrapText="1"/>
    </xf>
    <xf numFmtId="0" fontId="18" fillId="0" borderId="5" xfId="3" applyFont="1" applyBorder="1" applyAlignment="1">
      <alignment horizontal="center" vertical="center"/>
    </xf>
    <xf numFmtId="0" fontId="18" fillId="0" borderId="5" xfId="3" applyFont="1" applyBorder="1" applyAlignment="1">
      <alignment horizontal="left" vertical="center"/>
    </xf>
    <xf numFmtId="44" fontId="19" fillId="0" borderId="5" xfId="1" applyFont="1" applyBorder="1" applyAlignment="1">
      <alignment horizontal="center" vertical="center"/>
    </xf>
    <xf numFmtId="44" fontId="20" fillId="0" borderId="5" xfId="1" applyFont="1" applyBorder="1" applyAlignment="1">
      <alignment horizontal="center" vertical="center"/>
    </xf>
    <xf numFmtId="44" fontId="18" fillId="9" borderId="5" xfId="1" applyFont="1" applyFill="1" applyBorder="1" applyAlignment="1">
      <alignment horizontal="center" vertical="center"/>
    </xf>
    <xf numFmtId="0" fontId="22" fillId="7" borderId="3" xfId="3" applyFont="1" applyFill="1" applyBorder="1" applyAlignment="1">
      <alignment horizontal="center" vertical="center"/>
    </xf>
    <xf numFmtId="0" fontId="22" fillId="7" borderId="19" xfId="3" applyFont="1" applyFill="1" applyBorder="1" applyAlignment="1">
      <alignment horizontal="left" vertical="center"/>
    </xf>
    <xf numFmtId="44" fontId="23" fillId="7" borderId="19" xfId="1" applyFont="1" applyFill="1" applyBorder="1" applyAlignment="1">
      <alignment horizontal="center" vertical="center"/>
    </xf>
    <xf numFmtId="44" fontId="24" fillId="7" borderId="19" xfId="1" applyFont="1" applyFill="1" applyBorder="1" applyAlignment="1">
      <alignment horizontal="center" vertical="center"/>
    </xf>
    <xf numFmtId="44" fontId="22" fillId="7" borderId="4" xfId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9" fillId="0" borderId="23" xfId="0" applyFont="1" applyBorder="1"/>
    <xf numFmtId="3" fontId="0" fillId="0" borderId="24" xfId="0" applyNumberFormat="1" applyBorder="1" applyAlignment="1">
      <alignment horizontal="center"/>
    </xf>
    <xf numFmtId="0" fontId="9" fillId="0" borderId="25" xfId="0" applyFont="1" applyBorder="1"/>
    <xf numFmtId="3" fontId="0" fillId="0" borderId="26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4" xfId="2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26" xfId="2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26" fillId="7" borderId="0" xfId="0" applyFont="1" applyFill="1" applyAlignment="1">
      <alignment horizontal="left" vertical="center" wrapText="1"/>
    </xf>
    <xf numFmtId="0" fontId="26" fillId="6" borderId="0" xfId="0" applyFont="1" applyFill="1" applyAlignment="1">
      <alignment horizontal="center"/>
    </xf>
    <xf numFmtId="0" fontId="18" fillId="7" borderId="3" xfId="3" applyFont="1" applyFill="1" applyBorder="1" applyAlignment="1">
      <alignment horizontal="center" vertical="center"/>
    </xf>
    <xf numFmtId="0" fontId="18" fillId="7" borderId="19" xfId="3" applyFont="1" applyFill="1" applyBorder="1" applyAlignment="1">
      <alignment horizontal="center" vertical="center"/>
    </xf>
    <xf numFmtId="0" fontId="18" fillId="7" borderId="4" xfId="3" applyFont="1" applyFill="1" applyBorder="1" applyAlignment="1">
      <alignment horizontal="center" vertical="center"/>
    </xf>
    <xf numFmtId="0" fontId="11" fillId="8" borderId="0" xfId="0" applyFont="1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11" fillId="8" borderId="20" xfId="0" applyFont="1" applyFill="1" applyBorder="1"/>
    <xf numFmtId="0" fontId="2" fillId="8" borderId="22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0" xfId="0" applyFont="1" applyFill="1" applyBorder="1" applyAlignment="1"/>
    <xf numFmtId="0" fontId="11" fillId="8" borderId="22" xfId="0" applyFont="1" applyFill="1" applyBorder="1" applyAlignment="1"/>
    <xf numFmtId="3" fontId="2" fillId="8" borderId="22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44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Título" xfId="3" builtinId="15"/>
  </cellStyles>
  <dxfs count="3">
    <dxf>
      <font>
        <color rgb="FF9C0006"/>
      </font>
      <fill>
        <patternFill>
          <bgColor rgb="FFFFC7CE"/>
        </patternFill>
      </fill>
    </dxf>
    <dxf>
      <font>
        <color rgb="FF008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00"/>
      <color rgb="FF99FF66"/>
      <color rgb="FF0000F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/>
</file>

<file path=xl/ctrlProps/ctrlProp10.xml><?xml version="1.0" encoding="utf-8"?>
<formControlPr xmlns="http://schemas.microsoft.com/office/spreadsheetml/2009/9/main" objectType="CheckBox"/>
</file>

<file path=xl/ctrlProps/ctrlProp11.xml><?xml version="1.0" encoding="utf-8"?>
<formControlPr xmlns="http://schemas.microsoft.com/office/spreadsheetml/2009/9/main" objectType="CheckBox" checked="Checked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/>
</file>

<file path=xl/ctrlProps/ctrlProp14.xml><?xml version="1.0" encoding="utf-8"?>
<formControlPr xmlns="http://schemas.microsoft.com/office/spreadsheetml/2009/9/main" objectType="CheckBox" checked="Checked"/>
</file>

<file path=xl/ctrlProps/ctrlProp15.xml><?xml version="1.0" encoding="utf-8"?>
<formControlPr xmlns="http://schemas.microsoft.com/office/spreadsheetml/2009/9/main" objectType="CheckBox"/>
</file>

<file path=xl/ctrlProps/ctrlProp16.xml><?xml version="1.0" encoding="utf-8"?>
<formControlPr xmlns="http://schemas.microsoft.com/office/spreadsheetml/2009/9/main" objectType="CheckBox"/>
</file>

<file path=xl/ctrlProps/ctrlProp17.xml><?xml version="1.0" encoding="utf-8"?>
<formControlPr xmlns="http://schemas.microsoft.com/office/spreadsheetml/2009/9/main" objectType="CheckBox" checked="Checked"/>
</file>

<file path=xl/ctrlProps/ctrlProp18.xml><?xml version="1.0" encoding="utf-8"?>
<formControlPr xmlns="http://schemas.microsoft.com/office/spreadsheetml/2009/9/main" objectType="CheckBox"/>
</file>

<file path=xl/ctrlProps/ctrlProp19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20.xml><?xml version="1.0" encoding="utf-8"?>
<formControlPr xmlns="http://schemas.microsoft.com/office/spreadsheetml/2009/9/main" objectType="CheckBox" checked="Checked"/>
</file>

<file path=xl/ctrlProps/ctrlProp21.xml><?xml version="1.0" encoding="utf-8"?>
<formControlPr xmlns="http://schemas.microsoft.com/office/spreadsheetml/2009/9/main" objectType="CheckBox"/>
</file>

<file path=xl/ctrlProps/ctrlProp22.xml><?xml version="1.0" encoding="utf-8"?>
<formControlPr xmlns="http://schemas.microsoft.com/office/spreadsheetml/2009/9/main" objectType="CheckBox"/>
</file>

<file path=xl/ctrlProps/ctrlProp23.xml><?xml version="1.0" encoding="utf-8"?>
<formControlPr xmlns="http://schemas.microsoft.com/office/spreadsheetml/2009/9/main" objectType="CheckBox" checked="Checked"/>
</file>

<file path=xl/ctrlProps/ctrlProp24.xml><?xml version="1.0" encoding="utf-8"?>
<formControlPr xmlns="http://schemas.microsoft.com/office/spreadsheetml/2009/9/main" objectType="CheckBox"/>
</file>

<file path=xl/ctrlProps/ctrlProp25.xml><?xml version="1.0" encoding="utf-8"?>
<formControlPr xmlns="http://schemas.microsoft.com/office/spreadsheetml/2009/9/main" objectType="CheckBox"/>
</file>

<file path=xl/ctrlProps/ctrlProp26.xml><?xml version="1.0" encoding="utf-8"?>
<formControlPr xmlns="http://schemas.microsoft.com/office/spreadsheetml/2009/9/main" objectType="CheckBox" checked="Checked"/>
</file>

<file path=xl/ctrlProps/ctrlProp27.xml><?xml version="1.0" encoding="utf-8"?>
<formControlPr xmlns="http://schemas.microsoft.com/office/spreadsheetml/2009/9/main" objectType="CheckBox"/>
</file>

<file path=xl/ctrlProps/ctrlProp28.xml><?xml version="1.0" encoding="utf-8"?>
<formControlPr xmlns="http://schemas.microsoft.com/office/spreadsheetml/2009/9/main" objectType="CheckBox"/>
</file>

<file path=xl/ctrlProps/ctrlProp29.xml><?xml version="1.0" encoding="utf-8"?>
<formControlPr xmlns="http://schemas.microsoft.com/office/spreadsheetml/2009/9/main" objectType="CheckBox" checked="Checked"/>
</file>

<file path=xl/ctrlProps/ctrlProp3.xml><?xml version="1.0" encoding="utf-8"?>
<formControlPr xmlns="http://schemas.microsoft.com/office/spreadsheetml/2009/9/main" objectType="CheckBox" checked="Checked"/>
</file>

<file path=xl/ctrlProps/ctrlProp30.xml><?xml version="1.0" encoding="utf-8"?>
<formControlPr xmlns="http://schemas.microsoft.com/office/spreadsheetml/2009/9/main" objectType="CheckBox"/>
</file>

<file path=xl/ctrlProps/ctrlProp31.xml><?xml version="1.0" encoding="utf-8"?>
<formControlPr xmlns="http://schemas.microsoft.com/office/spreadsheetml/2009/9/main" objectType="CheckBox"/>
</file>

<file path=xl/ctrlProps/ctrlProp32.xml><?xml version="1.0" encoding="utf-8"?>
<formControlPr xmlns="http://schemas.microsoft.com/office/spreadsheetml/2009/9/main" objectType="CheckBox" checked="Checked"/>
</file>

<file path=xl/ctrlProps/ctrlProp33.xml><?xml version="1.0" encoding="utf-8"?>
<formControlPr xmlns="http://schemas.microsoft.com/office/spreadsheetml/2009/9/main" objectType="CheckBox"/>
</file>

<file path=xl/ctrlProps/ctrlProp34.xml><?xml version="1.0" encoding="utf-8"?>
<formControlPr xmlns="http://schemas.microsoft.com/office/spreadsheetml/2009/9/main" objectType="CheckBox"/>
</file>

<file path=xl/ctrlProps/ctrlProp35.xml><?xml version="1.0" encoding="utf-8"?>
<formControlPr xmlns="http://schemas.microsoft.com/office/spreadsheetml/2009/9/main" objectType="CheckBox" checked="Checked"/>
</file>

<file path=xl/ctrlProps/ctrlProp36.xml><?xml version="1.0" encoding="utf-8"?>
<formControlPr xmlns="http://schemas.microsoft.com/office/spreadsheetml/2009/9/main" objectType="CheckBox"/>
</file>

<file path=xl/ctrlProps/ctrlProp37.xml><?xml version="1.0" encoding="utf-8"?>
<formControlPr xmlns="http://schemas.microsoft.com/office/spreadsheetml/2009/9/main" objectType="CheckBox"/>
</file>

<file path=xl/ctrlProps/ctrlProp38.xml><?xml version="1.0" encoding="utf-8"?>
<formControlPr xmlns="http://schemas.microsoft.com/office/spreadsheetml/2009/9/main" objectType="CheckBox" checked="Checked"/>
</file>

<file path=xl/ctrlProps/ctrlProp39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40.xml><?xml version="1.0" encoding="utf-8"?>
<formControlPr xmlns="http://schemas.microsoft.com/office/spreadsheetml/2009/9/main" objectType="CheckBox"/>
</file>

<file path=xl/ctrlProps/ctrlProp41.xml><?xml version="1.0" encoding="utf-8"?>
<formControlPr xmlns="http://schemas.microsoft.com/office/spreadsheetml/2009/9/main" objectType="CheckBox"/>
</file>

<file path=xl/ctrlProps/ctrlProp42.xml><?xml version="1.0" encoding="utf-8"?>
<formControlPr xmlns="http://schemas.microsoft.com/office/spreadsheetml/2009/9/main" objectType="CheckBox"/>
</file>

<file path=xl/ctrlProps/ctrlProp43.xml><?xml version="1.0" encoding="utf-8"?>
<formControlPr xmlns="http://schemas.microsoft.com/office/spreadsheetml/2009/9/main" objectType="CheckBox" checked="Checked"/>
</file>

<file path=xl/ctrlProps/ctrlProp44.xml><?xml version="1.0" encoding="utf-8"?>
<formControlPr xmlns="http://schemas.microsoft.com/office/spreadsheetml/2009/9/main" objectType="CheckBox"/>
</file>

<file path=xl/ctrlProps/ctrlProp45.xml><?xml version="1.0" encoding="utf-8"?>
<formControlPr xmlns="http://schemas.microsoft.com/office/spreadsheetml/2009/9/main" objectType="CheckBox" checked="Checked"/>
</file>

<file path=xl/ctrlProps/ctrlProp46.xml><?xml version="1.0" encoding="utf-8"?>
<formControlPr xmlns="http://schemas.microsoft.com/office/spreadsheetml/2009/9/main" objectType="CheckBox"/>
</file>

<file path=xl/ctrlProps/ctrlProp47.xml><?xml version="1.0" encoding="utf-8"?>
<formControlPr xmlns="http://schemas.microsoft.com/office/spreadsheetml/2009/9/main" objectType="CheckBox"/>
</file>

<file path=xl/ctrlProps/ctrlProp48.xml><?xml version="1.0" encoding="utf-8"?>
<formControlPr xmlns="http://schemas.microsoft.com/office/spreadsheetml/2009/9/main" objectType="CheckBox" checked="Checked"/>
</file>

<file path=xl/ctrlProps/ctrlProp49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 checked="Checked"/>
</file>

<file path=xl/ctrlProps/ctrlProp50.xml><?xml version="1.0" encoding="utf-8"?>
<formControlPr xmlns="http://schemas.microsoft.com/office/spreadsheetml/2009/9/main" objectType="CheckBox"/>
</file>

<file path=xl/ctrlProps/ctrlProp51.xml><?xml version="1.0" encoding="utf-8"?>
<formControlPr xmlns="http://schemas.microsoft.com/office/spreadsheetml/2009/9/main" objectType="CheckBox"/>
</file>

<file path=xl/ctrlProps/ctrlProp52.xml><?xml version="1.0" encoding="utf-8"?>
<formControlPr xmlns="http://schemas.microsoft.com/office/spreadsheetml/2009/9/main" objectType="CheckBox"/>
</file>

<file path=xl/ctrlProps/ctrlProp53.xml><?xml version="1.0" encoding="utf-8"?>
<formControlPr xmlns="http://schemas.microsoft.com/office/spreadsheetml/2009/9/main" objectType="CheckBox"/>
</file>

<file path=xl/ctrlProps/ctrlProp54.xml><?xml version="1.0" encoding="utf-8"?>
<formControlPr xmlns="http://schemas.microsoft.com/office/spreadsheetml/2009/9/main" objectType="CheckBox"/>
</file>

<file path=xl/ctrlProps/ctrlProp55.xml><?xml version="1.0" encoding="utf-8"?>
<formControlPr xmlns="http://schemas.microsoft.com/office/spreadsheetml/2009/9/main" objectType="CheckBox"/>
</file>

<file path=xl/ctrlProps/ctrlProp56.xml><?xml version="1.0" encoding="utf-8"?>
<formControlPr xmlns="http://schemas.microsoft.com/office/spreadsheetml/2009/9/main" objectType="CheckBox"/>
</file>

<file path=xl/ctrlProps/ctrlProp57.xml><?xml version="1.0" encoding="utf-8"?>
<formControlPr xmlns="http://schemas.microsoft.com/office/spreadsheetml/2009/9/main" objectType="CheckBox"/>
</file>

<file path=xl/ctrlProps/ctrlProp58.xml><?xml version="1.0" encoding="utf-8"?>
<formControlPr xmlns="http://schemas.microsoft.com/office/spreadsheetml/2009/9/main" objectType="CheckBox"/>
</file>

<file path=xl/ctrlProps/ctrlProp59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60.xml><?xml version="1.0" encoding="utf-8"?>
<formControlPr xmlns="http://schemas.microsoft.com/office/spreadsheetml/2009/9/main" objectType="CheckBox"/>
</file>

<file path=xl/ctrlProps/ctrlProp61.xml><?xml version="1.0" encoding="utf-8"?>
<formControlPr xmlns="http://schemas.microsoft.com/office/spreadsheetml/2009/9/main" objectType="CheckBox"/>
</file>

<file path=xl/ctrlProps/ctrlProp62.xml><?xml version="1.0" encoding="utf-8"?>
<formControlPr xmlns="http://schemas.microsoft.com/office/spreadsheetml/2009/9/main" objectType="CheckBox"/>
</file>

<file path=xl/ctrlProps/ctrlProp63.xml><?xml version="1.0" encoding="utf-8"?>
<formControlPr xmlns="http://schemas.microsoft.com/office/spreadsheetml/2009/9/main" objectType="CheckBox"/>
</file>

<file path=xl/ctrlProps/ctrlProp64.xml><?xml version="1.0" encoding="utf-8"?>
<formControlPr xmlns="http://schemas.microsoft.com/office/spreadsheetml/2009/9/main" objectType="CheckBox"/>
</file>

<file path=xl/ctrlProps/ctrlProp65.xml><?xml version="1.0" encoding="utf-8"?>
<formControlPr xmlns="http://schemas.microsoft.com/office/spreadsheetml/2009/9/main" objectType="CheckBox"/>
</file>

<file path=xl/ctrlProps/ctrlProp66.xml><?xml version="1.0" encoding="utf-8"?>
<formControlPr xmlns="http://schemas.microsoft.com/office/spreadsheetml/2009/9/main" objectType="CheckBox"/>
</file>

<file path=xl/ctrlProps/ctrlProp67.xml><?xml version="1.0" encoding="utf-8"?>
<formControlPr xmlns="http://schemas.microsoft.com/office/spreadsheetml/2009/9/main" objectType="CheckBox"/>
</file>

<file path=xl/ctrlProps/ctrlProp68.xml><?xml version="1.0" encoding="utf-8"?>
<formControlPr xmlns="http://schemas.microsoft.com/office/spreadsheetml/2009/9/main" objectType="CheckBox"/>
</file>

<file path=xl/ctrlProps/ctrlProp69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/>
</file>

<file path=xl/ctrlProps/ctrlProp70.xml><?xml version="1.0" encoding="utf-8"?>
<formControlPr xmlns="http://schemas.microsoft.com/office/spreadsheetml/2009/9/main" objectType="CheckBox"/>
</file>

<file path=xl/ctrlProps/ctrlProp71.xml><?xml version="1.0" encoding="utf-8"?>
<formControlPr xmlns="http://schemas.microsoft.com/office/spreadsheetml/2009/9/main" objectType="CheckBox"/>
</file>

<file path=xl/ctrlProps/ctrlProp72.xml><?xml version="1.0" encoding="utf-8"?>
<formControlPr xmlns="http://schemas.microsoft.com/office/spreadsheetml/2009/9/main" objectType="CheckBox"/>
</file>

<file path=xl/ctrlProps/ctrlProp73.xml><?xml version="1.0" encoding="utf-8"?>
<formControlPr xmlns="http://schemas.microsoft.com/office/spreadsheetml/2009/9/main" objectType="CheckBox"/>
</file>

<file path=xl/ctrlProps/ctrlProp74.xml><?xml version="1.0" encoding="utf-8"?>
<formControlPr xmlns="http://schemas.microsoft.com/office/spreadsheetml/2009/9/main" objectType="CheckBox" checked="Checked"/>
</file>

<file path=xl/ctrlProps/ctrlProp75.xml><?xml version="1.0" encoding="utf-8"?>
<formControlPr xmlns="http://schemas.microsoft.com/office/spreadsheetml/2009/9/main" objectType="CheckBox"/>
</file>

<file path=xl/ctrlProps/ctrlProp76.xml><?xml version="1.0" encoding="utf-8"?>
<formControlPr xmlns="http://schemas.microsoft.com/office/spreadsheetml/2009/9/main" objectType="CheckBox"/>
</file>

<file path=xl/ctrlProps/ctrlProp77.xml><?xml version="1.0" encoding="utf-8"?>
<formControlPr xmlns="http://schemas.microsoft.com/office/spreadsheetml/2009/9/main" objectType="CheckBox"/>
</file>

<file path=xl/ctrlProps/ctrlProp78.xml><?xml version="1.0" encoding="utf-8"?>
<formControlPr xmlns="http://schemas.microsoft.com/office/spreadsheetml/2009/9/main" objectType="CheckBox" checked="Checked"/>
</file>

<file path=xl/ctrlProps/ctrlProp79.xml><?xml version="1.0" encoding="utf-8"?>
<formControlPr xmlns="http://schemas.microsoft.com/office/spreadsheetml/2009/9/main" objectType="CheckBox" checked="Checked"/>
</file>

<file path=xl/ctrlProps/ctrlProp8.xml><?xml version="1.0" encoding="utf-8"?>
<formControlPr xmlns="http://schemas.microsoft.com/office/spreadsheetml/2009/9/main" objectType="CheckBox" checked="Checked"/>
</file>

<file path=xl/ctrlProps/ctrlProp9.xml><?xml version="1.0" encoding="utf-8"?>
<formControlPr xmlns="http://schemas.microsoft.com/office/spreadsheetml/2009/9/main" objectType="CheckBox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</xdr:row>
          <xdr:rowOff>19050</xdr:rowOff>
        </xdr:from>
        <xdr:to>
          <xdr:col>0</xdr:col>
          <xdr:colOff>390525</xdr:colOff>
          <xdr:row>4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4</xdr:row>
          <xdr:rowOff>19050</xdr:rowOff>
        </xdr:from>
        <xdr:to>
          <xdr:col>0</xdr:col>
          <xdr:colOff>390525</xdr:colOff>
          <xdr:row>5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4</xdr:row>
          <xdr:rowOff>19050</xdr:rowOff>
        </xdr:from>
        <xdr:to>
          <xdr:col>0</xdr:col>
          <xdr:colOff>390525</xdr:colOff>
          <xdr:row>5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</xdr:row>
          <xdr:rowOff>19050</xdr:rowOff>
        </xdr:from>
        <xdr:to>
          <xdr:col>0</xdr:col>
          <xdr:colOff>390525</xdr:colOff>
          <xdr:row>6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</xdr:row>
          <xdr:rowOff>19050</xdr:rowOff>
        </xdr:from>
        <xdr:to>
          <xdr:col>0</xdr:col>
          <xdr:colOff>390525</xdr:colOff>
          <xdr:row>6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</xdr:row>
          <xdr:rowOff>19050</xdr:rowOff>
        </xdr:from>
        <xdr:to>
          <xdr:col>0</xdr:col>
          <xdr:colOff>390525</xdr:colOff>
          <xdr:row>7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</xdr:row>
          <xdr:rowOff>19050</xdr:rowOff>
        </xdr:from>
        <xdr:to>
          <xdr:col>0</xdr:col>
          <xdr:colOff>390525</xdr:colOff>
          <xdr:row>7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</xdr:row>
          <xdr:rowOff>19050</xdr:rowOff>
        </xdr:from>
        <xdr:to>
          <xdr:col>0</xdr:col>
          <xdr:colOff>390525</xdr:colOff>
          <xdr:row>7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</xdr:row>
          <xdr:rowOff>19050</xdr:rowOff>
        </xdr:from>
        <xdr:to>
          <xdr:col>0</xdr:col>
          <xdr:colOff>390525</xdr:colOff>
          <xdr:row>8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</xdr:row>
          <xdr:rowOff>19050</xdr:rowOff>
        </xdr:from>
        <xdr:to>
          <xdr:col>0</xdr:col>
          <xdr:colOff>390525</xdr:colOff>
          <xdr:row>8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7</xdr:row>
          <xdr:rowOff>19050</xdr:rowOff>
        </xdr:from>
        <xdr:to>
          <xdr:col>0</xdr:col>
          <xdr:colOff>390525</xdr:colOff>
          <xdr:row>8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8</xdr:row>
          <xdr:rowOff>19050</xdr:rowOff>
        </xdr:from>
        <xdr:to>
          <xdr:col>0</xdr:col>
          <xdr:colOff>390525</xdr:colOff>
          <xdr:row>9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8</xdr:row>
          <xdr:rowOff>19050</xdr:rowOff>
        </xdr:from>
        <xdr:to>
          <xdr:col>0</xdr:col>
          <xdr:colOff>390525</xdr:colOff>
          <xdr:row>9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8</xdr:row>
          <xdr:rowOff>19050</xdr:rowOff>
        </xdr:from>
        <xdr:to>
          <xdr:col>0</xdr:col>
          <xdr:colOff>390525</xdr:colOff>
          <xdr:row>9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9</xdr:row>
          <xdr:rowOff>19050</xdr:rowOff>
        </xdr:from>
        <xdr:to>
          <xdr:col>0</xdr:col>
          <xdr:colOff>390525</xdr:colOff>
          <xdr:row>10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9</xdr:row>
          <xdr:rowOff>19050</xdr:rowOff>
        </xdr:from>
        <xdr:to>
          <xdr:col>0</xdr:col>
          <xdr:colOff>390525</xdr:colOff>
          <xdr:row>10</xdr:row>
          <xdr:rowOff>9525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9</xdr:row>
          <xdr:rowOff>19050</xdr:rowOff>
        </xdr:from>
        <xdr:to>
          <xdr:col>0</xdr:col>
          <xdr:colOff>390525</xdr:colOff>
          <xdr:row>10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10</xdr:row>
          <xdr:rowOff>19050</xdr:rowOff>
        </xdr:from>
        <xdr:to>
          <xdr:col>0</xdr:col>
          <xdr:colOff>390525</xdr:colOff>
          <xdr:row>11</xdr:row>
          <xdr:rowOff>9525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10</xdr:row>
          <xdr:rowOff>19050</xdr:rowOff>
        </xdr:from>
        <xdr:to>
          <xdr:col>0</xdr:col>
          <xdr:colOff>390525</xdr:colOff>
          <xdr:row>11</xdr:row>
          <xdr:rowOff>9525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10</xdr:row>
          <xdr:rowOff>19050</xdr:rowOff>
        </xdr:from>
        <xdr:to>
          <xdr:col>0</xdr:col>
          <xdr:colOff>390525</xdr:colOff>
          <xdr:row>11</xdr:row>
          <xdr:rowOff>9525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</xdr:row>
          <xdr:rowOff>19050</xdr:rowOff>
        </xdr:from>
        <xdr:to>
          <xdr:col>0</xdr:col>
          <xdr:colOff>390525</xdr:colOff>
          <xdr:row>12</xdr:row>
          <xdr:rowOff>9525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</xdr:row>
          <xdr:rowOff>19050</xdr:rowOff>
        </xdr:from>
        <xdr:to>
          <xdr:col>0</xdr:col>
          <xdr:colOff>390525</xdr:colOff>
          <xdr:row>12</xdr:row>
          <xdr:rowOff>9525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</xdr:row>
          <xdr:rowOff>19050</xdr:rowOff>
        </xdr:from>
        <xdr:to>
          <xdr:col>0</xdr:col>
          <xdr:colOff>390525</xdr:colOff>
          <xdr:row>12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12</xdr:row>
          <xdr:rowOff>19050</xdr:rowOff>
        </xdr:from>
        <xdr:to>
          <xdr:col>0</xdr:col>
          <xdr:colOff>390525</xdr:colOff>
          <xdr:row>13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12</xdr:row>
          <xdr:rowOff>19050</xdr:rowOff>
        </xdr:from>
        <xdr:to>
          <xdr:col>0</xdr:col>
          <xdr:colOff>390525</xdr:colOff>
          <xdr:row>13</xdr:row>
          <xdr:rowOff>9525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12</xdr:row>
          <xdr:rowOff>19050</xdr:rowOff>
        </xdr:from>
        <xdr:to>
          <xdr:col>0</xdr:col>
          <xdr:colOff>390525</xdr:colOff>
          <xdr:row>13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13</xdr:row>
          <xdr:rowOff>19050</xdr:rowOff>
        </xdr:from>
        <xdr:to>
          <xdr:col>0</xdr:col>
          <xdr:colOff>390525</xdr:colOff>
          <xdr:row>14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13</xdr:row>
          <xdr:rowOff>19050</xdr:rowOff>
        </xdr:from>
        <xdr:to>
          <xdr:col>0</xdr:col>
          <xdr:colOff>390525</xdr:colOff>
          <xdr:row>14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13</xdr:row>
          <xdr:rowOff>19050</xdr:rowOff>
        </xdr:from>
        <xdr:to>
          <xdr:col>0</xdr:col>
          <xdr:colOff>390525</xdr:colOff>
          <xdr:row>14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14</xdr:row>
          <xdr:rowOff>19050</xdr:rowOff>
        </xdr:from>
        <xdr:to>
          <xdr:col>0</xdr:col>
          <xdr:colOff>390525</xdr:colOff>
          <xdr:row>15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14</xdr:row>
          <xdr:rowOff>19050</xdr:rowOff>
        </xdr:from>
        <xdr:to>
          <xdr:col>0</xdr:col>
          <xdr:colOff>390525</xdr:colOff>
          <xdr:row>15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14</xdr:row>
          <xdr:rowOff>19050</xdr:rowOff>
        </xdr:from>
        <xdr:to>
          <xdr:col>0</xdr:col>
          <xdr:colOff>390525</xdr:colOff>
          <xdr:row>15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15</xdr:row>
          <xdr:rowOff>19050</xdr:rowOff>
        </xdr:from>
        <xdr:to>
          <xdr:col>0</xdr:col>
          <xdr:colOff>390525</xdr:colOff>
          <xdr:row>16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15</xdr:row>
          <xdr:rowOff>19050</xdr:rowOff>
        </xdr:from>
        <xdr:to>
          <xdr:col>0</xdr:col>
          <xdr:colOff>390525</xdr:colOff>
          <xdr:row>16</xdr:row>
          <xdr:rowOff>9525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15</xdr:row>
          <xdr:rowOff>19050</xdr:rowOff>
        </xdr:from>
        <xdr:to>
          <xdr:col>0</xdr:col>
          <xdr:colOff>390525</xdr:colOff>
          <xdr:row>16</xdr:row>
          <xdr:rowOff>9525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16</xdr:row>
          <xdr:rowOff>19050</xdr:rowOff>
        </xdr:from>
        <xdr:to>
          <xdr:col>0</xdr:col>
          <xdr:colOff>390525</xdr:colOff>
          <xdr:row>17</xdr:row>
          <xdr:rowOff>9525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16</xdr:row>
          <xdr:rowOff>19050</xdr:rowOff>
        </xdr:from>
        <xdr:to>
          <xdr:col>0</xdr:col>
          <xdr:colOff>390525</xdr:colOff>
          <xdr:row>17</xdr:row>
          <xdr:rowOff>9525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16</xdr:row>
          <xdr:rowOff>19050</xdr:rowOff>
        </xdr:from>
        <xdr:to>
          <xdr:col>0</xdr:col>
          <xdr:colOff>390525</xdr:colOff>
          <xdr:row>17</xdr:row>
          <xdr:rowOff>9525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17</xdr:row>
          <xdr:rowOff>19050</xdr:rowOff>
        </xdr:from>
        <xdr:to>
          <xdr:col>0</xdr:col>
          <xdr:colOff>390525</xdr:colOff>
          <xdr:row>18</xdr:row>
          <xdr:rowOff>9525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17</xdr:row>
          <xdr:rowOff>19050</xdr:rowOff>
        </xdr:from>
        <xdr:to>
          <xdr:col>0</xdr:col>
          <xdr:colOff>390525</xdr:colOff>
          <xdr:row>18</xdr:row>
          <xdr:rowOff>9525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17</xdr:row>
          <xdr:rowOff>19050</xdr:rowOff>
        </xdr:from>
        <xdr:ext cx="285750" cy="295275"/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4729C191-B13F-4C0D-925F-023C40F02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17</xdr:row>
          <xdr:rowOff>19050</xdr:rowOff>
        </xdr:from>
        <xdr:ext cx="285750" cy="295275"/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F6273EF5-794D-4FEB-A8D0-E84819DEC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17</xdr:row>
          <xdr:rowOff>19050</xdr:rowOff>
        </xdr:from>
        <xdr:ext cx="285750" cy="295275"/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757A8C99-7F30-4E78-8117-73A8334983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18</xdr:row>
          <xdr:rowOff>19050</xdr:rowOff>
        </xdr:from>
        <xdr:ext cx="285750" cy="295275"/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ABBC7F24-B500-4CE1-84AE-CA96DB356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18</xdr:row>
          <xdr:rowOff>19050</xdr:rowOff>
        </xdr:from>
        <xdr:ext cx="285750" cy="295275"/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1197317A-7CA9-4D51-B28A-E957935EC0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18</xdr:row>
          <xdr:rowOff>19050</xdr:rowOff>
        </xdr:from>
        <xdr:ext cx="285750" cy="295275"/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B245C6C7-ACF9-472F-9C77-4525178BE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18</xdr:row>
          <xdr:rowOff>19050</xdr:rowOff>
        </xdr:from>
        <xdr:ext cx="285750" cy="295275"/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CD2AF043-3DA2-436D-92B4-BF3DB8D720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18</xdr:row>
          <xdr:rowOff>19050</xdr:rowOff>
        </xdr:from>
        <xdr:ext cx="285750" cy="295275"/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2BF4CCE3-9570-4C19-BE8F-E900C8A7D4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892D21A6-B986-481B-ACAE-02F1215C9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CF8B3921-5DD4-4B37-9598-90C9F571C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CE3FDED2-C7D3-4D67-8DFE-C4CFC3971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6EB15E06-53E1-4177-B994-97B27C2389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3F3BE6C9-902F-4920-9977-E7C5C907A2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E00C702A-15B9-45A6-941B-349E56B45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65CB876-8025-4F7F-8415-38FA88E0E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9B516CA-ECBD-48EA-87B1-AF693A10C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77045A5C-081E-40C1-BBCA-3A191EA596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A75A16AD-AA14-4306-9399-638304B64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5C81B2C0-AED0-414F-8ADC-21D5B20D3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626CAAFC-CFC4-4987-AE29-E7B6F34D1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8D77BAE8-6245-400F-8E69-83C86C15C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370AD77C-E176-4819-BC95-943A13F647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5169E2B6-5211-4FB2-83A5-00B2970FAC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65CFCDFD-4E52-4A1C-859D-7EA156C44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27471C36-C258-49D2-8622-98B573DB7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8B37624C-6A1D-4689-9952-1260F22B4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2D20DF7C-61D9-45BF-B574-662A8B6E1D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31781A32-ECBE-4870-94CA-09689B56AA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1D091BD4-36BD-4F9E-A1D1-B30C2246F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E311AE95-7502-493A-9DAA-846D9AD31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7A1F83B6-2172-4DB6-B038-8D573EF06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18</xdr:row>
          <xdr:rowOff>19050</xdr:rowOff>
        </xdr:from>
        <xdr:ext cx="285750" cy="295275"/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CC11B1CC-8D8B-4976-A9D5-9BF2B57F3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18</xdr:row>
          <xdr:rowOff>19050</xdr:rowOff>
        </xdr:from>
        <xdr:ext cx="285750" cy="295275"/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D0E2C4C5-B00F-468E-A26D-D1B268290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18</xdr:row>
          <xdr:rowOff>19050</xdr:rowOff>
        </xdr:from>
        <xdr:ext cx="285750" cy="295275"/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F41C47F-F0F7-4683-AA1A-F9E023C44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7FAC8359-62EF-4527-996E-E821FE570D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8F5F25A8-1DDF-418F-A4E9-CF01D9FDA1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8C14262D-CB43-47B3-BE2D-AB5E497BD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B8235AE5-2581-40BD-9A2C-8BD9EEA2DB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104775</xdr:colOff>
          <xdr:row>19</xdr:row>
          <xdr:rowOff>0</xdr:rowOff>
        </xdr:from>
        <xdr:ext cx="285750" cy="295275"/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A993B51A-7BC2-4BF8-ABE6-2FE65A1D8A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80" mc:Ignorable="a14" a14:legacySpreadsheetColorIndex="1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107156</xdr:colOff>
      <xdr:row>9</xdr:row>
      <xdr:rowOff>47624</xdr:rowOff>
    </xdr:from>
    <xdr:to>
      <xdr:col>5</xdr:col>
      <xdr:colOff>714375</xdr:colOff>
      <xdr:row>11</xdr:row>
      <xdr:rowOff>190499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012656" y="1762124"/>
          <a:ext cx="607219" cy="547688"/>
        </a:xfrm>
        <a:prstGeom prst="righ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142874</xdr:rowOff>
    </xdr:from>
    <xdr:to>
      <xdr:col>6</xdr:col>
      <xdr:colOff>38100</xdr:colOff>
      <xdr:row>17</xdr:row>
      <xdr:rowOff>133349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6457950" y="2809874"/>
          <a:ext cx="6029325" cy="600075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581025</xdr:colOff>
      <xdr:row>32</xdr:row>
      <xdr:rowOff>9525</xdr:rowOff>
    </xdr:from>
    <xdr:to>
      <xdr:col>5</xdr:col>
      <xdr:colOff>590550</xdr:colOff>
      <xdr:row>34</xdr:row>
      <xdr:rowOff>19050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C05CF202-6442-8C6F-8165-68256D81861F}"/>
            </a:ext>
          </a:extLst>
        </xdr:cNvPr>
        <xdr:cNvSpPr/>
      </xdr:nvSpPr>
      <xdr:spPr>
        <a:xfrm>
          <a:off x="4238625" y="6619875"/>
          <a:ext cx="866775" cy="390525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9F49-3977-423C-9F58-26B71C77790C}">
  <dimension ref="A1:C42"/>
  <sheetViews>
    <sheetView tabSelected="1" workbookViewId="0">
      <selection activeCell="C17" sqref="C17"/>
    </sheetView>
  </sheetViews>
  <sheetFormatPr defaultRowHeight="15" x14ac:dyDescent="0.25"/>
  <cols>
    <col min="1" max="1" width="6.140625" customWidth="1"/>
    <col min="2" max="2" width="7.42578125" style="12" customWidth="1"/>
    <col min="3" max="3" width="143.140625" style="11" customWidth="1"/>
  </cols>
  <sheetData>
    <row r="1" spans="1:3" ht="18.75" x14ac:dyDescent="0.3">
      <c r="A1" s="54" t="s">
        <v>81</v>
      </c>
      <c r="B1" s="54"/>
      <c r="C1" s="54"/>
    </row>
    <row r="2" spans="1:3" ht="18.75" x14ac:dyDescent="0.3">
      <c r="A2" s="54" t="s">
        <v>82</v>
      </c>
      <c r="B2" s="54"/>
      <c r="C2" s="54"/>
    </row>
    <row r="3" spans="1:3" ht="22.5" customHeight="1" thickBot="1" x14ac:dyDescent="0.3">
      <c r="A3" s="13"/>
      <c r="B3" s="13" t="s">
        <v>83</v>
      </c>
      <c r="C3" s="14" t="s">
        <v>84</v>
      </c>
    </row>
    <row r="4" spans="1:3" ht="24" customHeight="1" thickTop="1" x14ac:dyDescent="0.25">
      <c r="A4" s="15"/>
      <c r="B4" s="16">
        <v>1</v>
      </c>
      <c r="C4" s="17" t="s">
        <v>85</v>
      </c>
    </row>
    <row r="5" spans="1:3" ht="24" customHeight="1" x14ac:dyDescent="0.25">
      <c r="A5" s="18"/>
      <c r="B5" s="19">
        <v>2</v>
      </c>
      <c r="C5" s="20" t="s">
        <v>86</v>
      </c>
    </row>
    <row r="6" spans="1:3" ht="24" customHeight="1" x14ac:dyDescent="0.25">
      <c r="A6" s="18"/>
      <c r="B6" s="19">
        <v>3</v>
      </c>
      <c r="C6" s="20" t="s">
        <v>87</v>
      </c>
    </row>
    <row r="7" spans="1:3" ht="24" customHeight="1" x14ac:dyDescent="0.25">
      <c r="A7" s="18"/>
      <c r="B7" s="19">
        <v>4</v>
      </c>
      <c r="C7" s="20" t="s">
        <v>88</v>
      </c>
    </row>
    <row r="8" spans="1:3" ht="24" customHeight="1" x14ac:dyDescent="0.25">
      <c r="A8" s="18"/>
      <c r="B8" s="19">
        <v>5</v>
      </c>
      <c r="C8" s="20" t="s">
        <v>89</v>
      </c>
    </row>
    <row r="9" spans="1:3" ht="24" customHeight="1" x14ac:dyDescent="0.25">
      <c r="A9" s="18"/>
      <c r="B9" s="19">
        <v>6</v>
      </c>
      <c r="C9" s="20" t="s">
        <v>90</v>
      </c>
    </row>
    <row r="10" spans="1:3" ht="24" customHeight="1" x14ac:dyDescent="0.25">
      <c r="A10" s="18"/>
      <c r="B10" s="19">
        <v>7</v>
      </c>
      <c r="C10" s="20" t="s">
        <v>91</v>
      </c>
    </row>
    <row r="11" spans="1:3" ht="24" customHeight="1" x14ac:dyDescent="0.25">
      <c r="A11" s="21"/>
      <c r="B11" s="22">
        <v>8</v>
      </c>
      <c r="C11" s="23" t="s">
        <v>92</v>
      </c>
    </row>
    <row r="12" spans="1:3" ht="24" customHeight="1" x14ac:dyDescent="0.25">
      <c r="A12" s="18"/>
      <c r="B12" s="19">
        <v>9</v>
      </c>
      <c r="C12" s="20" t="s">
        <v>112</v>
      </c>
    </row>
    <row r="13" spans="1:3" ht="24" customHeight="1" x14ac:dyDescent="0.25">
      <c r="A13" s="18"/>
      <c r="B13" s="19">
        <v>10</v>
      </c>
      <c r="C13" s="20" t="s">
        <v>93</v>
      </c>
    </row>
    <row r="14" spans="1:3" ht="24" customHeight="1" x14ac:dyDescent="0.25">
      <c r="A14" s="21"/>
      <c r="B14" s="22">
        <v>11</v>
      </c>
      <c r="C14" s="23" t="s">
        <v>94</v>
      </c>
    </row>
    <row r="15" spans="1:3" ht="24" customHeight="1" x14ac:dyDescent="0.25">
      <c r="A15" s="18"/>
      <c r="B15" s="19">
        <v>12</v>
      </c>
      <c r="C15" s="20" t="s">
        <v>95</v>
      </c>
    </row>
    <row r="16" spans="1:3" ht="24" customHeight="1" x14ac:dyDescent="0.25">
      <c r="A16" s="18"/>
      <c r="B16" s="19">
        <v>13</v>
      </c>
      <c r="C16" s="20" t="s">
        <v>96</v>
      </c>
    </row>
    <row r="17" spans="1:3" ht="24" customHeight="1" x14ac:dyDescent="0.25">
      <c r="A17" s="18"/>
      <c r="B17" s="70">
        <v>14</v>
      </c>
      <c r="C17" s="71" t="s">
        <v>97</v>
      </c>
    </row>
    <row r="18" spans="1:3" ht="24" customHeight="1" x14ac:dyDescent="0.25">
      <c r="A18" s="18"/>
      <c r="B18" s="19">
        <v>15</v>
      </c>
      <c r="C18" s="20" t="s">
        <v>132</v>
      </c>
    </row>
    <row r="19" spans="1:3" ht="28.5" customHeight="1" x14ac:dyDescent="0.25">
      <c r="A19" s="18"/>
      <c r="B19" s="19">
        <v>16</v>
      </c>
      <c r="C19" s="20" t="s">
        <v>127</v>
      </c>
    </row>
    <row r="20" spans="1:3" ht="49.5" customHeight="1" x14ac:dyDescent="0.25">
      <c r="A20" s="21"/>
      <c r="B20" s="22">
        <v>17</v>
      </c>
      <c r="C20" s="23" t="s">
        <v>128</v>
      </c>
    </row>
    <row r="21" spans="1:3" ht="24" customHeight="1" x14ac:dyDescent="0.25"/>
    <row r="22" spans="1:3" ht="24" customHeight="1" x14ac:dyDescent="0.25"/>
    <row r="23" spans="1:3" ht="24" customHeight="1" x14ac:dyDescent="0.25"/>
    <row r="24" spans="1:3" ht="24" customHeight="1" x14ac:dyDescent="0.25"/>
    <row r="25" spans="1:3" ht="24" customHeight="1" x14ac:dyDescent="0.25"/>
    <row r="26" spans="1:3" ht="24" customHeight="1" x14ac:dyDescent="0.25"/>
    <row r="27" spans="1:3" ht="24" customHeight="1" x14ac:dyDescent="0.25"/>
    <row r="28" spans="1:3" ht="24" customHeight="1" x14ac:dyDescent="0.25"/>
    <row r="29" spans="1:3" ht="24" customHeight="1" x14ac:dyDescent="0.25"/>
    <row r="30" spans="1:3" ht="24" customHeight="1" x14ac:dyDescent="0.25"/>
    <row r="31" spans="1:3" ht="24" customHeight="1" x14ac:dyDescent="0.25"/>
    <row r="32" spans="1:3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</sheetData>
  <mergeCells count="2">
    <mergeCell ref="A1:C1"/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3</xdr:row>
                    <xdr:rowOff>19050</xdr:rowOff>
                  </from>
                  <to>
                    <xdr:col>0</xdr:col>
                    <xdr:colOff>390525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4</xdr:row>
                    <xdr:rowOff>19050</xdr:rowOff>
                  </from>
                  <to>
                    <xdr:col>0</xdr:col>
                    <xdr:colOff>390525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4</xdr:row>
                    <xdr:rowOff>19050</xdr:rowOff>
                  </from>
                  <to>
                    <xdr:col>0</xdr:col>
                    <xdr:colOff>390525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5</xdr:row>
                    <xdr:rowOff>19050</xdr:rowOff>
                  </from>
                  <to>
                    <xdr:col>0</xdr:col>
                    <xdr:colOff>390525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5</xdr:row>
                    <xdr:rowOff>19050</xdr:rowOff>
                  </from>
                  <to>
                    <xdr:col>0</xdr:col>
                    <xdr:colOff>390525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6</xdr:row>
                    <xdr:rowOff>19050</xdr:rowOff>
                  </from>
                  <to>
                    <xdr:col>0</xdr:col>
                    <xdr:colOff>390525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6</xdr:row>
                    <xdr:rowOff>19050</xdr:rowOff>
                  </from>
                  <to>
                    <xdr:col>0</xdr:col>
                    <xdr:colOff>390525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6</xdr:row>
                    <xdr:rowOff>19050</xdr:rowOff>
                  </from>
                  <to>
                    <xdr:col>0</xdr:col>
                    <xdr:colOff>390525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7</xdr:row>
                    <xdr:rowOff>19050</xdr:rowOff>
                  </from>
                  <to>
                    <xdr:col>0</xdr:col>
                    <xdr:colOff>390525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7</xdr:row>
                    <xdr:rowOff>19050</xdr:rowOff>
                  </from>
                  <to>
                    <xdr:col>0</xdr:col>
                    <xdr:colOff>390525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7</xdr:row>
                    <xdr:rowOff>19050</xdr:rowOff>
                  </from>
                  <to>
                    <xdr:col>0</xdr:col>
                    <xdr:colOff>390525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8</xdr:row>
                    <xdr:rowOff>19050</xdr:rowOff>
                  </from>
                  <to>
                    <xdr:col>0</xdr:col>
                    <xdr:colOff>390525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8</xdr:row>
                    <xdr:rowOff>19050</xdr:rowOff>
                  </from>
                  <to>
                    <xdr:col>0</xdr:col>
                    <xdr:colOff>390525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8</xdr:row>
                    <xdr:rowOff>19050</xdr:rowOff>
                  </from>
                  <to>
                    <xdr:col>0</xdr:col>
                    <xdr:colOff>390525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9</xdr:row>
                    <xdr:rowOff>19050</xdr:rowOff>
                  </from>
                  <to>
                    <xdr:col>0</xdr:col>
                    <xdr:colOff>390525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9</xdr:row>
                    <xdr:rowOff>19050</xdr:rowOff>
                  </from>
                  <to>
                    <xdr:col>0</xdr:col>
                    <xdr:colOff>390525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9</xdr:row>
                    <xdr:rowOff>19050</xdr:rowOff>
                  </from>
                  <to>
                    <xdr:col>0</xdr:col>
                    <xdr:colOff>390525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10</xdr:row>
                    <xdr:rowOff>19050</xdr:rowOff>
                  </from>
                  <to>
                    <xdr:col>0</xdr:col>
                    <xdr:colOff>390525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10</xdr:row>
                    <xdr:rowOff>19050</xdr:rowOff>
                  </from>
                  <to>
                    <xdr:col>0</xdr:col>
                    <xdr:colOff>390525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10</xdr:row>
                    <xdr:rowOff>19050</xdr:rowOff>
                  </from>
                  <to>
                    <xdr:col>0</xdr:col>
                    <xdr:colOff>390525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11</xdr:row>
                    <xdr:rowOff>19050</xdr:rowOff>
                  </from>
                  <to>
                    <xdr:col>0</xdr:col>
                    <xdr:colOff>390525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11</xdr:row>
                    <xdr:rowOff>19050</xdr:rowOff>
                  </from>
                  <to>
                    <xdr:col>0</xdr:col>
                    <xdr:colOff>390525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11</xdr:row>
                    <xdr:rowOff>19050</xdr:rowOff>
                  </from>
                  <to>
                    <xdr:col>0</xdr:col>
                    <xdr:colOff>390525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12</xdr:row>
                    <xdr:rowOff>19050</xdr:rowOff>
                  </from>
                  <to>
                    <xdr:col>0</xdr:col>
                    <xdr:colOff>390525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12</xdr:row>
                    <xdr:rowOff>19050</xdr:rowOff>
                  </from>
                  <to>
                    <xdr:col>0</xdr:col>
                    <xdr:colOff>390525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12</xdr:row>
                    <xdr:rowOff>19050</xdr:rowOff>
                  </from>
                  <to>
                    <xdr:col>0</xdr:col>
                    <xdr:colOff>390525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13</xdr:row>
                    <xdr:rowOff>19050</xdr:rowOff>
                  </from>
                  <to>
                    <xdr:col>0</xdr:col>
                    <xdr:colOff>390525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13</xdr:row>
                    <xdr:rowOff>19050</xdr:rowOff>
                  </from>
                  <to>
                    <xdr:col>0</xdr:col>
                    <xdr:colOff>390525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13</xdr:row>
                    <xdr:rowOff>19050</xdr:rowOff>
                  </from>
                  <to>
                    <xdr:col>0</xdr:col>
                    <xdr:colOff>390525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14</xdr:row>
                    <xdr:rowOff>19050</xdr:rowOff>
                  </from>
                  <to>
                    <xdr:col>0</xdr:col>
                    <xdr:colOff>390525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14</xdr:row>
                    <xdr:rowOff>19050</xdr:rowOff>
                  </from>
                  <to>
                    <xdr:col>0</xdr:col>
                    <xdr:colOff>390525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14</xdr:row>
                    <xdr:rowOff>19050</xdr:rowOff>
                  </from>
                  <to>
                    <xdr:col>0</xdr:col>
                    <xdr:colOff>390525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15</xdr:row>
                    <xdr:rowOff>19050</xdr:rowOff>
                  </from>
                  <to>
                    <xdr:col>0</xdr:col>
                    <xdr:colOff>390525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15</xdr:row>
                    <xdr:rowOff>19050</xdr:rowOff>
                  </from>
                  <to>
                    <xdr:col>0</xdr:col>
                    <xdr:colOff>390525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15</xdr:row>
                    <xdr:rowOff>19050</xdr:rowOff>
                  </from>
                  <to>
                    <xdr:col>0</xdr:col>
                    <xdr:colOff>390525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16</xdr:row>
                    <xdr:rowOff>19050</xdr:rowOff>
                  </from>
                  <to>
                    <xdr:col>0</xdr:col>
                    <xdr:colOff>390525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heck Box 37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16</xdr:row>
                    <xdr:rowOff>19050</xdr:rowOff>
                  </from>
                  <to>
                    <xdr:col>0</xdr:col>
                    <xdr:colOff>390525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heck Box 38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16</xdr:row>
                    <xdr:rowOff>19050</xdr:rowOff>
                  </from>
                  <to>
                    <xdr:col>0</xdr:col>
                    <xdr:colOff>390525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heck Box 39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17</xdr:row>
                    <xdr:rowOff>19050</xdr:rowOff>
                  </from>
                  <to>
                    <xdr:col>0</xdr:col>
                    <xdr:colOff>390525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heck Box 40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17</xdr:row>
                    <xdr:rowOff>19050</xdr:rowOff>
                  </from>
                  <to>
                    <xdr:col>0</xdr:col>
                    <xdr:colOff>390525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heck Box 41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17</xdr:row>
                    <xdr:rowOff>19050</xdr:rowOff>
                  </from>
                  <to>
                    <xdr:col>0</xdr:col>
                    <xdr:colOff>390525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heck Box 42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17</xdr:row>
                    <xdr:rowOff>19050</xdr:rowOff>
                  </from>
                  <to>
                    <xdr:col>0</xdr:col>
                    <xdr:colOff>390525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heck Box 43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17</xdr:row>
                    <xdr:rowOff>19050</xdr:rowOff>
                  </from>
                  <to>
                    <xdr:col>0</xdr:col>
                    <xdr:colOff>390525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heck Box 44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18</xdr:row>
                    <xdr:rowOff>19050</xdr:rowOff>
                  </from>
                  <to>
                    <xdr:col>0</xdr:col>
                    <xdr:colOff>390525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heck Box 45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18</xdr:row>
                    <xdr:rowOff>19050</xdr:rowOff>
                  </from>
                  <to>
                    <xdr:col>0</xdr:col>
                    <xdr:colOff>390525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heck Box 46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18</xdr:row>
                    <xdr:rowOff>19050</xdr:rowOff>
                  </from>
                  <to>
                    <xdr:col>0</xdr:col>
                    <xdr:colOff>390525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heck Box 47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18</xdr:row>
                    <xdr:rowOff>19050</xdr:rowOff>
                  </from>
                  <to>
                    <xdr:col>0</xdr:col>
                    <xdr:colOff>390525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heck Box 48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18</xdr:row>
                    <xdr:rowOff>19050</xdr:rowOff>
                  </from>
                  <to>
                    <xdr:col>0</xdr:col>
                    <xdr:colOff>390525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heck Box 49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heck Box 50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heck Box 51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heck Box 52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heck Box 53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heck Box 54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heck Box 55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9" name="Check Box 56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0" name="Check Box 57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1" name="Check Box 58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2" name="Check Box 59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3" name="Check Box 60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4" name="Check Box 61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5" name="Check Box 62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6" name="Check Box 63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7" name="Check Box 64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8" name="Check Box 65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9" name="Check Box 66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0" name="Check Box 67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1" name="Check Box 68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2" name="Check Box 69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3" name="Check Box 70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4" name="Check Box 71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5" name="Check Box 74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18</xdr:row>
                    <xdr:rowOff>19050</xdr:rowOff>
                  </from>
                  <to>
                    <xdr:col>0</xdr:col>
                    <xdr:colOff>390525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6" name="Check Box 75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18</xdr:row>
                    <xdr:rowOff>19050</xdr:rowOff>
                  </from>
                  <to>
                    <xdr:col>0</xdr:col>
                    <xdr:colOff>390525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7" name="Check Box 76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18</xdr:row>
                    <xdr:rowOff>19050</xdr:rowOff>
                  </from>
                  <to>
                    <xdr:col>0</xdr:col>
                    <xdr:colOff>390525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8" name="Check Box 77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79" name="Check Box 78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" name="Check Box 79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1" name="Check Box 80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2" name="Check Box 81">
              <controlPr locked="0" defaultSize="0" autoFill="0" autoLine="0" autoPict="0" altText="">
                <anchor moveWithCells="1">
                  <from>
                    <xdr:col>0</xdr:col>
                    <xdr:colOff>104775</xdr:colOff>
                    <xdr:row>19</xdr:row>
                    <xdr:rowOff>0</xdr:rowOff>
                  </from>
                  <to>
                    <xdr:col>0</xdr:col>
                    <xdr:colOff>390525</xdr:colOff>
                    <xdr:row>19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C959-E231-4089-B5A1-755A8E1D0A49}">
  <dimension ref="B1:F17"/>
  <sheetViews>
    <sheetView zoomScale="90" zoomScaleNormal="90" workbookViewId="0">
      <selection activeCell="B1" sqref="B1:F1"/>
    </sheetView>
  </sheetViews>
  <sheetFormatPr defaultRowHeight="15" x14ac:dyDescent="0.25"/>
  <cols>
    <col min="1" max="1" width="5.140625" customWidth="1"/>
    <col min="2" max="2" width="10" customWidth="1"/>
    <col min="3" max="3" width="46.42578125" style="51" customWidth="1"/>
    <col min="4" max="4" width="19.5703125" bestFit="1" customWidth="1"/>
    <col min="5" max="5" width="17.85546875" bestFit="1" customWidth="1"/>
    <col min="6" max="6" width="19.5703125" bestFit="1" customWidth="1"/>
    <col min="7" max="8" width="29.28515625" customWidth="1"/>
  </cols>
  <sheetData>
    <row r="1" spans="2:6" ht="27" customHeight="1" x14ac:dyDescent="0.25">
      <c r="B1" s="55" t="s">
        <v>106</v>
      </c>
      <c r="C1" s="55"/>
      <c r="D1" s="55"/>
      <c r="E1" s="55"/>
      <c r="F1" s="55"/>
    </row>
    <row r="2" spans="2:6" ht="41.25" customHeight="1" x14ac:dyDescent="0.25">
      <c r="B2" s="72" t="s">
        <v>98</v>
      </c>
      <c r="C2" s="52" t="s">
        <v>84</v>
      </c>
      <c r="D2" s="33" t="s">
        <v>99</v>
      </c>
      <c r="E2" s="33" t="s">
        <v>100</v>
      </c>
      <c r="F2" s="33" t="s">
        <v>101</v>
      </c>
    </row>
    <row r="3" spans="2:6" ht="21" customHeight="1" x14ac:dyDescent="0.25">
      <c r="B3" s="66">
        <v>0</v>
      </c>
      <c r="C3" s="67" t="s">
        <v>108</v>
      </c>
      <c r="D3" s="68"/>
      <c r="E3" s="69"/>
      <c r="F3" s="50">
        <v>1500</v>
      </c>
    </row>
    <row r="4" spans="2:6" ht="21" customHeight="1" x14ac:dyDescent="0.25">
      <c r="B4" s="34">
        <v>1</v>
      </c>
      <c r="C4" s="53" t="s">
        <v>109</v>
      </c>
      <c r="D4" s="48">
        <f>30000*75%</f>
        <v>22500</v>
      </c>
      <c r="E4" s="49"/>
      <c r="F4" s="50">
        <f t="shared" ref="F4:F15" si="0">F3+D4-E4</f>
        <v>24000</v>
      </c>
    </row>
    <row r="5" spans="2:6" ht="21" customHeight="1" x14ac:dyDescent="0.25">
      <c r="B5" s="34">
        <v>4</v>
      </c>
      <c r="C5" s="53" t="s">
        <v>116</v>
      </c>
      <c r="D5" s="48"/>
      <c r="E5" s="49">
        <v>2000</v>
      </c>
      <c r="F5" s="50">
        <f t="shared" si="0"/>
        <v>22000</v>
      </c>
    </row>
    <row r="6" spans="2:6" ht="21" customHeight="1" x14ac:dyDescent="0.25">
      <c r="B6" s="34">
        <v>5</v>
      </c>
      <c r="C6" s="53" t="s">
        <v>115</v>
      </c>
      <c r="D6" s="48"/>
      <c r="E6" s="49">
        <f>(800+1400)*90%</f>
        <v>1980</v>
      </c>
      <c r="F6" s="50">
        <f t="shared" si="0"/>
        <v>20020</v>
      </c>
    </row>
    <row r="7" spans="2:6" ht="21" customHeight="1" x14ac:dyDescent="0.25">
      <c r="B7" s="34">
        <v>7</v>
      </c>
      <c r="C7" s="53" t="s">
        <v>124</v>
      </c>
      <c r="D7" s="48">
        <v>25000</v>
      </c>
      <c r="E7" s="49"/>
      <c r="F7" s="50">
        <f t="shared" si="0"/>
        <v>45020</v>
      </c>
    </row>
    <row r="8" spans="2:6" ht="21" customHeight="1" x14ac:dyDescent="0.25">
      <c r="B8" s="34">
        <v>8</v>
      </c>
      <c r="C8" s="53" t="s">
        <v>110</v>
      </c>
      <c r="D8" s="48"/>
      <c r="E8" s="49">
        <v>1000</v>
      </c>
      <c r="F8" s="50">
        <f t="shared" si="0"/>
        <v>44020</v>
      </c>
    </row>
    <row r="9" spans="2:6" ht="21" customHeight="1" x14ac:dyDescent="0.25">
      <c r="B9" s="34">
        <v>9</v>
      </c>
      <c r="C9" s="53" t="s">
        <v>114</v>
      </c>
      <c r="D9" s="48">
        <f>2000*70%</f>
        <v>1400</v>
      </c>
      <c r="E9" s="49"/>
      <c r="F9" s="50">
        <f t="shared" si="0"/>
        <v>45420</v>
      </c>
    </row>
    <row r="10" spans="2:6" ht="21" customHeight="1" x14ac:dyDescent="0.25">
      <c r="B10" s="34">
        <v>10</v>
      </c>
      <c r="C10" s="53" t="s">
        <v>113</v>
      </c>
      <c r="D10" s="48"/>
      <c r="E10" s="49">
        <v>950</v>
      </c>
      <c r="F10" s="50">
        <f t="shared" si="0"/>
        <v>44470</v>
      </c>
    </row>
    <row r="11" spans="2:6" ht="21" customHeight="1" x14ac:dyDescent="0.25">
      <c r="B11" s="34">
        <v>11</v>
      </c>
      <c r="C11" s="53" t="s">
        <v>117</v>
      </c>
      <c r="D11" s="48"/>
      <c r="E11" s="49">
        <v>1000</v>
      </c>
      <c r="F11" s="50">
        <f t="shared" si="0"/>
        <v>43470</v>
      </c>
    </row>
    <row r="12" spans="2:6" ht="21" customHeight="1" x14ac:dyDescent="0.25">
      <c r="B12" s="34">
        <v>12</v>
      </c>
      <c r="C12" s="53" t="s">
        <v>118</v>
      </c>
      <c r="D12" s="48"/>
      <c r="E12" s="49">
        <v>1500</v>
      </c>
      <c r="F12" s="50">
        <f t="shared" si="0"/>
        <v>41970</v>
      </c>
    </row>
    <row r="13" spans="2:6" ht="21" customHeight="1" x14ac:dyDescent="0.25">
      <c r="B13" s="34">
        <v>13</v>
      </c>
      <c r="C13" s="53" t="s">
        <v>119</v>
      </c>
      <c r="D13" s="48"/>
      <c r="E13" s="49">
        <v>5000</v>
      </c>
      <c r="F13" s="50">
        <f t="shared" si="0"/>
        <v>36970</v>
      </c>
    </row>
    <row r="14" spans="2:6" ht="21" customHeight="1" x14ac:dyDescent="0.25">
      <c r="B14" s="34">
        <v>14</v>
      </c>
      <c r="C14" s="53" t="s">
        <v>120</v>
      </c>
      <c r="D14" s="48"/>
      <c r="E14" s="49">
        <v>1300</v>
      </c>
      <c r="F14" s="50">
        <f t="shared" si="0"/>
        <v>35670</v>
      </c>
    </row>
    <row r="15" spans="2:6" ht="21" customHeight="1" x14ac:dyDescent="0.25">
      <c r="B15" s="34">
        <v>16</v>
      </c>
      <c r="C15" s="53" t="s">
        <v>125</v>
      </c>
      <c r="D15" s="48">
        <v>7000</v>
      </c>
      <c r="E15" s="49"/>
      <c r="F15" s="50">
        <f t="shared" si="0"/>
        <v>42670</v>
      </c>
    </row>
    <row r="16" spans="2:6" ht="21" customHeight="1" x14ac:dyDescent="0.25">
      <c r="B16" s="73">
        <v>16</v>
      </c>
      <c r="C16" s="74" t="s">
        <v>126</v>
      </c>
      <c r="D16" s="75"/>
      <c r="E16" s="76">
        <v>7000</v>
      </c>
      <c r="F16" s="77">
        <f t="shared" ref="F16" si="1">F15+D16-E16</f>
        <v>35670</v>
      </c>
    </row>
    <row r="17" spans="2:6" ht="18.75" x14ac:dyDescent="0.25">
      <c r="B17" s="78"/>
      <c r="C17" s="79" t="s">
        <v>122</v>
      </c>
      <c r="D17" s="80"/>
      <c r="E17" s="81"/>
      <c r="F17" s="82">
        <f>F16+D17-E17</f>
        <v>35670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AB7E-24F9-46FE-8F69-ACC9A4F74CFD}">
  <dimension ref="A1:C23"/>
  <sheetViews>
    <sheetView zoomScale="90" zoomScaleNormal="90" workbookViewId="0">
      <selection activeCell="C20" sqref="C20"/>
    </sheetView>
  </sheetViews>
  <sheetFormatPr defaultRowHeight="15" x14ac:dyDescent="0.25"/>
  <cols>
    <col min="1" max="1" width="6" customWidth="1"/>
    <col min="2" max="2" width="57.5703125" customWidth="1"/>
    <col min="3" max="3" width="25.42578125" customWidth="1"/>
  </cols>
  <sheetData>
    <row r="1" spans="1:3" ht="29.25" thickBot="1" x14ac:dyDescent="0.5">
      <c r="A1" s="56" t="s">
        <v>107</v>
      </c>
      <c r="B1" s="57"/>
      <c r="C1" s="58"/>
    </row>
    <row r="2" spans="1:3" ht="18.75" x14ac:dyDescent="0.3">
      <c r="A2" s="24"/>
      <c r="B2" s="25" t="s">
        <v>19</v>
      </c>
      <c r="C2" s="26">
        <v>30000</v>
      </c>
    </row>
    <row r="3" spans="1:3" ht="18.75" x14ac:dyDescent="0.3">
      <c r="A3" s="27" t="s">
        <v>20</v>
      </c>
      <c r="B3" s="28" t="s">
        <v>21</v>
      </c>
      <c r="C3" s="29"/>
    </row>
    <row r="4" spans="1:3" ht="18.75" x14ac:dyDescent="0.3">
      <c r="A4" s="27" t="s">
        <v>20</v>
      </c>
      <c r="B4" s="28" t="s">
        <v>22</v>
      </c>
      <c r="C4" s="29"/>
    </row>
    <row r="5" spans="1:3" ht="18.75" x14ac:dyDescent="0.3">
      <c r="A5" s="27" t="s">
        <v>20</v>
      </c>
      <c r="B5" s="28" t="s">
        <v>23</v>
      </c>
      <c r="C5" s="29"/>
    </row>
    <row r="6" spans="1:3" ht="18.75" x14ac:dyDescent="0.3">
      <c r="A6" s="24" t="s">
        <v>24</v>
      </c>
      <c r="B6" s="25" t="s">
        <v>25</v>
      </c>
      <c r="C6" s="26">
        <f>C2-C3-C4-C5</f>
        <v>30000</v>
      </c>
    </row>
    <row r="7" spans="1:3" ht="18.75" x14ac:dyDescent="0.3">
      <c r="A7" s="27" t="s">
        <v>20</v>
      </c>
      <c r="B7" s="28" t="s">
        <v>26</v>
      </c>
      <c r="C7" s="29">
        <v>10500</v>
      </c>
    </row>
    <row r="8" spans="1:3" ht="18.75" x14ac:dyDescent="0.3">
      <c r="A8" s="24" t="s">
        <v>24</v>
      </c>
      <c r="B8" s="25" t="s">
        <v>27</v>
      </c>
      <c r="C8" s="26">
        <f>C6-C7</f>
        <v>19500</v>
      </c>
    </row>
    <row r="9" spans="1:3" ht="18.75" x14ac:dyDescent="0.3">
      <c r="A9" s="27" t="s">
        <v>20</v>
      </c>
      <c r="B9" s="28" t="s">
        <v>28</v>
      </c>
      <c r="C9" s="29"/>
    </row>
    <row r="10" spans="1:3" ht="18.75" x14ac:dyDescent="0.3">
      <c r="A10" s="27" t="s">
        <v>20</v>
      </c>
      <c r="B10" s="28" t="s">
        <v>29</v>
      </c>
      <c r="C10" s="29">
        <v>800</v>
      </c>
    </row>
    <row r="11" spans="1:3" ht="18.75" x14ac:dyDescent="0.3">
      <c r="A11" s="27" t="s">
        <v>20</v>
      </c>
      <c r="B11" s="28" t="s">
        <v>30</v>
      </c>
      <c r="C11" s="29">
        <v>1400</v>
      </c>
    </row>
    <row r="12" spans="1:3" ht="18.75" x14ac:dyDescent="0.3">
      <c r="A12" s="27" t="s">
        <v>20</v>
      </c>
      <c r="B12" s="28" t="s">
        <v>31</v>
      </c>
      <c r="C12" s="29">
        <v>1250</v>
      </c>
    </row>
    <row r="13" spans="1:3" ht="18.75" x14ac:dyDescent="0.3">
      <c r="A13" s="27" t="s">
        <v>20</v>
      </c>
      <c r="B13" s="28" t="s">
        <v>32</v>
      </c>
      <c r="C13" s="29"/>
    </row>
    <row r="14" spans="1:3" ht="18.75" x14ac:dyDescent="0.3">
      <c r="A14" s="27" t="s">
        <v>20</v>
      </c>
      <c r="B14" s="28" t="s">
        <v>48</v>
      </c>
      <c r="C14" s="29">
        <f>480+200</f>
        <v>680</v>
      </c>
    </row>
    <row r="15" spans="1:3" ht="18.75" x14ac:dyDescent="0.3">
      <c r="A15" s="27" t="s">
        <v>37</v>
      </c>
      <c r="B15" s="28" t="s">
        <v>33</v>
      </c>
      <c r="C15" s="29"/>
    </row>
    <row r="16" spans="1:3" ht="18.75" x14ac:dyDescent="0.3">
      <c r="A16" s="27" t="s">
        <v>37</v>
      </c>
      <c r="B16" s="28" t="s">
        <v>34</v>
      </c>
      <c r="C16" s="29"/>
    </row>
    <row r="17" spans="1:3" ht="18.75" x14ac:dyDescent="0.3">
      <c r="A17" s="27" t="s">
        <v>37</v>
      </c>
      <c r="B17" s="28" t="s">
        <v>35</v>
      </c>
      <c r="C17" s="29"/>
    </row>
    <row r="18" spans="1:3" ht="18.75" x14ac:dyDescent="0.3">
      <c r="A18" s="24" t="s">
        <v>24</v>
      </c>
      <c r="B18" s="25" t="s">
        <v>36</v>
      </c>
      <c r="C18" s="26">
        <f>C8-C9-C10-C11-C12-C13-C14+C15+C16+C17</f>
        <v>15370</v>
      </c>
    </row>
    <row r="19" spans="1:3" ht="18.75" x14ac:dyDescent="0.3">
      <c r="A19" s="27" t="s">
        <v>20</v>
      </c>
      <c r="B19" s="28" t="s">
        <v>121</v>
      </c>
      <c r="C19" s="29">
        <f>C18*30%</f>
        <v>4611</v>
      </c>
    </row>
    <row r="20" spans="1:3" ht="18.75" x14ac:dyDescent="0.3">
      <c r="A20" s="24" t="s">
        <v>24</v>
      </c>
      <c r="B20" s="25" t="s">
        <v>38</v>
      </c>
      <c r="C20" s="26">
        <f>C18-C19</f>
        <v>10759</v>
      </c>
    </row>
    <row r="21" spans="1:3" ht="18.75" x14ac:dyDescent="0.3">
      <c r="A21" s="27" t="s">
        <v>20</v>
      </c>
      <c r="B21" s="28" t="s">
        <v>39</v>
      </c>
      <c r="C21" s="29"/>
    </row>
    <row r="22" spans="1:3" ht="18.75" x14ac:dyDescent="0.3">
      <c r="A22" s="27" t="s">
        <v>20</v>
      </c>
      <c r="B22" s="28" t="s">
        <v>41</v>
      </c>
      <c r="C22" s="29"/>
    </row>
    <row r="23" spans="1:3" ht="19.5" thickBot="1" x14ac:dyDescent="0.35">
      <c r="A23" s="30" t="s">
        <v>24</v>
      </c>
      <c r="B23" s="31" t="s">
        <v>40</v>
      </c>
      <c r="C23" s="32">
        <f>C20-C21-C22</f>
        <v>10759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08CC-FA59-496A-804F-9A7E30BD295B}">
  <dimension ref="B1:J22"/>
  <sheetViews>
    <sheetView showGridLines="0" zoomScale="90" zoomScaleNormal="90" workbookViewId="0">
      <selection activeCell="J8" sqref="J8"/>
    </sheetView>
  </sheetViews>
  <sheetFormatPr defaultRowHeight="15" x14ac:dyDescent="0.25"/>
  <cols>
    <col min="1" max="1" width="4.42578125" customWidth="1"/>
    <col min="2" max="2" width="27.5703125" customWidth="1"/>
    <col min="3" max="3" width="18.140625" style="2" customWidth="1"/>
    <col min="4" max="4" width="27.5703125" customWidth="1"/>
    <col min="5" max="5" width="17.5703125" style="2" customWidth="1"/>
    <col min="6" max="6" width="12.42578125" customWidth="1"/>
    <col min="7" max="7" width="27.5703125" style="2" customWidth="1"/>
    <col min="8" max="8" width="18.140625" customWidth="1"/>
    <col min="9" max="9" width="27.5703125" customWidth="1"/>
    <col min="10" max="10" width="17.5703125" customWidth="1"/>
  </cols>
  <sheetData>
    <row r="1" spans="2:10" ht="24.75" customHeight="1" x14ac:dyDescent="0.25"/>
    <row r="2" spans="2:10" ht="23.25" x14ac:dyDescent="0.35">
      <c r="B2" s="62" t="s">
        <v>102</v>
      </c>
      <c r="C2" s="62"/>
      <c r="D2" s="62"/>
      <c r="E2" s="62"/>
      <c r="G2" s="59" t="s">
        <v>103</v>
      </c>
      <c r="H2" s="59"/>
      <c r="I2" s="59"/>
      <c r="J2" s="59"/>
    </row>
    <row r="3" spans="2:10" ht="15.75" x14ac:dyDescent="0.25">
      <c r="B3" s="60" t="s">
        <v>0</v>
      </c>
      <c r="C3" s="61"/>
      <c r="D3" s="60" t="s">
        <v>1</v>
      </c>
      <c r="E3" s="61"/>
      <c r="F3" s="36"/>
      <c r="G3" s="60" t="s">
        <v>0</v>
      </c>
      <c r="H3" s="61"/>
      <c r="I3" s="60" t="s">
        <v>1</v>
      </c>
      <c r="J3" s="61"/>
    </row>
    <row r="4" spans="2:10" ht="15.75" x14ac:dyDescent="0.25">
      <c r="B4" s="37" t="s">
        <v>2</v>
      </c>
      <c r="C4" s="38">
        <f>SUM(C5:C10)</f>
        <v>7500</v>
      </c>
      <c r="D4" s="37" t="s">
        <v>3</v>
      </c>
      <c r="E4" s="38">
        <f>SUM(E5:E10)</f>
        <v>4000</v>
      </c>
      <c r="F4" s="36"/>
      <c r="G4" s="37" t="s">
        <v>2</v>
      </c>
      <c r="H4" s="38">
        <f>SUM(H5:H10)</f>
        <v>53570</v>
      </c>
      <c r="I4" s="37" t="s">
        <v>3</v>
      </c>
      <c r="J4" s="38">
        <f>SUM(J5:J10)</f>
        <v>48081</v>
      </c>
    </row>
    <row r="5" spans="2:10" ht="15.75" x14ac:dyDescent="0.25">
      <c r="B5" s="39" t="s">
        <v>42</v>
      </c>
      <c r="C5" s="40">
        <v>1500</v>
      </c>
      <c r="D5" s="39" t="s">
        <v>46</v>
      </c>
      <c r="E5" s="40">
        <v>2000</v>
      </c>
      <c r="F5" s="36"/>
      <c r="G5" s="39" t="s">
        <v>42</v>
      </c>
      <c r="H5" s="40">
        <f>'FLUXO DE CAIXA'!F17</f>
        <v>35670</v>
      </c>
      <c r="I5" s="39" t="s">
        <v>46</v>
      </c>
      <c r="J5" s="40">
        <f>E5+15000-1000</f>
        <v>16000</v>
      </c>
    </row>
    <row r="6" spans="2:10" ht="15.75" x14ac:dyDescent="0.25">
      <c r="B6" s="39" t="s">
        <v>43</v>
      </c>
      <c r="C6" s="40">
        <v>1000</v>
      </c>
      <c r="D6" s="39" t="s">
        <v>47</v>
      </c>
      <c r="E6" s="40">
        <v>2000</v>
      </c>
      <c r="F6" s="36"/>
      <c r="G6" s="39" t="s">
        <v>43</v>
      </c>
      <c r="H6" s="40">
        <f>C6+1300</f>
        <v>2300</v>
      </c>
      <c r="I6" s="39" t="s">
        <v>47</v>
      </c>
      <c r="J6" s="40">
        <v>220</v>
      </c>
    </row>
    <row r="7" spans="2:10" ht="15.75" x14ac:dyDescent="0.25">
      <c r="B7" s="39" t="s">
        <v>44</v>
      </c>
      <c r="C7" s="40">
        <v>2000</v>
      </c>
      <c r="D7" s="39" t="s">
        <v>8</v>
      </c>
      <c r="E7" s="40"/>
      <c r="F7" s="36"/>
      <c r="G7" s="39" t="s">
        <v>44</v>
      </c>
      <c r="H7" s="40">
        <f>C7+7500-1400</f>
        <v>8100</v>
      </c>
      <c r="I7" s="39" t="s">
        <v>7</v>
      </c>
      <c r="J7" s="40">
        <v>4611</v>
      </c>
    </row>
    <row r="8" spans="2:10" ht="15.75" x14ac:dyDescent="0.25">
      <c r="B8" s="39" t="s">
        <v>45</v>
      </c>
      <c r="C8" s="40">
        <v>3000</v>
      </c>
      <c r="D8" s="39" t="s">
        <v>10</v>
      </c>
      <c r="E8" s="40"/>
      <c r="F8" s="36"/>
      <c r="G8" s="39" t="s">
        <v>45</v>
      </c>
      <c r="H8" s="40">
        <f>C8+15000-10500</f>
        <v>7500</v>
      </c>
      <c r="I8" s="39" t="s">
        <v>10</v>
      </c>
      <c r="J8" s="40">
        <f>25000-5000+7000</f>
        <v>27000</v>
      </c>
    </row>
    <row r="9" spans="2:10" ht="15.75" x14ac:dyDescent="0.25">
      <c r="B9" s="39" t="s">
        <v>6</v>
      </c>
      <c r="C9" s="40"/>
      <c r="D9" s="39"/>
      <c r="E9" s="40"/>
      <c r="F9" s="36"/>
      <c r="G9" s="39" t="s">
        <v>6</v>
      </c>
      <c r="H9" s="40">
        <f t="shared" ref="H9" si="0">C9</f>
        <v>0</v>
      </c>
      <c r="I9" s="39" t="s">
        <v>111</v>
      </c>
      <c r="J9" s="40">
        <v>250</v>
      </c>
    </row>
    <row r="10" spans="2:10" ht="15.75" x14ac:dyDescent="0.25">
      <c r="B10" s="39"/>
      <c r="C10" s="40"/>
      <c r="D10" s="39"/>
      <c r="E10" s="40"/>
      <c r="F10" s="36"/>
      <c r="G10" s="39"/>
      <c r="H10" s="40"/>
      <c r="I10" s="39"/>
      <c r="J10" s="40"/>
    </row>
    <row r="11" spans="2:10" ht="15.75" x14ac:dyDescent="0.25">
      <c r="B11" s="37" t="s">
        <v>4</v>
      </c>
      <c r="C11" s="38">
        <f>SUM(C12:C20)</f>
        <v>30000</v>
      </c>
      <c r="D11" s="37" t="s">
        <v>9</v>
      </c>
      <c r="E11" s="38">
        <f>SUM(E12:E15)</f>
        <v>0</v>
      </c>
      <c r="F11" s="36"/>
      <c r="G11" s="37" t="s">
        <v>4</v>
      </c>
      <c r="H11" s="38">
        <f>SUM(H12:H20)</f>
        <v>31770</v>
      </c>
      <c r="I11" s="37" t="s">
        <v>9</v>
      </c>
      <c r="J11" s="38">
        <f>SUM(J12:J15)</f>
        <v>0</v>
      </c>
    </row>
    <row r="12" spans="2:10" ht="15.75" x14ac:dyDescent="0.25">
      <c r="B12" s="39" t="s">
        <v>104</v>
      </c>
      <c r="C12" s="40">
        <v>20000</v>
      </c>
      <c r="D12" s="39" t="s">
        <v>11</v>
      </c>
      <c r="E12" s="40"/>
      <c r="F12" s="36"/>
      <c r="G12" s="39" t="s">
        <v>104</v>
      </c>
      <c r="H12" s="40">
        <f>C12-480+950</f>
        <v>20470</v>
      </c>
      <c r="I12" s="39" t="s">
        <v>11</v>
      </c>
      <c r="J12" s="40">
        <f>E12</f>
        <v>0</v>
      </c>
    </row>
    <row r="13" spans="2:10" ht="15.75" x14ac:dyDescent="0.25">
      <c r="B13" s="39" t="s">
        <v>5</v>
      </c>
      <c r="C13" s="40">
        <v>10000</v>
      </c>
      <c r="D13" s="39" t="s">
        <v>12</v>
      </c>
      <c r="E13" s="40"/>
      <c r="F13" s="36"/>
      <c r="G13" s="39" t="s">
        <v>5</v>
      </c>
      <c r="H13" s="40">
        <f>C13-200+1500</f>
        <v>11300</v>
      </c>
      <c r="I13" s="39" t="s">
        <v>12</v>
      </c>
      <c r="J13" s="40">
        <f t="shared" ref="J13:J14" si="1">E13</f>
        <v>0</v>
      </c>
    </row>
    <row r="14" spans="2:10" ht="15.75" x14ac:dyDescent="0.25">
      <c r="B14" s="39"/>
      <c r="C14" s="40"/>
      <c r="D14" s="39" t="s">
        <v>13</v>
      </c>
      <c r="E14" s="40"/>
      <c r="F14" s="36"/>
      <c r="G14" s="39" t="s">
        <v>123</v>
      </c>
      <c r="H14" s="40"/>
      <c r="I14" s="39" t="s">
        <v>13</v>
      </c>
      <c r="J14" s="40">
        <f t="shared" si="1"/>
        <v>0</v>
      </c>
    </row>
    <row r="15" spans="2:10" ht="15.75" x14ac:dyDescent="0.25">
      <c r="B15" s="39"/>
      <c r="C15" s="40"/>
      <c r="D15" s="39"/>
      <c r="E15" s="40"/>
      <c r="F15" s="36"/>
      <c r="G15" s="39"/>
      <c r="H15" s="40"/>
      <c r="I15" s="39"/>
      <c r="J15" s="40"/>
    </row>
    <row r="16" spans="2:10" ht="15.75" x14ac:dyDescent="0.25">
      <c r="B16" s="39"/>
      <c r="C16" s="40"/>
      <c r="D16" s="37" t="s">
        <v>14</v>
      </c>
      <c r="E16" s="38">
        <f>SUM(E17:E20)</f>
        <v>33500</v>
      </c>
      <c r="F16" s="36"/>
      <c r="G16" s="39"/>
      <c r="H16" s="40"/>
      <c r="I16" s="37" t="s">
        <v>14</v>
      </c>
      <c r="J16" s="38">
        <f>SUM(J17:J20)</f>
        <v>37259</v>
      </c>
    </row>
    <row r="17" spans="2:10" ht="15.75" x14ac:dyDescent="0.25">
      <c r="B17" s="39"/>
      <c r="C17" s="40"/>
      <c r="D17" s="39" t="s">
        <v>105</v>
      </c>
      <c r="E17" s="40">
        <v>20000</v>
      </c>
      <c r="F17" s="36"/>
      <c r="G17" s="39"/>
      <c r="H17" s="40"/>
      <c r="I17" s="39" t="s">
        <v>105</v>
      </c>
      <c r="J17" s="40">
        <f>E17-7000</f>
        <v>13000</v>
      </c>
    </row>
    <row r="18" spans="2:10" ht="15.75" x14ac:dyDescent="0.25">
      <c r="B18" s="39"/>
      <c r="C18" s="40"/>
      <c r="D18" s="39" t="s">
        <v>15</v>
      </c>
      <c r="E18" s="40"/>
      <c r="F18" s="36"/>
      <c r="G18" s="39"/>
      <c r="H18" s="40"/>
      <c r="I18" s="39" t="s">
        <v>15</v>
      </c>
      <c r="J18" s="40">
        <f t="shared" ref="J18" si="2">E18</f>
        <v>0</v>
      </c>
    </row>
    <row r="19" spans="2:10" ht="15.75" x14ac:dyDescent="0.25">
      <c r="B19" s="39"/>
      <c r="C19" s="40"/>
      <c r="D19" s="39" t="s">
        <v>16</v>
      </c>
      <c r="E19" s="40">
        <v>13500</v>
      </c>
      <c r="F19" s="36"/>
      <c r="G19" s="39"/>
      <c r="H19" s="40"/>
      <c r="I19" s="39" t="s">
        <v>16</v>
      </c>
      <c r="J19" s="40">
        <f>E19+DRE!C23</f>
        <v>24259</v>
      </c>
    </row>
    <row r="20" spans="2:10" ht="16.5" thickBot="1" x14ac:dyDescent="0.3">
      <c r="B20" s="41"/>
      <c r="C20" s="42"/>
      <c r="D20" s="41"/>
      <c r="E20" s="42"/>
      <c r="F20" s="36"/>
      <c r="G20" s="41"/>
      <c r="H20" s="42"/>
      <c r="I20" s="41"/>
      <c r="J20" s="42"/>
    </row>
    <row r="21" spans="2:10" ht="24" customHeight="1" thickBot="1" x14ac:dyDescent="0.3">
      <c r="B21" s="43" t="s">
        <v>17</v>
      </c>
      <c r="C21" s="44">
        <f>C4+C11</f>
        <v>37500</v>
      </c>
      <c r="D21" s="45" t="s">
        <v>18</v>
      </c>
      <c r="E21" s="46">
        <f>E4+E11+E16</f>
        <v>37500</v>
      </c>
      <c r="F21" s="47"/>
      <c r="G21" s="43" t="s">
        <v>17</v>
      </c>
      <c r="H21" s="44">
        <f>H4+H11</f>
        <v>85340</v>
      </c>
      <c r="I21" s="45" t="s">
        <v>18</v>
      </c>
      <c r="J21" s="46">
        <f>J4+J11+J16</f>
        <v>85340</v>
      </c>
    </row>
    <row r="22" spans="2:10" ht="18.75" x14ac:dyDescent="0.3">
      <c r="B22" s="28"/>
      <c r="C22" s="35"/>
      <c r="D22" s="28"/>
      <c r="E22" s="35"/>
    </row>
  </sheetData>
  <mergeCells count="6">
    <mergeCell ref="G2:J2"/>
    <mergeCell ref="G3:H3"/>
    <mergeCell ref="I3:J3"/>
    <mergeCell ref="B2:E2"/>
    <mergeCell ref="D3:E3"/>
    <mergeCell ref="B3:C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CDAD-999C-466E-90FE-C3B340D7340E}">
  <dimension ref="B2:P35"/>
  <sheetViews>
    <sheetView workbookViewId="0">
      <selection activeCell="J14" sqref="J14"/>
    </sheetView>
  </sheetViews>
  <sheetFormatPr defaultRowHeight="15" x14ac:dyDescent="0.25"/>
  <cols>
    <col min="1" max="1" width="3.42578125" customWidth="1"/>
    <col min="2" max="2" width="25.7109375" style="3" customWidth="1"/>
    <col min="3" max="3" width="13" style="1" customWidth="1"/>
    <col min="4" max="4" width="12.7109375" style="1" customWidth="1"/>
    <col min="5" max="5" width="12.85546875" style="1" customWidth="1"/>
    <col min="6" max="6" width="17.85546875" customWidth="1"/>
    <col min="7" max="7" width="13.7109375" customWidth="1"/>
    <col min="8" max="8" width="15.42578125" style="1" customWidth="1"/>
    <col min="9" max="9" width="17" style="1" customWidth="1"/>
    <col min="11" max="16" width="13.5703125" customWidth="1"/>
  </cols>
  <sheetData>
    <row r="2" spans="2:16" ht="18" customHeight="1" x14ac:dyDescent="0.25">
      <c r="B2" s="105" t="s">
        <v>129</v>
      </c>
      <c r="C2" s="106"/>
      <c r="D2" s="106"/>
      <c r="E2" s="106"/>
      <c r="F2" s="106"/>
      <c r="G2" s="106"/>
      <c r="H2" s="106"/>
      <c r="I2" s="107"/>
    </row>
    <row r="4" spans="2:16" x14ac:dyDescent="0.25">
      <c r="B4" s="110" t="s">
        <v>51</v>
      </c>
      <c r="C4" s="116">
        <f>SUM(C5:C6)</f>
        <v>14000</v>
      </c>
    </row>
    <row r="5" spans="2:16" x14ac:dyDescent="0.25">
      <c r="B5" s="87" t="s">
        <v>49</v>
      </c>
      <c r="C5" s="88">
        <v>12000</v>
      </c>
    </row>
    <row r="6" spans="2:16" x14ac:dyDescent="0.25">
      <c r="B6" s="89" t="s">
        <v>50</v>
      </c>
      <c r="C6" s="90">
        <v>2000</v>
      </c>
      <c r="G6" s="114" t="s">
        <v>130</v>
      </c>
      <c r="H6" s="115"/>
    </row>
    <row r="7" spans="2:16" x14ac:dyDescent="0.25">
      <c r="C7" s="83"/>
      <c r="G7" s="97" t="s">
        <v>64</v>
      </c>
      <c r="H7" s="88">
        <v>2000</v>
      </c>
    </row>
    <row r="8" spans="2:16" x14ac:dyDescent="0.25">
      <c r="G8" s="97" t="s">
        <v>65</v>
      </c>
      <c r="H8" s="88">
        <v>4000</v>
      </c>
    </row>
    <row r="9" spans="2:16" x14ac:dyDescent="0.25">
      <c r="B9" s="110" t="s">
        <v>52</v>
      </c>
      <c r="C9" s="112"/>
      <c r="D9" s="112" t="s">
        <v>53</v>
      </c>
      <c r="E9" s="113" t="s">
        <v>58</v>
      </c>
      <c r="G9" s="97" t="s">
        <v>66</v>
      </c>
      <c r="H9" s="88">
        <v>5000</v>
      </c>
    </row>
    <row r="10" spans="2:16" x14ac:dyDescent="0.25">
      <c r="B10" s="87" t="s">
        <v>56</v>
      </c>
      <c r="C10" s="91">
        <v>7000</v>
      </c>
      <c r="D10" s="92">
        <v>0.12</v>
      </c>
      <c r="E10" s="93">
        <f>C10/(C11+C10)</f>
        <v>0.5</v>
      </c>
      <c r="G10" s="97" t="s">
        <v>67</v>
      </c>
      <c r="H10" s="88">
        <v>8000</v>
      </c>
    </row>
    <row r="11" spans="2:16" ht="16.5" customHeight="1" x14ac:dyDescent="0.25">
      <c r="B11" s="89" t="s">
        <v>55</v>
      </c>
      <c r="C11" s="94">
        <v>7000</v>
      </c>
      <c r="D11" s="95">
        <v>0.16</v>
      </c>
      <c r="E11" s="96">
        <f>C11/(C10+C11)</f>
        <v>0.5</v>
      </c>
      <c r="G11" s="98" t="s">
        <v>68</v>
      </c>
      <c r="H11" s="90">
        <v>4000</v>
      </c>
    </row>
    <row r="12" spans="2:16" x14ac:dyDescent="0.25">
      <c r="K12" s="6"/>
      <c r="L12" s="6"/>
      <c r="M12" s="6"/>
      <c r="N12" s="6"/>
      <c r="O12" s="6"/>
      <c r="P12" s="6"/>
    </row>
    <row r="13" spans="2:16" x14ac:dyDescent="0.25">
      <c r="B13" s="110" t="s">
        <v>54</v>
      </c>
      <c r="C13" s="111"/>
      <c r="D13" s="5"/>
      <c r="K13" s="6"/>
      <c r="L13" s="6"/>
      <c r="M13" s="6"/>
      <c r="N13" s="6"/>
      <c r="O13" s="6"/>
      <c r="P13" s="6"/>
    </row>
    <row r="14" spans="2:16" x14ac:dyDescent="0.25">
      <c r="B14" s="89" t="s">
        <v>59</v>
      </c>
      <c r="C14" s="96">
        <v>0.3</v>
      </c>
    </row>
    <row r="16" spans="2:16" ht="18" x14ac:dyDescent="0.35">
      <c r="B16" s="4" t="s">
        <v>61</v>
      </c>
      <c r="C16" s="5"/>
      <c r="D16" s="5"/>
      <c r="E16" s="85" t="s">
        <v>57</v>
      </c>
      <c r="F16" s="85"/>
    </row>
    <row r="17" spans="2:9" x14ac:dyDescent="0.25">
      <c r="B17" s="3" t="s">
        <v>62</v>
      </c>
      <c r="C17" s="84">
        <f>E10*D10*(1-C14)+E11*D11</f>
        <v>0.122</v>
      </c>
      <c r="D17" s="1" t="s">
        <v>63</v>
      </c>
      <c r="E17" s="86" t="s">
        <v>60</v>
      </c>
      <c r="F17" s="86"/>
    </row>
    <row r="20" spans="2:9" ht="20.25" customHeight="1" x14ac:dyDescent="0.25">
      <c r="B20" s="108" t="s">
        <v>133</v>
      </c>
      <c r="C20" s="108"/>
      <c r="D20" s="109">
        <v>0</v>
      </c>
      <c r="E20" s="109">
        <v>1</v>
      </c>
      <c r="F20" s="109">
        <v>2</v>
      </c>
      <c r="G20" s="109">
        <v>3</v>
      </c>
      <c r="H20" s="109">
        <v>4</v>
      </c>
      <c r="I20" s="109">
        <v>5</v>
      </c>
    </row>
    <row r="21" spans="2:9" ht="17.25" customHeight="1" x14ac:dyDescent="0.25">
      <c r="B21" s="102" t="s">
        <v>69</v>
      </c>
      <c r="C21" s="102"/>
      <c r="D21" s="8"/>
      <c r="E21" s="8">
        <f>H7</f>
        <v>2000</v>
      </c>
      <c r="F21" s="8">
        <f>H8</f>
        <v>4000</v>
      </c>
      <c r="G21" s="8">
        <f>H9</f>
        <v>5000</v>
      </c>
      <c r="H21" s="8">
        <f>H10</f>
        <v>8000</v>
      </c>
      <c r="I21" s="8">
        <f>H11</f>
        <v>4000</v>
      </c>
    </row>
    <row r="22" spans="2:9" ht="17.25" customHeight="1" x14ac:dyDescent="0.25">
      <c r="B22" s="102" t="s">
        <v>70</v>
      </c>
      <c r="C22" s="102"/>
      <c r="D22" s="8">
        <f>-C5</f>
        <v>-12000</v>
      </c>
      <c r="E22" s="8"/>
      <c r="F22" s="8"/>
      <c r="G22" s="8"/>
      <c r="H22" s="8"/>
      <c r="I22" s="8"/>
    </row>
    <row r="23" spans="2:9" ht="17.25" customHeight="1" x14ac:dyDescent="0.25">
      <c r="B23" s="102" t="s">
        <v>50</v>
      </c>
      <c r="C23" s="102"/>
      <c r="D23" s="8">
        <f>-C6</f>
        <v>-2000</v>
      </c>
      <c r="E23" s="8"/>
      <c r="F23" s="8"/>
      <c r="G23" s="8"/>
      <c r="H23" s="8"/>
      <c r="I23" s="8"/>
    </row>
    <row r="24" spans="2:9" ht="17.25" customHeight="1" x14ac:dyDescent="0.25">
      <c r="B24" s="117" t="s">
        <v>77</v>
      </c>
      <c r="C24" s="117"/>
      <c r="D24" s="10">
        <f>SUM(D21:D23)</f>
        <v>-14000</v>
      </c>
      <c r="E24" s="10">
        <f t="shared" ref="E24:I24" si="0">SUM(E21:E23)</f>
        <v>2000</v>
      </c>
      <c r="F24" s="10">
        <f t="shared" si="0"/>
        <v>4000</v>
      </c>
      <c r="G24" s="10">
        <f t="shared" si="0"/>
        <v>5000</v>
      </c>
      <c r="H24" s="10">
        <f t="shared" si="0"/>
        <v>8000</v>
      </c>
      <c r="I24" s="10">
        <f t="shared" si="0"/>
        <v>4000</v>
      </c>
    </row>
    <row r="25" spans="2:9" ht="17.25" customHeight="1" x14ac:dyDescent="0.25">
      <c r="B25" s="118" t="s">
        <v>78</v>
      </c>
      <c r="C25" s="118"/>
      <c r="D25" s="63">
        <f>D24/(1+C17)^0</f>
        <v>-14000</v>
      </c>
      <c r="E25" s="63">
        <f>E24/(1+$C$17)^1</f>
        <v>1782.5311942959004</v>
      </c>
      <c r="F25" s="63">
        <f>F24/(1+$C$17)^2</f>
        <v>3177.417458637969</v>
      </c>
      <c r="G25" s="99">
        <f>G24/(1+$C$17)^3</f>
        <v>3539.9035858266147</v>
      </c>
      <c r="H25" s="63">
        <f>H24/(1+$C$17)^4</f>
        <v>5047.9908532286845</v>
      </c>
      <c r="I25" s="63">
        <f>I24/(1+$C$17)^5</f>
        <v>2249.5502911001272</v>
      </c>
    </row>
    <row r="26" spans="2:9" ht="17.25" customHeight="1" x14ac:dyDescent="0.25">
      <c r="B26" s="118"/>
      <c r="C26" s="118"/>
      <c r="D26" s="63"/>
      <c r="E26" s="63"/>
      <c r="F26" s="63"/>
      <c r="G26" s="100"/>
      <c r="H26" s="63"/>
      <c r="I26" s="63"/>
    </row>
    <row r="27" spans="2:9" ht="17.25" customHeight="1" x14ac:dyDescent="0.25">
      <c r="B27" s="101" t="s">
        <v>79</v>
      </c>
      <c r="C27" s="101"/>
      <c r="D27" s="63">
        <f>D25</f>
        <v>-14000</v>
      </c>
      <c r="E27" s="63">
        <f>D27+E25</f>
        <v>-12217.4688057041</v>
      </c>
      <c r="F27" s="63">
        <f t="shared" ref="F27:I27" si="1">E27+F25</f>
        <v>-9040.0513470661317</v>
      </c>
      <c r="G27" s="99">
        <f t="shared" si="1"/>
        <v>-5500.1477612395174</v>
      </c>
      <c r="H27" s="63">
        <f>G27+H25</f>
        <v>-452.15690801083292</v>
      </c>
      <c r="I27" s="63">
        <f t="shared" si="1"/>
        <v>1797.3933830892943</v>
      </c>
    </row>
    <row r="28" spans="2:9" ht="17.25" customHeight="1" x14ac:dyDescent="0.25">
      <c r="B28" s="101"/>
      <c r="C28" s="101"/>
      <c r="D28" s="63"/>
      <c r="E28" s="63"/>
      <c r="F28" s="63"/>
      <c r="G28" s="100"/>
      <c r="H28" s="63"/>
      <c r="I28" s="63"/>
    </row>
    <row r="29" spans="2:9" ht="17.25" customHeight="1" x14ac:dyDescent="0.25">
      <c r="B29" s="102" t="s">
        <v>80</v>
      </c>
      <c r="C29" s="102"/>
      <c r="D29" s="9">
        <f>SUM(E29:I29)</f>
        <v>4.2009987995377109</v>
      </c>
      <c r="E29" s="9">
        <f>IF(E27&lt;0,1,IF(D27&lt;0,-D27/E25,0))</f>
        <v>1</v>
      </c>
      <c r="F29" s="9">
        <f t="shared" ref="F29:I29" si="2">IF(F27&lt;0,1,IF(E27&lt;0,-E27/F25,0))</f>
        <v>1</v>
      </c>
      <c r="G29" s="9">
        <f t="shared" si="2"/>
        <v>1</v>
      </c>
      <c r="H29" s="9">
        <f t="shared" si="2"/>
        <v>1</v>
      </c>
      <c r="I29" s="9">
        <f t="shared" si="2"/>
        <v>0.20099879953771058</v>
      </c>
    </row>
    <row r="32" spans="2:9" ht="15.75" x14ac:dyDescent="0.25">
      <c r="B32" s="65" t="s">
        <v>71</v>
      </c>
      <c r="C32" s="65"/>
      <c r="D32" s="65"/>
      <c r="G32" s="104" t="s">
        <v>131</v>
      </c>
      <c r="H32" s="104"/>
      <c r="I32" s="104"/>
    </row>
    <row r="33" spans="2:9" x14ac:dyDescent="0.25">
      <c r="B33" s="7" t="s">
        <v>72</v>
      </c>
      <c r="C33" s="119">
        <f>NPV(C17,E21:I21)+D24</f>
        <v>1797.3933830892947</v>
      </c>
      <c r="D33" s="120" t="s">
        <v>75</v>
      </c>
      <c r="E33" s="64"/>
      <c r="F33" s="64"/>
      <c r="G33" s="103" t="str">
        <f>IF(C33&gt;0,"O projeto é viável economicamente, porque o seu valor presente líquido é positivo.","O projeto é inviável economicamente, pois seu VPL é negativo.")</f>
        <v>O projeto é viável economicamente, porque o seu valor presente líquido é positivo.</v>
      </c>
      <c r="H33" s="103"/>
      <c r="I33" s="103"/>
    </row>
    <row r="34" spans="2:9" x14ac:dyDescent="0.25">
      <c r="B34" s="7" t="s">
        <v>73</v>
      </c>
      <c r="C34" s="121">
        <f>IRR(D24:I24,0)</f>
        <v>0.16588074096067729</v>
      </c>
      <c r="D34" s="120" t="s">
        <v>63</v>
      </c>
      <c r="E34" s="64"/>
      <c r="F34" s="64"/>
      <c r="G34" s="103"/>
      <c r="H34" s="103"/>
      <c r="I34" s="103"/>
    </row>
    <row r="35" spans="2:9" x14ac:dyDescent="0.25">
      <c r="B35" s="7" t="s">
        <v>74</v>
      </c>
      <c r="C35" s="122">
        <f>ROUNDUP(D29*12,0)</f>
        <v>51</v>
      </c>
      <c r="D35" s="120" t="s">
        <v>76</v>
      </c>
      <c r="E35" s="64"/>
      <c r="F35" s="64"/>
      <c r="G35" s="103"/>
      <c r="H35" s="103"/>
      <c r="I35" s="103"/>
    </row>
  </sheetData>
  <mergeCells count="27">
    <mergeCell ref="G32:I32"/>
    <mergeCell ref="G33:I35"/>
    <mergeCell ref="B2:I2"/>
    <mergeCell ref="E16:F16"/>
    <mergeCell ref="E17:F17"/>
    <mergeCell ref="I27:I28"/>
    <mergeCell ref="B29:C29"/>
    <mergeCell ref="E33:F35"/>
    <mergeCell ref="F25:F26"/>
    <mergeCell ref="G25:G26"/>
    <mergeCell ref="H25:H26"/>
    <mergeCell ref="I25:I26"/>
    <mergeCell ref="B27:C28"/>
    <mergeCell ref="D27:D28"/>
    <mergeCell ref="E27:E28"/>
    <mergeCell ref="F27:F28"/>
    <mergeCell ref="G27:G28"/>
    <mergeCell ref="H27:H28"/>
    <mergeCell ref="B32:D32"/>
    <mergeCell ref="B25:C26"/>
    <mergeCell ref="D25:D26"/>
    <mergeCell ref="E25:E26"/>
    <mergeCell ref="B20:C20"/>
    <mergeCell ref="B21:C21"/>
    <mergeCell ref="B22:C22"/>
    <mergeCell ref="B23:C23"/>
    <mergeCell ref="B24:C24"/>
  </mergeCells>
  <conditionalFormatting sqref="G33:I35">
    <cfRule type="cellIs" dxfId="1" priority="1" operator="equal">
      <formula>"O projeto é viável economicamente, porque o seu valor presente líquido é positivo."</formula>
    </cfRule>
    <cfRule type="cellIs" dxfId="0" priority="2" operator="equal">
      <formula>"O projeto é inviável economicamente, pois seu VPL é negativo."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OPERAÇÕES</vt:lpstr>
      <vt:lpstr>FLUXO DE CAIXA</vt:lpstr>
      <vt:lpstr>DRE</vt:lpstr>
      <vt:lpstr>BALANÇO PATRIMONIAL 2022-2023</vt:lpstr>
      <vt:lpstr>ANALISE_TMA-TIR-Payback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2023-04-01T20:17:23Z</dcterms:created>
  <dcterms:modified xsi:type="dcterms:W3CDTF">2023-07-22T21:46:37Z</dcterms:modified>
</cp:coreProperties>
</file>