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tamtwill/NorthwesternU_MSPA/Classes/Generalized Linear Models - 411/Bonus Assignments/Calculations Section/"/>
    </mc:Choice>
  </mc:AlternateContent>
  <bookViews>
    <workbookView xWindow="-43080" yWindow="4140" windowWidth="39480" windowHeight="19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23" i="1" l="1"/>
  <c r="B47" i="1"/>
  <c r="B48" i="1"/>
  <c r="M18" i="1"/>
  <c r="E2" i="1"/>
  <c r="F2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F29" i="1"/>
  <c r="A32" i="1"/>
  <c r="M4" i="1"/>
  <c r="H26" i="1"/>
  <c r="I26" i="1"/>
  <c r="H2" i="1"/>
  <c r="I2" i="1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I29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9" i="1"/>
  <c r="G43" i="1"/>
  <c r="R24" i="1"/>
  <c r="A29" i="1"/>
  <c r="D26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32" i="1"/>
  <c r="B32" i="1"/>
  <c r="B38" i="1"/>
  <c r="C26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32" i="1"/>
  <c r="B39" i="1"/>
  <c r="B40" i="1"/>
  <c r="P24" i="1"/>
  <c r="H29" i="1"/>
  <c r="B29" i="1"/>
  <c r="F32" i="1"/>
  <c r="F42" i="1"/>
  <c r="G42" i="1"/>
  <c r="R23" i="1"/>
  <c r="N11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E32" i="1"/>
  <c r="B43" i="1"/>
  <c r="B44" i="1"/>
  <c r="R16" i="1"/>
  <c r="M10" i="1"/>
  <c r="R17" i="1"/>
  <c r="M11" i="1"/>
  <c r="P11" i="1"/>
  <c r="G39" i="1"/>
  <c r="M16" i="1"/>
  <c r="B41" i="1"/>
  <c r="P23" i="1"/>
  <c r="N24" i="1"/>
  <c r="N23" i="1"/>
  <c r="N10" i="1"/>
  <c r="P10" i="1"/>
  <c r="G36" i="1"/>
  <c r="R10" i="1"/>
  <c r="F39" i="1"/>
  <c r="G32" i="1"/>
  <c r="F36" i="1"/>
  <c r="A34" i="1"/>
  <c r="M12" i="1"/>
</calcChain>
</file>

<file path=xl/comments1.xml><?xml version="1.0" encoding="utf-8"?>
<comments xmlns="http://schemas.openxmlformats.org/spreadsheetml/2006/main">
  <authors>
    <author>Tamara Williams</author>
  </authors>
  <commentList>
    <comment ref="M18" authorId="0">
      <text>
        <r>
          <rPr>
            <b/>
            <sz val="10"/>
            <color indexed="81"/>
            <rFont val="Calibri"/>
            <family val="2"/>
          </rPr>
          <t>Tamara Williams:</t>
        </r>
        <r>
          <rPr>
            <sz val="10"/>
            <color indexed="81"/>
            <rFont val="Calibri"/>
            <family val="2"/>
          </rPr>
          <t xml:space="preserve">
Calculated as std dev of Y divided by mean of y, don't know where I went wrong
</t>
        </r>
      </text>
    </comment>
    <comment ref="S23" authorId="0">
      <text>
        <r>
          <rPr>
            <b/>
            <sz val="10"/>
            <color indexed="81"/>
            <rFont val="Calibri"/>
            <family val="2"/>
          </rPr>
          <t>Tamara Williams:</t>
        </r>
        <r>
          <rPr>
            <sz val="10"/>
            <color indexed="81"/>
            <rFont val="Calibri"/>
            <family val="2"/>
          </rPr>
          <t xml:space="preserve">
no idea why this is wrong
</t>
        </r>
      </text>
    </comment>
  </commentList>
</comments>
</file>

<file path=xl/sharedStrings.xml><?xml version="1.0" encoding="utf-8"?>
<sst xmlns="http://schemas.openxmlformats.org/spreadsheetml/2006/main" count="83" uniqueCount="78">
  <si>
    <t>Y</t>
  </si>
  <si>
    <t>X8</t>
  </si>
  <si>
    <t>Comments</t>
  </si>
  <si>
    <t>ANOVA</t>
  </si>
  <si>
    <t>Source</t>
  </si>
  <si>
    <t>Model</t>
  </si>
  <si>
    <t>Error</t>
  </si>
  <si>
    <t>Corrected Total</t>
  </si>
  <si>
    <t>DF</t>
  </si>
  <si>
    <t>Number of Observations (n)</t>
  </si>
  <si>
    <t>df model (k) = number of independent Variables  --&gt;</t>
  </si>
  <si>
    <t>df error = n-k-1  --&gt;</t>
  </si>
  <si>
    <t>df model + df error  --&gt;</t>
  </si>
  <si>
    <t>Sum of</t>
  </si>
  <si>
    <t>Squares</t>
  </si>
  <si>
    <t>Mean</t>
  </si>
  <si>
    <t>Square</t>
  </si>
  <si>
    <t>F Value</t>
  </si>
  <si>
    <t>Pr &gt; F</t>
  </si>
  <si>
    <t>y = -0.0798x + 13.623</t>
  </si>
  <si>
    <t xml:space="preserve">counted from Excel --&gt; </t>
  </si>
  <si>
    <t>X8_squared</t>
  </si>
  <si>
    <t>X*Y</t>
  </si>
  <si>
    <t>SS of xy =</t>
  </si>
  <si>
    <t xml:space="preserve">SS of xx = </t>
  </si>
  <si>
    <t xml:space="preserve">b1 = </t>
  </si>
  <si>
    <t xml:space="preserve">b0 = </t>
  </si>
  <si>
    <t>Slope intercept calculations</t>
  </si>
  <si>
    <t>Y-Hat</t>
  </si>
  <si>
    <t>(Y - Y-hat)^2</t>
  </si>
  <si>
    <t xml:space="preserve">SSE = </t>
  </si>
  <si>
    <t xml:space="preserve">Sum of Y = </t>
  </si>
  <si>
    <t xml:space="preserve">Sum of x = </t>
  </si>
  <si>
    <t xml:space="preserve">Sum of x ^2 = </t>
  </si>
  <si>
    <t xml:space="preserve"> sum of x*y</t>
  </si>
  <si>
    <t xml:space="preserve">Dependent Mean  = </t>
  </si>
  <si>
    <t xml:space="preserve">SST = </t>
  </si>
  <si>
    <t>Root MSE</t>
  </si>
  <si>
    <t>Dependent Mean</t>
  </si>
  <si>
    <t>(y - y_bar)^2</t>
  </si>
  <si>
    <t>SST - SSE =</t>
  </si>
  <si>
    <t>SSE/DF of Err =</t>
  </si>
  <si>
    <t xml:space="preserve">F = MSC/MSE = </t>
  </si>
  <si>
    <t>F-statitic is 14.20 at an alpha of .001 per http://www.stat.purdue.edu/~jtroisi/STAT350Spring2015/tables/FTable.pdf</t>
  </si>
  <si>
    <t>Coeff Var</t>
  </si>
  <si>
    <t>R-Square</t>
  </si>
  <si>
    <t>Adj R-Square</t>
  </si>
  <si>
    <t>Variable</t>
  </si>
  <si>
    <t>Label</t>
  </si>
  <si>
    <t>Intercept</t>
  </si>
  <si>
    <t>Parameter</t>
  </si>
  <si>
    <t>Estimate</t>
  </si>
  <si>
    <t>Std.</t>
  </si>
  <si>
    <t>t-Value</t>
  </si>
  <si>
    <t>Pr &gt; |t|</t>
  </si>
  <si>
    <t>Avg Temp</t>
  </si>
  <si>
    <t xml:space="preserve">RMSE = </t>
  </si>
  <si>
    <t xml:space="preserve">SS of yy = </t>
  </si>
  <si>
    <t>y-squared</t>
  </si>
  <si>
    <t>Sum of y^2</t>
  </si>
  <si>
    <t xml:space="preserve">r_sq = </t>
  </si>
  <si>
    <t>&lt;-- computed as  1- [(1-R^2)*(n-1)/n-k-1]</t>
  </si>
  <si>
    <t>(x-x_bar)^2</t>
  </si>
  <si>
    <t>x-x_bar</t>
  </si>
  <si>
    <t>Avg. X8 =</t>
  </si>
  <si>
    <t>Se =</t>
  </si>
  <si>
    <t>Sum x-x_bar =</t>
  </si>
  <si>
    <t>Sum (x-x_bar)^2 =</t>
  </si>
  <si>
    <t>&lt;-- calculated as Se* SqRt[1/n + x_bar^2/sum( (x - x_bar)^2)</t>
  </si>
  <si>
    <t>Avg Y =</t>
  </si>
  <si>
    <t xml:space="preserve">Sum (y-y_bar)^2 </t>
  </si>
  <si>
    <t xml:space="preserve">Sb = </t>
  </si>
  <si>
    <t xml:space="preserve"> &lt;- don't know where I went wrong</t>
  </si>
  <si>
    <t>&lt;-- Using t-value from prob set, for df=23, t value of 4.69 significant at alpha  .0001  https://faculty.washington.edu/heagerty/Books/Biostatistics/TABLES/t-Tables/</t>
  </si>
  <si>
    <t>Avg.(y-y_hat)^2</t>
  </si>
  <si>
    <t xml:space="preserve">SSxx = </t>
  </si>
  <si>
    <t>no clue how to compute</t>
  </si>
  <si>
    <t xml:space="preserve">equation  for the regression line from calculating slope and intercept --&gt;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</si>
</sst>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412FE5"/>
      <name val="Calibri"/>
      <family val="2"/>
      <scheme val="minor"/>
    </font>
    <font>
      <b/>
      <sz val="14"/>
      <color rgb="FF412FE5"/>
      <name val="Calibri (Body)"/>
    </font>
    <font>
      <b/>
      <sz val="12"/>
      <color rgb="FFC00000"/>
      <name val="Calibri (Body)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4"/>
      <color theme="1"/>
      <name val="Calibri (Body)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59BFF"/>
        <bgColor indexed="64"/>
      </patternFill>
    </fill>
    <fill>
      <patternFill patternType="solid">
        <fgColor rgb="FF7DCC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3B6"/>
        <bgColor indexed="64"/>
      </patternFill>
    </fill>
    <fill>
      <patternFill patternType="gray0625">
        <bgColor theme="7" tint="0.79998168889431442"/>
      </patternFill>
    </fill>
    <fill>
      <patternFill patternType="solid">
        <fgColor rgb="FFC6EF9F"/>
        <bgColor auto="1"/>
      </patternFill>
    </fill>
    <fill>
      <patternFill patternType="solid">
        <fgColor rgb="FFC6EF9F"/>
        <bgColor indexed="64"/>
      </patternFill>
    </fill>
    <fill>
      <patternFill patternType="solid">
        <fgColor rgb="FF7BFFED"/>
        <bgColor indexed="64"/>
      </patternFill>
    </fill>
    <fill>
      <patternFill patternType="solid">
        <fgColor rgb="FFFFA690"/>
        <bgColor indexed="64"/>
      </patternFill>
    </fill>
    <fill>
      <patternFill patternType="solid">
        <fgColor rgb="FFE5FF55"/>
        <bgColor indexed="64"/>
      </patternFill>
    </fill>
    <fill>
      <patternFill patternType="solid">
        <fgColor rgb="FFFF454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D0DD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2" borderId="0" xfId="0" applyFill="1"/>
    <xf numFmtId="0" fontId="4" fillId="2" borderId="0" xfId="0" applyFont="1" applyFill="1"/>
    <xf numFmtId="0" fontId="0" fillId="0" borderId="0" xfId="0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4" fillId="3" borderId="0" xfId="0" applyFont="1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 applyAlignment="1">
      <alignment horizontal="center"/>
    </xf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4" fillId="7" borderId="0" xfId="0" applyFont="1" applyFill="1"/>
    <xf numFmtId="0" fontId="4" fillId="6" borderId="0" xfId="0" applyFont="1" applyFill="1"/>
    <xf numFmtId="0" fontId="0" fillId="8" borderId="0" xfId="0" applyFill="1"/>
    <xf numFmtId="0" fontId="4" fillId="8" borderId="0" xfId="0" applyFont="1" applyFill="1"/>
    <xf numFmtId="0" fontId="4" fillId="9" borderId="0" xfId="0" applyFont="1" applyFill="1"/>
    <xf numFmtId="0" fontId="0" fillId="9" borderId="0" xfId="0" applyFill="1"/>
    <xf numFmtId="0" fontId="10" fillId="0" borderId="0" xfId="0" applyFont="1"/>
    <xf numFmtId="0" fontId="4" fillId="10" borderId="0" xfId="0" applyFont="1" applyFill="1"/>
    <xf numFmtId="0" fontId="0" fillId="12" borderId="0" xfId="0" applyFill="1"/>
    <xf numFmtId="0" fontId="0" fillId="13" borderId="0" xfId="0" applyFill="1"/>
    <xf numFmtId="0" fontId="1" fillId="8" borderId="0" xfId="0" applyFont="1" applyFill="1"/>
    <xf numFmtId="0" fontId="0" fillId="14" borderId="0" xfId="0" applyFill="1"/>
    <xf numFmtId="0" fontId="1" fillId="14" borderId="0" xfId="0" applyFont="1" applyFill="1"/>
    <xf numFmtId="0" fontId="4" fillId="14" borderId="0" xfId="0" applyFont="1" applyFill="1"/>
    <xf numFmtId="0" fontId="4" fillId="4" borderId="0" xfId="0" applyFont="1" applyFill="1"/>
    <xf numFmtId="0" fontId="11" fillId="11" borderId="0" xfId="0" applyFont="1" applyFill="1"/>
    <xf numFmtId="0" fontId="4" fillId="13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0" fillId="15" borderId="0" xfId="0" applyFill="1"/>
    <xf numFmtId="0" fontId="4" fillId="15" borderId="0" xfId="0" applyFont="1" applyFill="1"/>
    <xf numFmtId="0" fontId="4" fillId="0" borderId="0" xfId="0" applyFont="1" applyFill="1"/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quotePrefix="1" applyAlignment="1">
      <alignment horizontal="right" wrapText="1"/>
    </xf>
    <xf numFmtId="0" fontId="12" fillId="0" borderId="0" xfId="0" applyFont="1" applyAlignment="1">
      <alignment vertical="center"/>
    </xf>
    <xf numFmtId="0" fontId="2" fillId="16" borderId="0" xfId="0" applyFont="1" applyFill="1"/>
    <xf numFmtId="0" fontId="13" fillId="16" borderId="0" xfId="0" applyFont="1" applyFill="1"/>
    <xf numFmtId="0" fontId="11" fillId="0" borderId="0" xfId="0" applyFont="1"/>
    <xf numFmtId="0" fontId="2" fillId="17" borderId="0" xfId="0" applyFont="1" applyFill="1"/>
    <xf numFmtId="0" fontId="4" fillId="17" borderId="0" xfId="0" applyFont="1" applyFill="1"/>
    <xf numFmtId="0" fontId="0" fillId="18" borderId="0" xfId="0" applyFill="1"/>
    <xf numFmtId="0" fontId="4" fillId="18" borderId="0" xfId="0" applyFont="1" applyFill="1"/>
    <xf numFmtId="0" fontId="1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D0DDFF"/>
      <color rgb="FFFF4549"/>
      <color rgb="FFE5FF55"/>
      <color rgb="FFFFA690"/>
      <color rgb="FF7BFFED"/>
      <color rgb="FFC6EF9F"/>
      <color rgb="FFFF93B6"/>
      <color rgb="FF7DCCF0"/>
      <color rgb="FFF59BFF"/>
      <color rgb="FFFD61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48"/>
  <sheetViews>
    <sheetView tabSelected="1" workbookViewId="0">
      <selection activeCell="K3" sqref="K3"/>
    </sheetView>
  </sheetViews>
  <sheetFormatPr baseColWidth="10" defaultRowHeight="16" x14ac:dyDescent="0.2"/>
  <cols>
    <col min="3" max="3" width="12" customWidth="1"/>
    <col min="4" max="5" width="12.33203125" customWidth="1"/>
    <col min="6" max="6" width="13.83203125" customWidth="1"/>
    <col min="7" max="7" width="18" customWidth="1"/>
    <col min="8" max="8" width="13.83203125" customWidth="1"/>
    <col min="9" max="9" width="12.6640625" customWidth="1"/>
    <col min="10" max="10" width="13.83203125" customWidth="1"/>
    <col min="11" max="11" width="30.1640625" style="47" customWidth="1"/>
    <col min="12" max="12" width="24.33203125" customWidth="1"/>
    <col min="15" max="15" width="4" customWidth="1"/>
    <col min="17" max="17" width="4" customWidth="1"/>
    <col min="19" max="19" width="14.33203125" bestFit="1" customWidth="1"/>
  </cols>
  <sheetData>
    <row r="1" spans="1:28" s="3" customFormat="1" x14ac:dyDescent="0.2">
      <c r="A1" s="4" t="s">
        <v>0</v>
      </c>
      <c r="B1" s="4" t="s">
        <v>1</v>
      </c>
      <c r="C1" s="4" t="s">
        <v>21</v>
      </c>
      <c r="D1" s="18" t="s">
        <v>22</v>
      </c>
      <c r="E1" s="18" t="s">
        <v>28</v>
      </c>
      <c r="F1" s="18" t="s">
        <v>29</v>
      </c>
      <c r="G1" s="18" t="s">
        <v>39</v>
      </c>
      <c r="H1" s="18" t="s">
        <v>63</v>
      </c>
      <c r="I1" s="18" t="s">
        <v>62</v>
      </c>
      <c r="J1" s="18" t="s">
        <v>58</v>
      </c>
      <c r="K1" s="46" t="s">
        <v>2</v>
      </c>
    </row>
    <row r="2" spans="1:28" ht="49" x14ac:dyDescent="0.25">
      <c r="A2" s="1">
        <v>10.98</v>
      </c>
      <c r="B2" s="1">
        <v>35.299999999999997</v>
      </c>
      <c r="C2" s="1">
        <f>B2^2</f>
        <v>1246.0899999999997</v>
      </c>
      <c r="D2" s="19">
        <f>A2*B2</f>
        <v>387.59399999999999</v>
      </c>
      <c r="E2" s="19">
        <f>-0.0798*B2+13.623</f>
        <v>10.806059999999999</v>
      </c>
      <c r="F2" s="19">
        <f>(A2-E2)^2</f>
        <v>3.0255123600000614E-2</v>
      </c>
      <c r="G2" s="19">
        <f>(A2-9.424)^2</f>
        <v>2.4211360000000028</v>
      </c>
      <c r="H2" s="19">
        <f>B2-52.6</f>
        <v>-17.300000000000004</v>
      </c>
      <c r="I2" s="19">
        <f t="shared" ref="I2:I26" si="0">H2^2</f>
        <v>299.29000000000013</v>
      </c>
      <c r="J2" s="19">
        <f t="shared" ref="J2:J26" si="1">A2^2</f>
        <v>120.56040000000002</v>
      </c>
      <c r="K2" s="47" t="s">
        <v>77</v>
      </c>
      <c r="L2" s="5" t="s">
        <v>19</v>
      </c>
      <c r="M2" s="5"/>
      <c r="N2" s="5"/>
      <c r="O2" s="5"/>
      <c r="P2" s="5"/>
      <c r="Q2" s="5"/>
      <c r="R2" s="5"/>
      <c r="S2" s="5"/>
    </row>
    <row r="3" spans="1:28" ht="19" x14ac:dyDescent="0.25">
      <c r="A3" s="1">
        <v>11.13</v>
      </c>
      <c r="B3" s="1">
        <v>29.7</v>
      </c>
      <c r="C3" s="1">
        <f t="shared" ref="C3:C26" si="2">B3^2</f>
        <v>882.08999999999992</v>
      </c>
      <c r="D3" s="19">
        <f t="shared" ref="D3:D26" si="3">A3*B3</f>
        <v>330.56100000000004</v>
      </c>
      <c r="E3" s="19">
        <f t="shared" ref="E3:E26" si="4">-0.0798*B3+13.623</f>
        <v>11.252939999999999</v>
      </c>
      <c r="F3" s="19">
        <f t="shared" ref="F3:F26" si="5">(A3-E3)^2</f>
        <v>1.511424359999952E-2</v>
      </c>
      <c r="G3" s="19">
        <f t="shared" ref="G3:G26" si="6">(A3-9.424)^2</f>
        <v>2.9104360000000042</v>
      </c>
      <c r="H3" s="19">
        <f t="shared" ref="H3:H26" si="7">B3-52.6</f>
        <v>-22.900000000000002</v>
      </c>
      <c r="I3" s="19">
        <f t="shared" si="0"/>
        <v>524.41000000000008</v>
      </c>
      <c r="J3" s="19">
        <f t="shared" si="1"/>
        <v>123.87690000000002</v>
      </c>
      <c r="L3" s="5"/>
      <c r="M3" s="5"/>
      <c r="N3" s="5"/>
      <c r="O3" s="5"/>
      <c r="P3" s="5"/>
      <c r="Q3" s="5"/>
      <c r="R3" s="5"/>
      <c r="S3" s="5"/>
    </row>
    <row r="4" spans="1:28" ht="19" x14ac:dyDescent="0.25">
      <c r="A4" s="1">
        <v>12.51</v>
      </c>
      <c r="B4" s="1">
        <v>30.8</v>
      </c>
      <c r="C4" s="1">
        <f t="shared" si="2"/>
        <v>948.6400000000001</v>
      </c>
      <c r="D4" s="19">
        <f t="shared" si="3"/>
        <v>385.30799999999999</v>
      </c>
      <c r="E4" s="19">
        <f t="shared" si="4"/>
        <v>11.16516</v>
      </c>
      <c r="F4" s="19">
        <f t="shared" si="5"/>
        <v>1.808594625599999</v>
      </c>
      <c r="G4" s="19">
        <f t="shared" si="6"/>
        <v>9.5233960000000017</v>
      </c>
      <c r="H4" s="19">
        <f t="shared" si="7"/>
        <v>-21.8</v>
      </c>
      <c r="I4" s="19">
        <f t="shared" si="0"/>
        <v>475.24</v>
      </c>
      <c r="J4" s="19">
        <f t="shared" si="1"/>
        <v>156.5001</v>
      </c>
      <c r="K4" s="47" t="s">
        <v>20</v>
      </c>
      <c r="L4" s="5" t="s">
        <v>9</v>
      </c>
      <c r="M4" s="5">
        <f>COUNT(B2:B26)</f>
        <v>25</v>
      </c>
      <c r="N4" s="5"/>
      <c r="O4" s="5"/>
      <c r="P4" s="5"/>
      <c r="Q4" s="5"/>
      <c r="R4" s="5"/>
      <c r="S4" s="5"/>
    </row>
    <row r="5" spans="1:28" ht="19" x14ac:dyDescent="0.25">
      <c r="A5" s="1">
        <v>8.4</v>
      </c>
      <c r="B5" s="1">
        <v>58.8</v>
      </c>
      <c r="C5" s="1">
        <f t="shared" si="2"/>
        <v>3457.4399999999996</v>
      </c>
      <c r="D5" s="19">
        <f t="shared" si="3"/>
        <v>493.92</v>
      </c>
      <c r="E5" s="19">
        <f t="shared" si="4"/>
        <v>8.9307599999999994</v>
      </c>
      <c r="F5" s="19">
        <f t="shared" si="5"/>
        <v>0.28170617759999894</v>
      </c>
      <c r="G5" s="19">
        <f t="shared" si="6"/>
        <v>1.0485759999999982</v>
      </c>
      <c r="H5" s="19">
        <f t="shared" si="7"/>
        <v>6.1999999999999957</v>
      </c>
      <c r="I5" s="19">
        <f t="shared" si="0"/>
        <v>38.439999999999948</v>
      </c>
      <c r="J5" s="19">
        <f t="shared" si="1"/>
        <v>70.56</v>
      </c>
      <c r="L5" s="5"/>
      <c r="M5" s="5"/>
      <c r="N5" s="5"/>
      <c r="O5" s="5"/>
      <c r="P5" s="5"/>
      <c r="Q5" s="5"/>
      <c r="R5" s="5"/>
      <c r="S5" s="5"/>
    </row>
    <row r="6" spans="1:28" ht="19" x14ac:dyDescent="0.25">
      <c r="A6" s="1">
        <v>9.27</v>
      </c>
      <c r="B6" s="1">
        <v>61.4</v>
      </c>
      <c r="C6" s="1">
        <f t="shared" si="2"/>
        <v>3769.96</v>
      </c>
      <c r="D6" s="19">
        <f t="shared" si="3"/>
        <v>569.178</v>
      </c>
      <c r="E6" s="19">
        <f t="shared" si="4"/>
        <v>8.723279999999999</v>
      </c>
      <c r="F6" s="19">
        <f t="shared" si="5"/>
        <v>0.29890275840000058</v>
      </c>
      <c r="G6" s="19">
        <f t="shared" si="6"/>
        <v>2.3715999999999973E-2</v>
      </c>
      <c r="H6" s="19">
        <f t="shared" si="7"/>
        <v>8.7999999999999972</v>
      </c>
      <c r="I6" s="19">
        <f t="shared" si="0"/>
        <v>77.439999999999955</v>
      </c>
      <c r="J6" s="19">
        <f t="shared" si="1"/>
        <v>85.932899999999989</v>
      </c>
      <c r="L6" s="5"/>
      <c r="M6" s="5"/>
      <c r="N6" s="5"/>
      <c r="O6" s="5"/>
      <c r="P6" s="5"/>
      <c r="Q6" s="5"/>
      <c r="R6" s="5"/>
      <c r="S6" s="5"/>
    </row>
    <row r="7" spans="1:28" ht="24" x14ac:dyDescent="0.3">
      <c r="A7" s="1">
        <v>8.73</v>
      </c>
      <c r="B7" s="1">
        <v>71.3</v>
      </c>
      <c r="C7" s="1">
        <f t="shared" si="2"/>
        <v>5083.6899999999996</v>
      </c>
      <c r="D7" s="19">
        <f t="shared" si="3"/>
        <v>622.44899999999996</v>
      </c>
      <c r="E7" s="19">
        <f t="shared" si="4"/>
        <v>7.9332599999999998</v>
      </c>
      <c r="F7" s="19">
        <f t="shared" si="5"/>
        <v>0.63479462760000105</v>
      </c>
      <c r="G7" s="19">
        <f t="shared" si="6"/>
        <v>0.48163599999999868</v>
      </c>
      <c r="H7" s="19">
        <f t="shared" si="7"/>
        <v>18.699999999999996</v>
      </c>
      <c r="I7" s="19">
        <f t="shared" si="0"/>
        <v>349.68999999999983</v>
      </c>
      <c r="J7" s="19">
        <f t="shared" si="1"/>
        <v>76.212900000000005</v>
      </c>
      <c r="L7" s="57" t="s">
        <v>3</v>
      </c>
      <c r="M7" s="5"/>
      <c r="N7" s="5"/>
      <c r="O7" s="5"/>
      <c r="P7" s="5"/>
      <c r="Q7" s="5"/>
      <c r="R7" s="5"/>
      <c r="S7" s="5"/>
    </row>
    <row r="8" spans="1:28" ht="19" x14ac:dyDescent="0.25">
      <c r="A8" s="1">
        <v>6.36</v>
      </c>
      <c r="B8" s="1">
        <v>74.400000000000006</v>
      </c>
      <c r="C8" s="1">
        <f t="shared" si="2"/>
        <v>5535.3600000000006</v>
      </c>
      <c r="D8" s="19">
        <f t="shared" si="3"/>
        <v>473.18400000000008</v>
      </c>
      <c r="E8" s="19">
        <f t="shared" si="4"/>
        <v>7.6858799999999992</v>
      </c>
      <c r="F8" s="19">
        <f t="shared" si="5"/>
        <v>1.757957774399997</v>
      </c>
      <c r="G8" s="19">
        <f t="shared" si="6"/>
        <v>9.3880959999999956</v>
      </c>
      <c r="H8" s="19">
        <f t="shared" si="7"/>
        <v>21.800000000000004</v>
      </c>
      <c r="I8" s="19">
        <f t="shared" si="0"/>
        <v>475.24000000000018</v>
      </c>
      <c r="J8" s="19">
        <f t="shared" si="1"/>
        <v>40.449600000000004</v>
      </c>
      <c r="L8" s="5"/>
      <c r="M8" s="5"/>
      <c r="N8" s="6" t="s">
        <v>13</v>
      </c>
      <c r="O8" s="5"/>
      <c r="P8" s="6" t="s">
        <v>15</v>
      </c>
      <c r="Q8" s="5"/>
    </row>
    <row r="9" spans="1:28" ht="19" x14ac:dyDescent="0.25">
      <c r="A9" s="1">
        <v>8.5</v>
      </c>
      <c r="B9" s="1">
        <v>76.7</v>
      </c>
      <c r="C9" s="1">
        <f t="shared" si="2"/>
        <v>5882.89</v>
      </c>
      <c r="D9" s="19">
        <f t="shared" si="3"/>
        <v>651.95000000000005</v>
      </c>
      <c r="E9" s="19">
        <f t="shared" si="4"/>
        <v>7.5023399999999993</v>
      </c>
      <c r="F9" s="19">
        <f t="shared" si="5"/>
        <v>0.99532547560000129</v>
      </c>
      <c r="G9" s="19">
        <f t="shared" si="6"/>
        <v>0.85377599999999909</v>
      </c>
      <c r="H9" s="19">
        <f t="shared" si="7"/>
        <v>24.1</v>
      </c>
      <c r="I9" s="19">
        <f t="shared" si="0"/>
        <v>580.81000000000006</v>
      </c>
      <c r="J9" s="19">
        <f t="shared" si="1"/>
        <v>72.25</v>
      </c>
      <c r="L9" s="6" t="s">
        <v>4</v>
      </c>
      <c r="M9" s="6" t="s">
        <v>8</v>
      </c>
      <c r="N9" s="6" t="s">
        <v>14</v>
      </c>
      <c r="O9" s="5"/>
      <c r="P9" s="6" t="s">
        <v>16</v>
      </c>
      <c r="Q9" s="5"/>
      <c r="R9" s="6" t="s">
        <v>17</v>
      </c>
      <c r="S9" s="7" t="s">
        <v>18</v>
      </c>
      <c r="T9" s="5"/>
    </row>
    <row r="10" spans="1:28" ht="33" x14ac:dyDescent="0.25">
      <c r="A10" s="1">
        <v>7.82</v>
      </c>
      <c r="B10" s="1">
        <v>70.7</v>
      </c>
      <c r="C10" s="1">
        <f t="shared" si="2"/>
        <v>4998.4900000000007</v>
      </c>
      <c r="D10" s="19">
        <f t="shared" si="3"/>
        <v>552.87400000000002</v>
      </c>
      <c r="E10" s="19">
        <f t="shared" si="4"/>
        <v>7.981139999999999</v>
      </c>
      <c r="F10" s="19">
        <f t="shared" si="5"/>
        <v>2.5966099599999591E-2</v>
      </c>
      <c r="G10" s="19">
        <f t="shared" si="6"/>
        <v>2.5728159999999973</v>
      </c>
      <c r="H10" s="19">
        <f t="shared" si="7"/>
        <v>18.100000000000001</v>
      </c>
      <c r="I10" s="19">
        <f t="shared" si="0"/>
        <v>327.61000000000007</v>
      </c>
      <c r="J10" s="19">
        <f t="shared" si="1"/>
        <v>61.152400000000007</v>
      </c>
      <c r="K10" s="48" t="s">
        <v>10</v>
      </c>
      <c r="L10" s="5" t="s">
        <v>5</v>
      </c>
      <c r="M10" s="31">
        <f>1</f>
        <v>1</v>
      </c>
      <c r="N10" s="24">
        <f>ROUND(N12-N11, 4)</f>
        <v>45.592300000000002</v>
      </c>
      <c r="O10" s="5"/>
      <c r="P10" s="24">
        <f>N10</f>
        <v>45.592300000000002</v>
      </c>
      <c r="Q10" s="5"/>
      <c r="R10" s="27">
        <f>G36</f>
        <v>57.542499999999997</v>
      </c>
      <c r="S10" s="28">
        <v>1E-4</v>
      </c>
      <c r="T10" s="28" t="s">
        <v>43</v>
      </c>
      <c r="U10" s="29"/>
      <c r="V10" s="29"/>
      <c r="W10" s="29"/>
      <c r="X10" s="29"/>
      <c r="Y10" s="29"/>
      <c r="Z10" s="29"/>
      <c r="AA10" s="29"/>
      <c r="AB10" s="29"/>
    </row>
    <row r="11" spans="1:28" ht="19" x14ac:dyDescent="0.25">
      <c r="A11" s="1">
        <v>9.14</v>
      </c>
      <c r="B11" s="1">
        <v>57.5</v>
      </c>
      <c r="C11" s="1">
        <f t="shared" si="2"/>
        <v>3306.25</v>
      </c>
      <c r="D11" s="19">
        <f t="shared" si="3"/>
        <v>525.55000000000007</v>
      </c>
      <c r="E11" s="19">
        <f t="shared" si="4"/>
        <v>9.0344999999999995</v>
      </c>
      <c r="F11" s="19">
        <f t="shared" si="5"/>
        <v>1.1130250000000218E-2</v>
      </c>
      <c r="G11" s="19">
        <f t="shared" si="6"/>
        <v>8.0655999999999381E-2</v>
      </c>
      <c r="H11" s="19">
        <f t="shared" si="7"/>
        <v>4.8999999999999986</v>
      </c>
      <c r="I11" s="19">
        <f t="shared" si="0"/>
        <v>24.009999999999987</v>
      </c>
      <c r="J11" s="19">
        <f t="shared" si="1"/>
        <v>83.539600000000007</v>
      </c>
      <c r="K11" s="47" t="s">
        <v>11</v>
      </c>
      <c r="L11" s="5" t="s">
        <v>6</v>
      </c>
      <c r="M11" s="5">
        <f>M4-M10-1</f>
        <v>23</v>
      </c>
      <c r="N11" s="10">
        <f>F32</f>
        <v>18.223461696799998</v>
      </c>
      <c r="O11" s="5"/>
      <c r="P11" s="25">
        <f>N11/M11</f>
        <v>0.79232442159999994</v>
      </c>
      <c r="Q11" s="5"/>
      <c r="R11" s="5"/>
      <c r="S11" s="5"/>
      <c r="T11" s="5"/>
    </row>
    <row r="12" spans="1:28" ht="19" x14ac:dyDescent="0.25">
      <c r="A12" s="1">
        <v>8.24</v>
      </c>
      <c r="B12" s="1">
        <v>46.4</v>
      </c>
      <c r="C12" s="1">
        <f t="shared" si="2"/>
        <v>2152.96</v>
      </c>
      <c r="D12" s="19">
        <f t="shared" si="3"/>
        <v>382.33600000000001</v>
      </c>
      <c r="E12" s="19">
        <f t="shared" si="4"/>
        <v>9.92028</v>
      </c>
      <c r="F12" s="19">
        <f t="shared" si="5"/>
        <v>2.8233408783999994</v>
      </c>
      <c r="G12" s="19">
        <f t="shared" si="6"/>
        <v>1.4018559999999982</v>
      </c>
      <c r="H12" s="19">
        <f t="shared" si="7"/>
        <v>-6.2000000000000028</v>
      </c>
      <c r="I12" s="19">
        <f t="shared" si="0"/>
        <v>38.440000000000033</v>
      </c>
      <c r="J12" s="19">
        <f t="shared" si="1"/>
        <v>67.897599999999997</v>
      </c>
      <c r="K12" s="47" t="s">
        <v>12</v>
      </c>
      <c r="L12" s="5" t="s">
        <v>7</v>
      </c>
      <c r="M12" s="5">
        <f>M11+M10</f>
        <v>24</v>
      </c>
      <c r="N12" s="15">
        <v>63.815800000000003</v>
      </c>
      <c r="O12" s="5"/>
      <c r="P12" s="5"/>
      <c r="Q12" s="5"/>
      <c r="R12" s="5"/>
      <c r="S12" s="5"/>
      <c r="T12" s="5"/>
    </row>
    <row r="13" spans="1:28" ht="19" x14ac:dyDescent="0.25">
      <c r="A13" s="1">
        <v>12.19</v>
      </c>
      <c r="B13" s="1">
        <v>28.9</v>
      </c>
      <c r="C13" s="1">
        <f t="shared" si="2"/>
        <v>835.20999999999992</v>
      </c>
      <c r="D13" s="19">
        <f t="shared" si="3"/>
        <v>352.29099999999994</v>
      </c>
      <c r="E13" s="19">
        <f t="shared" si="4"/>
        <v>11.31678</v>
      </c>
      <c r="F13" s="19">
        <f t="shared" si="5"/>
        <v>0.76251316839999983</v>
      </c>
      <c r="G13" s="19">
        <f t="shared" si="6"/>
        <v>7.6507560000000003</v>
      </c>
      <c r="H13" s="19">
        <f t="shared" si="7"/>
        <v>-23.700000000000003</v>
      </c>
      <c r="I13" s="19">
        <f t="shared" si="0"/>
        <v>561.69000000000017</v>
      </c>
      <c r="J13" s="19">
        <f t="shared" si="1"/>
        <v>148.59609999999998</v>
      </c>
      <c r="L13" s="5"/>
      <c r="M13" s="5"/>
      <c r="N13" s="5"/>
      <c r="O13" s="5"/>
      <c r="P13" s="5"/>
      <c r="Q13" s="5"/>
      <c r="R13" s="5"/>
      <c r="S13" s="5"/>
      <c r="T13" s="5"/>
    </row>
    <row r="14" spans="1:28" ht="19" x14ac:dyDescent="0.25">
      <c r="A14" s="1">
        <v>11.88</v>
      </c>
      <c r="B14" s="1">
        <v>28.1</v>
      </c>
      <c r="C14" s="1">
        <f t="shared" si="2"/>
        <v>789.61000000000013</v>
      </c>
      <c r="D14" s="19">
        <f t="shared" si="3"/>
        <v>333.82800000000003</v>
      </c>
      <c r="E14" s="19">
        <f t="shared" si="4"/>
        <v>11.38062</v>
      </c>
      <c r="F14" s="19">
        <f t="shared" si="5"/>
        <v>0.24938038440000038</v>
      </c>
      <c r="G14" s="19">
        <f t="shared" si="6"/>
        <v>6.0319360000000062</v>
      </c>
      <c r="H14" s="19">
        <f t="shared" si="7"/>
        <v>-24.5</v>
      </c>
      <c r="I14" s="19">
        <f t="shared" si="0"/>
        <v>600.25</v>
      </c>
      <c r="J14" s="19">
        <f t="shared" si="1"/>
        <v>141.13440000000003</v>
      </c>
      <c r="L14" s="5"/>
      <c r="M14" s="5"/>
      <c r="N14" s="5"/>
      <c r="O14" s="5"/>
      <c r="P14" s="5"/>
      <c r="Q14" s="5"/>
      <c r="R14" s="5"/>
      <c r="S14" s="5"/>
      <c r="T14" s="5"/>
    </row>
    <row r="15" spans="1:28" ht="19" x14ac:dyDescent="0.25">
      <c r="A15" s="1">
        <v>9.57</v>
      </c>
      <c r="B15" s="1">
        <v>39.1</v>
      </c>
      <c r="C15" s="1">
        <f t="shared" si="2"/>
        <v>1528.8100000000002</v>
      </c>
      <c r="D15" s="19">
        <f t="shared" si="3"/>
        <v>374.18700000000001</v>
      </c>
      <c r="E15" s="19">
        <f t="shared" si="4"/>
        <v>10.50282</v>
      </c>
      <c r="F15" s="19">
        <f t="shared" si="5"/>
        <v>0.87015315239999913</v>
      </c>
      <c r="G15" s="19">
        <f t="shared" si="6"/>
        <v>2.1316000000000234E-2</v>
      </c>
      <c r="H15" s="19">
        <f t="shared" si="7"/>
        <v>-13.5</v>
      </c>
      <c r="I15" s="19">
        <f t="shared" si="0"/>
        <v>182.25</v>
      </c>
      <c r="J15" s="19">
        <f t="shared" si="1"/>
        <v>91.584900000000005</v>
      </c>
      <c r="L15" s="5"/>
      <c r="M15" s="5"/>
      <c r="N15" s="5"/>
      <c r="O15" s="5"/>
      <c r="P15" s="5"/>
      <c r="Q15" s="5"/>
      <c r="R15" s="5"/>
      <c r="S15" s="5"/>
      <c r="T15" s="5"/>
    </row>
    <row r="16" spans="1:28" ht="19" x14ac:dyDescent="0.25">
      <c r="A16" s="1">
        <v>10.94</v>
      </c>
      <c r="B16" s="1">
        <v>46.8</v>
      </c>
      <c r="C16" s="1">
        <f t="shared" si="2"/>
        <v>2190.2399999999998</v>
      </c>
      <c r="D16" s="19">
        <f t="shared" si="3"/>
        <v>511.99199999999996</v>
      </c>
      <c r="E16" s="19">
        <f t="shared" si="4"/>
        <v>9.8883599999999987</v>
      </c>
      <c r="F16" s="19">
        <f t="shared" si="5"/>
        <v>1.1059466896000016</v>
      </c>
      <c r="G16" s="19">
        <f t="shared" si="6"/>
        <v>2.2982559999999999</v>
      </c>
      <c r="H16" s="19">
        <f t="shared" si="7"/>
        <v>-5.8000000000000043</v>
      </c>
      <c r="I16" s="19">
        <f t="shared" si="0"/>
        <v>33.64000000000005</v>
      </c>
      <c r="J16" s="19">
        <f t="shared" si="1"/>
        <v>119.68359999999998</v>
      </c>
      <c r="L16" s="5" t="s">
        <v>37</v>
      </c>
      <c r="M16" s="37">
        <f>G39</f>
        <v>0.8901</v>
      </c>
      <c r="O16" s="5"/>
      <c r="P16" s="5" t="s">
        <v>45</v>
      </c>
      <c r="Q16" s="5"/>
      <c r="R16" s="44">
        <f>B44</f>
        <v>0.71440000000000003</v>
      </c>
      <c r="S16" s="5"/>
      <c r="T16" s="5"/>
    </row>
    <row r="17" spans="1:33" ht="19" x14ac:dyDescent="0.25">
      <c r="A17" s="1">
        <v>9.58</v>
      </c>
      <c r="B17" s="1">
        <v>48.5</v>
      </c>
      <c r="C17" s="1">
        <f t="shared" si="2"/>
        <v>2352.25</v>
      </c>
      <c r="D17" s="19">
        <f t="shared" si="3"/>
        <v>464.63</v>
      </c>
      <c r="E17" s="19">
        <f t="shared" si="4"/>
        <v>9.752699999999999</v>
      </c>
      <c r="F17" s="19">
        <f t="shared" si="5"/>
        <v>2.9825289999999643E-2</v>
      </c>
      <c r="G17" s="19">
        <f t="shared" si="6"/>
        <v>2.433600000000018E-2</v>
      </c>
      <c r="H17" s="19">
        <f t="shared" si="7"/>
        <v>-4.1000000000000014</v>
      </c>
      <c r="I17" s="19">
        <f t="shared" si="0"/>
        <v>16.810000000000013</v>
      </c>
      <c r="J17" s="19">
        <f t="shared" si="1"/>
        <v>91.776399999999995</v>
      </c>
      <c r="L17" s="5" t="s">
        <v>38</v>
      </c>
      <c r="M17" s="38">
        <v>9.4239999999999995</v>
      </c>
      <c r="O17" s="5"/>
      <c r="P17" s="5" t="s">
        <v>46</v>
      </c>
      <c r="Q17" s="5"/>
      <c r="R17" s="45">
        <f>ROUND( 1-(((1-R16)*(M4-1))/(M4-M10-1)), 4)</f>
        <v>0.70199999999999996</v>
      </c>
      <c r="S17" s="5" t="s">
        <v>61</v>
      </c>
      <c r="T17" s="5"/>
    </row>
    <row r="18" spans="1:33" ht="19" x14ac:dyDescent="0.25">
      <c r="A18" s="1">
        <v>10.09</v>
      </c>
      <c r="B18" s="1">
        <v>59.3</v>
      </c>
      <c r="C18" s="1">
        <f t="shared" si="2"/>
        <v>3516.49</v>
      </c>
      <c r="D18" s="19">
        <f t="shared" si="3"/>
        <v>598.33699999999999</v>
      </c>
      <c r="E18" s="19">
        <f t="shared" si="4"/>
        <v>8.89086</v>
      </c>
      <c r="F18" s="19">
        <f t="shared" si="5"/>
        <v>1.4379367395999998</v>
      </c>
      <c r="G18" s="19">
        <f t="shared" si="6"/>
        <v>0.44355600000000051</v>
      </c>
      <c r="H18" s="19">
        <f t="shared" si="7"/>
        <v>6.6999999999999957</v>
      </c>
      <c r="I18" s="19">
        <f t="shared" si="0"/>
        <v>44.889999999999944</v>
      </c>
      <c r="J18" s="19">
        <f t="shared" si="1"/>
        <v>101.8081</v>
      </c>
      <c r="L18" s="30" t="s">
        <v>44</v>
      </c>
      <c r="M18" s="5">
        <f>100*((STDEV(A2:A26))/AVERAGE(A2:A26))</f>
        <v>17.303071830563471</v>
      </c>
      <c r="N18" s="5"/>
      <c r="O18" s="5"/>
      <c r="P18" s="5"/>
      <c r="Q18" s="5"/>
      <c r="R18" s="5"/>
      <c r="S18" s="5"/>
      <c r="T18" s="5"/>
    </row>
    <row r="19" spans="1:33" ht="19" x14ac:dyDescent="0.25">
      <c r="A19" s="1">
        <v>8.11</v>
      </c>
      <c r="B19" s="1">
        <v>70</v>
      </c>
      <c r="C19" s="1">
        <f t="shared" si="2"/>
        <v>4900</v>
      </c>
      <c r="D19" s="19">
        <f t="shared" si="3"/>
        <v>567.69999999999993</v>
      </c>
      <c r="E19" s="19">
        <f t="shared" si="4"/>
        <v>8.036999999999999</v>
      </c>
      <c r="F19" s="19">
        <f t="shared" si="5"/>
        <v>5.3290000000000585E-3</v>
      </c>
      <c r="G19" s="19">
        <f t="shared" si="6"/>
        <v>1.7265960000000002</v>
      </c>
      <c r="H19" s="19">
        <f t="shared" si="7"/>
        <v>17.399999999999999</v>
      </c>
      <c r="I19" s="19">
        <f t="shared" si="0"/>
        <v>302.75999999999993</v>
      </c>
      <c r="J19" s="19">
        <f t="shared" si="1"/>
        <v>65.772099999999995</v>
      </c>
      <c r="L19" s="5"/>
      <c r="M19" s="5"/>
      <c r="N19" s="5"/>
      <c r="O19" s="5"/>
      <c r="P19" s="5"/>
      <c r="Q19" s="5"/>
      <c r="R19" s="5"/>
      <c r="S19" s="5"/>
      <c r="T19" s="5"/>
    </row>
    <row r="20" spans="1:33" ht="19" x14ac:dyDescent="0.25">
      <c r="A20" s="1">
        <v>6.83</v>
      </c>
      <c r="B20" s="1">
        <v>70</v>
      </c>
      <c r="C20" s="1">
        <f t="shared" si="2"/>
        <v>4900</v>
      </c>
      <c r="D20" s="19">
        <f t="shared" si="3"/>
        <v>478.1</v>
      </c>
      <c r="E20" s="19">
        <f t="shared" si="4"/>
        <v>8.036999999999999</v>
      </c>
      <c r="F20" s="19">
        <f t="shared" si="5"/>
        <v>1.4568489999999974</v>
      </c>
      <c r="G20" s="19">
        <f t="shared" si="6"/>
        <v>6.7288359999999967</v>
      </c>
      <c r="H20" s="19">
        <f t="shared" si="7"/>
        <v>17.399999999999999</v>
      </c>
      <c r="I20" s="19">
        <f t="shared" si="0"/>
        <v>302.75999999999993</v>
      </c>
      <c r="J20" s="19">
        <f t="shared" si="1"/>
        <v>46.648899999999998</v>
      </c>
      <c r="L20" s="5"/>
      <c r="M20" s="5"/>
      <c r="N20" s="5"/>
      <c r="O20" s="5"/>
      <c r="P20" s="5"/>
      <c r="Q20" s="5"/>
      <c r="R20" s="5"/>
      <c r="S20" s="5"/>
      <c r="T20" s="5"/>
    </row>
    <row r="21" spans="1:33" ht="19" x14ac:dyDescent="0.25">
      <c r="A21" s="1">
        <v>8.8800000000000008</v>
      </c>
      <c r="B21" s="1">
        <v>74.5</v>
      </c>
      <c r="C21" s="1">
        <f t="shared" si="2"/>
        <v>5550.25</v>
      </c>
      <c r="D21" s="19">
        <f t="shared" si="3"/>
        <v>661.56000000000006</v>
      </c>
      <c r="E21" s="19">
        <f t="shared" si="4"/>
        <v>7.6778999999999993</v>
      </c>
      <c r="F21" s="19">
        <f t="shared" si="5"/>
        <v>1.4450444100000035</v>
      </c>
      <c r="G21" s="19">
        <f t="shared" si="6"/>
        <v>0.29593599999999859</v>
      </c>
      <c r="H21" s="19">
        <f t="shared" si="7"/>
        <v>21.9</v>
      </c>
      <c r="I21" s="19">
        <f t="shared" si="0"/>
        <v>479.60999999999996</v>
      </c>
      <c r="J21" s="19">
        <f t="shared" si="1"/>
        <v>78.854400000000012</v>
      </c>
      <c r="L21" s="6" t="s">
        <v>47</v>
      </c>
      <c r="M21" s="6" t="s">
        <v>48</v>
      </c>
      <c r="N21" s="6" t="s">
        <v>8</v>
      </c>
      <c r="O21" s="6"/>
      <c r="P21" s="6" t="s">
        <v>50</v>
      </c>
      <c r="Q21" s="6"/>
      <c r="R21" s="6" t="s">
        <v>52</v>
      </c>
      <c r="S21" s="6"/>
      <c r="T21" s="6"/>
    </row>
    <row r="22" spans="1:33" ht="19" x14ac:dyDescent="0.25">
      <c r="A22" s="1">
        <v>7.68</v>
      </c>
      <c r="B22" s="1">
        <v>72.099999999999994</v>
      </c>
      <c r="C22" s="1">
        <f t="shared" si="2"/>
        <v>5198.4099999999989</v>
      </c>
      <c r="D22" s="19">
        <f t="shared" si="3"/>
        <v>553.72799999999995</v>
      </c>
      <c r="E22" s="19">
        <f t="shared" si="4"/>
        <v>7.8694199999999999</v>
      </c>
      <c r="F22" s="19">
        <f t="shared" si="5"/>
        <v>3.5879936400000055E-2</v>
      </c>
      <c r="G22" s="19">
        <f t="shared" si="6"/>
        <v>3.0415359999999994</v>
      </c>
      <c r="H22" s="19">
        <f t="shared" si="7"/>
        <v>19.499999999999993</v>
      </c>
      <c r="I22" s="19">
        <f t="shared" si="0"/>
        <v>380.24999999999972</v>
      </c>
      <c r="J22" s="19">
        <f t="shared" si="1"/>
        <v>58.982399999999998</v>
      </c>
      <c r="L22" s="5"/>
      <c r="M22" s="5"/>
      <c r="N22" s="6"/>
      <c r="O22" s="6"/>
      <c r="P22" s="6" t="s">
        <v>51</v>
      </c>
      <c r="Q22" s="6"/>
      <c r="R22" s="6" t="s">
        <v>6</v>
      </c>
      <c r="S22" s="6" t="s">
        <v>53</v>
      </c>
      <c r="T22" s="6" t="s">
        <v>54</v>
      </c>
    </row>
    <row r="23" spans="1:33" ht="19" x14ac:dyDescent="0.25">
      <c r="A23" s="1">
        <v>8.4700000000000006</v>
      </c>
      <c r="B23" s="1">
        <v>58.1</v>
      </c>
      <c r="C23" s="1">
        <f t="shared" si="2"/>
        <v>3375.61</v>
      </c>
      <c r="D23" s="19">
        <f t="shared" si="3"/>
        <v>492.10700000000003</v>
      </c>
      <c r="E23" s="19">
        <f t="shared" si="4"/>
        <v>8.9866199999999985</v>
      </c>
      <c r="F23" s="19">
        <f t="shared" si="5"/>
        <v>0.26689622439999777</v>
      </c>
      <c r="G23" s="19">
        <f t="shared" si="6"/>
        <v>0.91011599999999782</v>
      </c>
      <c r="H23" s="19">
        <f t="shared" si="7"/>
        <v>5.5</v>
      </c>
      <c r="I23" s="19">
        <f t="shared" si="0"/>
        <v>30.25</v>
      </c>
      <c r="J23" s="19">
        <f t="shared" si="1"/>
        <v>71.740900000000011</v>
      </c>
      <c r="L23" s="5" t="s">
        <v>49</v>
      </c>
      <c r="M23" s="5" t="s">
        <v>49</v>
      </c>
      <c r="N23" s="31">
        <f>M10</f>
        <v>1</v>
      </c>
      <c r="O23" s="5"/>
      <c r="P23" s="39">
        <f>B41</f>
        <v>13.621499999999999</v>
      </c>
      <c r="Q23" s="5"/>
      <c r="R23" s="51">
        <f>G42</f>
        <v>0.58150000000000002</v>
      </c>
      <c r="S23" s="5">
        <f>B40/B47</f>
        <v>-24.758856232045673</v>
      </c>
      <c r="T23" s="56">
        <v>1E-4</v>
      </c>
      <c r="U23" s="55" t="s">
        <v>73</v>
      </c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</row>
    <row r="24" spans="1:33" ht="38" x14ac:dyDescent="0.25">
      <c r="A24" s="1">
        <v>8.86</v>
      </c>
      <c r="B24" s="1">
        <v>44.6</v>
      </c>
      <c r="C24" s="1">
        <f t="shared" si="2"/>
        <v>1989.16</v>
      </c>
      <c r="D24" s="19">
        <f t="shared" si="3"/>
        <v>395.15600000000001</v>
      </c>
      <c r="E24" s="19">
        <f t="shared" si="4"/>
        <v>10.06392</v>
      </c>
      <c r="F24" s="19">
        <f t="shared" si="5"/>
        <v>1.4494233664000002</v>
      </c>
      <c r="G24" s="19">
        <f t="shared" si="6"/>
        <v>0.31809600000000005</v>
      </c>
      <c r="H24" s="19">
        <f t="shared" si="7"/>
        <v>-8</v>
      </c>
      <c r="I24" s="19">
        <f t="shared" si="0"/>
        <v>64</v>
      </c>
      <c r="J24" s="19">
        <f t="shared" si="1"/>
        <v>78.499599999999987</v>
      </c>
      <c r="L24" s="5" t="s">
        <v>1</v>
      </c>
      <c r="M24" s="5" t="s">
        <v>55</v>
      </c>
      <c r="N24" s="31">
        <f>M10</f>
        <v>1</v>
      </c>
      <c r="O24" s="5"/>
      <c r="P24" s="40">
        <f>B40</f>
        <v>-7.9799999999999996E-2</v>
      </c>
      <c r="Q24" s="5"/>
      <c r="R24" s="54">
        <f>G43</f>
        <v>1.9693049614784713E-2</v>
      </c>
      <c r="S24" s="58" t="s">
        <v>76</v>
      </c>
      <c r="T24" s="56">
        <v>1E-4</v>
      </c>
      <c r="U24" s="55" t="s">
        <v>73</v>
      </c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</row>
    <row r="25" spans="1:33" ht="19" x14ac:dyDescent="0.25">
      <c r="A25" s="1">
        <v>10.36</v>
      </c>
      <c r="B25" s="1">
        <v>33.4</v>
      </c>
      <c r="C25" s="1">
        <f t="shared" si="2"/>
        <v>1115.56</v>
      </c>
      <c r="D25" s="19">
        <f t="shared" si="3"/>
        <v>346.02399999999994</v>
      </c>
      <c r="E25" s="19">
        <f t="shared" si="4"/>
        <v>10.95768</v>
      </c>
      <c r="F25" s="19">
        <f t="shared" si="5"/>
        <v>0.35722138240000051</v>
      </c>
      <c r="G25" s="19">
        <f t="shared" si="6"/>
        <v>0.87609599999999987</v>
      </c>
      <c r="H25" s="19">
        <f t="shared" si="7"/>
        <v>-19.200000000000003</v>
      </c>
      <c r="I25" s="19">
        <f t="shared" si="0"/>
        <v>368.6400000000001</v>
      </c>
      <c r="J25" s="19">
        <f t="shared" si="1"/>
        <v>107.32959999999999</v>
      </c>
      <c r="L25" s="5"/>
      <c r="M25" s="5"/>
      <c r="N25" s="5"/>
      <c r="O25" s="5"/>
      <c r="P25" s="5"/>
      <c r="Q25" s="5"/>
      <c r="R25" s="5"/>
      <c r="S25" s="5"/>
      <c r="T25" s="5"/>
    </row>
    <row r="26" spans="1:33" ht="19" x14ac:dyDescent="0.25">
      <c r="A26" s="1">
        <v>11.08</v>
      </c>
      <c r="B26" s="1">
        <v>28.6</v>
      </c>
      <c r="C26" s="1">
        <f t="shared" si="2"/>
        <v>817.96</v>
      </c>
      <c r="D26" s="19">
        <f t="shared" si="3"/>
        <v>316.88800000000003</v>
      </c>
      <c r="E26" s="19">
        <f t="shared" si="4"/>
        <v>11.340719999999999</v>
      </c>
      <c r="F26" s="19">
        <f t="shared" si="5"/>
        <v>6.797491839999957E-2</v>
      </c>
      <c r="G26" s="19">
        <f t="shared" si="6"/>
        <v>2.7423360000000021</v>
      </c>
      <c r="H26" s="19">
        <f t="shared" si="7"/>
        <v>-24</v>
      </c>
      <c r="I26" s="19">
        <f t="shared" si="0"/>
        <v>576</v>
      </c>
      <c r="J26" s="19">
        <f t="shared" si="1"/>
        <v>122.7664</v>
      </c>
      <c r="L26" s="5"/>
      <c r="M26" s="5"/>
      <c r="N26" s="5"/>
      <c r="O26" s="5"/>
      <c r="P26" s="5"/>
      <c r="Q26" s="5"/>
      <c r="R26" s="5"/>
      <c r="S26" s="5"/>
      <c r="T26" s="5"/>
    </row>
    <row r="27" spans="1:33" ht="19" x14ac:dyDescent="0.25">
      <c r="A27" s="1"/>
      <c r="B27" s="1"/>
      <c r="C27" s="1"/>
      <c r="D27" s="11"/>
      <c r="E27" s="11"/>
      <c r="F27" s="11"/>
      <c r="G27" s="11"/>
      <c r="H27" s="11"/>
      <c r="I27" s="11"/>
      <c r="J27" s="11"/>
      <c r="L27" s="5"/>
      <c r="M27" s="5"/>
      <c r="N27" s="5"/>
      <c r="O27" s="5"/>
      <c r="P27" s="5"/>
      <c r="Q27" s="5"/>
      <c r="R27" s="5"/>
      <c r="S27" s="5"/>
      <c r="T27" s="5"/>
    </row>
    <row r="28" spans="1:33" s="2" customFormat="1" ht="19" x14ac:dyDescent="0.25">
      <c r="A28" s="49" t="s">
        <v>69</v>
      </c>
      <c r="B28" s="49" t="s">
        <v>64</v>
      </c>
      <c r="C28" s="49"/>
      <c r="D28" s="42"/>
      <c r="E28" s="42"/>
      <c r="F28" s="42" t="s">
        <v>74</v>
      </c>
      <c r="G28" s="42" t="s">
        <v>70</v>
      </c>
      <c r="H28" s="42" t="s">
        <v>66</v>
      </c>
      <c r="I28" s="42" t="s">
        <v>67</v>
      </c>
      <c r="J28" s="42"/>
      <c r="K28" s="46"/>
      <c r="L28" s="52"/>
      <c r="M28" s="52"/>
      <c r="N28" s="52"/>
      <c r="O28" s="52"/>
      <c r="P28" s="52"/>
      <c r="Q28" s="52"/>
      <c r="R28" s="52"/>
      <c r="S28" s="52"/>
      <c r="T28" s="52"/>
    </row>
    <row r="29" spans="1:33" x14ac:dyDescent="0.2">
      <c r="A29" s="1">
        <f>AVERAGE(A2:A26)</f>
        <v>9.4240000000000013</v>
      </c>
      <c r="B29" s="1">
        <f>AVERAGE(B2:B26)</f>
        <v>52.59999999999998</v>
      </c>
      <c r="C29" s="1"/>
      <c r="F29">
        <f>AVERAGE(F2:F26)</f>
        <v>0.7289384678719999</v>
      </c>
      <c r="G29">
        <f>SUM(G2:G26)</f>
        <v>63.815799999999989</v>
      </c>
      <c r="H29">
        <f>SUM(H2:H26)</f>
        <v>-3.5527136788005009E-14</v>
      </c>
      <c r="I29">
        <f>SUM(I2:I26)</f>
        <v>7154.4200000000019</v>
      </c>
    </row>
    <row r="30" spans="1:33" x14ac:dyDescent="0.2">
      <c r="A30" s="1"/>
      <c r="B30" s="1"/>
      <c r="C30" s="1"/>
      <c r="H30" s="11"/>
      <c r="I30" s="11"/>
    </row>
    <row r="31" spans="1:33" x14ac:dyDescent="0.2">
      <c r="A31" s="2" t="s">
        <v>31</v>
      </c>
      <c r="B31" s="2" t="s">
        <v>32</v>
      </c>
      <c r="C31" s="2" t="s">
        <v>33</v>
      </c>
      <c r="D31" s="2" t="s">
        <v>34</v>
      </c>
      <c r="E31" s="2" t="s">
        <v>59</v>
      </c>
      <c r="F31" s="12" t="s">
        <v>30</v>
      </c>
      <c r="G31" s="13" t="s">
        <v>36</v>
      </c>
      <c r="H31" s="41"/>
      <c r="I31" s="41"/>
      <c r="J31" s="41"/>
    </row>
    <row r="32" spans="1:33" x14ac:dyDescent="0.2">
      <c r="A32">
        <f>SUM(A2:A26)</f>
        <v>235.60000000000005</v>
      </c>
      <c r="B32">
        <f>SUM(B2:B26)</f>
        <v>1314.9999999999995</v>
      </c>
      <c r="C32">
        <f>SUM(C2:C26)</f>
        <v>76323.42</v>
      </c>
      <c r="D32">
        <f>SUM(D2:D26)</f>
        <v>11821.432000000003</v>
      </c>
      <c r="E32">
        <f>SUM(J2:J26)</f>
        <v>2284.1102000000001</v>
      </c>
      <c r="F32" s="9">
        <f>SUM(F2:F26)</f>
        <v>18.223461696799998</v>
      </c>
      <c r="G32" s="14">
        <f>SUM(G2:G26)</f>
        <v>63.815799999999989</v>
      </c>
      <c r="H32" s="11"/>
      <c r="I32" s="11"/>
      <c r="J32" s="11"/>
    </row>
    <row r="33" spans="1:10" x14ac:dyDescent="0.2">
      <c r="A33" s="16" t="s">
        <v>35</v>
      </c>
      <c r="F33" s="11"/>
      <c r="G33" s="11"/>
      <c r="H33" s="11"/>
      <c r="I33" s="11"/>
      <c r="J33" s="11"/>
    </row>
    <row r="34" spans="1:10" x14ac:dyDescent="0.2">
      <c r="A34" s="17">
        <f>AVERAGE(A2:A26)</f>
        <v>9.4240000000000013</v>
      </c>
      <c r="F34" s="11"/>
      <c r="G34" s="11"/>
      <c r="H34" s="11"/>
      <c r="I34" s="11"/>
      <c r="J34" s="11"/>
    </row>
    <row r="35" spans="1:10" x14ac:dyDescent="0.2">
      <c r="F35" s="22" t="s">
        <v>40</v>
      </c>
      <c r="G35" s="34" t="s">
        <v>42</v>
      </c>
      <c r="H35" s="42"/>
      <c r="I35" s="42"/>
      <c r="J35" s="42"/>
    </row>
    <row r="36" spans="1:10" x14ac:dyDescent="0.2">
      <c r="F36" s="23">
        <f>ROUND(G32-F32, 4)</f>
        <v>45.592300000000002</v>
      </c>
      <c r="G36" s="26">
        <f>ROUND(P10/P11, 4)</f>
        <v>57.542499999999997</v>
      </c>
      <c r="H36" s="11"/>
      <c r="I36" s="11"/>
      <c r="J36" s="11"/>
    </row>
    <row r="37" spans="1:10" x14ac:dyDescent="0.2">
      <c r="A37" s="8" t="s">
        <v>27</v>
      </c>
      <c r="H37" s="11"/>
      <c r="I37" s="11"/>
      <c r="J37" s="11"/>
    </row>
    <row r="38" spans="1:10" x14ac:dyDescent="0.2">
      <c r="A38" t="s">
        <v>23</v>
      </c>
      <c r="B38">
        <f>D32-(A32*B32)/M4</f>
        <v>-571.12799999999515</v>
      </c>
      <c r="F38" s="20" t="s">
        <v>41</v>
      </c>
      <c r="G38" s="36" t="s">
        <v>56</v>
      </c>
      <c r="H38" s="42"/>
      <c r="I38" s="42"/>
      <c r="J38" s="42"/>
    </row>
    <row r="39" spans="1:10" x14ac:dyDescent="0.2">
      <c r="A39" t="s">
        <v>24</v>
      </c>
      <c r="B39">
        <f>C32-(B32^2)/M4</f>
        <v>7154.4200000000419</v>
      </c>
      <c r="F39" s="21">
        <f>F32/M11</f>
        <v>0.79232442159999994</v>
      </c>
      <c r="G39" s="35">
        <f>ROUND(SQRT(P11),4)</f>
        <v>0.8901</v>
      </c>
      <c r="H39" s="11"/>
      <c r="I39" s="11"/>
      <c r="J39" s="11"/>
    </row>
    <row r="40" spans="1:10" x14ac:dyDescent="0.2">
      <c r="A40" t="s">
        <v>25</v>
      </c>
      <c r="B40" s="33">
        <f>ROUND(B38/B39, 4)</f>
        <v>-7.9799999999999996E-2</v>
      </c>
      <c r="J40" s="11"/>
    </row>
    <row r="41" spans="1:10" x14ac:dyDescent="0.2">
      <c r="A41" t="s">
        <v>26</v>
      </c>
      <c r="B41" s="32">
        <f>ROUND(A32/M4 - (B40*B32/M4), 4)</f>
        <v>13.621499999999999</v>
      </c>
      <c r="F41" t="s">
        <v>65</v>
      </c>
    </row>
    <row r="42" spans="1:10" x14ac:dyDescent="0.2">
      <c r="F42">
        <f>SQRT(F32/(M4-2))</f>
        <v>0.89012607062145976</v>
      </c>
      <c r="G42" s="50">
        <f>ROUND(SQRT((1/M4)+(B29^2)/I29)*F42, 4)</f>
        <v>0.58150000000000002</v>
      </c>
      <c r="H42" t="s">
        <v>68</v>
      </c>
    </row>
    <row r="43" spans="1:10" x14ac:dyDescent="0.2">
      <c r="A43" t="s">
        <v>57</v>
      </c>
      <c r="B43">
        <f>E32-(A32^2)/M4</f>
        <v>63.815799999999399</v>
      </c>
      <c r="G43" s="53">
        <f>SQRT((((1/(M4-2))*G29))/I29)</f>
        <v>1.9693049614784713E-2</v>
      </c>
      <c r="H43" t="s">
        <v>72</v>
      </c>
    </row>
    <row r="44" spans="1:10" x14ac:dyDescent="0.2">
      <c r="A44" s="43" t="s">
        <v>60</v>
      </c>
      <c r="B44" s="43">
        <f xml:space="preserve"> ROUND( 1-(N11/B43), 4)</f>
        <v>0.71440000000000003</v>
      </c>
    </row>
    <row r="47" spans="1:10" x14ac:dyDescent="0.2">
      <c r="A47" t="s">
        <v>71</v>
      </c>
      <c r="B47">
        <f>F42/SQRT(B48)</f>
        <v>3.2230891141374267E-3</v>
      </c>
    </row>
    <row r="48" spans="1:10" x14ac:dyDescent="0.2">
      <c r="A48" t="s">
        <v>75</v>
      </c>
      <c r="B48">
        <f>C32-(B32/M4)</f>
        <v>76270.819999999992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Williams</dc:creator>
  <cp:lastModifiedBy>Tamara Williams</cp:lastModifiedBy>
  <dcterms:created xsi:type="dcterms:W3CDTF">2017-09-22T22:53:28Z</dcterms:created>
  <dcterms:modified xsi:type="dcterms:W3CDTF">2017-09-23T03:01:21Z</dcterms:modified>
</cp:coreProperties>
</file>