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fcaf58e44607b/デスクトップ/自己研鑽用/FT勉強会/市場リスクの計量化とVaR/"/>
    </mc:Choice>
  </mc:AlternateContent>
  <xr:revisionPtr revIDLastSave="1290" documentId="8_{19595C57-ACF1-4EF3-84A1-12E6C9FE8EC7}" xr6:coauthVersionLast="46" xr6:coauthVersionMax="46" xr10:uidLastSave="{16F9D0FA-110C-4C2B-A19A-EDC86A519332}"/>
  <bookViews>
    <workbookView xWindow="-98" yWindow="-98" windowWidth="20715" windowHeight="13875" firstSheet="3" activeTab="6" xr2:uid="{C899B427-FC1A-4D74-B424-971B0F183AD8}"/>
  </bookViews>
  <sheets>
    <sheet name="Section1" sheetId="1" r:id="rId1"/>
    <sheet name="Section1-2" sheetId="5" r:id="rId2"/>
    <sheet name="回帰分析②" sheetId="4" r:id="rId3"/>
    <sheet name="Section2" sheetId="6" r:id="rId4"/>
    <sheet name="Section3-1" sheetId="7" r:id="rId5"/>
    <sheet name="Section3-2" sheetId="8" r:id="rId6"/>
    <sheet name="Section4-1" sheetId="9" r:id="rId7"/>
  </sheets>
  <definedNames>
    <definedName name="solver_adj" localSheetId="0" hidden="1">Section1!#REF!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Section1!#REF!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J22" i="9"/>
  <c r="I7" i="9"/>
  <c r="I16" i="9" s="1"/>
  <c r="I6" i="9"/>
  <c r="J24" i="9" s="1"/>
  <c r="I5" i="9"/>
  <c r="J23" i="9" s="1"/>
  <c r="I4" i="9"/>
  <c r="I13" i="9" s="1"/>
  <c r="J3" i="8"/>
  <c r="I4" i="8"/>
  <c r="J4" i="8"/>
  <c r="H4" i="8"/>
  <c r="H3" i="8"/>
  <c r="D4" i="8"/>
  <c r="C7" i="7"/>
  <c r="C5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" i="7"/>
  <c r="C6" i="7"/>
  <c r="D9" i="8"/>
  <c r="D8" i="8"/>
  <c r="D7" i="8"/>
  <c r="D3" i="8"/>
  <c r="D5" i="8"/>
  <c r="I3" i="8"/>
  <c r="E23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4" i="8"/>
  <c r="E5" i="8"/>
  <c r="E3" i="8"/>
  <c r="S5" i="7"/>
  <c r="M6" i="7"/>
  <c r="M7" i="7"/>
  <c r="M8" i="7"/>
  <c r="M9" i="7"/>
  <c r="M10" i="7"/>
  <c r="M11" i="7"/>
  <c r="M12" i="7"/>
  <c r="M13" i="7"/>
  <c r="M14" i="7"/>
  <c r="M5" i="7"/>
  <c r="R5" i="7"/>
  <c r="O5" i="7"/>
  <c r="K6" i="7"/>
  <c r="K7" i="7"/>
  <c r="K8" i="7"/>
  <c r="K9" i="7"/>
  <c r="K10" i="7"/>
  <c r="K11" i="7"/>
  <c r="K12" i="7"/>
  <c r="K13" i="7"/>
  <c r="K14" i="7"/>
  <c r="K5" i="7"/>
  <c r="N5" i="7"/>
  <c r="F5" i="7"/>
  <c r="F7" i="7"/>
  <c r="F8" i="7"/>
  <c r="F9" i="7"/>
  <c r="F10" i="7"/>
  <c r="F11" i="7"/>
  <c r="F12" i="7"/>
  <c r="F13" i="7"/>
  <c r="F14" i="7"/>
  <c r="F6" i="7"/>
  <c r="I15" i="9" l="1"/>
  <c r="I14" i="9"/>
  <c r="L12" i="9" s="1" a="1"/>
  <c r="L12" i="9" s="1"/>
  <c r="L21" i="9" a="1"/>
  <c r="L21" i="9" s="1"/>
  <c r="L22" i="9" s="1"/>
  <c r="J25" i="9"/>
  <c r="I8" i="9"/>
  <c r="F15" i="7"/>
  <c r="H23" i="6" a="1"/>
  <c r="H23" i="6" s="1"/>
  <c r="H24" i="6" s="1"/>
  <c r="E27" i="6"/>
  <c r="E26" i="6"/>
  <c r="E25" i="6"/>
  <c r="E24" i="6"/>
  <c r="E23" i="6"/>
  <c r="E22" i="6"/>
  <c r="E21" i="6"/>
  <c r="E20" i="6"/>
  <c r="E19" i="6"/>
  <c r="E18" i="6"/>
  <c r="E17" i="6"/>
  <c r="C17" i="6"/>
  <c r="P10" i="6" l="1"/>
  <c r="P9" i="6"/>
  <c r="P8" i="6"/>
  <c r="H19" i="6"/>
  <c r="J15" i="6"/>
  <c r="I19" i="6" s="1"/>
  <c r="H15" i="6"/>
  <c r="I15" i="6"/>
  <c r="I16" i="6"/>
  <c r="H16" i="6"/>
  <c r="J16" i="6"/>
  <c r="J14" i="6"/>
  <c r="I14" i="6"/>
  <c r="H14" i="6"/>
  <c r="J10" i="6"/>
  <c r="I11" i="6" s="1"/>
  <c r="H10" i="6"/>
  <c r="J9" i="6"/>
  <c r="H11" i="6" s="1"/>
  <c r="I9" i="6"/>
  <c r="J11" i="6"/>
  <c r="H20" i="6" s="1"/>
  <c r="I10" i="6"/>
  <c r="H9" i="6"/>
  <c r="M8" i="6"/>
  <c r="M9" i="6"/>
  <c r="M10" i="6" s="1"/>
  <c r="N10" i="6" s="1"/>
  <c r="L10" i="6"/>
  <c r="L9" i="6"/>
  <c r="Q8" i="6" l="1" a="1"/>
  <c r="Q8" i="6" s="1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I3" i="6" s="1"/>
  <c r="H3" i="6"/>
  <c r="Q10" i="6" l="1"/>
  <c r="Q9" i="6"/>
  <c r="K3" i="5"/>
  <c r="K4" i="5"/>
  <c r="K5" i="5"/>
  <c r="K6" i="5"/>
  <c r="K7" i="5"/>
  <c r="K8" i="5"/>
  <c r="D8" i="5" s="1"/>
  <c r="K9" i="5"/>
  <c r="K10" i="5"/>
  <c r="K11" i="5"/>
  <c r="K12" i="5"/>
  <c r="K13" i="5"/>
  <c r="K14" i="5"/>
  <c r="K15" i="5"/>
  <c r="K16" i="5"/>
  <c r="D16" i="5" s="1"/>
  <c r="K17" i="5"/>
  <c r="K18" i="5"/>
  <c r="K19" i="5"/>
  <c r="K20" i="5"/>
  <c r="K21" i="5"/>
  <c r="K22" i="5"/>
  <c r="K23" i="5"/>
  <c r="K24" i="5"/>
  <c r="D24" i="5" s="1"/>
  <c r="K25" i="5"/>
  <c r="K26" i="5"/>
  <c r="K27" i="5"/>
  <c r="K28" i="5"/>
  <c r="K29" i="5"/>
  <c r="K30" i="5"/>
  <c r="K31" i="5"/>
  <c r="K32" i="5"/>
  <c r="D32" i="5" s="1"/>
  <c r="K33" i="5"/>
  <c r="K34" i="5"/>
  <c r="K35" i="5"/>
  <c r="K36" i="5"/>
  <c r="K37" i="5"/>
  <c r="K38" i="5"/>
  <c r="K39" i="5"/>
  <c r="K40" i="5"/>
  <c r="D40" i="5" s="1"/>
  <c r="K41" i="5"/>
  <c r="K42" i="5"/>
  <c r="K43" i="5"/>
  <c r="K44" i="5"/>
  <c r="K45" i="5"/>
  <c r="K46" i="5"/>
  <c r="K47" i="5"/>
  <c r="K48" i="5"/>
  <c r="D48" i="5" s="1"/>
  <c r="K49" i="5"/>
  <c r="K50" i="5"/>
  <c r="K51" i="5"/>
  <c r="K52" i="5"/>
  <c r="K53" i="5"/>
  <c r="K7" i="1"/>
  <c r="K6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K3" i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4" i="5"/>
  <c r="D6" i="5"/>
  <c r="D12" i="5"/>
  <c r="D13" i="5"/>
  <c r="D14" i="5"/>
  <c r="D19" i="5"/>
  <c r="D21" i="5"/>
  <c r="D22" i="5"/>
  <c r="D27" i="5"/>
  <c r="D29" i="5"/>
  <c r="D30" i="5"/>
  <c r="D36" i="5"/>
  <c r="D37" i="5"/>
  <c r="D38" i="5"/>
  <c r="D44" i="5"/>
  <c r="D45" i="5"/>
  <c r="D46" i="5"/>
  <c r="D51" i="5"/>
  <c r="D5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3" i="5"/>
  <c r="C11" i="1"/>
  <c r="C9" i="1"/>
  <c r="C8" i="1" l="1"/>
  <c r="D49" i="5"/>
  <c r="D41" i="5"/>
  <c r="D33" i="5"/>
  <c r="D25" i="5"/>
  <c r="D17" i="5"/>
  <c r="D9" i="5"/>
  <c r="D47" i="5"/>
  <c r="D39" i="5"/>
  <c r="D31" i="5"/>
  <c r="D23" i="5"/>
  <c r="D15" i="5"/>
  <c r="D7" i="5"/>
  <c r="D50" i="5"/>
  <c r="D42" i="5"/>
  <c r="D34" i="5"/>
  <c r="D26" i="5"/>
  <c r="D18" i="5"/>
  <c r="D10" i="5"/>
  <c r="D28" i="5"/>
  <c r="D52" i="5"/>
  <c r="D20" i="5"/>
  <c r="D43" i="5"/>
  <c r="D5" i="5"/>
  <c r="D11" i="5"/>
  <c r="D35" i="5"/>
  <c r="N3" i="5"/>
  <c r="C7" i="1"/>
  <c r="C12" i="1"/>
  <c r="C10" i="1"/>
  <c r="C5" i="1"/>
  <c r="C6" i="1"/>
  <c r="C4" i="1"/>
  <c r="D4" i="5"/>
  <c r="R11" i="5" l="1"/>
  <c r="R19" i="5"/>
  <c r="R27" i="5"/>
  <c r="R35" i="5"/>
  <c r="R43" i="5"/>
  <c r="R51" i="5"/>
  <c r="R4" i="5"/>
  <c r="R12" i="5"/>
  <c r="R20" i="5"/>
  <c r="R28" i="5"/>
  <c r="R36" i="5"/>
  <c r="R44" i="5"/>
  <c r="R13" i="5"/>
  <c r="R29" i="5"/>
  <c r="R5" i="5"/>
  <c r="R37" i="5"/>
  <c r="R6" i="5"/>
  <c r="R14" i="5"/>
  <c r="R22" i="5"/>
  <c r="R30" i="5"/>
  <c r="R38" i="5"/>
  <c r="R46" i="5"/>
  <c r="R3" i="5"/>
  <c r="R7" i="5"/>
  <c r="R15" i="5"/>
  <c r="R23" i="5"/>
  <c r="R31" i="5"/>
  <c r="R39" i="5"/>
  <c r="R47" i="5"/>
  <c r="R8" i="5"/>
  <c r="R16" i="5"/>
  <c r="R24" i="5"/>
  <c r="R32" i="5"/>
  <c r="R40" i="5"/>
  <c r="R48" i="5"/>
  <c r="R9" i="5"/>
  <c r="R17" i="5"/>
  <c r="R25" i="5"/>
  <c r="R33" i="5"/>
  <c r="R41" i="5"/>
  <c r="R49" i="5"/>
  <c r="R10" i="5"/>
  <c r="R18" i="5"/>
  <c r="R26" i="5"/>
  <c r="R34" i="5"/>
  <c r="R42" i="5"/>
  <c r="R50" i="5"/>
  <c r="R52" i="5"/>
  <c r="R21" i="5"/>
  <c r="R45" i="5"/>
  <c r="N4" i="5"/>
  <c r="P10" i="5"/>
  <c r="P18" i="5"/>
  <c r="P26" i="5"/>
  <c r="P34" i="5"/>
  <c r="P42" i="5"/>
  <c r="P50" i="5"/>
  <c r="P11" i="5"/>
  <c r="P4" i="5"/>
  <c r="P12" i="5"/>
  <c r="P20" i="5"/>
  <c r="P28" i="5"/>
  <c r="P36" i="5"/>
  <c r="P44" i="5"/>
  <c r="P52" i="5"/>
  <c r="P5" i="5"/>
  <c r="P13" i="5"/>
  <c r="P21" i="5"/>
  <c r="P29" i="5"/>
  <c r="P37" i="5"/>
  <c r="P45" i="5"/>
  <c r="P6" i="5"/>
  <c r="P14" i="5"/>
  <c r="P22" i="5"/>
  <c r="P30" i="5"/>
  <c r="P38" i="5"/>
  <c r="P46" i="5"/>
  <c r="P7" i="5"/>
  <c r="P15" i="5"/>
  <c r="P23" i="5"/>
  <c r="P31" i="5"/>
  <c r="P39" i="5"/>
  <c r="P47" i="5"/>
  <c r="P8" i="5"/>
  <c r="P16" i="5"/>
  <c r="P24" i="5"/>
  <c r="P32" i="5"/>
  <c r="P40" i="5"/>
  <c r="P48" i="5"/>
  <c r="P9" i="5"/>
  <c r="P17" i="5"/>
  <c r="P25" i="5"/>
  <c r="P33" i="5"/>
  <c r="P41" i="5"/>
  <c r="P49" i="5"/>
  <c r="P19" i="5"/>
  <c r="P27" i="5"/>
  <c r="P35" i="5"/>
  <c r="P43" i="5"/>
  <c r="P51" i="5"/>
  <c r="P3" i="5"/>
  <c r="K5" i="1"/>
  <c r="H3" i="5" l="1"/>
  <c r="G3" i="5"/>
  <c r="Q4" i="5"/>
  <c r="S4" i="5"/>
  <c r="S12" i="5"/>
  <c r="S20" i="5"/>
  <c r="S28" i="5"/>
  <c r="S36" i="5"/>
  <c r="S44" i="5"/>
  <c r="S52" i="5"/>
  <c r="S5" i="5"/>
  <c r="S13" i="5"/>
  <c r="S21" i="5"/>
  <c r="S29" i="5"/>
  <c r="S37" i="5"/>
  <c r="S45" i="5"/>
  <c r="S22" i="5"/>
  <c r="S3" i="5"/>
  <c r="S6" i="5"/>
  <c r="S30" i="5"/>
  <c r="S38" i="5"/>
  <c r="S7" i="5"/>
  <c r="S15" i="5"/>
  <c r="S23" i="5"/>
  <c r="S31" i="5"/>
  <c r="S39" i="5"/>
  <c r="S47" i="5"/>
  <c r="S8" i="5"/>
  <c r="S16" i="5"/>
  <c r="S24" i="5"/>
  <c r="S32" i="5"/>
  <c r="S40" i="5"/>
  <c r="S48" i="5"/>
  <c r="S9" i="5"/>
  <c r="S17" i="5"/>
  <c r="S25" i="5"/>
  <c r="S33" i="5"/>
  <c r="S41" i="5"/>
  <c r="S49" i="5"/>
  <c r="S10" i="5"/>
  <c r="S18" i="5"/>
  <c r="S26" i="5"/>
  <c r="S34" i="5"/>
  <c r="S42" i="5"/>
  <c r="S50" i="5"/>
  <c r="S11" i="5"/>
  <c r="S19" i="5"/>
  <c r="S27" i="5"/>
  <c r="S35" i="5"/>
  <c r="S43" i="5"/>
  <c r="S51" i="5"/>
  <c r="S14" i="5"/>
  <c r="S46" i="5"/>
  <c r="Q34" i="5"/>
  <c r="Q10" i="5"/>
  <c r="Q27" i="5"/>
  <c r="Q42" i="5"/>
  <c r="Q51" i="5"/>
  <c r="Q19" i="5"/>
  <c r="Q3" i="5"/>
  <c r="Q7" i="5"/>
  <c r="Q20" i="5"/>
  <c r="Q52" i="5"/>
  <c r="Q11" i="5"/>
  <c r="Q9" i="5"/>
  <c r="Q16" i="5"/>
  <c r="Q14" i="5"/>
  <c r="Q46" i="5"/>
  <c r="Q39" i="5"/>
  <c r="Q36" i="5"/>
  <c r="Q47" i="5"/>
  <c r="Q31" i="5"/>
  <c r="Q8" i="5"/>
  <c r="Q12" i="5"/>
  <c r="Q38" i="5"/>
  <c r="Q37" i="5"/>
  <c r="Q28" i="5"/>
  <c r="Q13" i="5"/>
  <c r="Q45" i="5"/>
  <c r="Q35" i="5"/>
  <c r="Q30" i="5"/>
  <c r="Q5" i="5"/>
  <c r="Q50" i="5"/>
  <c r="Q49" i="5"/>
  <c r="Q21" i="5"/>
  <c r="Q33" i="5"/>
  <c r="Q40" i="5"/>
  <c r="Q24" i="5"/>
  <c r="Q22" i="5"/>
  <c r="Q44" i="5"/>
  <c r="Q43" i="5"/>
  <c r="Q41" i="5"/>
  <c r="Q48" i="5"/>
  <c r="Q17" i="5"/>
  <c r="Q6" i="5"/>
  <c r="Q15" i="5"/>
  <c r="Q26" i="5"/>
  <c r="Q25" i="5"/>
  <c r="Q32" i="5"/>
  <c r="Q23" i="5"/>
  <c r="Q29" i="5"/>
  <c r="Q18" i="5"/>
  <c r="I3" i="5" l="1"/>
  <c r="C3" i="1"/>
  <c r="K4" i="1" s="1"/>
  <c r="D4" i="1"/>
  <c r="D5" i="1"/>
  <c r="D6" i="1"/>
  <c r="D7" i="1"/>
  <c r="D8" i="1"/>
  <c r="D9" i="1"/>
  <c r="D10" i="1"/>
  <c r="D11" i="1"/>
  <c r="D12" i="1"/>
  <c r="D3" i="1"/>
  <c r="K2" i="1" l="1"/>
  <c r="H5" i="7" l="1"/>
  <c r="C8" i="7"/>
  <c r="H13" i="7"/>
  <c r="H10" i="7"/>
  <c r="H12" i="7"/>
  <c r="H6" i="7"/>
  <c r="H7" i="7"/>
  <c r="H9" i="7" l="1"/>
  <c r="H8" i="7"/>
  <c r="H11" i="7"/>
  <c r="P5" i="7" s="1"/>
  <c r="H14" i="7"/>
  <c r="H15" i="7" l="1"/>
  <c r="L11" i="7"/>
  <c r="L5" i="7"/>
  <c r="L8" i="7"/>
  <c r="L9" i="7"/>
  <c r="L12" i="7"/>
  <c r="L13" i="7"/>
  <c r="L6" i="7"/>
  <c r="L14" i="7"/>
  <c r="L10" i="7"/>
  <c r="L7" i="7"/>
  <c r="Q5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<sst xmlns="http://schemas.openxmlformats.org/spreadsheetml/2006/main" count="140" uniqueCount="91">
  <si>
    <t>日付</t>
    <rPh sb="0" eb="2">
      <t>ヒヅケ</t>
    </rPh>
    <phoneticPr fontId="1"/>
  </si>
  <si>
    <t>株式ポートフォリオの日次収益率</t>
    <rPh sb="0" eb="2">
      <t>カブシキ</t>
    </rPh>
    <rPh sb="10" eb="12">
      <t>ニチジ</t>
    </rPh>
    <rPh sb="12" eb="14">
      <t>シュウエキ</t>
    </rPh>
    <rPh sb="14" eb="15">
      <t>リツ</t>
    </rPh>
    <phoneticPr fontId="1"/>
  </si>
  <si>
    <t>TOPIXの
日次収益率</t>
    <rPh sb="7" eb="9">
      <t>ニチジ</t>
    </rPh>
    <rPh sb="9" eb="11">
      <t>シュウエキ</t>
    </rPh>
    <rPh sb="11" eb="12">
      <t>リツ</t>
    </rPh>
    <phoneticPr fontId="1"/>
  </si>
  <si>
    <t>日次ボラティリティ</t>
    <rPh sb="0" eb="2">
      <t>ニチジ</t>
    </rPh>
    <phoneticPr fontId="1"/>
  </si>
  <si>
    <t>収益率と平均の差</t>
    <rPh sb="0" eb="2">
      <t>シュウエキ</t>
    </rPh>
    <rPh sb="2" eb="3">
      <t>リツ</t>
    </rPh>
    <rPh sb="4" eb="6">
      <t>ヘイキン</t>
    </rPh>
    <rPh sb="7" eb="8">
      <t>サ</t>
    </rPh>
    <phoneticPr fontId="1"/>
  </si>
  <si>
    <t>VaR_99%</t>
    <phoneticPr fontId="1"/>
  </si>
  <si>
    <t>感応度</t>
    <rPh sb="0" eb="3">
      <t>カンノウド</t>
    </rPh>
    <phoneticPr fontId="1"/>
  </si>
  <si>
    <t>10日間の平均感応度</t>
    <rPh sb="2" eb="4">
      <t>ニチカン</t>
    </rPh>
    <rPh sb="5" eb="7">
      <t>ヘイキン</t>
    </rPh>
    <rPh sb="7" eb="10">
      <t>カンノウド</t>
    </rPh>
    <phoneticPr fontId="1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</si>
  <si>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</si>
  <si>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</si>
  <si>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</si>
  <si>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</si>
  <si>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</si>
  <si>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</si>
  <si>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</si>
  <si>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</si>
  <si>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</si>
  <si>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</si>
  <si>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</si>
  <si>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</si>
  <si>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</si>
  <si>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</si>
  <si>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</si>
  <si>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</si>
  <si>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</si>
  <si>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</si>
  <si>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</si>
  <si>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</si>
  <si>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</si>
  <si>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</si>
  <si>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</si>
  <si>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</si>
  <si>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</si>
  <si>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株式ポートフォリオの変化率</t>
    <rPh sb="0" eb="2">
      <t>カブシキ</t>
    </rPh>
    <rPh sb="10" eb="12">
      <t>ヘンカ</t>
    </rPh>
    <rPh sb="12" eb="13">
      <t>リツ</t>
    </rPh>
    <phoneticPr fontId="1"/>
  </si>
  <si>
    <t>TOPIXの
変化率</t>
    <rPh sb="7" eb="9">
      <t>ヘンカ</t>
    </rPh>
    <rPh sb="9" eb="10">
      <t>リツ</t>
    </rPh>
    <phoneticPr fontId="1"/>
  </si>
  <si>
    <t>ベータ</t>
    <phoneticPr fontId="1"/>
  </si>
  <si>
    <t>データ</t>
    <phoneticPr fontId="1"/>
  </si>
  <si>
    <t>自然対数</t>
    <rPh sb="0" eb="2">
      <t>シゼン</t>
    </rPh>
    <rPh sb="2" eb="4">
      <t>タイスウ</t>
    </rPh>
    <phoneticPr fontId="1"/>
  </si>
  <si>
    <t>常用対数</t>
    <rPh sb="0" eb="2">
      <t>ジョウヨウ</t>
    </rPh>
    <rPh sb="2" eb="4">
      <t>タイスウ</t>
    </rPh>
    <phoneticPr fontId="1"/>
  </si>
  <si>
    <t>常数平均</t>
    <rPh sb="0" eb="2">
      <t>ジョウスウ</t>
    </rPh>
    <rPh sb="2" eb="4">
      <t>ヘイキン</t>
    </rPh>
    <phoneticPr fontId="1"/>
  </si>
  <si>
    <t>対数平均</t>
    <rPh sb="0" eb="2">
      <t>タイスウ</t>
    </rPh>
    <rPh sb="2" eb="4">
      <t>ヘイキン</t>
    </rPh>
    <phoneticPr fontId="1"/>
  </si>
  <si>
    <t>2乗誤差</t>
    <rPh sb="1" eb="2">
      <t>ジョウ</t>
    </rPh>
    <rPh sb="2" eb="4">
      <t>ゴサ</t>
    </rPh>
    <phoneticPr fontId="1"/>
  </si>
  <si>
    <t>共分散</t>
    <rPh sb="0" eb="3">
      <t>キョウブンサン</t>
    </rPh>
    <phoneticPr fontId="1"/>
  </si>
  <si>
    <t>分散</t>
    <rPh sb="0" eb="2">
      <t>ブンサン</t>
    </rPh>
    <phoneticPr fontId="1"/>
  </si>
  <si>
    <t>算術収益率</t>
    <rPh sb="0" eb="2">
      <t>サンジュツ</t>
    </rPh>
    <rPh sb="2" eb="4">
      <t>シュウエキ</t>
    </rPh>
    <rPh sb="4" eb="5">
      <t>リツ</t>
    </rPh>
    <phoneticPr fontId="1"/>
  </si>
  <si>
    <t>対数収益率</t>
    <rPh sb="0" eb="2">
      <t>タイスウ</t>
    </rPh>
    <rPh sb="2" eb="4">
      <t>シュウエキ</t>
    </rPh>
    <rPh sb="4" eb="5">
      <t>リツ</t>
    </rPh>
    <phoneticPr fontId="1"/>
  </si>
  <si>
    <t>絶対値</t>
    <rPh sb="0" eb="3">
      <t>ゼッタイチ</t>
    </rPh>
    <phoneticPr fontId="1"/>
  </si>
  <si>
    <t>統計検定量</t>
    <rPh sb="0" eb="2">
      <t>トウケイ</t>
    </rPh>
    <rPh sb="2" eb="4">
      <t>ケンテイ</t>
    </rPh>
    <rPh sb="4" eb="5">
      <t>リョウ</t>
    </rPh>
    <phoneticPr fontId="1"/>
  </si>
  <si>
    <t>米国株ポートフォリオの価値</t>
    <rPh sb="0" eb="2">
      <t>ベイコク</t>
    </rPh>
    <rPh sb="2" eb="3">
      <t>カブ</t>
    </rPh>
    <rPh sb="11" eb="13">
      <t>カチ</t>
    </rPh>
    <phoneticPr fontId="1"/>
  </si>
  <si>
    <t>S&amp;P</t>
  </si>
  <si>
    <t>S&amp;P</t>
    <phoneticPr fontId="1"/>
  </si>
  <si>
    <t>円/米ドルレート</t>
    <rPh sb="0" eb="1">
      <t>エン</t>
    </rPh>
    <rPh sb="2" eb="3">
      <t>ベイ</t>
    </rPh>
    <phoneticPr fontId="1"/>
  </si>
  <si>
    <t>収益率</t>
    <rPh sb="0" eb="2">
      <t>シュウエキ</t>
    </rPh>
    <rPh sb="2" eb="3">
      <t>リツ</t>
    </rPh>
    <phoneticPr fontId="1"/>
  </si>
  <si>
    <t>相関行列</t>
    <rPh sb="0" eb="2">
      <t>ソウカン</t>
    </rPh>
    <rPh sb="2" eb="4">
      <t>ギョウレツ</t>
    </rPh>
    <phoneticPr fontId="1"/>
  </si>
  <si>
    <t>行列A</t>
    <rPh sb="0" eb="2">
      <t>ギョウレツ</t>
    </rPh>
    <phoneticPr fontId="1"/>
  </si>
  <si>
    <t>分散共分散行列</t>
    <rPh sb="0" eb="2">
      <t>ブンサン</t>
    </rPh>
    <rPh sb="2" eb="5">
      <t>キョウブンサン</t>
    </rPh>
    <rPh sb="5" eb="7">
      <t>ギョウレツ</t>
    </rPh>
    <phoneticPr fontId="1"/>
  </si>
  <si>
    <t>相関係数行列</t>
    <rPh sb="0" eb="2">
      <t>ソウカン</t>
    </rPh>
    <rPh sb="2" eb="4">
      <t>ケイスウ</t>
    </rPh>
    <rPh sb="4" eb="6">
      <t>ギョウレツ</t>
    </rPh>
    <phoneticPr fontId="1"/>
  </si>
  <si>
    <t>標準偏差</t>
    <rPh sb="0" eb="2">
      <t>ヒョウジュン</t>
    </rPh>
    <rPh sb="2" eb="4">
      <t>ヘンサ</t>
    </rPh>
    <phoneticPr fontId="1"/>
  </si>
  <si>
    <t>相関係数</t>
    <rPh sb="0" eb="2">
      <t>ソウカン</t>
    </rPh>
    <rPh sb="2" eb="4">
      <t>ケイスウ</t>
    </rPh>
    <phoneticPr fontId="1"/>
  </si>
  <si>
    <t>米国株ポートフォリオ</t>
    <rPh sb="0" eb="2">
      <t>ベイコク</t>
    </rPh>
    <rPh sb="2" eb="3">
      <t>カブ</t>
    </rPh>
    <phoneticPr fontId="1"/>
  </si>
  <si>
    <t>99%VaR</t>
    <phoneticPr fontId="1"/>
  </si>
  <si>
    <t>e_i</t>
    <phoneticPr fontId="1"/>
  </si>
  <si>
    <t>ε_i</t>
    <phoneticPr fontId="1"/>
  </si>
  <si>
    <t>su</t>
    <phoneticPr fontId="1"/>
  </si>
  <si>
    <t>減衰指数</t>
    <rPh sb="0" eb="2">
      <t>ゲンスイ</t>
    </rPh>
    <rPh sb="2" eb="4">
      <t>シスウ</t>
    </rPh>
    <phoneticPr fontId="1"/>
  </si>
  <si>
    <t>時点</t>
    <rPh sb="0" eb="2">
      <t>ジテン</t>
    </rPh>
    <phoneticPr fontId="1"/>
  </si>
  <si>
    <t>ウェイト</t>
    <phoneticPr fontId="1"/>
  </si>
  <si>
    <t>合計</t>
    <rPh sb="0" eb="2">
      <t>ゴウケイ</t>
    </rPh>
    <phoneticPr fontId="1"/>
  </si>
  <si>
    <t>ウェイト累積和</t>
    <rPh sb="4" eb="6">
      <t>ルイセキ</t>
    </rPh>
    <rPh sb="6" eb="7">
      <t>ワ</t>
    </rPh>
    <phoneticPr fontId="1"/>
  </si>
  <si>
    <t>指数ウェイト</t>
    <rPh sb="0" eb="2">
      <t>シスウ</t>
    </rPh>
    <phoneticPr fontId="1"/>
  </si>
  <si>
    <t>修正ウェイト</t>
    <rPh sb="0" eb="2">
      <t>シュウセイ</t>
    </rPh>
    <phoneticPr fontId="1"/>
  </si>
  <si>
    <t>収益率</t>
    <rPh sb="0" eb="2">
      <t>シュウエキ</t>
    </rPh>
    <rPh sb="2" eb="3">
      <t>リツ</t>
    </rPh>
    <phoneticPr fontId="1"/>
  </si>
  <si>
    <t>期待収益率</t>
    <rPh sb="0" eb="2">
      <t>キタイ</t>
    </rPh>
    <rPh sb="2" eb="4">
      <t>シュウエキ</t>
    </rPh>
    <rPh sb="4" eb="5">
      <t>リツ</t>
    </rPh>
    <phoneticPr fontId="1"/>
  </si>
  <si>
    <t>標準偏差</t>
    <rPh sb="0" eb="2">
      <t>ヒョウジュン</t>
    </rPh>
    <rPh sb="2" eb="4">
      <t>ヘンサ</t>
    </rPh>
    <phoneticPr fontId="1"/>
  </si>
  <si>
    <t>2乗誤差</t>
    <rPh sb="1" eb="2">
      <t>ジョウ</t>
    </rPh>
    <rPh sb="2" eb="4">
      <t>ゴサ</t>
    </rPh>
    <phoneticPr fontId="1"/>
  </si>
  <si>
    <t>ウェイトなし</t>
    <phoneticPr fontId="1"/>
  </si>
  <si>
    <t>日次収益率</t>
    <rPh sb="0" eb="5">
      <t>ニチジシュウエキリツ</t>
    </rPh>
    <phoneticPr fontId="1"/>
  </si>
  <si>
    <t>Box-Car法</t>
    <rPh sb="7" eb="8">
      <t>ホウ</t>
    </rPh>
    <phoneticPr fontId="1"/>
  </si>
  <si>
    <t>Moving-Window法</t>
    <rPh sb="13" eb="14">
      <t>ホウ</t>
    </rPh>
    <phoneticPr fontId="1"/>
  </si>
  <si>
    <t>ルートｔ倍法</t>
    <rPh sb="4" eb="5">
      <t>バイ</t>
    </rPh>
    <rPh sb="5" eb="6">
      <t>ホウ</t>
    </rPh>
    <phoneticPr fontId="1"/>
  </si>
  <si>
    <t>CFの発生時点</t>
    <rPh sb="3" eb="7">
      <t>ハッセイジテン</t>
    </rPh>
    <phoneticPr fontId="1"/>
  </si>
  <si>
    <t>CF</t>
    <phoneticPr fontId="1"/>
  </si>
  <si>
    <t>グリッドポイント</t>
    <phoneticPr fontId="1"/>
  </si>
  <si>
    <t>マッピング後CF</t>
    <rPh sb="5" eb="6">
      <t>ゴ</t>
    </rPh>
    <phoneticPr fontId="1"/>
  </si>
  <si>
    <t>【問題5.1】</t>
    <rPh sb="1" eb="3">
      <t>モンダイ</t>
    </rPh>
    <phoneticPr fontId="1"/>
  </si>
  <si>
    <t>【問題5.2】</t>
    <rPh sb="1" eb="3">
      <t>モンダイ</t>
    </rPh>
    <phoneticPr fontId="1"/>
  </si>
  <si>
    <t>分散共分散行列</t>
    <rPh sb="0" eb="7">
      <t>ブンサンキョウブンサンギョウレツ</t>
    </rPh>
    <phoneticPr fontId="1"/>
  </si>
  <si>
    <t>金利</t>
    <rPh sb="0" eb="2">
      <t>キンリ</t>
    </rPh>
    <phoneticPr fontId="1"/>
  </si>
  <si>
    <t>【問題5.3】</t>
    <rPh sb="1" eb="3">
      <t>モンダイ</t>
    </rPh>
    <phoneticPr fontId="1"/>
  </si>
  <si>
    <t>ボラティリティ</t>
    <phoneticPr fontId="1"/>
  </si>
  <si>
    <t>Var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</si>
</sst>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00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5" borderId="24" applyNumberFormat="0" applyFont="0" applyAlignment="0" applyProtection="0">
      <alignment vertical="center"/>
    </xf>
  </cellStyleXfs>
  <cellXfs count="127">
    <xf numFmtId="0" fontId="0" fillId="0" borderId="0" xfId="0">
      <alignment vertical="center"/>
    </xf>
    <xf numFmtId="56" fontId="0" fillId="3" borderId="4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56" fontId="0" fillId="3" borderId="7" xfId="0" applyNumberFormat="1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Continuous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3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2" fillId="2" borderId="18" xfId="0" applyFont="1" applyFill="1" applyBorder="1">
      <alignment vertical="center"/>
    </xf>
    <xf numFmtId="176" fontId="0" fillId="4" borderId="19" xfId="0" applyNumberForma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1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56" fontId="5" fillId="3" borderId="35" xfId="0" applyNumberFormat="1" applyFont="1" applyFill="1" applyBorder="1">
      <alignment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177" fontId="5" fillId="3" borderId="29" xfId="0" applyNumberFormat="1" applyFont="1" applyFill="1" applyBorder="1" applyAlignment="1">
      <alignment horizontal="center" vertical="center"/>
    </xf>
    <xf numFmtId="56" fontId="5" fillId="3" borderId="36" xfId="0" applyNumberFormat="1" applyFont="1" applyFill="1" applyBorder="1">
      <alignment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77" fontId="5" fillId="3" borderId="21" xfId="0" applyNumberFormat="1" applyFont="1" applyFill="1" applyBorder="1" applyAlignment="1">
      <alignment horizontal="center" vertical="center"/>
    </xf>
    <xf numFmtId="56" fontId="5" fillId="3" borderId="37" xfId="0" applyNumberFormat="1" applyFont="1" applyFill="1" applyBorder="1">
      <alignment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177" fontId="5" fillId="3" borderId="23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6" borderId="18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7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38" xfId="0" applyFill="1" applyBorder="1">
      <alignment vertical="center"/>
    </xf>
    <xf numFmtId="0" fontId="0" fillId="6" borderId="39" xfId="0" applyFill="1" applyBorder="1">
      <alignment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26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2" fillId="2" borderId="37" xfId="0" applyFont="1" applyFill="1" applyBorder="1">
      <alignment vertical="center"/>
    </xf>
    <xf numFmtId="0" fontId="2" fillId="2" borderId="35" xfId="0" applyFont="1" applyFill="1" applyBorder="1" applyAlignment="1">
      <alignment vertical="center" wrapText="1"/>
    </xf>
    <xf numFmtId="0" fontId="2" fillId="2" borderId="25" xfId="0" applyFont="1" applyFill="1" applyBorder="1">
      <alignment vertical="center"/>
    </xf>
    <xf numFmtId="0" fontId="2" fillId="2" borderId="32" xfId="0" applyFont="1" applyFill="1" applyBorder="1" applyAlignment="1">
      <alignment vertical="center" wrapText="1"/>
    </xf>
    <xf numFmtId="0" fontId="2" fillId="2" borderId="30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0" fillId="5" borderId="24" xfId="1" applyFont="1" applyBorder="1">
      <alignment vertical="center"/>
    </xf>
    <xf numFmtId="0" fontId="0" fillId="5" borderId="41" xfId="1" applyFont="1" applyBorder="1">
      <alignment vertical="center"/>
    </xf>
    <xf numFmtId="0" fontId="0" fillId="5" borderId="42" xfId="1" applyFont="1" applyBorder="1">
      <alignment vertical="center"/>
    </xf>
    <xf numFmtId="0" fontId="0" fillId="5" borderId="43" xfId="1" applyFont="1" applyBorder="1">
      <alignment vertical="center"/>
    </xf>
    <xf numFmtId="0" fontId="2" fillId="2" borderId="0" xfId="0" applyFont="1" applyFill="1" applyBorder="1">
      <alignment vertical="center"/>
    </xf>
    <xf numFmtId="2" fontId="0" fillId="6" borderId="0" xfId="0" applyNumberFormat="1" applyFill="1">
      <alignment vertical="center"/>
    </xf>
    <xf numFmtId="2" fontId="0" fillId="6" borderId="0" xfId="1" applyNumberFormat="1" applyFont="1" applyFill="1" applyBorder="1">
      <alignment vertical="center"/>
    </xf>
    <xf numFmtId="0" fontId="0" fillId="5" borderId="5" xfId="1" applyFont="1" applyBorder="1">
      <alignment vertical="center"/>
    </xf>
    <xf numFmtId="0" fontId="0" fillId="5" borderId="21" xfId="1" applyFont="1" applyBorder="1">
      <alignment vertical="center"/>
    </xf>
    <xf numFmtId="0" fontId="0" fillId="5" borderId="27" xfId="1" applyFont="1" applyBorder="1">
      <alignment vertical="center"/>
    </xf>
    <xf numFmtId="0" fontId="0" fillId="5" borderId="23" xfId="1" applyFont="1" applyBorder="1">
      <alignment vertical="center"/>
    </xf>
    <xf numFmtId="0" fontId="0" fillId="5" borderId="16" xfId="1" applyFont="1" applyBorder="1">
      <alignment vertical="center"/>
    </xf>
    <xf numFmtId="0" fontId="0" fillId="5" borderId="34" xfId="1" applyFont="1" applyBorder="1">
      <alignment vertical="center"/>
    </xf>
    <xf numFmtId="0" fontId="0" fillId="5" borderId="33" xfId="1" applyFont="1" applyBorder="1">
      <alignment vertical="center"/>
    </xf>
    <xf numFmtId="0" fontId="0" fillId="5" borderId="28" xfId="1" applyFont="1" applyBorder="1">
      <alignment vertical="center"/>
    </xf>
    <xf numFmtId="0" fontId="0" fillId="5" borderId="29" xfId="1" applyFont="1" applyBorder="1">
      <alignment vertical="center"/>
    </xf>
    <xf numFmtId="0" fontId="2" fillId="2" borderId="19" xfId="0" applyFont="1" applyFill="1" applyBorder="1" applyAlignment="1">
      <alignment vertical="center" wrapText="1"/>
    </xf>
    <xf numFmtId="178" fontId="0" fillId="5" borderId="33" xfId="1" applyNumberFormat="1" applyFont="1" applyBorder="1">
      <alignment vertical="center"/>
    </xf>
    <xf numFmtId="178" fontId="0" fillId="5" borderId="28" xfId="1" applyNumberFormat="1" applyFont="1" applyBorder="1">
      <alignment vertical="center"/>
    </xf>
    <xf numFmtId="178" fontId="0" fillId="5" borderId="29" xfId="1" applyNumberFormat="1" applyFont="1" applyBorder="1">
      <alignment vertical="center"/>
    </xf>
    <xf numFmtId="178" fontId="0" fillId="5" borderId="16" xfId="1" applyNumberFormat="1" applyFont="1" applyBorder="1">
      <alignment vertical="center"/>
    </xf>
    <xf numFmtId="178" fontId="0" fillId="5" borderId="5" xfId="1" applyNumberFormat="1" applyFont="1" applyBorder="1">
      <alignment vertical="center"/>
    </xf>
    <xf numFmtId="178" fontId="0" fillId="5" borderId="21" xfId="1" applyNumberFormat="1" applyFont="1" applyBorder="1">
      <alignment vertical="center"/>
    </xf>
    <xf numFmtId="178" fontId="0" fillId="5" borderId="34" xfId="1" applyNumberFormat="1" applyFont="1" applyBorder="1">
      <alignment vertical="center"/>
    </xf>
    <xf numFmtId="178" fontId="0" fillId="5" borderId="27" xfId="1" applyNumberFormat="1" applyFont="1" applyBorder="1">
      <alignment vertical="center"/>
    </xf>
    <xf numFmtId="178" fontId="0" fillId="5" borderId="23" xfId="1" applyNumberFormat="1" applyFont="1" applyBorder="1">
      <alignment vertical="center"/>
    </xf>
    <xf numFmtId="0" fontId="2" fillId="2" borderId="0" xfId="0" applyFont="1" applyFill="1">
      <alignment vertical="center"/>
    </xf>
    <xf numFmtId="0" fontId="2" fillId="2" borderId="44" xfId="0" applyFont="1" applyFill="1" applyBorder="1" applyAlignment="1">
      <alignment vertical="center"/>
    </xf>
    <xf numFmtId="0" fontId="0" fillId="3" borderId="44" xfId="0" applyFill="1" applyBorder="1">
      <alignment vertical="center"/>
    </xf>
    <xf numFmtId="0" fontId="2" fillId="2" borderId="44" xfId="0" applyFont="1" applyFill="1" applyBorder="1">
      <alignment vertical="center"/>
    </xf>
    <xf numFmtId="0" fontId="0" fillId="4" borderId="44" xfId="0" applyFill="1" applyBorder="1">
      <alignment vertical="center"/>
    </xf>
    <xf numFmtId="0" fontId="7" fillId="3" borderId="0" xfId="0" applyFont="1" applyFill="1" applyBorder="1">
      <alignment vertical="center"/>
    </xf>
    <xf numFmtId="0" fontId="8" fillId="3" borderId="44" xfId="0" applyFont="1" applyFill="1" applyBorder="1">
      <alignment vertical="center"/>
    </xf>
    <xf numFmtId="176" fontId="0" fillId="4" borderId="44" xfId="0" applyNumberFormat="1" applyFill="1" applyBorder="1">
      <alignment vertical="center"/>
    </xf>
    <xf numFmtId="0" fontId="0" fillId="7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6" borderId="44" xfId="0" applyFill="1" applyBorder="1">
      <alignment vertical="center"/>
    </xf>
    <xf numFmtId="0" fontId="0" fillId="6" borderId="45" xfId="0" applyFill="1" applyBorder="1">
      <alignment vertical="center"/>
    </xf>
    <xf numFmtId="177" fontId="0" fillId="0" borderId="0" xfId="0" applyNumberFormat="1">
      <alignment vertical="center"/>
    </xf>
    <xf numFmtId="177" fontId="9" fillId="3" borderId="44" xfId="0" applyNumberFormat="1" applyFont="1" applyFill="1" applyBorder="1">
      <alignment vertical="center"/>
    </xf>
    <xf numFmtId="0" fontId="2" fillId="2" borderId="44" xfId="0" applyFont="1" applyFill="1" applyBorder="1" applyAlignment="1">
      <alignment horizontal="center" vertical="center"/>
    </xf>
    <xf numFmtId="0" fontId="0" fillId="0" borderId="44" xfId="0" applyBorder="1">
      <alignment vertical="center"/>
    </xf>
    <xf numFmtId="0" fontId="2" fillId="2" borderId="44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3" borderId="44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44" xfId="0" applyBorder="1" applyAlignment="1">
      <alignment horizontal="center"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EE8A-EECA-4CE7-BC5A-8B2B20CDF87E}">
  <dimension ref="B1:K13"/>
  <sheetViews>
    <sheetView showGridLines="0" workbookViewId="0">
      <selection activeCell="J12" sqref="J12"/>
    </sheetView>
  </sheetViews>
  <sheetFormatPr defaultRowHeight="17.649999999999999" x14ac:dyDescent="0.7"/>
  <cols>
    <col min="2" max="2" width="9.625" customWidth="1"/>
    <col min="3" max="3" width="19.6875" customWidth="1"/>
    <col min="4" max="4" width="15.875" bestFit="1" customWidth="1"/>
    <col min="5" max="5" width="15.625" customWidth="1"/>
    <col min="6" max="6" width="13.125" customWidth="1"/>
    <col min="7" max="7" width="16.1875" customWidth="1"/>
    <col min="8" max="8" width="15.375" customWidth="1"/>
    <col min="10" max="10" width="17.875" customWidth="1"/>
    <col min="11" max="11" width="12.625" bestFit="1" customWidth="1"/>
  </cols>
  <sheetData>
    <row r="1" spans="2:11" ht="18" thickBot="1" x14ac:dyDescent="0.75"/>
    <row r="2" spans="2:11" ht="35.65" thickTop="1" x14ac:dyDescent="0.7">
      <c r="B2" s="7" t="s">
        <v>0</v>
      </c>
      <c r="C2" s="21" t="s">
        <v>6</v>
      </c>
      <c r="D2" s="14" t="s">
        <v>4</v>
      </c>
      <c r="E2" s="8" t="s">
        <v>1</v>
      </c>
      <c r="F2" s="8" t="s">
        <v>2</v>
      </c>
      <c r="G2" s="8" t="s">
        <v>33</v>
      </c>
      <c r="H2" s="9" t="s">
        <v>34</v>
      </c>
      <c r="J2" s="27" t="s">
        <v>3</v>
      </c>
      <c r="K2" s="28">
        <f>SQRT(SUM(D3:D12)/(COUNT(B3:B12)-1))</f>
        <v>0.90700973901423276</v>
      </c>
    </row>
    <row r="3" spans="2:11" x14ac:dyDescent="0.7">
      <c r="B3" s="1">
        <v>44200</v>
      </c>
      <c r="C3" s="22">
        <f>E3/F3</f>
        <v>3.4999999999999996</v>
      </c>
      <c r="D3" s="17">
        <f t="shared" ref="D3:D12" si="0">(E3-AVERAGE($E$3:$E$12))^2</f>
        <v>1.8495999999999997</v>
      </c>
      <c r="E3" s="2">
        <v>-1.4</v>
      </c>
      <c r="F3" s="2">
        <v>-0.4</v>
      </c>
      <c r="G3" s="2">
        <v>-1.4</v>
      </c>
      <c r="H3" s="3">
        <v>-0.4</v>
      </c>
      <c r="J3" s="29" t="s">
        <v>5</v>
      </c>
      <c r="K3" s="19">
        <f>2.336*K2</f>
        <v>2.1187747503372476</v>
      </c>
    </row>
    <row r="4" spans="2:11" x14ac:dyDescent="0.7">
      <c r="B4" s="1">
        <v>44201</v>
      </c>
      <c r="C4" s="22">
        <f t="shared" ref="C4:C12" si="1">G4/H4</f>
        <v>14.999999999999995</v>
      </c>
      <c r="D4" s="17">
        <f t="shared" si="0"/>
        <v>1.9600000000000003E-2</v>
      </c>
      <c r="E4" s="2">
        <v>0.1</v>
      </c>
      <c r="F4" s="2">
        <v>-0.3</v>
      </c>
      <c r="G4" s="2">
        <f>(E4-E3)</f>
        <v>1.5</v>
      </c>
      <c r="H4" s="3">
        <f t="shared" ref="H4:H12" si="2">(F4-F3)</f>
        <v>0.10000000000000003</v>
      </c>
      <c r="J4" s="29" t="s">
        <v>7</v>
      </c>
      <c r="K4" s="19">
        <f>AVERAGE(C3:C12)</f>
        <v>2.8223015873015869</v>
      </c>
    </row>
    <row r="5" spans="2:11" x14ac:dyDescent="0.7">
      <c r="B5" s="1">
        <v>44202</v>
      </c>
      <c r="C5" s="22">
        <f t="shared" si="1"/>
        <v>1.0999999999999999</v>
      </c>
      <c r="D5" s="17">
        <f t="shared" si="0"/>
        <v>1.5376000000000001</v>
      </c>
      <c r="E5" s="2">
        <v>1.2</v>
      </c>
      <c r="F5" s="2">
        <v>0.7</v>
      </c>
      <c r="G5" s="2">
        <f t="shared" ref="G5:G12" si="3">(E5-E4)</f>
        <v>1.0999999999999999</v>
      </c>
      <c r="H5" s="3">
        <f t="shared" si="2"/>
        <v>1</v>
      </c>
      <c r="J5" s="29" t="s">
        <v>35</v>
      </c>
      <c r="K5" s="19">
        <f>K6/K7</f>
        <v>0.41752995225655343</v>
      </c>
    </row>
    <row r="6" spans="2:11" x14ac:dyDescent="0.7">
      <c r="B6" s="1">
        <v>44203</v>
      </c>
      <c r="C6" s="22">
        <f t="shared" si="1"/>
        <v>1</v>
      </c>
      <c r="D6" s="17">
        <f t="shared" si="0"/>
        <v>0.54759999999999998</v>
      </c>
      <c r="E6" s="2">
        <v>0.7</v>
      </c>
      <c r="F6" s="2">
        <v>0.2</v>
      </c>
      <c r="G6" s="2">
        <f t="shared" si="3"/>
        <v>-0.5</v>
      </c>
      <c r="H6" s="3">
        <f t="shared" si="2"/>
        <v>-0.49999999999999994</v>
      </c>
      <c r="J6" s="29" t="s">
        <v>42</v>
      </c>
      <c r="K6" s="19">
        <f>_xlfn.COVARIANCE.S(G3:G12,H3:H12)</f>
        <v>0.5149999999999999</v>
      </c>
    </row>
    <row r="7" spans="2:11" ht="18" thickBot="1" x14ac:dyDescent="0.75">
      <c r="B7" s="1">
        <v>44204</v>
      </c>
      <c r="C7" s="22">
        <f t="shared" si="1"/>
        <v>0.11111111111111119</v>
      </c>
      <c r="D7" s="17">
        <f t="shared" si="0"/>
        <v>0.70560000000000012</v>
      </c>
      <c r="E7" s="2">
        <v>0.8</v>
      </c>
      <c r="F7" s="2">
        <v>1.1000000000000001</v>
      </c>
      <c r="G7" s="2">
        <f t="shared" si="3"/>
        <v>0.10000000000000009</v>
      </c>
      <c r="H7" s="3">
        <f t="shared" si="2"/>
        <v>0.90000000000000013</v>
      </c>
      <c r="J7" s="30" t="s">
        <v>43</v>
      </c>
      <c r="K7" s="20">
        <f>_xlfn.VAR.S(G3:G12)</f>
        <v>1.2334444444444443</v>
      </c>
    </row>
    <row r="8" spans="2:11" x14ac:dyDescent="0.7">
      <c r="B8" s="1">
        <v>44207</v>
      </c>
      <c r="C8" s="22">
        <f t="shared" si="1"/>
        <v>0.74999999999999989</v>
      </c>
      <c r="D8" s="17">
        <f t="shared" si="0"/>
        <v>3.6000000000000012E-3</v>
      </c>
      <c r="E8" s="2">
        <v>-0.1</v>
      </c>
      <c r="F8" s="2">
        <v>-0.1</v>
      </c>
      <c r="G8" s="2">
        <f t="shared" si="3"/>
        <v>-0.9</v>
      </c>
      <c r="H8" s="3">
        <f t="shared" si="2"/>
        <v>-1.2000000000000002</v>
      </c>
    </row>
    <row r="9" spans="2:11" x14ac:dyDescent="0.7">
      <c r="B9" s="1">
        <v>44208</v>
      </c>
      <c r="C9" s="22">
        <f t="shared" si="1"/>
        <v>-3.0000000000000004</v>
      </c>
      <c r="D9" s="17">
        <f t="shared" si="0"/>
        <v>5.7599999999999998E-2</v>
      </c>
      <c r="E9" s="2">
        <v>0.2</v>
      </c>
      <c r="F9" s="2">
        <v>-0.2</v>
      </c>
      <c r="G9" s="2">
        <f t="shared" si="3"/>
        <v>0.30000000000000004</v>
      </c>
      <c r="H9" s="3">
        <f t="shared" si="2"/>
        <v>-0.1</v>
      </c>
    </row>
    <row r="10" spans="2:11" x14ac:dyDescent="0.7">
      <c r="B10" s="1">
        <v>44209</v>
      </c>
      <c r="C10" s="22">
        <f t="shared" si="1"/>
        <v>5.666666666666667</v>
      </c>
      <c r="D10" s="17">
        <f t="shared" si="0"/>
        <v>2.1315999999999997</v>
      </c>
      <c r="E10" s="2">
        <v>-1.5</v>
      </c>
      <c r="F10" s="2">
        <v>-0.5</v>
      </c>
      <c r="G10" s="2">
        <f t="shared" si="3"/>
        <v>-1.7</v>
      </c>
      <c r="H10" s="3">
        <f t="shared" si="2"/>
        <v>-0.3</v>
      </c>
    </row>
    <row r="11" spans="2:11" x14ac:dyDescent="0.7">
      <c r="B11" s="1">
        <v>44210</v>
      </c>
      <c r="C11" s="22">
        <f t="shared" si="1"/>
        <v>2.666666666666667</v>
      </c>
      <c r="D11" s="17">
        <f t="shared" si="0"/>
        <v>0.43559999999999988</v>
      </c>
      <c r="E11" s="2">
        <v>-0.7</v>
      </c>
      <c r="F11" s="2">
        <v>-0.2</v>
      </c>
      <c r="G11" s="2">
        <f t="shared" si="3"/>
        <v>0.8</v>
      </c>
      <c r="H11" s="3">
        <f t="shared" si="2"/>
        <v>0.3</v>
      </c>
    </row>
    <row r="12" spans="2:11" ht="18" thickBot="1" x14ac:dyDescent="0.75">
      <c r="B12" s="4">
        <v>44211</v>
      </c>
      <c r="C12" s="23">
        <f t="shared" si="1"/>
        <v>1.4285714285714286</v>
      </c>
      <c r="D12" s="18">
        <f t="shared" si="0"/>
        <v>0.11559999999999998</v>
      </c>
      <c r="E12" s="5">
        <v>0.3</v>
      </c>
      <c r="F12" s="5">
        <v>0.5</v>
      </c>
      <c r="G12" s="5">
        <f t="shared" si="3"/>
        <v>1</v>
      </c>
      <c r="H12" s="6">
        <f t="shared" si="2"/>
        <v>0.7</v>
      </c>
    </row>
    <row r="13" spans="2:11" ht="18" thickTop="1" x14ac:dyDescent="0.7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F665-57FD-46BF-9DCE-48DC2929E82D}">
  <dimension ref="B1:S54"/>
  <sheetViews>
    <sheetView workbookViewId="0">
      <selection activeCell="G2" sqref="G2:I3"/>
    </sheetView>
  </sheetViews>
  <sheetFormatPr defaultRowHeight="17.649999999999999" x14ac:dyDescent="0.7"/>
  <cols>
    <col min="2" max="4" width="18.125" customWidth="1"/>
    <col min="6" max="6" width="0" hidden="1" customWidth="1"/>
    <col min="7" max="7" width="15.8125" customWidth="1"/>
    <col min="8" max="9" width="14.6875" customWidth="1"/>
    <col min="10" max="10" width="13" bestFit="1" customWidth="1"/>
    <col min="16" max="17" width="12.625" bestFit="1" customWidth="1"/>
    <col min="18" max="19" width="10.125" bestFit="1" customWidth="1"/>
  </cols>
  <sheetData>
    <row r="1" spans="2:19" ht="18" thickBot="1" x14ac:dyDescent="0.75">
      <c r="P1" t="s">
        <v>41</v>
      </c>
      <c r="R1" t="s">
        <v>46</v>
      </c>
    </row>
    <row r="2" spans="2:19" ht="18" thickTop="1" x14ac:dyDescent="0.7">
      <c r="B2" s="24" t="s">
        <v>36</v>
      </c>
      <c r="C2" s="7" t="s">
        <v>44</v>
      </c>
      <c r="D2" s="21" t="s">
        <v>45</v>
      </c>
      <c r="F2" t="s">
        <v>38</v>
      </c>
      <c r="G2" s="7" t="s">
        <v>47</v>
      </c>
      <c r="H2" s="15" t="s">
        <v>44</v>
      </c>
      <c r="I2" s="21" t="s">
        <v>45</v>
      </c>
      <c r="K2" t="s">
        <v>37</v>
      </c>
      <c r="P2" t="s">
        <v>44</v>
      </c>
      <c r="Q2" t="s">
        <v>45</v>
      </c>
      <c r="R2" t="s">
        <v>44</v>
      </c>
      <c r="S2" t="s">
        <v>45</v>
      </c>
    </row>
    <row r="3" spans="2:19" ht="18" thickBot="1" x14ac:dyDescent="0.75">
      <c r="B3" s="25">
        <v>1064</v>
      </c>
      <c r="C3" s="31"/>
      <c r="D3" s="22"/>
      <c r="F3">
        <f>LOG10(B3)</f>
        <v>3.0269416279590295</v>
      </c>
      <c r="G3" s="32">
        <f>SQRT(2/PI())-1.96/COUNT(P3:P52)*(1-2/PI())</f>
        <v>0.78364005587967456</v>
      </c>
      <c r="H3" s="16">
        <f>SUM(R3:R52)/SQRT(COUNT(P3:P52)*SUM(P3:P52))</f>
        <v>0.79113926556026315</v>
      </c>
      <c r="I3" s="23">
        <f>SUM(S3:S52)/SQRT(COUNT(Q3:Q52)*SUM(Q3:Q52))</f>
        <v>0.79288780080219279</v>
      </c>
      <c r="K3">
        <f t="shared" ref="K3:K34" si="0">LN(B3)</f>
        <v>6.9697906699015899</v>
      </c>
      <c r="M3" t="s">
        <v>39</v>
      </c>
      <c r="N3">
        <f>AVERAGE(C4:C53)</f>
        <v>3.4383306163380399E-3</v>
      </c>
      <c r="P3">
        <f t="shared" ref="P3:P34" si="1">(C4-$N$3)^2</f>
        <v>3.4135978987293898E-4</v>
      </c>
      <c r="Q3">
        <f t="shared" ref="Q3:Q34" si="2">(D4-$N$4)^2</f>
        <v>3.4348438099179559E-4</v>
      </c>
      <c r="R3">
        <f t="shared" ref="R3:R34" si="3">ABS(C4-$N$3)</f>
        <v>1.8475924601300445E-2</v>
      </c>
      <c r="S3">
        <f t="shared" ref="S3:S34" si="4">ABS(D4-$N$4)</f>
        <v>1.8533331621481217E-2</v>
      </c>
    </row>
    <row r="4" spans="2:19" ht="18" thickTop="1" x14ac:dyDescent="0.7">
      <c r="B4" s="25">
        <v>1048</v>
      </c>
      <c r="C4" s="31">
        <f t="shared" ref="C4:C35" si="5">(B4-B3)/B3</f>
        <v>-1.5037593984962405E-2</v>
      </c>
      <c r="D4" s="22">
        <f t="shared" ref="D4:D35" si="6">K4-K3</f>
        <v>-1.5151805020602538E-2</v>
      </c>
      <c r="F4">
        <f t="shared" ref="F4:F53" si="7">LOG10(B4)</f>
        <v>3.0203612826477078</v>
      </c>
      <c r="K4">
        <f t="shared" si="0"/>
        <v>6.9546388648809874</v>
      </c>
      <c r="M4" t="s">
        <v>40</v>
      </c>
      <c r="N4">
        <f>AVERAGE(D4:D53)</f>
        <v>3.3815266008786794E-3</v>
      </c>
      <c r="P4">
        <f t="shared" si="1"/>
        <v>3.7254593573701231E-5</v>
      </c>
      <c r="Q4">
        <f t="shared" si="2"/>
        <v>3.739592710072436E-5</v>
      </c>
      <c r="R4">
        <f t="shared" si="3"/>
        <v>6.1036541164863883E-3</v>
      </c>
      <c r="S4">
        <f t="shared" si="4"/>
        <v>6.1152209363786979E-3</v>
      </c>
    </row>
    <row r="5" spans="2:19" x14ac:dyDescent="0.7">
      <c r="B5" s="25">
        <v>1058</v>
      </c>
      <c r="C5" s="31">
        <f t="shared" si="5"/>
        <v>9.5419847328244278E-3</v>
      </c>
      <c r="D5" s="22">
        <f t="shared" si="6"/>
        <v>9.4967475372573773E-3</v>
      </c>
      <c r="F5">
        <f t="shared" si="7"/>
        <v>3.0244856676991669</v>
      </c>
      <c r="K5">
        <f t="shared" si="0"/>
        <v>6.9641356124182447</v>
      </c>
      <c r="P5">
        <f t="shared" si="1"/>
        <v>4.8422737577722075E-5</v>
      </c>
      <c r="Q5">
        <f t="shared" si="2"/>
        <v>4.8466269462435173E-5</v>
      </c>
      <c r="R5">
        <f t="shared" si="3"/>
        <v>6.9586448089927738E-3</v>
      </c>
      <c r="S5">
        <f t="shared" si="4"/>
        <v>6.9617720059217091E-3</v>
      </c>
    </row>
    <row r="6" spans="2:19" x14ac:dyDescent="0.7">
      <c r="B6" s="25">
        <v>1069</v>
      </c>
      <c r="C6" s="31">
        <f t="shared" si="5"/>
        <v>1.0396975425330813E-2</v>
      </c>
      <c r="D6" s="22">
        <f t="shared" si="6"/>
        <v>1.0343298606800388E-2</v>
      </c>
      <c r="F6">
        <f t="shared" si="7"/>
        <v>3.0289777052087778</v>
      </c>
      <c r="K6">
        <f t="shared" si="0"/>
        <v>6.9744789110250451</v>
      </c>
      <c r="P6">
        <f t="shared" si="1"/>
        <v>1.8846680466721985E-4</v>
      </c>
      <c r="Q6">
        <f t="shared" si="2"/>
        <v>1.8837082698134277E-4</v>
      </c>
      <c r="R6">
        <f t="shared" si="3"/>
        <v>1.3728321261801089E-2</v>
      </c>
      <c r="S6">
        <f t="shared" si="4"/>
        <v>1.3724825207679068E-2</v>
      </c>
    </row>
    <row r="7" spans="2:19" x14ac:dyDescent="0.7">
      <c r="B7" s="25">
        <v>1058</v>
      </c>
      <c r="C7" s="31">
        <f t="shared" si="5"/>
        <v>-1.028999064546305E-2</v>
      </c>
      <c r="D7" s="22">
        <f t="shared" si="6"/>
        <v>-1.0343298606800388E-2</v>
      </c>
      <c r="F7">
        <f t="shared" si="7"/>
        <v>3.0244856676991669</v>
      </c>
      <c r="K7">
        <f t="shared" si="0"/>
        <v>6.9641356124182447</v>
      </c>
      <c r="P7">
        <f t="shared" si="1"/>
        <v>1.9215161677528304E-5</v>
      </c>
      <c r="Q7">
        <f t="shared" si="2"/>
        <v>1.8724254373911301E-5</v>
      </c>
      <c r="R7">
        <f t="shared" si="3"/>
        <v>4.3835102004590228E-3</v>
      </c>
      <c r="S7">
        <f t="shared" si="4"/>
        <v>4.3271531488856853E-3</v>
      </c>
    </row>
    <row r="8" spans="2:19" x14ac:dyDescent="0.7">
      <c r="B8" s="25">
        <v>1057</v>
      </c>
      <c r="C8" s="31">
        <f t="shared" si="5"/>
        <v>-9.4517958412098301E-4</v>
      </c>
      <c r="D8" s="22">
        <f t="shared" si="6"/>
        <v>-9.4562654800700585E-4</v>
      </c>
      <c r="F8">
        <f t="shared" si="7"/>
        <v>3.0240749873074262</v>
      </c>
      <c r="K8">
        <f t="shared" si="0"/>
        <v>6.9631899858702377</v>
      </c>
      <c r="P8">
        <f t="shared" si="1"/>
        <v>2.8413997881718487E-5</v>
      </c>
      <c r="Q8">
        <f t="shared" si="2"/>
        <v>2.783054743569391E-5</v>
      </c>
      <c r="R8">
        <f t="shared" si="3"/>
        <v>5.3304782038498654E-3</v>
      </c>
      <c r="S8">
        <f t="shared" si="4"/>
        <v>5.2754665609492692E-3</v>
      </c>
    </row>
    <row r="9" spans="2:19" x14ac:dyDescent="0.7">
      <c r="B9" s="25">
        <v>1055</v>
      </c>
      <c r="C9" s="31">
        <f t="shared" si="5"/>
        <v>-1.8921475875118259E-3</v>
      </c>
      <c r="D9" s="22">
        <f t="shared" si="6"/>
        <v>-1.8939399600705897E-3</v>
      </c>
      <c r="F9">
        <f t="shared" si="7"/>
        <v>3.0232524596337114</v>
      </c>
      <c r="K9">
        <f t="shared" si="0"/>
        <v>6.9612960459101672</v>
      </c>
      <c r="P9">
        <f t="shared" si="1"/>
        <v>2.3796024783950481E-6</v>
      </c>
      <c r="Q9">
        <f t="shared" si="2"/>
        <v>2.2129140139106963E-6</v>
      </c>
      <c r="R9">
        <f t="shared" si="3"/>
        <v>1.5425960191816418E-3</v>
      </c>
      <c r="S9">
        <f t="shared" si="4"/>
        <v>1.4875866408080897E-3</v>
      </c>
    </row>
    <row r="10" spans="2:19" x14ac:dyDescent="0.7">
      <c r="B10" s="25">
        <v>1057</v>
      </c>
      <c r="C10" s="31">
        <f t="shared" si="5"/>
        <v>1.8957345971563982E-3</v>
      </c>
      <c r="D10" s="22">
        <f t="shared" si="6"/>
        <v>1.8939399600705897E-3</v>
      </c>
      <c r="F10">
        <f t="shared" si="7"/>
        <v>3.0240749873074262</v>
      </c>
      <c r="K10">
        <f t="shared" si="0"/>
        <v>6.9631899858702377</v>
      </c>
      <c r="P10">
        <f t="shared" si="1"/>
        <v>6.2640179403348294E-5</v>
      </c>
      <c r="Q10">
        <f t="shared" si="2"/>
        <v>6.2526951890673927E-5</v>
      </c>
      <c r="R10">
        <f t="shared" si="3"/>
        <v>7.914554908732916E-3</v>
      </c>
      <c r="S10">
        <f t="shared" si="4"/>
        <v>7.9073985539287149E-3</v>
      </c>
    </row>
    <row r="11" spans="2:19" x14ac:dyDescent="0.7">
      <c r="B11" s="25">
        <v>1069</v>
      </c>
      <c r="C11" s="31">
        <f t="shared" si="5"/>
        <v>1.1352885525070956E-2</v>
      </c>
      <c r="D11" s="22">
        <f t="shared" si="6"/>
        <v>1.1288925154807394E-2</v>
      </c>
      <c r="F11">
        <f t="shared" si="7"/>
        <v>3.0289777052087778</v>
      </c>
      <c r="K11">
        <f t="shared" si="0"/>
        <v>6.9744789110250451</v>
      </c>
      <c r="P11">
        <f t="shared" si="1"/>
        <v>4.7279786297348542E-6</v>
      </c>
      <c r="Q11">
        <f t="shared" si="2"/>
        <v>4.9084532587118179E-6</v>
      </c>
      <c r="R11">
        <f t="shared" si="3"/>
        <v>2.1743915539145322E-3</v>
      </c>
      <c r="S11">
        <f t="shared" si="4"/>
        <v>2.215502935839133E-3</v>
      </c>
    </row>
    <row r="12" spans="2:19" x14ac:dyDescent="0.7">
      <c r="B12" s="25">
        <v>1075</v>
      </c>
      <c r="C12" s="31">
        <f t="shared" si="5"/>
        <v>5.6127221702525721E-3</v>
      </c>
      <c r="D12" s="22">
        <f t="shared" si="6"/>
        <v>5.5970295367178124E-3</v>
      </c>
      <c r="F12">
        <f t="shared" si="7"/>
        <v>3.0314084642516241</v>
      </c>
      <c r="K12">
        <f t="shared" si="0"/>
        <v>6.9800759405617629</v>
      </c>
      <c r="P12">
        <f t="shared" si="1"/>
        <v>1.9084344209401584E-5</v>
      </c>
      <c r="Q12">
        <f t="shared" si="2"/>
        <v>1.859500065410117E-5</v>
      </c>
      <c r="R12">
        <f t="shared" si="3"/>
        <v>4.3685631744775745E-3</v>
      </c>
      <c r="S12">
        <f t="shared" si="4"/>
        <v>4.3121920938312998E-3</v>
      </c>
    </row>
    <row r="13" spans="2:19" x14ac:dyDescent="0.7">
      <c r="B13" s="25">
        <v>1074</v>
      </c>
      <c r="C13" s="31">
        <f t="shared" si="5"/>
        <v>-9.3023255813953494E-4</v>
      </c>
      <c r="D13" s="22">
        <f t="shared" si="6"/>
        <v>-9.3066549295262035E-4</v>
      </c>
      <c r="F13">
        <f t="shared" si="7"/>
        <v>3.0310042813635367</v>
      </c>
      <c r="K13">
        <f t="shared" si="0"/>
        <v>6.9791452750688103</v>
      </c>
      <c r="P13">
        <f t="shared" si="1"/>
        <v>1.3131437680472417E-4</v>
      </c>
      <c r="Q13">
        <f t="shared" si="2"/>
        <v>1.301007951325707E-4</v>
      </c>
      <c r="R13">
        <f t="shared" si="3"/>
        <v>1.145924852705116E-2</v>
      </c>
      <c r="S13">
        <f t="shared" si="4"/>
        <v>1.1406173553500345E-2</v>
      </c>
    </row>
    <row r="14" spans="2:19" x14ac:dyDescent="0.7">
      <c r="B14" s="25">
        <v>1090</v>
      </c>
      <c r="C14" s="31">
        <f t="shared" si="5"/>
        <v>1.4897579143389199E-2</v>
      </c>
      <c r="D14" s="22">
        <f t="shared" si="6"/>
        <v>1.4787700154379024E-2</v>
      </c>
      <c r="F14">
        <f t="shared" si="7"/>
        <v>3.0374264979406238</v>
      </c>
      <c r="K14">
        <f t="shared" si="0"/>
        <v>6.9939329752231894</v>
      </c>
      <c r="P14">
        <f t="shared" si="1"/>
        <v>8.8467306880461098E-5</v>
      </c>
      <c r="Q14">
        <f t="shared" si="2"/>
        <v>8.7998001769005061E-5</v>
      </c>
      <c r="R14">
        <f t="shared" si="3"/>
        <v>9.4057060809096676E-3</v>
      </c>
      <c r="S14">
        <f t="shared" si="4"/>
        <v>9.3807250129723484E-3</v>
      </c>
    </row>
    <row r="15" spans="2:19" x14ac:dyDescent="0.7">
      <c r="B15" s="25">
        <v>1104</v>
      </c>
      <c r="C15" s="31">
        <f t="shared" si="5"/>
        <v>1.2844036697247707E-2</v>
      </c>
      <c r="D15" s="22">
        <f t="shared" si="6"/>
        <v>1.2762251613851028E-2</v>
      </c>
      <c r="F15">
        <f t="shared" si="7"/>
        <v>3.0429690733931802</v>
      </c>
      <c r="K15">
        <f t="shared" si="0"/>
        <v>7.0066952268370404</v>
      </c>
      <c r="P15">
        <f t="shared" si="1"/>
        <v>9.5627087173395223E-5</v>
      </c>
      <c r="Q15">
        <f t="shared" si="2"/>
        <v>9.4912276067778259E-5</v>
      </c>
      <c r="R15">
        <f t="shared" si="3"/>
        <v>9.7789103264829674E-3</v>
      </c>
      <c r="S15">
        <f t="shared" si="4"/>
        <v>9.7422931626890731E-3</v>
      </c>
    </row>
    <row r="16" spans="2:19" x14ac:dyDescent="0.7">
      <c r="B16" s="25">
        <v>1097</v>
      </c>
      <c r="C16" s="31">
        <f t="shared" si="5"/>
        <v>-6.3405797101449279E-3</v>
      </c>
      <c r="D16" s="22">
        <f t="shared" si="6"/>
        <v>-6.3607665618103937E-3</v>
      </c>
      <c r="F16">
        <f t="shared" si="7"/>
        <v>3.0402066275747113</v>
      </c>
      <c r="K16">
        <f t="shared" si="0"/>
        <v>7.00033446027523</v>
      </c>
      <c r="P16">
        <f t="shared" si="1"/>
        <v>6.3844836948708684E-6</v>
      </c>
      <c r="Q16">
        <f t="shared" si="2"/>
        <v>6.1027022778498838E-6</v>
      </c>
      <c r="R16">
        <f t="shared" si="3"/>
        <v>2.5267535880791519E-3</v>
      </c>
      <c r="S16">
        <f t="shared" si="4"/>
        <v>2.4703648066327945E-3</v>
      </c>
    </row>
    <row r="17" spans="2:19" x14ac:dyDescent="0.7">
      <c r="B17" s="25">
        <v>1098</v>
      </c>
      <c r="C17" s="31">
        <f t="shared" si="5"/>
        <v>9.1157702825888785E-4</v>
      </c>
      <c r="D17" s="22">
        <f t="shared" si="6"/>
        <v>9.1116179424588495E-4</v>
      </c>
      <c r="F17">
        <f t="shared" si="7"/>
        <v>3.0406023401140732</v>
      </c>
      <c r="K17">
        <f t="shared" si="0"/>
        <v>7.0012456220694759</v>
      </c>
      <c r="P17">
        <f t="shared" si="1"/>
        <v>4.3294877663393312E-5</v>
      </c>
      <c r="Q17">
        <f t="shared" si="2"/>
        <v>4.3386443796513184E-5</v>
      </c>
      <c r="R17">
        <f t="shared" si="3"/>
        <v>6.5798843199096832E-3</v>
      </c>
      <c r="S17">
        <f t="shared" si="4"/>
        <v>6.5868386800128319E-3</v>
      </c>
    </row>
    <row r="18" spans="2:19" x14ac:dyDescent="0.7">
      <c r="B18" s="25">
        <v>1109</v>
      </c>
      <c r="C18" s="31">
        <f t="shared" si="5"/>
        <v>1.0018214936247723E-2</v>
      </c>
      <c r="D18" s="22">
        <f t="shared" si="6"/>
        <v>9.9683652808915113E-3</v>
      </c>
      <c r="F18">
        <f t="shared" si="7"/>
        <v>3.0449315461491602</v>
      </c>
      <c r="K18">
        <f t="shared" si="0"/>
        <v>7.0112139873503674</v>
      </c>
      <c r="P18">
        <f t="shared" si="1"/>
        <v>3.8885825224667916E-6</v>
      </c>
      <c r="Q18">
        <f t="shared" si="2"/>
        <v>4.0568805591770243E-6</v>
      </c>
      <c r="R18">
        <f t="shared" si="3"/>
        <v>1.9719489147710678E-3</v>
      </c>
      <c r="S18">
        <f t="shared" si="4"/>
        <v>2.0141699429732894E-3</v>
      </c>
    </row>
    <row r="19" spans="2:19" x14ac:dyDescent="0.7">
      <c r="B19" s="25">
        <v>1115</v>
      </c>
      <c r="C19" s="31">
        <f t="shared" si="5"/>
        <v>5.4102795311091077E-3</v>
      </c>
      <c r="D19" s="22">
        <f t="shared" si="6"/>
        <v>5.3956965438519688E-3</v>
      </c>
      <c r="F19">
        <f t="shared" si="7"/>
        <v>3.0472748673841794</v>
      </c>
      <c r="K19">
        <f t="shared" si="0"/>
        <v>7.0166096838942194</v>
      </c>
      <c r="P19">
        <f t="shared" si="1"/>
        <v>6.2768154043442626E-5</v>
      </c>
      <c r="Q19">
        <f t="shared" si="2"/>
        <v>6.2030055811713758E-5</v>
      </c>
      <c r="R19">
        <f t="shared" si="3"/>
        <v>7.9226355490734663E-3</v>
      </c>
      <c r="S19">
        <f t="shared" si="4"/>
        <v>7.8759161887182218E-3</v>
      </c>
    </row>
    <row r="20" spans="2:19" x14ac:dyDescent="0.7">
      <c r="B20" s="25">
        <v>1110</v>
      </c>
      <c r="C20" s="31">
        <f t="shared" si="5"/>
        <v>-4.4843049327354259E-3</v>
      </c>
      <c r="D20" s="22">
        <f t="shared" si="6"/>
        <v>-4.4943895878395423E-3</v>
      </c>
      <c r="F20">
        <f t="shared" si="7"/>
        <v>3.0453229787866576</v>
      </c>
      <c r="K20">
        <f t="shared" si="0"/>
        <v>7.0121152943063798</v>
      </c>
      <c r="P20">
        <f t="shared" si="1"/>
        <v>1.0150931041153719E-4</v>
      </c>
      <c r="Q20">
        <f t="shared" si="2"/>
        <v>1.0083159635497691E-4</v>
      </c>
      <c r="R20">
        <f t="shared" si="3"/>
        <v>1.0075182897175475E-2</v>
      </c>
      <c r="S20">
        <f t="shared" si="4"/>
        <v>1.0041493731262143E-2</v>
      </c>
    </row>
    <row r="21" spans="2:19" x14ac:dyDescent="0.7">
      <c r="B21" s="25">
        <v>1125</v>
      </c>
      <c r="C21" s="31">
        <f t="shared" si="5"/>
        <v>1.3513513513513514E-2</v>
      </c>
      <c r="D21" s="22">
        <f t="shared" si="6"/>
        <v>1.3423020332140823E-2</v>
      </c>
      <c r="F21">
        <f t="shared" si="7"/>
        <v>3.0511525224473814</v>
      </c>
      <c r="K21">
        <f t="shared" si="0"/>
        <v>7.0255383146385206</v>
      </c>
      <c r="P21">
        <f t="shared" si="1"/>
        <v>7.6942088445964402E-5</v>
      </c>
      <c r="Q21">
        <f t="shared" si="2"/>
        <v>7.6197761665515492E-5</v>
      </c>
      <c r="R21">
        <f t="shared" si="3"/>
        <v>8.7716639496713735E-3</v>
      </c>
      <c r="S21">
        <f t="shared" si="4"/>
        <v>8.7291329274742681E-3</v>
      </c>
    </row>
    <row r="22" spans="2:19" x14ac:dyDescent="0.7">
      <c r="B22" s="25">
        <v>1119</v>
      </c>
      <c r="C22" s="31">
        <f t="shared" si="5"/>
        <v>-5.3333333333333332E-3</v>
      </c>
      <c r="D22" s="22">
        <f t="shared" si="6"/>
        <v>-5.3476063265955887E-3</v>
      </c>
      <c r="F22">
        <f t="shared" si="7"/>
        <v>3.04883008652835</v>
      </c>
      <c r="K22">
        <f t="shared" si="0"/>
        <v>7.020190708311925</v>
      </c>
      <c r="P22">
        <f t="shared" si="1"/>
        <v>7.7444592105972704E-5</v>
      </c>
      <c r="Q22">
        <f t="shared" si="2"/>
        <v>7.6700525803764441E-5</v>
      </c>
      <c r="R22">
        <f t="shared" si="3"/>
        <v>8.8002609112442058E-3</v>
      </c>
      <c r="S22">
        <f t="shared" si="4"/>
        <v>8.7578836372587433E-3</v>
      </c>
    </row>
    <row r="23" spans="2:19" x14ac:dyDescent="0.7">
      <c r="B23" s="25">
        <v>1113</v>
      </c>
      <c r="C23" s="31">
        <f t="shared" si="5"/>
        <v>-5.3619302949061663E-3</v>
      </c>
      <c r="D23" s="22">
        <f t="shared" si="6"/>
        <v>-5.3763570363800639E-3</v>
      </c>
      <c r="F23">
        <f t="shared" si="7"/>
        <v>3.0464951643347082</v>
      </c>
      <c r="K23">
        <f t="shared" si="0"/>
        <v>7.014814351275545</v>
      </c>
      <c r="P23">
        <f t="shared" si="1"/>
        <v>3.1733475394906524E-4</v>
      </c>
      <c r="Q23">
        <f t="shared" si="2"/>
        <v>3.1903023872423112E-4</v>
      </c>
      <c r="R23">
        <f t="shared" si="3"/>
        <v>1.7813892161710906E-2</v>
      </c>
      <c r="S23">
        <f t="shared" si="4"/>
        <v>1.7861417601193672E-2</v>
      </c>
    </row>
    <row r="24" spans="2:19" x14ac:dyDescent="0.7">
      <c r="B24" s="25">
        <v>1097</v>
      </c>
      <c r="C24" s="31">
        <f t="shared" si="5"/>
        <v>-1.4375561545372867E-2</v>
      </c>
      <c r="D24" s="22">
        <f t="shared" si="6"/>
        <v>-1.4479891000314993E-2</v>
      </c>
      <c r="F24">
        <f t="shared" si="7"/>
        <v>3.0402066275747113</v>
      </c>
      <c r="K24">
        <f t="shared" si="0"/>
        <v>7.00033446027523</v>
      </c>
      <c r="P24">
        <f t="shared" si="1"/>
        <v>9.6420023547045229E-5</v>
      </c>
      <c r="Q24">
        <f t="shared" si="2"/>
        <v>9.5707317001155086E-5</v>
      </c>
      <c r="R24">
        <f t="shared" si="3"/>
        <v>9.8193698141502556E-3</v>
      </c>
      <c r="S24">
        <f t="shared" si="4"/>
        <v>9.7830116529193135E-3</v>
      </c>
    </row>
    <row r="25" spans="2:19" x14ac:dyDescent="0.7">
      <c r="B25" s="25">
        <v>1090</v>
      </c>
      <c r="C25" s="31">
        <f t="shared" si="5"/>
        <v>-6.3810391978122152E-3</v>
      </c>
      <c r="D25" s="22">
        <f t="shared" si="6"/>
        <v>-6.4014850520406341E-3</v>
      </c>
      <c r="F25">
        <f t="shared" si="7"/>
        <v>3.0374264979406238</v>
      </c>
      <c r="K25">
        <f t="shared" si="0"/>
        <v>6.9939329752231894</v>
      </c>
      <c r="P25">
        <f t="shared" si="1"/>
        <v>7.9975778282143206E-5</v>
      </c>
      <c r="Q25">
        <f t="shared" si="2"/>
        <v>7.9233494617613081E-5</v>
      </c>
      <c r="R25">
        <f t="shared" si="3"/>
        <v>8.9429177723013425E-3</v>
      </c>
      <c r="S25">
        <f t="shared" si="4"/>
        <v>8.9013198244762039E-3</v>
      </c>
    </row>
    <row r="26" spans="2:19" x14ac:dyDescent="0.7">
      <c r="B26" s="25">
        <v>1084</v>
      </c>
      <c r="C26" s="31">
        <f t="shared" si="5"/>
        <v>-5.5045871559633031E-3</v>
      </c>
      <c r="D26" s="22">
        <f t="shared" si="6"/>
        <v>-5.5197932235975244E-3</v>
      </c>
      <c r="F26">
        <f t="shared" si="7"/>
        <v>3.0350292822023683</v>
      </c>
      <c r="K26">
        <f t="shared" si="0"/>
        <v>6.9884131819995918</v>
      </c>
      <c r="P26">
        <f t="shared" si="1"/>
        <v>4.3962546110709131E-6</v>
      </c>
      <c r="Q26">
        <f t="shared" si="2"/>
        <v>4.5721841498334559E-6</v>
      </c>
      <c r="R26">
        <f t="shared" si="3"/>
        <v>2.0967247342154652E-3</v>
      </c>
      <c r="S26">
        <f t="shared" si="4"/>
        <v>2.138266622718845E-3</v>
      </c>
    </row>
    <row r="27" spans="2:19" x14ac:dyDescent="0.7">
      <c r="B27" s="25">
        <v>1090</v>
      </c>
      <c r="C27" s="31">
        <f t="shared" si="5"/>
        <v>5.5350553505535052E-3</v>
      </c>
      <c r="D27" s="22">
        <f t="shared" si="6"/>
        <v>5.5197932235975244E-3</v>
      </c>
      <c r="F27">
        <f t="shared" si="7"/>
        <v>3.0374264979406238</v>
      </c>
      <c r="K27">
        <f t="shared" si="0"/>
        <v>6.9939329752231894</v>
      </c>
      <c r="P27">
        <f t="shared" si="1"/>
        <v>9.7226481710825072E-5</v>
      </c>
      <c r="Q27">
        <f t="shared" si="2"/>
        <v>9.6515982828761579E-5</v>
      </c>
      <c r="R27">
        <f t="shared" si="3"/>
        <v>9.8603489649618931E-3</v>
      </c>
      <c r="S27">
        <f t="shared" si="4"/>
        <v>9.824254823077503E-3</v>
      </c>
    </row>
    <row r="28" spans="2:19" x14ac:dyDescent="0.7">
      <c r="B28" s="25">
        <v>1083</v>
      </c>
      <c r="C28" s="31">
        <f t="shared" si="5"/>
        <v>-6.4220183486238536E-3</v>
      </c>
      <c r="D28" s="22">
        <f t="shared" si="6"/>
        <v>-6.4427282221988236E-3</v>
      </c>
      <c r="F28">
        <f t="shared" si="7"/>
        <v>3.0346284566253203</v>
      </c>
      <c r="K28">
        <f t="shared" si="0"/>
        <v>6.9874902470009905</v>
      </c>
      <c r="P28">
        <f t="shared" si="1"/>
        <v>2.793178187970329E-5</v>
      </c>
      <c r="Q28">
        <f t="shared" si="2"/>
        <v>2.7352439371374409E-5</v>
      </c>
      <c r="R28">
        <f t="shared" si="3"/>
        <v>5.2850526846667566E-3</v>
      </c>
      <c r="S28">
        <f t="shared" si="4"/>
        <v>5.2299559626611015E-3</v>
      </c>
    </row>
    <row r="29" spans="2:19" x14ac:dyDescent="0.7">
      <c r="B29" s="25">
        <v>1081</v>
      </c>
      <c r="C29" s="31">
        <f t="shared" si="5"/>
        <v>-1.8467220683287165E-3</v>
      </c>
      <c r="D29" s="22">
        <f t="shared" si="6"/>
        <v>-1.8484293617824221E-3</v>
      </c>
      <c r="F29">
        <f t="shared" si="7"/>
        <v>3.0338256939533101</v>
      </c>
      <c r="K29">
        <f t="shared" si="0"/>
        <v>6.9856418176392081</v>
      </c>
      <c r="P29">
        <f t="shared" si="1"/>
        <v>1.5699222396365328E-5</v>
      </c>
      <c r="Q29">
        <f t="shared" si="2"/>
        <v>1.5934297132880248E-5</v>
      </c>
      <c r="R29">
        <f t="shared" si="3"/>
        <v>3.962224425290083E-3</v>
      </c>
      <c r="S29">
        <f t="shared" si="4"/>
        <v>3.991778692873673E-3</v>
      </c>
    </row>
    <row r="30" spans="2:19" x14ac:dyDescent="0.7">
      <c r="B30" s="25">
        <v>1089</v>
      </c>
      <c r="C30" s="31">
        <f t="shared" si="5"/>
        <v>7.4005550416281225E-3</v>
      </c>
      <c r="D30" s="22">
        <f t="shared" si="6"/>
        <v>7.3733052937523524E-3</v>
      </c>
      <c r="F30">
        <f t="shared" si="7"/>
        <v>3.037027879755775</v>
      </c>
      <c r="K30">
        <f t="shared" si="0"/>
        <v>6.9930151229329605</v>
      </c>
      <c r="P30">
        <f t="shared" si="1"/>
        <v>4.2903303231271797E-6</v>
      </c>
      <c r="Q30">
        <f t="shared" si="2"/>
        <v>4.4647382210906125E-6</v>
      </c>
      <c r="R30">
        <f t="shared" si="3"/>
        <v>2.0713112569401971E-3</v>
      </c>
      <c r="S30">
        <f t="shared" si="4"/>
        <v>2.1129927167623207E-3</v>
      </c>
    </row>
    <row r="31" spans="2:19" x14ac:dyDescent="0.7">
      <c r="B31" s="25">
        <v>1095</v>
      </c>
      <c r="C31" s="31">
        <f t="shared" si="5"/>
        <v>5.5096418732782371E-3</v>
      </c>
      <c r="D31" s="22">
        <f t="shared" si="6"/>
        <v>5.4945193176410001E-3</v>
      </c>
      <c r="F31">
        <f t="shared" si="7"/>
        <v>3.0394141191761372</v>
      </c>
      <c r="K31">
        <f t="shared" si="0"/>
        <v>6.9985096422506015</v>
      </c>
      <c r="P31">
        <f t="shared" si="1"/>
        <v>4.1661767265266526E-6</v>
      </c>
      <c r="Q31">
        <f t="shared" si="2"/>
        <v>4.3387551524499098E-6</v>
      </c>
      <c r="R31">
        <f t="shared" si="3"/>
        <v>2.0411214384564807E-3</v>
      </c>
      <c r="S31">
        <f t="shared" si="4"/>
        <v>2.0829678711996279E-3</v>
      </c>
    </row>
    <row r="32" spans="2:19" x14ac:dyDescent="0.7">
      <c r="B32" s="25">
        <v>1101</v>
      </c>
      <c r="C32" s="31">
        <f t="shared" si="5"/>
        <v>5.4794520547945206E-3</v>
      </c>
      <c r="D32" s="22">
        <f t="shared" si="6"/>
        <v>5.4644944720783073E-3</v>
      </c>
      <c r="F32">
        <f t="shared" si="7"/>
        <v>3.0417873189717519</v>
      </c>
      <c r="K32">
        <f t="shared" si="0"/>
        <v>7.0039741367226798</v>
      </c>
      <c r="P32">
        <f t="shared" si="1"/>
        <v>5.0004577323506849E-5</v>
      </c>
      <c r="Q32">
        <f t="shared" si="2"/>
        <v>4.9297292245856854E-5</v>
      </c>
      <c r="R32">
        <f t="shared" si="3"/>
        <v>7.07139147010734E-3</v>
      </c>
      <c r="S32">
        <f t="shared" si="4"/>
        <v>7.0212030483284595E-3</v>
      </c>
    </row>
    <row r="33" spans="2:19" x14ac:dyDescent="0.7">
      <c r="B33" s="25">
        <v>1097</v>
      </c>
      <c r="C33" s="31">
        <f t="shared" si="5"/>
        <v>-3.6330608537693005E-3</v>
      </c>
      <c r="D33" s="22">
        <f t="shared" si="6"/>
        <v>-3.63967644744978E-3</v>
      </c>
      <c r="F33">
        <f t="shared" si="7"/>
        <v>3.0402066275747113</v>
      </c>
      <c r="K33">
        <f t="shared" si="0"/>
        <v>7.00033446027523</v>
      </c>
      <c r="P33">
        <f t="shared" si="1"/>
        <v>2.7683220962696669E-5</v>
      </c>
      <c r="Q33">
        <f t="shared" si="2"/>
        <v>2.7106024359547776E-5</v>
      </c>
      <c r="R33">
        <f t="shared" si="3"/>
        <v>5.2614846728558156E-3</v>
      </c>
      <c r="S33">
        <f t="shared" si="4"/>
        <v>5.2063446255072067E-3</v>
      </c>
    </row>
    <row r="34" spans="2:19" x14ac:dyDescent="0.7">
      <c r="B34" s="25">
        <v>1095</v>
      </c>
      <c r="C34" s="31">
        <f t="shared" si="5"/>
        <v>-1.8231540565177757E-3</v>
      </c>
      <c r="D34" s="22">
        <f t="shared" si="6"/>
        <v>-1.8248180246285273E-3</v>
      </c>
      <c r="F34">
        <f t="shared" si="7"/>
        <v>3.0394141191761372</v>
      </c>
      <c r="K34">
        <f t="shared" si="0"/>
        <v>6.9985096422506015</v>
      </c>
      <c r="P34">
        <f t="shared" si="1"/>
        <v>1.893618431474387E-5</v>
      </c>
      <c r="Q34">
        <f t="shared" si="2"/>
        <v>1.8448621654012969E-5</v>
      </c>
      <c r="R34">
        <f t="shared" si="3"/>
        <v>4.3515726254704599E-3</v>
      </c>
      <c r="S34">
        <f t="shared" si="4"/>
        <v>4.2951858695536062E-3</v>
      </c>
    </row>
    <row r="35" spans="2:19" x14ac:dyDescent="0.7">
      <c r="B35" s="25">
        <v>1094</v>
      </c>
      <c r="C35" s="31">
        <f t="shared" si="5"/>
        <v>-9.1324200913242006E-4</v>
      </c>
      <c r="D35" s="22">
        <f t="shared" si="6"/>
        <v>-9.1365926867492675E-4</v>
      </c>
      <c r="F35">
        <f t="shared" si="7"/>
        <v>3.0390173219974121</v>
      </c>
      <c r="K35">
        <f t="shared" ref="K35:K53" si="8">LN(B35)</f>
        <v>6.9975959829819265</v>
      </c>
      <c r="P35">
        <f t="shared" ref="P35:P52" si="9">(C36-$N$3)^2</f>
        <v>8.7586095583263213E-5</v>
      </c>
      <c r="Q35">
        <f t="shared" ref="Q35:Q52" si="10">(D36-$N$4)^2</f>
        <v>8.7130234127516163E-5</v>
      </c>
      <c r="R35">
        <f t="shared" ref="R35:R52" si="11">ABS(C36-$N$3)</f>
        <v>9.358744337958122E-3</v>
      </c>
      <c r="S35">
        <f t="shared" ref="S35:S52" si="12">ABS(D36-$N$4)</f>
        <v>9.3343577244241159E-3</v>
      </c>
    </row>
    <row r="36" spans="2:19" x14ac:dyDescent="0.7">
      <c r="B36" s="25">
        <v>1108</v>
      </c>
      <c r="C36" s="31">
        <f t="shared" ref="C36:C53" si="13">(B36-B35)/B35</f>
        <v>1.2797074954296161E-2</v>
      </c>
      <c r="D36" s="22">
        <f t="shared" ref="D36:D53" si="14">K36-K35</f>
        <v>1.2715884325302795E-2</v>
      </c>
      <c r="F36">
        <f t="shared" si="7"/>
        <v>3.0445397603924111</v>
      </c>
      <c r="K36">
        <f t="shared" si="8"/>
        <v>7.0103118673072293</v>
      </c>
      <c r="P36">
        <f t="shared" si="9"/>
        <v>2.1943725772653212E-5</v>
      </c>
      <c r="Q36">
        <f t="shared" si="10"/>
        <v>2.2169079161006371E-5</v>
      </c>
      <c r="R36">
        <f t="shared" si="11"/>
        <v>4.684413065972429E-3</v>
      </c>
      <c r="S36">
        <f t="shared" si="12"/>
        <v>4.7084051610929122E-3</v>
      </c>
    </row>
    <row r="37" spans="2:19" x14ac:dyDescent="0.7">
      <c r="B37" s="25">
        <v>1117</v>
      </c>
      <c r="C37" s="31">
        <f t="shared" si="13"/>
        <v>8.1227436823104685E-3</v>
      </c>
      <c r="D37" s="22">
        <f t="shared" si="14"/>
        <v>8.0899317619715916E-3</v>
      </c>
      <c r="F37">
        <f t="shared" si="7"/>
        <v>3.0480531731156089</v>
      </c>
      <c r="K37">
        <f t="shared" si="8"/>
        <v>7.0184017990692009</v>
      </c>
      <c r="P37">
        <f t="shared" si="9"/>
        <v>5.6635433989359038E-7</v>
      </c>
      <c r="Q37">
        <f t="shared" si="10"/>
        <v>4.891063411496644E-7</v>
      </c>
      <c r="R37">
        <f t="shared" si="11"/>
        <v>7.525651731867416E-4</v>
      </c>
      <c r="S37">
        <f t="shared" si="12"/>
        <v>6.9936138093954284E-4</v>
      </c>
    </row>
    <row r="38" spans="2:19" x14ac:dyDescent="0.7">
      <c r="B38" s="25">
        <v>1120</v>
      </c>
      <c r="C38" s="31">
        <f t="shared" si="13"/>
        <v>2.6857654431512983E-3</v>
      </c>
      <c r="D38" s="22">
        <f t="shared" si="14"/>
        <v>2.6821652199391366E-3</v>
      </c>
      <c r="F38">
        <f t="shared" si="7"/>
        <v>3.0492180226701815</v>
      </c>
      <c r="K38">
        <f t="shared" si="8"/>
        <v>7.0210839642891401</v>
      </c>
      <c r="P38">
        <f t="shared" si="9"/>
        <v>1.7715065649281113E-8</v>
      </c>
      <c r="Q38">
        <f t="shared" si="10"/>
        <v>3.3686771412889524E-8</v>
      </c>
      <c r="R38">
        <f t="shared" si="11"/>
        <v>1.3309795509053139E-4</v>
      </c>
      <c r="S38">
        <f t="shared" si="12"/>
        <v>1.8353956361746512E-4</v>
      </c>
    </row>
    <row r="39" spans="2:19" x14ac:dyDescent="0.7">
      <c r="B39" s="25">
        <v>1124</v>
      </c>
      <c r="C39" s="31">
        <f t="shared" si="13"/>
        <v>3.5714285714285713E-3</v>
      </c>
      <c r="D39" s="22">
        <f t="shared" si="14"/>
        <v>3.5650661644961446E-3</v>
      </c>
      <c r="F39">
        <f t="shared" si="7"/>
        <v>3.0507663112330423</v>
      </c>
      <c r="K39">
        <f t="shared" si="8"/>
        <v>7.0246490304536362</v>
      </c>
      <c r="P39">
        <f t="shared" si="9"/>
        <v>4.8958701391254803E-5</v>
      </c>
      <c r="Q39">
        <f t="shared" si="10"/>
        <v>4.8255151047957844E-5</v>
      </c>
      <c r="R39">
        <f t="shared" si="11"/>
        <v>6.9970494775480046E-3</v>
      </c>
      <c r="S39">
        <f t="shared" si="12"/>
        <v>6.946592765374824E-3</v>
      </c>
    </row>
    <row r="40" spans="2:19" x14ac:dyDescent="0.7">
      <c r="B40" s="25">
        <v>1120</v>
      </c>
      <c r="C40" s="31">
        <f t="shared" si="13"/>
        <v>-3.5587188612099642E-3</v>
      </c>
      <c r="D40" s="22">
        <f t="shared" si="14"/>
        <v>-3.5650661644961446E-3</v>
      </c>
      <c r="F40">
        <f t="shared" si="7"/>
        <v>3.0492180226701815</v>
      </c>
      <c r="K40">
        <f t="shared" si="8"/>
        <v>7.0210839642891401</v>
      </c>
      <c r="P40">
        <f t="shared" si="9"/>
        <v>2.2636627204121733E-4</v>
      </c>
      <c r="Q40">
        <f t="shared" si="10"/>
        <v>2.2669994426933101E-4</v>
      </c>
      <c r="R40">
        <f t="shared" si="11"/>
        <v>1.5045473473480897E-2</v>
      </c>
      <c r="S40">
        <f t="shared" si="12"/>
        <v>1.5056558181381661E-2</v>
      </c>
    </row>
    <row r="41" spans="2:19" x14ac:dyDescent="0.7">
      <c r="B41" s="25">
        <v>1107</v>
      </c>
      <c r="C41" s="31">
        <f t="shared" si="13"/>
        <v>-1.1607142857142858E-2</v>
      </c>
      <c r="D41" s="22">
        <f t="shared" si="14"/>
        <v>-1.1675031580502981E-2</v>
      </c>
      <c r="F41">
        <f t="shared" si="7"/>
        <v>3.0441476208787228</v>
      </c>
      <c r="K41">
        <f t="shared" si="8"/>
        <v>7.0094089327086371</v>
      </c>
      <c r="P41">
        <f t="shared" si="9"/>
        <v>2.886079810320049E-4</v>
      </c>
      <c r="Q41">
        <f t="shared" si="10"/>
        <v>2.898268927946528E-4</v>
      </c>
      <c r="R41">
        <f t="shared" si="11"/>
        <v>1.6988466117693054E-2</v>
      </c>
      <c r="S41">
        <f t="shared" si="12"/>
        <v>1.7024303004665207E-2</v>
      </c>
    </row>
    <row r="42" spans="2:19" x14ac:dyDescent="0.7">
      <c r="B42" s="25">
        <v>1092</v>
      </c>
      <c r="C42" s="31">
        <f t="shared" si="13"/>
        <v>-1.3550135501355014E-2</v>
      </c>
      <c r="D42" s="22">
        <f t="shared" si="14"/>
        <v>-1.3642776403786527E-2</v>
      </c>
      <c r="F42">
        <f t="shared" si="7"/>
        <v>3.0382226383687185</v>
      </c>
      <c r="K42">
        <f t="shared" si="8"/>
        <v>6.9957661563048505</v>
      </c>
      <c r="P42">
        <f t="shared" si="9"/>
        <v>8.8323429245573345E-6</v>
      </c>
      <c r="Q42">
        <f t="shared" si="10"/>
        <v>9.0496974050289285E-6</v>
      </c>
      <c r="R42">
        <f t="shared" si="11"/>
        <v>2.9719257939183701E-3</v>
      </c>
      <c r="S42">
        <f t="shared" si="12"/>
        <v>3.0082714978919255E-3</v>
      </c>
    </row>
    <row r="43" spans="2:19" x14ac:dyDescent="0.7">
      <c r="B43" s="25">
        <v>1099</v>
      </c>
      <c r="C43" s="31">
        <f t="shared" si="13"/>
        <v>6.41025641025641E-3</v>
      </c>
      <c r="D43" s="22">
        <f t="shared" si="14"/>
        <v>6.3897980987706049E-3</v>
      </c>
      <c r="F43">
        <f t="shared" si="7"/>
        <v>3.0409976924234905</v>
      </c>
      <c r="K43">
        <f t="shared" si="8"/>
        <v>7.0021559544036212</v>
      </c>
      <c r="P43">
        <f t="shared" si="9"/>
        <v>4.0851606204009762E-6</v>
      </c>
      <c r="Q43">
        <f t="shared" si="10"/>
        <v>4.2565175584540226E-6</v>
      </c>
      <c r="R43">
        <f t="shared" si="11"/>
        <v>2.0211780278839805E-3</v>
      </c>
      <c r="S43">
        <f t="shared" si="12"/>
        <v>2.0631329473531322E-3</v>
      </c>
    </row>
    <row r="44" spans="2:19" x14ac:dyDescent="0.7">
      <c r="B44" s="25">
        <v>1105</v>
      </c>
      <c r="C44" s="31">
        <f t="shared" si="13"/>
        <v>5.4595086442220204E-3</v>
      </c>
      <c r="D44" s="22">
        <f t="shared" si="14"/>
        <v>5.4446595482318116E-3</v>
      </c>
      <c r="F44">
        <f t="shared" si="7"/>
        <v>3.0433622780211294</v>
      </c>
      <c r="K44">
        <f t="shared" si="8"/>
        <v>7.007600613951853</v>
      </c>
      <c r="P44">
        <f t="shared" si="9"/>
        <v>1.1333821697223358E-3</v>
      </c>
      <c r="Q44">
        <f t="shared" si="10"/>
        <v>1.0923525198937643E-3</v>
      </c>
      <c r="R44">
        <f t="shared" si="11"/>
        <v>3.3665741781852006E-2</v>
      </c>
      <c r="S44">
        <f t="shared" si="12"/>
        <v>3.305075672195365E-2</v>
      </c>
    </row>
    <row r="45" spans="2:19" x14ac:dyDescent="0.7">
      <c r="B45" s="25">
        <v>1146</v>
      </c>
      <c r="C45" s="31">
        <f t="shared" si="13"/>
        <v>3.7104072398190045E-2</v>
      </c>
      <c r="D45" s="22">
        <f t="shared" si="14"/>
        <v>3.6432283322832326E-2</v>
      </c>
      <c r="F45">
        <f t="shared" si="7"/>
        <v>3.0591846176313711</v>
      </c>
      <c r="K45">
        <f t="shared" si="8"/>
        <v>7.0440328972746853</v>
      </c>
      <c r="P45">
        <f t="shared" si="9"/>
        <v>6.5829718045285555E-6</v>
      </c>
      <c r="Q45">
        <f t="shared" si="10"/>
        <v>6.2966203464892266E-6</v>
      </c>
      <c r="R45">
        <f t="shared" si="11"/>
        <v>2.5657302672979004E-3</v>
      </c>
      <c r="S45">
        <f t="shared" si="12"/>
        <v>2.5093067461929054E-3</v>
      </c>
    </row>
    <row r="46" spans="2:19" x14ac:dyDescent="0.7">
      <c r="B46" s="25">
        <v>1147</v>
      </c>
      <c r="C46" s="31">
        <f t="shared" si="13"/>
        <v>8.7260034904013963E-4</v>
      </c>
      <c r="D46" s="22">
        <f t="shared" si="14"/>
        <v>8.7221985468577401E-4</v>
      </c>
      <c r="F46">
        <f t="shared" si="7"/>
        <v>3.0595634179012676</v>
      </c>
      <c r="K46">
        <f t="shared" si="8"/>
        <v>7.0449051171293711</v>
      </c>
      <c r="P46">
        <f t="shared" si="9"/>
        <v>9.2915393234731385E-5</v>
      </c>
      <c r="Q46">
        <f t="shared" si="10"/>
        <v>9.2376966234088696E-5</v>
      </c>
      <c r="R46">
        <f t="shared" si="11"/>
        <v>9.6392631064169728E-3</v>
      </c>
      <c r="S46">
        <f t="shared" si="12"/>
        <v>9.611293681606483E-3</v>
      </c>
    </row>
    <row r="47" spans="2:19" x14ac:dyDescent="0.7">
      <c r="B47" s="25">
        <v>1162</v>
      </c>
      <c r="C47" s="31">
        <f t="shared" si="13"/>
        <v>1.3077593722755012E-2</v>
      </c>
      <c r="D47" s="22">
        <f t="shared" si="14"/>
        <v>1.2992820282485162E-2</v>
      </c>
      <c r="F47">
        <f t="shared" si="7"/>
        <v>3.0652061280543119</v>
      </c>
      <c r="K47">
        <f t="shared" si="8"/>
        <v>7.0578979374118562</v>
      </c>
      <c r="P47">
        <f t="shared" si="9"/>
        <v>3.2675259754103426E-4</v>
      </c>
      <c r="Q47">
        <f t="shared" si="10"/>
        <v>3.205865396809979E-4</v>
      </c>
      <c r="R47">
        <f t="shared" si="11"/>
        <v>1.8076299332026848E-2</v>
      </c>
      <c r="S47">
        <f t="shared" si="12"/>
        <v>1.790493059693329E-2</v>
      </c>
    </row>
    <row r="48" spans="2:19" x14ac:dyDescent="0.7">
      <c r="B48" s="25">
        <v>1187</v>
      </c>
      <c r="C48" s="31">
        <f t="shared" si="13"/>
        <v>2.1514629948364887E-2</v>
      </c>
      <c r="D48" s="22">
        <f t="shared" si="14"/>
        <v>2.128645719781197E-2</v>
      </c>
      <c r="F48">
        <f t="shared" si="7"/>
        <v>3.0744507189545911</v>
      </c>
      <c r="K48">
        <f t="shared" si="8"/>
        <v>7.0791843946096682</v>
      </c>
      <c r="P48">
        <f t="shared" si="9"/>
        <v>1.7171154951367244E-5</v>
      </c>
      <c r="Q48">
        <f t="shared" si="10"/>
        <v>1.7405694975626279E-5</v>
      </c>
      <c r="R48">
        <f t="shared" si="11"/>
        <v>4.1438092320191626E-3</v>
      </c>
      <c r="S48">
        <f t="shared" si="12"/>
        <v>4.1720133000298885E-3</v>
      </c>
    </row>
    <row r="49" spans="2:19" x14ac:dyDescent="0.7">
      <c r="B49" s="25">
        <v>1196</v>
      </c>
      <c r="C49" s="31">
        <f t="shared" si="13"/>
        <v>7.582139848357203E-3</v>
      </c>
      <c r="D49" s="22">
        <f t="shared" si="14"/>
        <v>7.553539900908568E-3</v>
      </c>
      <c r="F49">
        <f t="shared" si="7"/>
        <v>3.0777311796523921</v>
      </c>
      <c r="K49">
        <f t="shared" si="8"/>
        <v>7.0867379345105768</v>
      </c>
      <c r="P49">
        <f t="shared" si="9"/>
        <v>1.827093150250996E-5</v>
      </c>
      <c r="Q49">
        <f t="shared" si="10"/>
        <v>1.7791496547957387E-5</v>
      </c>
      <c r="R49">
        <f t="shared" si="11"/>
        <v>4.2744510176758324E-3</v>
      </c>
      <c r="S49">
        <f t="shared" si="12"/>
        <v>4.2179967458448077E-3</v>
      </c>
    </row>
    <row r="50" spans="2:19" x14ac:dyDescent="0.7">
      <c r="B50" s="25">
        <v>1195</v>
      </c>
      <c r="C50" s="31">
        <f t="shared" si="13"/>
        <v>-8.3612040133779263E-4</v>
      </c>
      <c r="D50" s="22">
        <f t="shared" si="14"/>
        <v>-8.3647014496612826E-4</v>
      </c>
      <c r="F50">
        <f t="shared" si="7"/>
        <v>3.0773679052841563</v>
      </c>
      <c r="K50">
        <f t="shared" si="8"/>
        <v>7.0859014643656106</v>
      </c>
      <c r="P50">
        <f t="shared" si="9"/>
        <v>9.9018236004466654E-5</v>
      </c>
      <c r="Q50">
        <f t="shared" si="10"/>
        <v>9.8381652874234647E-5</v>
      </c>
      <c r="R50">
        <f t="shared" si="11"/>
        <v>9.9507907225740936E-3</v>
      </c>
      <c r="S50">
        <f t="shared" si="12"/>
        <v>9.9187525866025437E-3</v>
      </c>
    </row>
    <row r="51" spans="2:19" x14ac:dyDescent="0.7">
      <c r="B51" s="25">
        <v>1211</v>
      </c>
      <c r="C51" s="31">
        <f t="shared" si="13"/>
        <v>1.3389121338912133E-2</v>
      </c>
      <c r="D51" s="22">
        <f t="shared" si="14"/>
        <v>1.3300279187481223E-2</v>
      </c>
      <c r="F51">
        <f t="shared" si="7"/>
        <v>3.0831441431430524</v>
      </c>
      <c r="K51">
        <f t="shared" si="8"/>
        <v>7.0992017435530919</v>
      </c>
      <c r="P51">
        <f t="shared" si="9"/>
        <v>4.2061171823736128E-4</v>
      </c>
      <c r="Q51">
        <f t="shared" si="10"/>
        <v>4.1141584681532038E-4</v>
      </c>
      <c r="R51">
        <f t="shared" si="11"/>
        <v>2.0508820498443135E-2</v>
      </c>
      <c r="S51">
        <f t="shared" si="12"/>
        <v>2.0283388445112429E-2</v>
      </c>
    </row>
    <row r="52" spans="2:19" x14ac:dyDescent="0.7">
      <c r="B52" s="25">
        <v>1240</v>
      </c>
      <c r="C52" s="31">
        <f t="shared" si="13"/>
        <v>2.3947151114781174E-2</v>
      </c>
      <c r="D52" s="22">
        <f t="shared" si="14"/>
        <v>2.3664915045991108E-2</v>
      </c>
      <c r="F52">
        <f t="shared" si="7"/>
        <v>3.0934216851622351</v>
      </c>
      <c r="K52">
        <f t="shared" si="8"/>
        <v>7.122866658599083</v>
      </c>
      <c r="P52">
        <f t="shared" si="9"/>
        <v>1.6105390815931907E-4</v>
      </c>
      <c r="Q52">
        <f t="shared" si="10"/>
        <v>1.5923448558281865E-4</v>
      </c>
      <c r="R52">
        <f t="shared" si="11"/>
        <v>1.2690701641726476E-2</v>
      </c>
      <c r="S52">
        <f t="shared" si="12"/>
        <v>1.2618814745562226E-2</v>
      </c>
    </row>
    <row r="53" spans="2:19" ht="18" thickBot="1" x14ac:dyDescent="0.75">
      <c r="B53" s="26">
        <v>1260</v>
      </c>
      <c r="C53" s="32">
        <f t="shared" si="13"/>
        <v>1.6129032258064516E-2</v>
      </c>
      <c r="D53" s="23">
        <f t="shared" si="14"/>
        <v>1.6000341346440905E-2</v>
      </c>
      <c r="F53">
        <f t="shared" si="7"/>
        <v>3.1003705451175629</v>
      </c>
      <c r="K53">
        <f t="shared" si="8"/>
        <v>7.1388669999455239</v>
      </c>
    </row>
    <row r="54" spans="2:19" ht="18" thickTop="1" x14ac:dyDescent="0.7"/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495E-79B6-4217-BA6E-808008298786}">
  <dimension ref="A1:I18"/>
  <sheetViews>
    <sheetView workbookViewId="0">
      <selection activeCell="B18" sqref="B18"/>
    </sheetView>
  </sheetViews>
  <sheetFormatPr defaultRowHeight="17.649999999999999" x14ac:dyDescent="0.7"/>
  <sheetData>
    <row r="1" spans="1:9" x14ac:dyDescent="0.7">
      <c r="A1" t="s">
        <v>8</v>
      </c>
    </row>
    <row r="2" spans="1:9" ht="18" thickBot="1" x14ac:dyDescent="0.75"/>
    <row r="3" spans="1:9" x14ac:dyDescent="0.7">
      <c r="A3" s="13" t="s">
        <v>9</v>
      </c>
      <c r="B3" s="13"/>
    </row>
    <row r="4" spans="1:9" x14ac:dyDescent="0.7">
      <c r="A4" s="10" t="s">
        <v>10</v>
      </c>
      <c r="B4" s="10">
        <v>0.79516774614199415</v>
      </c>
    </row>
    <row r="5" spans="1:9" x14ac:dyDescent="0.7">
      <c r="A5" s="10" t="s">
        <v>11</v>
      </c>
      <c r="B5" s="10">
        <v>0.63229174450453884</v>
      </c>
    </row>
    <row r="6" spans="1:9" x14ac:dyDescent="0.7">
      <c r="A6" s="10" t="s">
        <v>12</v>
      </c>
      <c r="B6" s="10">
        <v>0.58632821256760614</v>
      </c>
    </row>
    <row r="7" spans="1:9" x14ac:dyDescent="0.7">
      <c r="A7" s="10" t="s">
        <v>13</v>
      </c>
      <c r="B7" s="10">
        <v>0.58336437195036972</v>
      </c>
    </row>
    <row r="8" spans="1:9" ht="18" thickBot="1" x14ac:dyDescent="0.75">
      <c r="A8" s="11" t="s">
        <v>14</v>
      </c>
      <c r="B8" s="11">
        <v>10</v>
      </c>
    </row>
    <row r="10" spans="1:9" ht="18" thickBot="1" x14ac:dyDescent="0.75">
      <c r="A10" t="s">
        <v>15</v>
      </c>
    </row>
    <row r="11" spans="1:9" x14ac:dyDescent="0.7">
      <c r="A11" s="12"/>
      <c r="B11" s="12" t="s">
        <v>20</v>
      </c>
      <c r="C11" s="12" t="s">
        <v>21</v>
      </c>
      <c r="D11" s="12" t="s">
        <v>22</v>
      </c>
      <c r="E11" s="12" t="s">
        <v>23</v>
      </c>
      <c r="F11" s="12" t="s">
        <v>24</v>
      </c>
    </row>
    <row r="12" spans="1:9" x14ac:dyDescent="0.7">
      <c r="A12" s="10" t="s">
        <v>16</v>
      </c>
      <c r="B12" s="10">
        <v>1</v>
      </c>
      <c r="C12" s="10">
        <v>4.6814880763116049</v>
      </c>
      <c r="D12" s="10">
        <v>4.6814880763116049</v>
      </c>
      <c r="E12" s="10">
        <v>13.756378543148452</v>
      </c>
      <c r="F12" s="10">
        <v>5.9652633019332321E-3</v>
      </c>
    </row>
    <row r="13" spans="1:9" x14ac:dyDescent="0.7">
      <c r="A13" s="10" t="s">
        <v>17</v>
      </c>
      <c r="B13" s="10">
        <v>8</v>
      </c>
      <c r="C13" s="10">
        <v>2.7225119236883941</v>
      </c>
      <c r="D13" s="10">
        <v>0.34031399046104926</v>
      </c>
      <c r="E13" s="10"/>
      <c r="F13" s="10"/>
    </row>
    <row r="14" spans="1:9" ht="18" thickBot="1" x14ac:dyDescent="0.75">
      <c r="A14" s="11" t="s">
        <v>18</v>
      </c>
      <c r="B14" s="11">
        <v>9</v>
      </c>
      <c r="C14" s="11">
        <v>7.403999999999999</v>
      </c>
      <c r="D14" s="11"/>
      <c r="E14" s="11"/>
      <c r="F14" s="11"/>
    </row>
    <row r="15" spans="1:9" ht="18" thickBot="1" x14ac:dyDescent="0.75"/>
    <row r="16" spans="1:9" x14ac:dyDescent="0.7">
      <c r="A16" s="12"/>
      <c r="B16" s="12" t="s">
        <v>25</v>
      </c>
      <c r="C16" s="12" t="s">
        <v>13</v>
      </c>
      <c r="D16" s="12" t="s">
        <v>26</v>
      </c>
      <c r="E16" s="12" t="s">
        <v>27</v>
      </c>
      <c r="F16" s="12" t="s">
        <v>28</v>
      </c>
      <c r="G16" s="12" t="s">
        <v>29</v>
      </c>
      <c r="H16" s="12" t="s">
        <v>30</v>
      </c>
      <c r="I16" s="12" t="s">
        <v>31</v>
      </c>
    </row>
    <row r="17" spans="1:9" x14ac:dyDescent="0.7">
      <c r="A17" s="10" t="s">
        <v>19</v>
      </c>
      <c r="B17" s="10">
        <v>-0.14912559618441973</v>
      </c>
      <c r="C17" s="10">
        <v>0.18680755502614255</v>
      </c>
      <c r="D17" s="10">
        <v>-0.79828460986789607</v>
      </c>
      <c r="E17" s="10">
        <v>0.4477523422050701</v>
      </c>
      <c r="F17" s="10">
        <v>-0.57990459056208443</v>
      </c>
      <c r="G17" s="10">
        <v>0.28165339819324497</v>
      </c>
      <c r="H17" s="10">
        <v>-0.57990459056208443</v>
      </c>
      <c r="I17" s="10">
        <v>0.28165339819324497</v>
      </c>
    </row>
    <row r="18" spans="1:9" ht="18" thickBot="1" x14ac:dyDescent="0.75">
      <c r="A18" s="11" t="s">
        <v>32</v>
      </c>
      <c r="B18" s="11">
        <v>1.3640699523052464</v>
      </c>
      <c r="C18" s="11">
        <v>0.36777701480065245</v>
      </c>
      <c r="D18" s="11">
        <v>3.7089592264068441</v>
      </c>
      <c r="E18" s="11">
        <v>5.965263301933219E-3</v>
      </c>
      <c r="F18" s="11">
        <v>0.51597463534189769</v>
      </c>
      <c r="G18" s="11">
        <v>2.2121652692685951</v>
      </c>
      <c r="H18" s="11">
        <v>0.51597463534189769</v>
      </c>
      <c r="I18" s="11">
        <v>2.2121652692685951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6A8-66F2-4C19-8D7F-4ACAF7A962D9}">
  <dimension ref="B1:Q27"/>
  <sheetViews>
    <sheetView showGridLines="0" zoomScale="85" zoomScaleNormal="85" workbookViewId="0">
      <selection activeCell="L8" sqref="L8:N10"/>
    </sheetView>
  </sheetViews>
  <sheetFormatPr defaultRowHeight="17.649999999999999" x14ac:dyDescent="0.7"/>
  <cols>
    <col min="3" max="3" width="26.125" bestFit="1" customWidth="1"/>
    <col min="5" max="5" width="15.3125" bestFit="1" customWidth="1"/>
    <col min="6" max="6" width="2.5" customWidth="1"/>
    <col min="7" max="7" width="14.375" customWidth="1"/>
    <col min="8" max="9" width="18.6875" customWidth="1"/>
    <col min="10" max="10" width="14.625" bestFit="1" customWidth="1"/>
    <col min="11" max="11" width="14.625" customWidth="1"/>
    <col min="12" max="14" width="15.6875" customWidth="1"/>
    <col min="15" max="15" width="15.8125" customWidth="1"/>
    <col min="16" max="17" width="11.875" customWidth="1"/>
  </cols>
  <sheetData>
    <row r="1" spans="2:17" ht="18" thickBot="1" x14ac:dyDescent="0.75"/>
    <row r="2" spans="2:17" ht="18" thickBot="1" x14ac:dyDescent="0.75">
      <c r="B2" s="39" t="s">
        <v>0</v>
      </c>
      <c r="C2" s="40" t="s">
        <v>48</v>
      </c>
      <c r="D2" s="41" t="s">
        <v>50</v>
      </c>
      <c r="E2" s="42" t="s">
        <v>51</v>
      </c>
      <c r="G2" s="39"/>
      <c r="H2" s="41" t="s">
        <v>50</v>
      </c>
      <c r="I2" s="42" t="s">
        <v>51</v>
      </c>
      <c r="L2" s="73" t="s">
        <v>53</v>
      </c>
      <c r="M2" s="74"/>
      <c r="N2" s="75"/>
      <c r="O2" s="76"/>
    </row>
    <row r="3" spans="2:17" ht="18" thickBot="1" x14ac:dyDescent="0.75">
      <c r="B3" s="43">
        <v>44417</v>
      </c>
      <c r="C3" s="44">
        <v>1000</v>
      </c>
      <c r="D3" s="45">
        <v>1298</v>
      </c>
      <c r="E3" s="46">
        <v>115</v>
      </c>
      <c r="G3" s="67" t="s">
        <v>6</v>
      </c>
      <c r="H3" s="65">
        <f>(COUNT(C17:C27)*SUMPRODUCT($C$17:$C$27,D17:D27)-SUM($C$17:$C$27)*SUM(D17:D27))/(COUNT(C17:C27)*SUMPRODUCT(D17:D27,D17:D27)-SUM(D17:D27)^2)</f>
        <v>1.6789413293179591</v>
      </c>
      <c r="I3" s="66">
        <f>(COUNT(D17:D27)*SUMPRODUCT($C$17:$C$27,E17:E27)-SUM($C$17:$C$27)*SUM(E17:E27))/(COUNT(D17:D27)*SUMPRODUCT(E17:E27,E17:E27)-SUM(E17:E27)^2)</f>
        <v>2.0176092970332014</v>
      </c>
      <c r="L3" s="72"/>
      <c r="M3" s="77">
        <v>1</v>
      </c>
      <c r="N3" s="77">
        <v>0.5</v>
      </c>
      <c r="O3" s="78">
        <v>0.2</v>
      </c>
    </row>
    <row r="4" spans="2:17" x14ac:dyDescent="0.7">
      <c r="B4" s="47">
        <v>44418</v>
      </c>
      <c r="C4" s="48">
        <v>985</v>
      </c>
      <c r="D4" s="49">
        <v>1281</v>
      </c>
      <c r="E4" s="50">
        <v>114.4</v>
      </c>
      <c r="L4" s="70"/>
      <c r="M4" s="77">
        <v>0.5</v>
      </c>
      <c r="N4" s="77">
        <v>1</v>
      </c>
      <c r="O4" s="78">
        <v>0.4</v>
      </c>
    </row>
    <row r="5" spans="2:17" ht="18" thickBot="1" x14ac:dyDescent="0.75">
      <c r="B5" s="47">
        <v>44419</v>
      </c>
      <c r="C5" s="48">
        <v>1040</v>
      </c>
      <c r="D5" s="49">
        <v>1301</v>
      </c>
      <c r="E5" s="50">
        <v>115.8</v>
      </c>
      <c r="L5" s="71"/>
      <c r="M5" s="79">
        <v>0.2</v>
      </c>
      <c r="N5" s="79">
        <v>0.4</v>
      </c>
      <c r="O5" s="80">
        <v>1</v>
      </c>
    </row>
    <row r="6" spans="2:17" ht="18" thickBot="1" x14ac:dyDescent="0.75">
      <c r="B6" s="47">
        <v>44420</v>
      </c>
      <c r="C6" s="48">
        <v>1027</v>
      </c>
      <c r="D6" s="49">
        <v>1298</v>
      </c>
      <c r="E6" s="50">
        <v>115.1</v>
      </c>
    </row>
    <row r="7" spans="2:17" ht="18" thickBot="1" x14ac:dyDescent="0.75">
      <c r="B7" s="47">
        <v>44421</v>
      </c>
      <c r="C7" s="48">
        <v>1074</v>
      </c>
      <c r="D7" s="49">
        <v>1327</v>
      </c>
      <c r="E7" s="50">
        <v>115.1</v>
      </c>
      <c r="L7" s="81" t="s">
        <v>54</v>
      </c>
      <c r="P7" s="33" t="s">
        <v>61</v>
      </c>
      <c r="Q7" s="34" t="s">
        <v>62</v>
      </c>
    </row>
    <row r="8" spans="2:17" ht="35.65" thickBot="1" x14ac:dyDescent="0.75">
      <c r="B8" s="47">
        <v>44424</v>
      </c>
      <c r="C8" s="48">
        <v>1052</v>
      </c>
      <c r="D8" s="49">
        <v>1330</v>
      </c>
      <c r="E8" s="50">
        <v>114.3</v>
      </c>
      <c r="G8" s="73" t="s">
        <v>55</v>
      </c>
      <c r="H8" s="74" t="s">
        <v>59</v>
      </c>
      <c r="I8" s="75" t="s">
        <v>49</v>
      </c>
      <c r="J8" s="76" t="s">
        <v>51</v>
      </c>
      <c r="L8" s="82" t="s">
        <v>63</v>
      </c>
      <c r="M8" s="82">
        <f>0</f>
        <v>0</v>
      </c>
      <c r="N8" s="83">
        <v>0</v>
      </c>
      <c r="P8" s="59">
        <f ca="1">RAND()</f>
        <v>0.31753023645315614</v>
      </c>
      <c r="Q8" s="61" t="e">
        <f t="array" ref="Q8:Q10">MMULT(L8:N10,P8:P10)</f>
        <v>#VALUE!</v>
      </c>
    </row>
    <row r="9" spans="2:17" ht="35.25" x14ac:dyDescent="0.7">
      <c r="B9" s="47">
        <v>44425</v>
      </c>
      <c r="C9" s="48">
        <v>1033</v>
      </c>
      <c r="D9" s="49">
        <v>1344</v>
      </c>
      <c r="E9" s="50">
        <v>111.8</v>
      </c>
      <c r="G9" s="72" t="s">
        <v>48</v>
      </c>
      <c r="H9" s="94">
        <f>_xlfn.VAR.S(C$17:C$27)</f>
        <v>7.8555038863007342E-4</v>
      </c>
      <c r="I9" s="95">
        <f>_xlfn.COVARIANCE.S($C$17:$C$27,D17:D27)</f>
        <v>2.2887764722229984E-4</v>
      </c>
      <c r="J9" s="96">
        <f>_xlfn.COVARIANCE.S($C$17:$C$27,E17:E27)</f>
        <v>1.7738527101837729E-4</v>
      </c>
      <c r="L9" s="82">
        <f>M4</f>
        <v>0.5</v>
      </c>
      <c r="M9" s="82">
        <f>SQRT(N4-SUMPRODUCT($M4:M4,$M4:M4))</f>
        <v>0.8660254037844386</v>
      </c>
      <c r="N9" s="83">
        <v>0</v>
      </c>
      <c r="P9" s="59">
        <f t="shared" ref="P9:P10" ca="1" si="0">RAND()</f>
        <v>0.45471040758376235</v>
      </c>
      <c r="Q9" s="61" t="e">
        <v>#VALUE!</v>
      </c>
    </row>
    <row r="10" spans="2:17" ht="18" thickBot="1" x14ac:dyDescent="0.75">
      <c r="B10" s="47">
        <v>44426</v>
      </c>
      <c r="C10" s="48">
        <v>1025</v>
      </c>
      <c r="D10" s="49">
        <v>1344</v>
      </c>
      <c r="E10" s="50">
        <v>111.6</v>
      </c>
      <c r="G10" s="70" t="s">
        <v>49</v>
      </c>
      <c r="H10" s="97">
        <f>I9</f>
        <v>2.2887764722229984E-4</v>
      </c>
      <c r="I10" s="98">
        <f>_xlfn.VAR.S(D$17:D$27)</f>
        <v>1.3632259997749743E-4</v>
      </c>
      <c r="J10" s="99">
        <f>_xlfn.COVARIANCE.S(D17:D27,E17:E27)</f>
        <v>1.2804876373928717E-6</v>
      </c>
      <c r="L10" s="82">
        <f>M5</f>
        <v>0.2</v>
      </c>
      <c r="M10" s="82">
        <f>1/M9*(N5-L9*L10)</f>
        <v>0.34641016151377557</v>
      </c>
      <c r="N10" s="82">
        <f>SQRT(O5-SUMPRODUCT(L10:M10,L10:M10))</f>
        <v>0.91651513899116788</v>
      </c>
      <c r="P10" s="62">
        <f t="shared" ca="1" si="0"/>
        <v>4.6742560823074153E-2</v>
      </c>
      <c r="Q10" s="64" t="e">
        <v>#VALUE!</v>
      </c>
    </row>
    <row r="11" spans="2:17" ht="18" thickBot="1" x14ac:dyDescent="0.75">
      <c r="B11" s="47">
        <v>44427</v>
      </c>
      <c r="C11" s="48">
        <v>996</v>
      </c>
      <c r="D11" s="49">
        <v>1332</v>
      </c>
      <c r="E11" s="50">
        <v>110.8</v>
      </c>
      <c r="G11" s="71" t="s">
        <v>51</v>
      </c>
      <c r="H11" s="100">
        <f>J9</f>
        <v>1.7738527101837729E-4</v>
      </c>
      <c r="I11" s="101">
        <f>J10</f>
        <v>1.2804876373928717E-6</v>
      </c>
      <c r="J11" s="102">
        <f>_xlfn.VAR.S(E$17:E$27)</f>
        <v>8.7918543634396364E-5</v>
      </c>
    </row>
    <row r="12" spans="2:17" ht="18" thickBot="1" x14ac:dyDescent="0.75">
      <c r="B12" s="47">
        <v>44428</v>
      </c>
      <c r="C12" s="48">
        <v>1015</v>
      </c>
      <c r="D12" s="49">
        <v>1323</v>
      </c>
      <c r="E12" s="50">
        <v>112.1</v>
      </c>
    </row>
    <row r="13" spans="2:17" ht="35.65" thickBot="1" x14ac:dyDescent="0.75">
      <c r="B13" s="47">
        <v>44431</v>
      </c>
      <c r="C13" s="48">
        <v>1029</v>
      </c>
      <c r="D13" s="49">
        <v>1336</v>
      </c>
      <c r="E13" s="50">
        <v>111.7</v>
      </c>
      <c r="G13" s="73" t="s">
        <v>56</v>
      </c>
      <c r="H13" s="74" t="s">
        <v>59</v>
      </c>
      <c r="I13" s="75" t="s">
        <v>49</v>
      </c>
      <c r="J13" s="76" t="s">
        <v>51</v>
      </c>
    </row>
    <row r="14" spans="2:17" ht="35.65" thickBot="1" x14ac:dyDescent="0.75">
      <c r="B14" s="51">
        <v>44432</v>
      </c>
      <c r="C14" s="52">
        <v>1054</v>
      </c>
      <c r="D14" s="53">
        <v>1360</v>
      </c>
      <c r="E14" s="54">
        <v>111</v>
      </c>
      <c r="G14" s="72" t="s">
        <v>48</v>
      </c>
      <c r="H14" s="90">
        <f>CORREL($C$17:$C$27,C17:C27)</f>
        <v>1</v>
      </c>
      <c r="I14" s="91">
        <f t="shared" ref="I14:J14" si="1">CORREL($C$17:$C$27,D17:D27)</f>
        <v>0.69941094828786876</v>
      </c>
      <c r="J14" s="92">
        <f t="shared" si="1"/>
        <v>0.67497904351973859</v>
      </c>
    </row>
    <row r="15" spans="2:17" ht="18" thickBot="1" x14ac:dyDescent="0.75">
      <c r="B15" s="55" t="s">
        <v>52</v>
      </c>
      <c r="G15" s="70" t="s">
        <v>49</v>
      </c>
      <c r="H15" s="88">
        <f t="shared" ref="H15" si="2">CORREL($D$17:$D$27,C17:C27)</f>
        <v>0.69941094828786876</v>
      </c>
      <c r="I15" s="84">
        <f>CORREL($D$17:$D$27,D17:D27)</f>
        <v>1</v>
      </c>
      <c r="J15" s="85">
        <f t="shared" ref="J15" si="3">CORREL($D$17:$D$27,E17:E27)</f>
        <v>1.1696373198096147E-2</v>
      </c>
    </row>
    <row r="16" spans="2:17" ht="18" thickBot="1" x14ac:dyDescent="0.75">
      <c r="B16" s="39" t="s">
        <v>0</v>
      </c>
      <c r="C16" s="40" t="s">
        <v>48</v>
      </c>
      <c r="D16" s="41" t="s">
        <v>50</v>
      </c>
      <c r="E16" s="42" t="s">
        <v>51</v>
      </c>
      <c r="G16" s="71" t="s">
        <v>51</v>
      </c>
      <c r="H16" s="89">
        <f t="shared" ref="H16:I16" si="4">CORREL($E$17:$E$27,C17:C27)</f>
        <v>0.67497904351973859</v>
      </c>
      <c r="I16" s="86">
        <f t="shared" si="4"/>
        <v>1.1696373198096147E-2</v>
      </c>
      <c r="J16" s="87">
        <f>CORREL($E$17:$E$27,E17:E27)</f>
        <v>1</v>
      </c>
    </row>
    <row r="17" spans="2:9" ht="18" thickBot="1" x14ac:dyDescent="0.75">
      <c r="B17" s="47">
        <v>44418</v>
      </c>
      <c r="C17" s="56">
        <f>LN(C4/C3)</f>
        <v>-1.5113637810048184E-2</v>
      </c>
      <c r="D17" s="57">
        <f t="shared" ref="C17:D27" si="5">LN(D4/D3)</f>
        <v>-1.3183595367301034E-2</v>
      </c>
      <c r="E17" s="58">
        <f t="shared" ref="E17:E27" si="6">LN(E4/E3)</f>
        <v>-5.2310494175524438E-3</v>
      </c>
    </row>
    <row r="18" spans="2:9" x14ac:dyDescent="0.7">
      <c r="B18" s="47">
        <v>44419</v>
      </c>
      <c r="C18" s="59">
        <f t="shared" si="5"/>
        <v>5.4334350963329517E-2</v>
      </c>
      <c r="D18" s="60">
        <f t="shared" si="5"/>
        <v>1.5492176615771047E-2</v>
      </c>
      <c r="E18" s="61">
        <f t="shared" si="6"/>
        <v>1.2163486193197182E-2</v>
      </c>
      <c r="G18" s="27"/>
      <c r="H18" s="68" t="s">
        <v>57</v>
      </c>
      <c r="I18" s="69" t="s">
        <v>58</v>
      </c>
    </row>
    <row r="19" spans="2:9" x14ac:dyDescent="0.7">
      <c r="B19" s="47">
        <v>44420</v>
      </c>
      <c r="C19" s="59">
        <f t="shared" si="5"/>
        <v>-1.2578782206860073E-2</v>
      </c>
      <c r="D19" s="60">
        <f t="shared" si="5"/>
        <v>-2.3085812484699621E-3</v>
      </c>
      <c r="E19" s="61">
        <f t="shared" si="6"/>
        <v>-6.0632494110579678E-3</v>
      </c>
      <c r="G19" s="29" t="s">
        <v>49</v>
      </c>
      <c r="H19" s="35">
        <f>SQRT(I10)</f>
        <v>1.1675726957131939E-2</v>
      </c>
      <c r="I19" s="121">
        <f>J15</f>
        <v>1.1696373198096147E-2</v>
      </c>
    </row>
    <row r="20" spans="2:9" ht="18" thickBot="1" x14ac:dyDescent="0.75">
      <c r="B20" s="47">
        <v>44421</v>
      </c>
      <c r="C20" s="59">
        <f t="shared" si="5"/>
        <v>4.4748065140251869E-2</v>
      </c>
      <c r="D20" s="60">
        <f t="shared" si="5"/>
        <v>2.2096137068172286E-2</v>
      </c>
      <c r="E20" s="61">
        <f t="shared" si="6"/>
        <v>0</v>
      </c>
      <c r="G20" s="30" t="s">
        <v>51</v>
      </c>
      <c r="H20" s="37">
        <f>SQRT(J11)</f>
        <v>9.3764888756077761E-3</v>
      </c>
      <c r="I20" s="122"/>
    </row>
    <row r="21" spans="2:9" ht="18" thickBot="1" x14ac:dyDescent="0.75">
      <c r="B21" s="47">
        <v>44424</v>
      </c>
      <c r="C21" s="59">
        <f t="shared" si="5"/>
        <v>-2.0696881771154862E-2</v>
      </c>
      <c r="D21" s="60">
        <f t="shared" si="5"/>
        <v>2.2581868835918847E-3</v>
      </c>
      <c r="E21" s="61">
        <f t="shared" si="6"/>
        <v>-6.9747449270719745E-3</v>
      </c>
    </row>
    <row r="22" spans="2:9" ht="35.25" x14ac:dyDescent="0.7">
      <c r="B22" s="47">
        <v>44425</v>
      </c>
      <c r="C22" s="59">
        <f t="shared" si="5"/>
        <v>-1.8225924178016641E-2</v>
      </c>
      <c r="D22" s="60">
        <f t="shared" si="5"/>
        <v>1.0471299867295437E-2</v>
      </c>
      <c r="E22" s="61">
        <f t="shared" si="6"/>
        <v>-2.2115010079766212E-2</v>
      </c>
      <c r="G22" s="27"/>
      <c r="H22" s="93" t="s">
        <v>59</v>
      </c>
    </row>
    <row r="23" spans="2:9" x14ac:dyDescent="0.7">
      <c r="B23" s="47">
        <v>44426</v>
      </c>
      <c r="C23" s="59">
        <f t="shared" si="5"/>
        <v>-7.7745775471300396E-3</v>
      </c>
      <c r="D23" s="60">
        <f t="shared" si="5"/>
        <v>0</v>
      </c>
      <c r="E23" s="61">
        <f t="shared" si="6"/>
        <v>-1.7905107737882331E-3</v>
      </c>
      <c r="G23" s="29" t="s">
        <v>57</v>
      </c>
      <c r="H23" s="36" cm="1">
        <f t="array" ref="H23">SQRT(MMULT(MMULT(H3:I3,I10:J11),TRANSPOSE(H3:I3)))</f>
        <v>2.740148687353296E-2</v>
      </c>
    </row>
    <row r="24" spans="2:9" ht="18" thickBot="1" x14ac:dyDescent="0.75">
      <c r="B24" s="47">
        <v>44427</v>
      </c>
      <c r="C24" s="59">
        <f t="shared" si="5"/>
        <v>-2.8700633987910344E-2</v>
      </c>
      <c r="D24" s="60">
        <f t="shared" si="5"/>
        <v>-8.9686699827603751E-3</v>
      </c>
      <c r="E24" s="61">
        <f t="shared" si="6"/>
        <v>-7.1942756340270851E-3</v>
      </c>
      <c r="G24" s="30" t="s">
        <v>60</v>
      </c>
      <c r="H24" s="38">
        <f>2.33*H23</f>
        <v>6.3845464415331801E-2</v>
      </c>
    </row>
    <row r="25" spans="2:9" x14ac:dyDescent="0.7">
      <c r="B25" s="47">
        <v>44428</v>
      </c>
      <c r="C25" s="59">
        <f t="shared" si="5"/>
        <v>1.889663389128949E-2</v>
      </c>
      <c r="D25" s="60">
        <f t="shared" si="5"/>
        <v>-6.7796869853788038E-3</v>
      </c>
      <c r="E25" s="61">
        <f t="shared" si="6"/>
        <v>1.1664555764930737E-2</v>
      </c>
    </row>
    <row r="26" spans="2:9" x14ac:dyDescent="0.7">
      <c r="B26" s="47">
        <v>44431</v>
      </c>
      <c r="C26" s="59">
        <f t="shared" si="5"/>
        <v>1.3698844358161927E-2</v>
      </c>
      <c r="D26" s="60">
        <f t="shared" si="5"/>
        <v>9.778189981635264E-3</v>
      </c>
      <c r="E26" s="61">
        <f t="shared" si="6"/>
        <v>-3.574624002959134E-3</v>
      </c>
    </row>
    <row r="27" spans="2:9" ht="18" thickBot="1" x14ac:dyDescent="0.75">
      <c r="B27" s="51">
        <v>44432</v>
      </c>
      <c r="C27" s="62">
        <f t="shared" si="5"/>
        <v>2.4004993267257961E-2</v>
      </c>
      <c r="D27" s="63">
        <f t="shared" si="5"/>
        <v>1.7804624633506686E-2</v>
      </c>
      <c r="E27" s="64">
        <f t="shared" si="6"/>
        <v>-6.2865047628209488E-3</v>
      </c>
    </row>
  </sheetData>
  <mergeCells count="1">
    <mergeCell ref="I19:I20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A4A3-5674-4D71-95E9-79668E3ABC65}">
  <dimension ref="B3:S201"/>
  <sheetViews>
    <sheetView showGridLines="0" topLeftCell="O1" workbookViewId="0">
      <selection activeCell="N3" sqref="N3:S5"/>
    </sheetView>
  </sheetViews>
  <sheetFormatPr defaultRowHeight="17.649999999999999" x14ac:dyDescent="0.7"/>
  <cols>
    <col min="2" max="2" width="14.375" bestFit="1" customWidth="1"/>
    <col min="7" max="13" width="8.8125" customWidth="1"/>
    <col min="14" max="14" width="12.375" bestFit="1" customWidth="1"/>
    <col min="15" max="15" width="12.625" bestFit="1" customWidth="1"/>
    <col min="16" max="16" width="12.375" bestFit="1" customWidth="1"/>
    <col min="17" max="17" width="12.625" bestFit="1" customWidth="1"/>
    <col min="18" max="18" width="12.375" bestFit="1" customWidth="1"/>
    <col min="19" max="19" width="12.625" bestFit="1" customWidth="1"/>
    <col min="20" max="20" width="8.3125" customWidth="1"/>
  </cols>
  <sheetData>
    <row r="3" spans="2:19" x14ac:dyDescent="0.7">
      <c r="E3" s="111" t="s">
        <v>69</v>
      </c>
      <c r="G3" s="111" t="s">
        <v>70</v>
      </c>
      <c r="N3" s="111" t="s">
        <v>69</v>
      </c>
      <c r="P3" s="111" t="s">
        <v>70</v>
      </c>
      <c r="R3" s="111" t="s">
        <v>75</v>
      </c>
    </row>
    <row r="4" spans="2:19" x14ac:dyDescent="0.7">
      <c r="B4" s="104" t="s">
        <v>64</v>
      </c>
      <c r="C4" s="105">
        <v>0.7</v>
      </c>
      <c r="E4" s="106" t="s">
        <v>65</v>
      </c>
      <c r="F4" s="106" t="s">
        <v>66</v>
      </c>
      <c r="G4" s="106" t="s">
        <v>65</v>
      </c>
      <c r="H4" s="106" t="s">
        <v>66</v>
      </c>
      <c r="J4" s="113" t="s">
        <v>71</v>
      </c>
      <c r="K4" s="123" t="s">
        <v>74</v>
      </c>
      <c r="L4" s="123"/>
      <c r="M4" s="123"/>
      <c r="N4" s="106" t="s">
        <v>72</v>
      </c>
      <c r="O4" s="106" t="s">
        <v>73</v>
      </c>
      <c r="P4" s="106" t="s">
        <v>72</v>
      </c>
      <c r="Q4" s="106" t="s">
        <v>73</v>
      </c>
      <c r="R4" s="106" t="s">
        <v>72</v>
      </c>
      <c r="S4" s="106" t="s">
        <v>73</v>
      </c>
    </row>
    <row r="5" spans="2:19" x14ac:dyDescent="0.7">
      <c r="B5" s="104" t="s">
        <v>68</v>
      </c>
      <c r="C5" s="105">
        <f>SUM(C20:C201)</f>
        <v>2.8247524899999987E-2</v>
      </c>
      <c r="E5" s="109">
        <v>0</v>
      </c>
      <c r="F5" s="110">
        <f t="shared" ref="F5:F14" si="0">$C$4^E5*(1-$C$4)</f>
        <v>0.30000000000000004</v>
      </c>
      <c r="G5" s="109">
        <v>0</v>
      </c>
      <c r="H5" s="110">
        <f t="shared" ref="H5:H14" si="1">$C$4^G5*(1-$C$4)/(1-$C$5)</f>
        <v>0.30872059262738488</v>
      </c>
      <c r="J5" s="105">
        <v>1.5</v>
      </c>
      <c r="K5" s="105">
        <f>(J5-$N$5)^2</f>
        <v>2.5405460066266095</v>
      </c>
      <c r="L5" s="105">
        <f>(J5-$P$5)^2</f>
        <v>2.5492555899944831</v>
      </c>
      <c r="M5" s="105">
        <f>(J5-$R$5)^2</f>
        <v>3.0276000000000001</v>
      </c>
      <c r="N5" s="115">
        <f>SUMPRODUCT(F5:F14,$J$5:$J$14)</f>
        <v>-9.3909033359999922E-2</v>
      </c>
      <c r="O5" s="114">
        <f>SQRT(10/9*SUMPRODUCT(F5:F14,K5:K14))</f>
        <v>1.6354477689601723</v>
      </c>
      <c r="P5" s="114">
        <f>SUMPRODUCT(H5:H14,$J$5:$J$14)</f>
        <v>-9.6638841439880122E-2</v>
      </c>
      <c r="Q5" s="114">
        <f>SQRT(10/9*SUMPRODUCT(H5:H14,L5:L14))</f>
        <v>1.6590451212008306</v>
      </c>
      <c r="R5" s="114">
        <f>AVERAGE(J5:J14)</f>
        <v>-0.23999999999999994</v>
      </c>
      <c r="S5" s="114">
        <f>SQRT(SUM(M5:M14)/9)</f>
        <v>1.3492384683385088</v>
      </c>
    </row>
    <row r="6" spans="2:19" x14ac:dyDescent="0.7">
      <c r="C6" s="111">
        <f>1-F15</f>
        <v>2.8247524900000043E-2</v>
      </c>
      <c r="E6" s="105">
        <v>1</v>
      </c>
      <c r="F6" s="110">
        <f t="shared" si="0"/>
        <v>0.21000000000000002</v>
      </c>
      <c r="G6" s="105">
        <v>1</v>
      </c>
      <c r="H6" s="110">
        <f t="shared" si="1"/>
        <v>0.2161044148391694</v>
      </c>
      <c r="J6" s="105">
        <v>-2.5</v>
      </c>
      <c r="K6" s="105">
        <f t="shared" ref="K6:K14" si="2">(J6-$N$5)^2</f>
        <v>5.7892737397466094</v>
      </c>
      <c r="L6" s="105">
        <f t="shared" ref="L6:L14" si="3">(J6-$P$5)^2</f>
        <v>5.7761448584754422</v>
      </c>
      <c r="M6" s="105">
        <f t="shared" ref="M6:M14" si="4">(J6-$R$5)^2</f>
        <v>5.1076000000000015</v>
      </c>
    </row>
    <row r="7" spans="2:19" x14ac:dyDescent="0.7">
      <c r="C7">
        <f>C4^10</f>
        <v>2.824752489999998E-2</v>
      </c>
      <c r="E7" s="105">
        <v>2</v>
      </c>
      <c r="F7" s="110">
        <f t="shared" si="0"/>
        <v>0.14699999999999999</v>
      </c>
      <c r="G7" s="105">
        <v>2</v>
      </c>
      <c r="H7" s="110">
        <f t="shared" si="1"/>
        <v>0.15127309038741857</v>
      </c>
      <c r="J7" s="105">
        <v>0.1</v>
      </c>
      <c r="K7" s="105">
        <f t="shared" si="2"/>
        <v>3.7600713218609562E-2</v>
      </c>
      <c r="L7" s="105">
        <f t="shared" si="3"/>
        <v>3.8666833962818323E-2</v>
      </c>
      <c r="M7" s="105">
        <f t="shared" si="4"/>
        <v>0.11559999999999998</v>
      </c>
    </row>
    <row r="8" spans="2:19" x14ac:dyDescent="0.7">
      <c r="C8">
        <f>C5-C7</f>
        <v>0</v>
      </c>
      <c r="E8" s="105">
        <v>3</v>
      </c>
      <c r="F8" s="110">
        <f t="shared" si="0"/>
        <v>0.10289999999999999</v>
      </c>
      <c r="G8" s="105">
        <v>3</v>
      </c>
      <c r="H8" s="110">
        <f t="shared" si="1"/>
        <v>0.10589116327119298</v>
      </c>
      <c r="J8" s="105">
        <v>0.2</v>
      </c>
      <c r="K8" s="105">
        <f t="shared" si="2"/>
        <v>8.6382519890609563E-2</v>
      </c>
      <c r="L8" s="105">
        <f t="shared" si="3"/>
        <v>8.7994602250794335E-2</v>
      </c>
      <c r="M8" s="105">
        <f t="shared" si="4"/>
        <v>0.19359999999999997</v>
      </c>
    </row>
    <row r="9" spans="2:19" x14ac:dyDescent="0.7">
      <c r="E9" s="105">
        <v>4</v>
      </c>
      <c r="F9" s="110">
        <f t="shared" si="0"/>
        <v>7.2029999999999983E-2</v>
      </c>
      <c r="G9" s="105">
        <v>4</v>
      </c>
      <c r="H9" s="110">
        <f t="shared" si="1"/>
        <v>7.4123814289835083E-2</v>
      </c>
      <c r="J9" s="105">
        <v>1.1000000000000001</v>
      </c>
      <c r="K9" s="105">
        <f t="shared" si="2"/>
        <v>1.4254187799386095</v>
      </c>
      <c r="L9" s="105">
        <f t="shared" si="3"/>
        <v>1.4319445168425791</v>
      </c>
      <c r="M9" s="105">
        <f t="shared" si="4"/>
        <v>1.7956000000000003</v>
      </c>
    </row>
    <row r="10" spans="2:19" x14ac:dyDescent="0.7">
      <c r="E10" s="105">
        <v>5</v>
      </c>
      <c r="F10" s="110">
        <f t="shared" si="0"/>
        <v>5.0420999999999987E-2</v>
      </c>
      <c r="G10" s="105">
        <v>5</v>
      </c>
      <c r="H10" s="110">
        <f t="shared" si="1"/>
        <v>5.1886670002884556E-2</v>
      </c>
      <c r="J10" s="105">
        <v>-2.5</v>
      </c>
      <c r="K10" s="105">
        <f t="shared" si="2"/>
        <v>5.7892737397466094</v>
      </c>
      <c r="L10" s="105">
        <f t="shared" si="3"/>
        <v>5.7761448584754422</v>
      </c>
      <c r="M10" s="105">
        <f t="shared" si="4"/>
        <v>5.1076000000000015</v>
      </c>
    </row>
    <row r="11" spans="2:19" x14ac:dyDescent="0.7">
      <c r="E11" s="105">
        <v>6</v>
      </c>
      <c r="F11" s="110">
        <f t="shared" si="0"/>
        <v>3.5294699999999991E-2</v>
      </c>
      <c r="G11" s="105">
        <v>6</v>
      </c>
      <c r="H11" s="110">
        <f t="shared" si="1"/>
        <v>3.632066900201919E-2</v>
      </c>
      <c r="J11" s="105">
        <v>-0.5</v>
      </c>
      <c r="K11" s="105">
        <f t="shared" si="2"/>
        <v>0.16490987318660968</v>
      </c>
      <c r="L11" s="105">
        <f t="shared" si="3"/>
        <v>0.16270022423496219</v>
      </c>
      <c r="M11" s="105">
        <f t="shared" si="4"/>
        <v>6.7600000000000035E-2</v>
      </c>
    </row>
    <row r="12" spans="2:19" x14ac:dyDescent="0.7">
      <c r="E12" s="105">
        <v>7</v>
      </c>
      <c r="F12" s="110">
        <f t="shared" si="0"/>
        <v>2.4706289999999988E-2</v>
      </c>
      <c r="G12" s="105">
        <v>7</v>
      </c>
      <c r="H12" s="110">
        <f t="shared" si="1"/>
        <v>2.5424468301413428E-2</v>
      </c>
      <c r="J12" s="105">
        <v>0.5</v>
      </c>
      <c r="K12" s="105">
        <f t="shared" si="2"/>
        <v>0.35272793990660944</v>
      </c>
      <c r="L12" s="105">
        <f t="shared" si="3"/>
        <v>0.35597790711472238</v>
      </c>
      <c r="M12" s="105">
        <f t="shared" si="4"/>
        <v>0.54759999999999998</v>
      </c>
    </row>
    <row r="13" spans="2:19" x14ac:dyDescent="0.7">
      <c r="E13" s="105">
        <v>8</v>
      </c>
      <c r="F13" s="110">
        <f t="shared" si="0"/>
        <v>1.7294402999999993E-2</v>
      </c>
      <c r="G13" s="105">
        <v>8</v>
      </c>
      <c r="H13" s="110">
        <f t="shared" si="1"/>
        <v>1.77971278109894E-2</v>
      </c>
      <c r="J13" s="105">
        <v>0.3</v>
      </c>
      <c r="K13" s="105">
        <f t="shared" si="2"/>
        <v>0.15516432656260953</v>
      </c>
      <c r="L13" s="105">
        <f t="shared" si="3"/>
        <v>0.15732237053877035</v>
      </c>
      <c r="M13" s="105">
        <f t="shared" si="4"/>
        <v>0.29159999999999991</v>
      </c>
    </row>
    <row r="14" spans="2:19" x14ac:dyDescent="0.7">
      <c r="E14" s="105">
        <v>9</v>
      </c>
      <c r="F14" s="110">
        <f t="shared" si="0"/>
        <v>1.2106082099999993E-2</v>
      </c>
      <c r="G14" s="105">
        <v>9</v>
      </c>
      <c r="H14" s="110">
        <f t="shared" si="1"/>
        <v>1.2457989467692578E-2</v>
      </c>
      <c r="J14" s="105">
        <v>-0.6</v>
      </c>
      <c r="K14" s="105">
        <f t="shared" si="2"/>
        <v>0.25612806651460968</v>
      </c>
      <c r="L14" s="105">
        <f t="shared" si="3"/>
        <v>0.25337245594698615</v>
      </c>
      <c r="M14" s="105">
        <f t="shared" si="4"/>
        <v>0.12960000000000002</v>
      </c>
    </row>
    <row r="15" spans="2:19" x14ac:dyDescent="0.7">
      <c r="E15" t="s">
        <v>67</v>
      </c>
      <c r="F15" s="108">
        <f>SUM(F5:F14)</f>
        <v>0.97175247509999996</v>
      </c>
      <c r="G15" t="s">
        <v>67</v>
      </c>
      <c r="H15" s="108">
        <f>SUM(H5:H14)</f>
        <v>1</v>
      </c>
    </row>
    <row r="20" spans="2:3" x14ac:dyDescent="0.7">
      <c r="B20">
        <v>1</v>
      </c>
      <c r="C20">
        <f>(1-$C$4)*$C$4^(10+B20-1)</f>
        <v>8.4742574699999962E-3</v>
      </c>
    </row>
    <row r="21" spans="2:3" x14ac:dyDescent="0.7">
      <c r="B21">
        <v>2</v>
      </c>
      <c r="C21">
        <f t="shared" ref="C21:C84" si="5">(1-$C$4)*$C$4^(10+B21-1)</f>
        <v>5.9319802289999959E-3</v>
      </c>
    </row>
    <row r="22" spans="2:3" x14ac:dyDescent="0.7">
      <c r="B22">
        <v>3</v>
      </c>
      <c r="C22">
        <f t="shared" si="5"/>
        <v>4.1523861602999965E-3</v>
      </c>
    </row>
    <row r="23" spans="2:3" x14ac:dyDescent="0.7">
      <c r="B23">
        <v>4</v>
      </c>
      <c r="C23">
        <f t="shared" si="5"/>
        <v>2.9066703122099975E-3</v>
      </c>
    </row>
    <row r="24" spans="2:3" x14ac:dyDescent="0.7">
      <c r="B24">
        <v>5</v>
      </c>
      <c r="C24">
        <f t="shared" si="5"/>
        <v>2.034669218546998E-3</v>
      </c>
    </row>
    <row r="25" spans="2:3" x14ac:dyDescent="0.7">
      <c r="B25">
        <v>6</v>
      </c>
      <c r="C25">
        <f t="shared" si="5"/>
        <v>1.4242684529828984E-3</v>
      </c>
    </row>
    <row r="26" spans="2:3" x14ac:dyDescent="0.7">
      <c r="B26">
        <v>7</v>
      </c>
      <c r="C26">
        <f t="shared" si="5"/>
        <v>9.9698791708802896E-4</v>
      </c>
    </row>
    <row r="27" spans="2:3" x14ac:dyDescent="0.7">
      <c r="B27">
        <v>8</v>
      </c>
      <c r="C27">
        <f t="shared" si="5"/>
        <v>6.9789154196162018E-4</v>
      </c>
    </row>
    <row r="28" spans="2:3" x14ac:dyDescent="0.7">
      <c r="B28">
        <v>9</v>
      </c>
      <c r="C28">
        <f t="shared" si="5"/>
        <v>4.885240793731341E-4</v>
      </c>
    </row>
    <row r="29" spans="2:3" x14ac:dyDescent="0.7">
      <c r="B29">
        <v>10</v>
      </c>
      <c r="C29">
        <f t="shared" si="5"/>
        <v>3.4196685556119386E-4</v>
      </c>
    </row>
    <row r="30" spans="2:3" x14ac:dyDescent="0.7">
      <c r="B30">
        <v>11</v>
      </c>
      <c r="C30">
        <f t="shared" si="5"/>
        <v>2.3937679889283569E-4</v>
      </c>
    </row>
    <row r="31" spans="2:3" x14ac:dyDescent="0.7">
      <c r="B31">
        <v>12</v>
      </c>
      <c r="C31">
        <f t="shared" si="5"/>
        <v>1.6756375922498496E-4</v>
      </c>
    </row>
    <row r="32" spans="2:3" x14ac:dyDescent="0.7">
      <c r="B32">
        <v>13</v>
      </c>
      <c r="C32">
        <f t="shared" si="5"/>
        <v>1.1729463145748947E-4</v>
      </c>
    </row>
    <row r="33" spans="2:3" x14ac:dyDescent="0.7">
      <c r="B33">
        <v>14</v>
      </c>
      <c r="C33">
        <f t="shared" si="5"/>
        <v>8.2106242020242608E-5</v>
      </c>
    </row>
    <row r="34" spans="2:3" x14ac:dyDescent="0.7">
      <c r="B34">
        <v>15</v>
      </c>
      <c r="C34">
        <f t="shared" si="5"/>
        <v>5.7474369414169826E-5</v>
      </c>
    </row>
    <row r="35" spans="2:3" x14ac:dyDescent="0.7">
      <c r="B35">
        <v>16</v>
      </c>
      <c r="C35">
        <f t="shared" si="5"/>
        <v>4.0232058589918877E-5</v>
      </c>
    </row>
    <row r="36" spans="2:3" x14ac:dyDescent="0.7">
      <c r="B36">
        <v>17</v>
      </c>
      <c r="C36">
        <f t="shared" si="5"/>
        <v>2.8162441012943214E-5</v>
      </c>
    </row>
    <row r="37" spans="2:3" x14ac:dyDescent="0.7">
      <c r="B37">
        <v>18</v>
      </c>
      <c r="C37">
        <f t="shared" si="5"/>
        <v>1.9713708709060248E-5</v>
      </c>
    </row>
    <row r="38" spans="2:3" x14ac:dyDescent="0.7">
      <c r="B38">
        <v>19</v>
      </c>
      <c r="C38">
        <f t="shared" si="5"/>
        <v>1.3799596096342173E-5</v>
      </c>
    </row>
    <row r="39" spans="2:3" x14ac:dyDescent="0.7">
      <c r="B39">
        <v>20</v>
      </c>
      <c r="C39">
        <f t="shared" si="5"/>
        <v>9.6597172674395179E-6</v>
      </c>
    </row>
    <row r="40" spans="2:3" x14ac:dyDescent="0.7">
      <c r="B40">
        <v>21</v>
      </c>
      <c r="C40">
        <f t="shared" si="5"/>
        <v>6.7618020872076627E-6</v>
      </c>
    </row>
    <row r="41" spans="2:3" x14ac:dyDescent="0.7">
      <c r="B41">
        <v>22</v>
      </c>
      <c r="C41">
        <f t="shared" si="5"/>
        <v>4.7332614610453628E-6</v>
      </c>
    </row>
    <row r="42" spans="2:3" x14ac:dyDescent="0.7">
      <c r="B42">
        <v>23</v>
      </c>
      <c r="C42">
        <f t="shared" si="5"/>
        <v>3.3132830227317549E-6</v>
      </c>
    </row>
    <row r="43" spans="2:3" x14ac:dyDescent="0.7">
      <c r="B43">
        <v>24</v>
      </c>
      <c r="C43">
        <f t="shared" si="5"/>
        <v>2.3192981159122282E-6</v>
      </c>
    </row>
    <row r="44" spans="2:3" x14ac:dyDescent="0.7">
      <c r="B44">
        <v>25</v>
      </c>
      <c r="C44">
        <f t="shared" si="5"/>
        <v>1.6235086811385596E-6</v>
      </c>
    </row>
    <row r="45" spans="2:3" x14ac:dyDescent="0.7">
      <c r="B45">
        <v>26</v>
      </c>
      <c r="C45">
        <f t="shared" si="5"/>
        <v>1.1364560767969915E-6</v>
      </c>
    </row>
    <row r="46" spans="2:3" x14ac:dyDescent="0.7">
      <c r="B46">
        <v>27</v>
      </c>
      <c r="C46">
        <f t="shared" si="5"/>
        <v>7.9551925375789407E-7</v>
      </c>
    </row>
    <row r="47" spans="2:3" x14ac:dyDescent="0.7">
      <c r="B47">
        <v>28</v>
      </c>
      <c r="C47">
        <f t="shared" si="5"/>
        <v>5.5686347763052581E-7</v>
      </c>
    </row>
    <row r="48" spans="2:3" x14ac:dyDescent="0.7">
      <c r="B48">
        <v>29</v>
      </c>
      <c r="C48">
        <f t="shared" si="5"/>
        <v>3.8980443434136799E-7</v>
      </c>
    </row>
    <row r="49" spans="2:3" x14ac:dyDescent="0.7">
      <c r="B49">
        <v>30</v>
      </c>
      <c r="C49">
        <f t="shared" si="5"/>
        <v>2.7286310403895759E-7</v>
      </c>
    </row>
    <row r="50" spans="2:3" x14ac:dyDescent="0.7">
      <c r="B50">
        <v>31</v>
      </c>
      <c r="C50">
        <f t="shared" si="5"/>
        <v>1.9100417282727031E-7</v>
      </c>
    </row>
    <row r="51" spans="2:3" x14ac:dyDescent="0.7">
      <c r="B51">
        <v>32</v>
      </c>
      <c r="C51">
        <f t="shared" si="5"/>
        <v>1.3370292097908921E-7</v>
      </c>
    </row>
    <row r="52" spans="2:3" x14ac:dyDescent="0.7">
      <c r="B52">
        <v>33</v>
      </c>
      <c r="C52">
        <f t="shared" si="5"/>
        <v>9.3592044685362438E-8</v>
      </c>
    </row>
    <row r="53" spans="2:3" x14ac:dyDescent="0.7">
      <c r="B53">
        <v>34</v>
      </c>
      <c r="C53">
        <f t="shared" si="5"/>
        <v>6.5514431279753703E-8</v>
      </c>
    </row>
    <row r="54" spans="2:3" x14ac:dyDescent="0.7">
      <c r="B54">
        <v>35</v>
      </c>
      <c r="C54">
        <f t="shared" si="5"/>
        <v>4.5860101895827588E-8</v>
      </c>
    </row>
    <row r="55" spans="2:3" x14ac:dyDescent="0.7">
      <c r="B55">
        <v>36</v>
      </c>
      <c r="C55">
        <f t="shared" si="5"/>
        <v>3.2102071327079309E-8</v>
      </c>
    </row>
    <row r="56" spans="2:3" x14ac:dyDescent="0.7">
      <c r="B56">
        <v>37</v>
      </c>
      <c r="C56">
        <f t="shared" si="5"/>
        <v>2.2471449928955513E-8</v>
      </c>
    </row>
    <row r="57" spans="2:3" x14ac:dyDescent="0.7">
      <c r="B57">
        <v>38</v>
      </c>
      <c r="C57">
        <f t="shared" si="5"/>
        <v>1.5730014950268857E-8</v>
      </c>
    </row>
    <row r="58" spans="2:3" x14ac:dyDescent="0.7">
      <c r="B58">
        <v>39</v>
      </c>
      <c r="C58">
        <f t="shared" si="5"/>
        <v>1.10110104651882E-8</v>
      </c>
    </row>
    <row r="59" spans="2:3" x14ac:dyDescent="0.7">
      <c r="B59">
        <v>40</v>
      </c>
      <c r="C59">
        <f t="shared" si="5"/>
        <v>7.7077073256317394E-9</v>
      </c>
    </row>
    <row r="60" spans="2:3" x14ac:dyDescent="0.7">
      <c r="B60">
        <v>41</v>
      </c>
      <c r="C60">
        <f t="shared" si="5"/>
        <v>5.3953951279422172E-9</v>
      </c>
    </row>
    <row r="61" spans="2:3" x14ac:dyDescent="0.7">
      <c r="B61">
        <v>42</v>
      </c>
      <c r="C61">
        <f t="shared" si="5"/>
        <v>3.7767765895595517E-9</v>
      </c>
    </row>
    <row r="62" spans="2:3" x14ac:dyDescent="0.7">
      <c r="B62">
        <v>43</v>
      </c>
      <c r="C62">
        <f t="shared" si="5"/>
        <v>2.6437436126916862E-9</v>
      </c>
    </row>
    <row r="63" spans="2:3" x14ac:dyDescent="0.7">
      <c r="B63">
        <v>44</v>
      </c>
      <c r="C63">
        <f t="shared" si="5"/>
        <v>1.8506205288841801E-9</v>
      </c>
    </row>
    <row r="64" spans="2:3" x14ac:dyDescent="0.7">
      <c r="B64">
        <v>45</v>
      </c>
      <c r="C64">
        <f t="shared" si="5"/>
        <v>1.2954343702189259E-9</v>
      </c>
    </row>
    <row r="65" spans="2:3" x14ac:dyDescent="0.7">
      <c r="B65">
        <v>46</v>
      </c>
      <c r="C65">
        <f t="shared" si="5"/>
        <v>9.0680405915324809E-10</v>
      </c>
    </row>
    <row r="66" spans="2:3" x14ac:dyDescent="0.7">
      <c r="B66">
        <v>47</v>
      </c>
      <c r="C66">
        <f t="shared" si="5"/>
        <v>6.3476284140727372E-10</v>
      </c>
    </row>
    <row r="67" spans="2:3" x14ac:dyDescent="0.7">
      <c r="B67">
        <v>48</v>
      </c>
      <c r="C67">
        <f t="shared" si="5"/>
        <v>4.4433398898509147E-10</v>
      </c>
    </row>
    <row r="68" spans="2:3" x14ac:dyDescent="0.7">
      <c r="B68">
        <v>49</v>
      </c>
      <c r="C68">
        <f t="shared" si="5"/>
        <v>3.1103379228956401E-10</v>
      </c>
    </row>
    <row r="69" spans="2:3" x14ac:dyDescent="0.7">
      <c r="B69">
        <v>50</v>
      </c>
      <c r="C69">
        <f t="shared" si="5"/>
        <v>2.1772365460269486E-10</v>
      </c>
    </row>
    <row r="70" spans="2:3" x14ac:dyDescent="0.7">
      <c r="B70">
        <v>51</v>
      </c>
      <c r="C70">
        <f t="shared" si="5"/>
        <v>1.5240655822188638E-10</v>
      </c>
    </row>
    <row r="71" spans="2:3" x14ac:dyDescent="0.7">
      <c r="B71">
        <v>52</v>
      </c>
      <c r="C71">
        <f t="shared" si="5"/>
        <v>1.0668459075532043E-10</v>
      </c>
    </row>
    <row r="72" spans="2:3" x14ac:dyDescent="0.7">
      <c r="B72">
        <v>53</v>
      </c>
      <c r="C72">
        <f t="shared" si="5"/>
        <v>7.4679213528724295E-11</v>
      </c>
    </row>
    <row r="73" spans="2:3" x14ac:dyDescent="0.7">
      <c r="B73">
        <v>54</v>
      </c>
      <c r="C73">
        <f t="shared" si="5"/>
        <v>5.2275449470106998E-11</v>
      </c>
    </row>
    <row r="74" spans="2:3" x14ac:dyDescent="0.7">
      <c r="B74">
        <v>55</v>
      </c>
      <c r="C74">
        <f t="shared" si="5"/>
        <v>3.659281462907491E-11</v>
      </c>
    </row>
    <row r="75" spans="2:3" x14ac:dyDescent="0.7">
      <c r="B75">
        <v>56</v>
      </c>
      <c r="C75">
        <f t="shared" si="5"/>
        <v>2.5614970240352432E-11</v>
      </c>
    </row>
    <row r="76" spans="2:3" x14ac:dyDescent="0.7">
      <c r="B76">
        <v>57</v>
      </c>
      <c r="C76">
        <f t="shared" si="5"/>
        <v>1.7930479168246703E-11</v>
      </c>
    </row>
    <row r="77" spans="2:3" x14ac:dyDescent="0.7">
      <c r="B77">
        <v>58</v>
      </c>
      <c r="C77">
        <f t="shared" si="5"/>
        <v>1.2551335417772691E-11</v>
      </c>
    </row>
    <row r="78" spans="2:3" x14ac:dyDescent="0.7">
      <c r="B78">
        <v>59</v>
      </c>
      <c r="C78">
        <f t="shared" si="5"/>
        <v>8.7859347924408829E-12</v>
      </c>
    </row>
    <row r="79" spans="2:3" x14ac:dyDescent="0.7">
      <c r="B79">
        <v>60</v>
      </c>
      <c r="C79">
        <f t="shared" si="5"/>
        <v>6.1501543547086179E-12</v>
      </c>
    </row>
    <row r="80" spans="2:3" x14ac:dyDescent="0.7">
      <c r="B80">
        <v>61</v>
      </c>
      <c r="C80">
        <f t="shared" si="5"/>
        <v>4.3051080482960323E-12</v>
      </c>
    </row>
    <row r="81" spans="2:3" x14ac:dyDescent="0.7">
      <c r="B81">
        <v>62</v>
      </c>
      <c r="C81">
        <f t="shared" si="5"/>
        <v>3.0135756338072219E-12</v>
      </c>
    </row>
    <row r="82" spans="2:3" x14ac:dyDescent="0.7">
      <c r="B82">
        <v>63</v>
      </c>
      <c r="C82">
        <f t="shared" si="5"/>
        <v>2.1095029436650554E-12</v>
      </c>
    </row>
    <row r="83" spans="2:3" x14ac:dyDescent="0.7">
      <c r="B83">
        <v>64</v>
      </c>
      <c r="C83">
        <f t="shared" si="5"/>
        <v>1.4766520605655385E-12</v>
      </c>
    </row>
    <row r="84" spans="2:3" x14ac:dyDescent="0.7">
      <c r="B84">
        <v>65</v>
      </c>
      <c r="C84">
        <f t="shared" si="5"/>
        <v>1.0336564423958769E-12</v>
      </c>
    </row>
    <row r="85" spans="2:3" x14ac:dyDescent="0.7">
      <c r="B85">
        <v>66</v>
      </c>
      <c r="C85">
        <f t="shared" ref="C85:C148" si="6">(1-$C$4)*$C$4^(10+B85-1)</f>
        <v>7.235595096771138E-13</v>
      </c>
    </row>
    <row r="86" spans="2:3" x14ac:dyDescent="0.7">
      <c r="B86">
        <v>67</v>
      </c>
      <c r="C86">
        <f t="shared" si="6"/>
        <v>5.0649165677397958E-13</v>
      </c>
    </row>
    <row r="87" spans="2:3" x14ac:dyDescent="0.7">
      <c r="B87">
        <v>68</v>
      </c>
      <c r="C87">
        <f t="shared" si="6"/>
        <v>3.5454415974178569E-13</v>
      </c>
    </row>
    <row r="88" spans="2:3" x14ac:dyDescent="0.7">
      <c r="B88">
        <v>69</v>
      </c>
      <c r="C88">
        <f t="shared" si="6"/>
        <v>2.4818091181924998E-13</v>
      </c>
    </row>
    <row r="89" spans="2:3" x14ac:dyDescent="0.7">
      <c r="B89">
        <v>70</v>
      </c>
      <c r="C89">
        <f t="shared" si="6"/>
        <v>1.7372663827347497E-13</v>
      </c>
    </row>
    <row r="90" spans="2:3" x14ac:dyDescent="0.7">
      <c r="B90">
        <v>71</v>
      </c>
      <c r="C90">
        <f t="shared" si="6"/>
        <v>1.2160864679143247E-13</v>
      </c>
    </row>
    <row r="91" spans="2:3" x14ac:dyDescent="0.7">
      <c r="B91">
        <v>72</v>
      </c>
      <c r="C91">
        <f t="shared" si="6"/>
        <v>8.5126052754002723E-14</v>
      </c>
    </row>
    <row r="92" spans="2:3" x14ac:dyDescent="0.7">
      <c r="B92">
        <v>73</v>
      </c>
      <c r="C92">
        <f t="shared" si="6"/>
        <v>5.9588236927801895E-14</v>
      </c>
    </row>
    <row r="93" spans="2:3" x14ac:dyDescent="0.7">
      <c r="B93">
        <v>74</v>
      </c>
      <c r="C93">
        <f t="shared" si="6"/>
        <v>4.171176584946133E-14</v>
      </c>
    </row>
    <row r="94" spans="2:3" x14ac:dyDescent="0.7">
      <c r="B94">
        <v>75</v>
      </c>
      <c r="C94">
        <f t="shared" si="6"/>
        <v>2.9198236094622925E-14</v>
      </c>
    </row>
    <row r="95" spans="2:3" x14ac:dyDescent="0.7">
      <c r="B95">
        <v>76</v>
      </c>
      <c r="C95">
        <f t="shared" si="6"/>
        <v>2.0438765266236047E-14</v>
      </c>
    </row>
    <row r="96" spans="2:3" x14ac:dyDescent="0.7">
      <c r="B96">
        <v>77</v>
      </c>
      <c r="C96">
        <f t="shared" si="6"/>
        <v>1.4307135686365233E-14</v>
      </c>
    </row>
    <row r="97" spans="2:3" x14ac:dyDescent="0.7">
      <c r="B97">
        <v>78</v>
      </c>
      <c r="C97">
        <f t="shared" si="6"/>
        <v>1.0014994980455662E-14</v>
      </c>
    </row>
    <row r="98" spans="2:3" x14ac:dyDescent="0.7">
      <c r="B98">
        <v>79</v>
      </c>
      <c r="C98">
        <f t="shared" si="6"/>
        <v>7.0104964863189633E-15</v>
      </c>
    </row>
    <row r="99" spans="2:3" x14ac:dyDescent="0.7">
      <c r="B99">
        <v>80</v>
      </c>
      <c r="C99">
        <f t="shared" si="6"/>
        <v>4.9073475404232736E-15</v>
      </c>
    </row>
    <row r="100" spans="2:3" x14ac:dyDescent="0.7">
      <c r="B100">
        <v>81</v>
      </c>
      <c r="C100">
        <f t="shared" si="6"/>
        <v>3.4351432782962914E-15</v>
      </c>
    </row>
    <row r="101" spans="2:3" x14ac:dyDescent="0.7">
      <c r="B101">
        <v>82</v>
      </c>
      <c r="C101">
        <f t="shared" si="6"/>
        <v>2.404600294807404E-15</v>
      </c>
    </row>
    <row r="102" spans="2:3" x14ac:dyDescent="0.7">
      <c r="B102">
        <v>83</v>
      </c>
      <c r="C102">
        <f t="shared" si="6"/>
        <v>1.6832202063651825E-15</v>
      </c>
    </row>
    <row r="103" spans="2:3" x14ac:dyDescent="0.7">
      <c r="B103">
        <v>84</v>
      </c>
      <c r="C103">
        <f t="shared" si="6"/>
        <v>1.1782541444556274E-15</v>
      </c>
    </row>
    <row r="104" spans="2:3" x14ac:dyDescent="0.7">
      <c r="B104">
        <v>85</v>
      </c>
      <c r="C104">
        <f t="shared" si="6"/>
        <v>8.2477790111893929E-16</v>
      </c>
    </row>
    <row r="105" spans="2:3" x14ac:dyDescent="0.7">
      <c r="B105">
        <v>86</v>
      </c>
      <c r="C105">
        <f t="shared" si="6"/>
        <v>5.7734453078325733E-16</v>
      </c>
    </row>
    <row r="106" spans="2:3" x14ac:dyDescent="0.7">
      <c r="B106">
        <v>87</v>
      </c>
      <c r="C106">
        <f t="shared" si="6"/>
        <v>4.0414117154828022E-16</v>
      </c>
    </row>
    <row r="107" spans="2:3" x14ac:dyDescent="0.7">
      <c r="B107">
        <v>88</v>
      </c>
      <c r="C107">
        <f t="shared" si="6"/>
        <v>2.8289882008379615E-16</v>
      </c>
    </row>
    <row r="108" spans="2:3" x14ac:dyDescent="0.7">
      <c r="B108">
        <v>89</v>
      </c>
      <c r="C108">
        <f t="shared" si="6"/>
        <v>1.9802917405865727E-16</v>
      </c>
    </row>
    <row r="109" spans="2:3" x14ac:dyDescent="0.7">
      <c r="B109">
        <v>90</v>
      </c>
      <c r="C109">
        <f t="shared" si="6"/>
        <v>1.3862042184106009E-16</v>
      </c>
    </row>
    <row r="110" spans="2:3" x14ac:dyDescent="0.7">
      <c r="B110">
        <v>91</v>
      </c>
      <c r="C110">
        <f t="shared" si="6"/>
        <v>9.7034295288742048E-17</v>
      </c>
    </row>
    <row r="111" spans="2:3" x14ac:dyDescent="0.7">
      <c r="B111">
        <v>92</v>
      </c>
      <c r="C111">
        <f t="shared" si="6"/>
        <v>6.7924006702119427E-17</v>
      </c>
    </row>
    <row r="112" spans="2:3" x14ac:dyDescent="0.7">
      <c r="B112">
        <v>93</v>
      </c>
      <c r="C112">
        <f t="shared" si="6"/>
        <v>4.7546804691483599E-17</v>
      </c>
    </row>
    <row r="113" spans="2:3" x14ac:dyDescent="0.7">
      <c r="B113">
        <v>94</v>
      </c>
      <c r="C113">
        <f t="shared" si="6"/>
        <v>3.3282763284038516E-17</v>
      </c>
    </row>
    <row r="114" spans="2:3" x14ac:dyDescent="0.7">
      <c r="B114">
        <v>95</v>
      </c>
      <c r="C114">
        <f t="shared" si="6"/>
        <v>2.3297934298826962E-17</v>
      </c>
    </row>
    <row r="115" spans="2:3" x14ac:dyDescent="0.7">
      <c r="B115">
        <v>96</v>
      </c>
      <c r="C115">
        <f t="shared" si="6"/>
        <v>1.6308554009178872E-17</v>
      </c>
    </row>
    <row r="116" spans="2:3" x14ac:dyDescent="0.7">
      <c r="B116">
        <v>97</v>
      </c>
      <c r="C116">
        <f t="shared" si="6"/>
        <v>1.1415987806425209E-17</v>
      </c>
    </row>
    <row r="117" spans="2:3" x14ac:dyDescent="0.7">
      <c r="B117">
        <v>98</v>
      </c>
      <c r="C117">
        <f t="shared" si="6"/>
        <v>7.991191464497646E-18</v>
      </c>
    </row>
    <row r="118" spans="2:3" x14ac:dyDescent="0.7">
      <c r="B118">
        <v>99</v>
      </c>
      <c r="C118">
        <f t="shared" si="6"/>
        <v>5.5938340251483508E-18</v>
      </c>
    </row>
    <row r="119" spans="2:3" x14ac:dyDescent="0.7">
      <c r="B119">
        <v>100</v>
      </c>
      <c r="C119">
        <f t="shared" si="6"/>
        <v>3.9156838176038455E-18</v>
      </c>
    </row>
    <row r="120" spans="2:3" x14ac:dyDescent="0.7">
      <c r="B120">
        <v>101</v>
      </c>
      <c r="C120">
        <f t="shared" si="6"/>
        <v>2.7409786723226919E-18</v>
      </c>
    </row>
    <row r="121" spans="2:3" x14ac:dyDescent="0.7">
      <c r="B121">
        <v>102</v>
      </c>
      <c r="C121">
        <f t="shared" si="6"/>
        <v>1.9186850706258837E-18</v>
      </c>
    </row>
    <row r="122" spans="2:3" x14ac:dyDescent="0.7">
      <c r="B122">
        <v>103</v>
      </c>
      <c r="C122">
        <f t="shared" si="6"/>
        <v>1.3430795494381186E-18</v>
      </c>
    </row>
    <row r="123" spans="2:3" x14ac:dyDescent="0.7">
      <c r="B123">
        <v>104</v>
      </c>
      <c r="C123">
        <f t="shared" si="6"/>
        <v>9.4015568460668313E-19</v>
      </c>
    </row>
    <row r="124" spans="2:3" x14ac:dyDescent="0.7">
      <c r="B124">
        <v>105</v>
      </c>
      <c r="C124">
        <f t="shared" si="6"/>
        <v>6.5810897922467796E-19</v>
      </c>
    </row>
    <row r="125" spans="2:3" x14ac:dyDescent="0.7">
      <c r="B125">
        <v>106</v>
      </c>
      <c r="C125">
        <f t="shared" si="6"/>
        <v>4.6067628545727471E-19</v>
      </c>
    </row>
    <row r="126" spans="2:3" x14ac:dyDescent="0.7">
      <c r="B126">
        <v>107</v>
      </c>
      <c r="C126">
        <f t="shared" si="6"/>
        <v>3.2247339982009221E-19</v>
      </c>
    </row>
    <row r="127" spans="2:3" x14ac:dyDescent="0.7">
      <c r="B127">
        <v>108</v>
      </c>
      <c r="C127">
        <f t="shared" si="6"/>
        <v>2.2573137987406452E-19</v>
      </c>
    </row>
    <row r="128" spans="2:3" x14ac:dyDescent="0.7">
      <c r="B128">
        <v>109</v>
      </c>
      <c r="C128">
        <f t="shared" si="6"/>
        <v>1.5801196591184516E-19</v>
      </c>
    </row>
    <row r="129" spans="2:3" x14ac:dyDescent="0.7">
      <c r="B129">
        <v>110</v>
      </c>
      <c r="C129">
        <f t="shared" si="6"/>
        <v>1.1060837613829159E-19</v>
      </c>
    </row>
    <row r="130" spans="2:3" x14ac:dyDescent="0.7">
      <c r="B130">
        <v>111</v>
      </c>
      <c r="C130">
        <f t="shared" si="6"/>
        <v>7.7425863296804123E-20</v>
      </c>
    </row>
    <row r="131" spans="2:3" x14ac:dyDescent="0.7">
      <c r="B131">
        <v>112</v>
      </c>
      <c r="C131">
        <f t="shared" si="6"/>
        <v>5.4198104307762877E-20</v>
      </c>
    </row>
    <row r="132" spans="2:3" x14ac:dyDescent="0.7">
      <c r="B132">
        <v>113</v>
      </c>
      <c r="C132">
        <f t="shared" si="6"/>
        <v>3.7938673015434013E-20</v>
      </c>
    </row>
    <row r="133" spans="2:3" x14ac:dyDescent="0.7">
      <c r="B133">
        <v>114</v>
      </c>
      <c r="C133">
        <f t="shared" si="6"/>
        <v>2.6557071110803812E-20</v>
      </c>
    </row>
    <row r="134" spans="2:3" x14ac:dyDescent="0.7">
      <c r="B134">
        <v>115</v>
      </c>
      <c r="C134">
        <f t="shared" si="6"/>
        <v>1.8589949777562665E-20</v>
      </c>
    </row>
    <row r="135" spans="2:3" x14ac:dyDescent="0.7">
      <c r="B135">
        <v>116</v>
      </c>
      <c r="C135">
        <f t="shared" si="6"/>
        <v>1.3012964844293862E-20</v>
      </c>
    </row>
    <row r="136" spans="2:3" x14ac:dyDescent="0.7">
      <c r="B136">
        <v>117</v>
      </c>
      <c r="C136">
        <f t="shared" si="6"/>
        <v>9.1090753910057019E-21</v>
      </c>
    </row>
    <row r="137" spans="2:3" x14ac:dyDescent="0.7">
      <c r="B137">
        <v>118</v>
      </c>
      <c r="C137">
        <f t="shared" si="6"/>
        <v>6.3763527737039901E-21</v>
      </c>
    </row>
    <row r="138" spans="2:3" x14ac:dyDescent="0.7">
      <c r="B138">
        <v>119</v>
      </c>
      <c r="C138">
        <f t="shared" si="6"/>
        <v>4.4634469415927947E-21</v>
      </c>
    </row>
    <row r="139" spans="2:3" x14ac:dyDescent="0.7">
      <c r="B139">
        <v>120</v>
      </c>
      <c r="C139">
        <f t="shared" si="6"/>
        <v>3.1244128591149562E-21</v>
      </c>
    </row>
    <row r="140" spans="2:3" x14ac:dyDescent="0.7">
      <c r="B140">
        <v>121</v>
      </c>
      <c r="C140">
        <f t="shared" si="6"/>
        <v>2.1870890013804691E-21</v>
      </c>
    </row>
    <row r="141" spans="2:3" x14ac:dyDescent="0.7">
      <c r="B141">
        <v>122</v>
      </c>
      <c r="C141">
        <f t="shared" si="6"/>
        <v>1.5309623009663283E-21</v>
      </c>
    </row>
    <row r="142" spans="2:3" x14ac:dyDescent="0.7">
      <c r="B142">
        <v>123</v>
      </c>
      <c r="C142">
        <f t="shared" si="6"/>
        <v>1.0716736106764296E-21</v>
      </c>
    </row>
    <row r="143" spans="2:3" x14ac:dyDescent="0.7">
      <c r="B143">
        <v>124</v>
      </c>
      <c r="C143">
        <f t="shared" si="6"/>
        <v>7.5017152747350076E-22</v>
      </c>
    </row>
    <row r="144" spans="2:3" x14ac:dyDescent="0.7">
      <c r="B144">
        <v>125</v>
      </c>
      <c r="C144">
        <f t="shared" si="6"/>
        <v>5.2512006923145053E-22</v>
      </c>
    </row>
    <row r="145" spans="2:3" x14ac:dyDescent="0.7">
      <c r="B145">
        <v>126</v>
      </c>
      <c r="C145">
        <f t="shared" si="6"/>
        <v>3.6758404846201531E-22</v>
      </c>
    </row>
    <row r="146" spans="2:3" x14ac:dyDescent="0.7">
      <c r="B146">
        <v>127</v>
      </c>
      <c r="C146">
        <f t="shared" si="6"/>
        <v>2.5730883392341072E-22</v>
      </c>
    </row>
    <row r="147" spans="2:3" x14ac:dyDescent="0.7">
      <c r="B147">
        <v>128</v>
      </c>
      <c r="C147">
        <f t="shared" si="6"/>
        <v>1.8011618374638746E-22</v>
      </c>
    </row>
    <row r="148" spans="2:3" x14ac:dyDescent="0.7">
      <c r="B148">
        <v>129</v>
      </c>
      <c r="C148">
        <f t="shared" si="6"/>
        <v>1.2608132862247123E-22</v>
      </c>
    </row>
    <row r="149" spans="2:3" x14ac:dyDescent="0.7">
      <c r="B149">
        <v>130</v>
      </c>
      <c r="C149">
        <f t="shared" ref="C149:C201" si="7">(1-$C$4)*$C$4^(10+B149-1)</f>
        <v>8.8256930035729863E-23</v>
      </c>
    </row>
    <row r="150" spans="2:3" x14ac:dyDescent="0.7">
      <c r="B150">
        <v>131</v>
      </c>
      <c r="C150">
        <f t="shared" si="7"/>
        <v>6.177985102501089E-23</v>
      </c>
    </row>
    <row r="151" spans="2:3" x14ac:dyDescent="0.7">
      <c r="B151">
        <v>132</v>
      </c>
      <c r="C151">
        <f t="shared" si="7"/>
        <v>4.3245895717507616E-23</v>
      </c>
    </row>
    <row r="152" spans="2:3" x14ac:dyDescent="0.7">
      <c r="B152">
        <v>133</v>
      </c>
      <c r="C152">
        <f t="shared" si="7"/>
        <v>3.0272127002255332E-23</v>
      </c>
    </row>
    <row r="153" spans="2:3" x14ac:dyDescent="0.7">
      <c r="B153">
        <v>134</v>
      </c>
      <c r="C153">
        <f t="shared" si="7"/>
        <v>2.1190488901578728E-23</v>
      </c>
    </row>
    <row r="154" spans="2:3" x14ac:dyDescent="0.7">
      <c r="B154">
        <v>135</v>
      </c>
      <c r="C154">
        <f t="shared" si="7"/>
        <v>1.4833342231105113E-23</v>
      </c>
    </row>
    <row r="155" spans="2:3" x14ac:dyDescent="0.7">
      <c r="B155">
        <v>136</v>
      </c>
      <c r="C155">
        <f t="shared" si="7"/>
        <v>1.0383339561773576E-23</v>
      </c>
    </row>
    <row r="156" spans="2:3" x14ac:dyDescent="0.7">
      <c r="B156">
        <v>137</v>
      </c>
      <c r="C156">
        <f t="shared" si="7"/>
        <v>7.2683376932415027E-24</v>
      </c>
    </row>
    <row r="157" spans="2:3" x14ac:dyDescent="0.7">
      <c r="B157">
        <v>138</v>
      </c>
      <c r="C157">
        <f t="shared" si="7"/>
        <v>5.0878363852690526E-24</v>
      </c>
    </row>
    <row r="158" spans="2:3" x14ac:dyDescent="0.7">
      <c r="B158">
        <v>139</v>
      </c>
      <c r="C158">
        <f t="shared" si="7"/>
        <v>3.5614854696883361E-24</v>
      </c>
    </row>
    <row r="159" spans="2:3" x14ac:dyDescent="0.7">
      <c r="B159">
        <v>140</v>
      </c>
      <c r="C159">
        <f t="shared" si="7"/>
        <v>2.4930398287818354E-24</v>
      </c>
    </row>
    <row r="160" spans="2:3" x14ac:dyDescent="0.7">
      <c r="B160">
        <v>141</v>
      </c>
      <c r="C160">
        <f t="shared" si="7"/>
        <v>1.7451278801472844E-24</v>
      </c>
    </row>
    <row r="161" spans="2:3" x14ac:dyDescent="0.7">
      <c r="B161">
        <v>142</v>
      </c>
      <c r="C161">
        <f t="shared" si="7"/>
        <v>1.2215895161030987E-24</v>
      </c>
    </row>
    <row r="162" spans="2:3" x14ac:dyDescent="0.7">
      <c r="B162">
        <v>143</v>
      </c>
      <c r="C162">
        <f t="shared" si="7"/>
        <v>8.5511266127216918E-25</v>
      </c>
    </row>
    <row r="163" spans="2:3" x14ac:dyDescent="0.7">
      <c r="B163">
        <v>144</v>
      </c>
      <c r="C163">
        <f t="shared" si="7"/>
        <v>5.9857886289051831E-25</v>
      </c>
    </row>
    <row r="164" spans="2:3" x14ac:dyDescent="0.7">
      <c r="B164">
        <v>145</v>
      </c>
      <c r="C164">
        <f t="shared" si="7"/>
        <v>4.1900520402336281E-25</v>
      </c>
    </row>
    <row r="165" spans="2:3" x14ac:dyDescent="0.7">
      <c r="B165">
        <v>146</v>
      </c>
      <c r="C165">
        <f t="shared" si="7"/>
        <v>2.9330364281635401E-25</v>
      </c>
    </row>
    <row r="166" spans="2:3" x14ac:dyDescent="0.7">
      <c r="B166">
        <v>147</v>
      </c>
      <c r="C166">
        <f t="shared" si="7"/>
        <v>2.0531254997144777E-25</v>
      </c>
    </row>
    <row r="167" spans="2:3" x14ac:dyDescent="0.7">
      <c r="B167">
        <v>148</v>
      </c>
      <c r="C167">
        <f t="shared" si="7"/>
        <v>1.4371878498001341E-25</v>
      </c>
    </row>
    <row r="168" spans="2:3" x14ac:dyDescent="0.7">
      <c r="B168">
        <v>149</v>
      </c>
      <c r="C168">
        <f t="shared" si="7"/>
        <v>1.0060314948600938E-25</v>
      </c>
    </row>
    <row r="169" spans="2:3" x14ac:dyDescent="0.7">
      <c r="B169">
        <v>150</v>
      </c>
      <c r="C169">
        <f t="shared" si="7"/>
        <v>7.0422204640206559E-26</v>
      </c>
    </row>
    <row r="170" spans="2:3" x14ac:dyDescent="0.7">
      <c r="B170">
        <v>151</v>
      </c>
      <c r="C170">
        <f t="shared" si="7"/>
        <v>4.9295543248144598E-26</v>
      </c>
    </row>
    <row r="171" spans="2:3" x14ac:dyDescent="0.7">
      <c r="B171">
        <v>152</v>
      </c>
      <c r="C171">
        <f t="shared" si="7"/>
        <v>3.4506880273701215E-26</v>
      </c>
    </row>
    <row r="172" spans="2:3" x14ac:dyDescent="0.7">
      <c r="B172">
        <v>153</v>
      </c>
      <c r="C172">
        <f t="shared" si="7"/>
        <v>2.4154816191590847E-26</v>
      </c>
    </row>
    <row r="173" spans="2:3" x14ac:dyDescent="0.7">
      <c r="B173">
        <v>154</v>
      </c>
      <c r="C173">
        <f t="shared" si="7"/>
        <v>1.6908371334113593E-26</v>
      </c>
    </row>
    <row r="174" spans="2:3" x14ac:dyDescent="0.7">
      <c r="B174">
        <v>155</v>
      </c>
      <c r="C174">
        <f t="shared" si="7"/>
        <v>1.1835859933879514E-26</v>
      </c>
    </row>
    <row r="175" spans="2:3" x14ac:dyDescent="0.7">
      <c r="B175">
        <v>156</v>
      </c>
      <c r="C175">
        <f t="shared" si="7"/>
        <v>8.2851019537156597E-27</v>
      </c>
    </row>
    <row r="176" spans="2:3" x14ac:dyDescent="0.7">
      <c r="B176">
        <v>157</v>
      </c>
      <c r="C176">
        <f t="shared" si="7"/>
        <v>5.7995713676009605E-27</v>
      </c>
    </row>
    <row r="177" spans="2:3" x14ac:dyDescent="0.7">
      <c r="B177">
        <v>158</v>
      </c>
      <c r="C177">
        <f t="shared" si="7"/>
        <v>4.059699957320672E-27</v>
      </c>
    </row>
    <row r="178" spans="2:3" x14ac:dyDescent="0.7">
      <c r="B178">
        <v>159</v>
      </c>
      <c r="C178">
        <f t="shared" si="7"/>
        <v>2.8417899701244708E-27</v>
      </c>
    </row>
    <row r="179" spans="2:3" x14ac:dyDescent="0.7">
      <c r="B179">
        <v>160</v>
      </c>
      <c r="C179">
        <f t="shared" si="7"/>
        <v>1.9892529790871291E-27</v>
      </c>
    </row>
    <row r="180" spans="2:3" x14ac:dyDescent="0.7">
      <c r="B180">
        <v>161</v>
      </c>
      <c r="C180">
        <f t="shared" si="7"/>
        <v>1.3924770853609904E-27</v>
      </c>
    </row>
    <row r="181" spans="2:3" x14ac:dyDescent="0.7">
      <c r="B181">
        <v>162</v>
      </c>
      <c r="C181">
        <f t="shared" si="7"/>
        <v>9.7473395975269327E-28</v>
      </c>
    </row>
    <row r="182" spans="2:3" x14ac:dyDescent="0.7">
      <c r="B182">
        <v>163</v>
      </c>
      <c r="C182">
        <f t="shared" si="7"/>
        <v>6.8231377182688514E-28</v>
      </c>
    </row>
    <row r="183" spans="2:3" x14ac:dyDescent="0.7">
      <c r="B183">
        <v>164</v>
      </c>
      <c r="C183">
        <f t="shared" si="7"/>
        <v>4.7761964027881962E-28</v>
      </c>
    </row>
    <row r="184" spans="2:3" x14ac:dyDescent="0.7">
      <c r="B184">
        <v>165</v>
      </c>
      <c r="C184">
        <f t="shared" si="7"/>
        <v>3.3433374819517369E-28</v>
      </c>
    </row>
    <row r="185" spans="2:3" x14ac:dyDescent="0.7">
      <c r="B185">
        <v>166</v>
      </c>
      <c r="C185">
        <f t="shared" si="7"/>
        <v>2.3403362373662153E-28</v>
      </c>
    </row>
    <row r="186" spans="2:3" x14ac:dyDescent="0.7">
      <c r="B186">
        <v>167</v>
      </c>
      <c r="C186">
        <f t="shared" si="7"/>
        <v>1.6382353661563507E-28</v>
      </c>
    </row>
    <row r="187" spans="2:3" x14ac:dyDescent="0.7">
      <c r="B187">
        <v>168</v>
      </c>
      <c r="C187">
        <f t="shared" si="7"/>
        <v>1.1467647563094454E-28</v>
      </c>
    </row>
    <row r="188" spans="2:3" x14ac:dyDescent="0.7">
      <c r="B188">
        <v>169</v>
      </c>
      <c r="C188">
        <f t="shared" si="7"/>
        <v>8.0273532941661163E-29</v>
      </c>
    </row>
    <row r="189" spans="2:3" x14ac:dyDescent="0.7">
      <c r="B189">
        <v>170</v>
      </c>
      <c r="C189">
        <f t="shared" si="7"/>
        <v>5.6191473059162826E-29</v>
      </c>
    </row>
    <row r="190" spans="2:3" x14ac:dyDescent="0.7">
      <c r="B190">
        <v>171</v>
      </c>
      <c r="C190">
        <f t="shared" si="7"/>
        <v>3.9334031141413971E-29</v>
      </c>
    </row>
    <row r="191" spans="2:3" x14ac:dyDescent="0.7">
      <c r="B191">
        <v>172</v>
      </c>
      <c r="C191">
        <f t="shared" si="7"/>
        <v>2.7533821798989774E-29</v>
      </c>
    </row>
    <row r="192" spans="2:3" x14ac:dyDescent="0.7">
      <c r="B192">
        <v>173</v>
      </c>
      <c r="C192">
        <f t="shared" si="7"/>
        <v>1.9273675259292842E-29</v>
      </c>
    </row>
    <row r="193" spans="2:3" x14ac:dyDescent="0.7">
      <c r="B193">
        <v>174</v>
      </c>
      <c r="C193">
        <f t="shared" si="7"/>
        <v>1.3491572681504989E-29</v>
      </c>
    </row>
    <row r="194" spans="2:3" x14ac:dyDescent="0.7">
      <c r="B194">
        <v>175</v>
      </c>
      <c r="C194">
        <f t="shared" si="7"/>
        <v>9.4441008770534916E-30</v>
      </c>
    </row>
    <row r="195" spans="2:3" x14ac:dyDescent="0.7">
      <c r="B195">
        <v>176</v>
      </c>
      <c r="C195">
        <f t="shared" si="7"/>
        <v>6.610870613937443E-30</v>
      </c>
    </row>
    <row r="196" spans="2:3" x14ac:dyDescent="0.7">
      <c r="B196">
        <v>177</v>
      </c>
      <c r="C196">
        <f t="shared" si="7"/>
        <v>4.6276094297562104E-30</v>
      </c>
    </row>
    <row r="197" spans="2:3" x14ac:dyDescent="0.7">
      <c r="B197">
        <v>178</v>
      </c>
      <c r="C197">
        <f t="shared" si="7"/>
        <v>3.2393266008293474E-30</v>
      </c>
    </row>
    <row r="198" spans="2:3" x14ac:dyDescent="0.7">
      <c r="B198">
        <v>179</v>
      </c>
      <c r="C198">
        <f t="shared" si="7"/>
        <v>2.267528620580543E-30</v>
      </c>
    </row>
    <row r="199" spans="2:3" x14ac:dyDescent="0.7">
      <c r="B199">
        <v>180</v>
      </c>
      <c r="C199">
        <f t="shared" si="7"/>
        <v>1.5872700344063794E-30</v>
      </c>
    </row>
    <row r="200" spans="2:3" x14ac:dyDescent="0.7">
      <c r="B200">
        <v>181</v>
      </c>
      <c r="C200">
        <f t="shared" si="7"/>
        <v>1.1110890240844656E-30</v>
      </c>
    </row>
    <row r="201" spans="2:3" x14ac:dyDescent="0.7">
      <c r="B201">
        <v>182</v>
      </c>
      <c r="C201">
        <f t="shared" si="7"/>
        <v>7.7776231685912573E-31</v>
      </c>
    </row>
  </sheetData>
  <mergeCells count="1">
    <mergeCell ref="K4:M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EBCE-41AD-4E38-95A6-19640466FE42}">
  <dimension ref="B2:J32"/>
  <sheetViews>
    <sheetView showGridLines="0" zoomScale="59" zoomScaleNormal="59" workbookViewId="0">
      <selection activeCell="H2" sqref="H2:J4"/>
    </sheetView>
  </sheetViews>
  <sheetFormatPr defaultRowHeight="17.649999999999999" x14ac:dyDescent="0.7"/>
  <cols>
    <col min="2" max="2" width="12.6875" customWidth="1"/>
    <col min="4" max="4" width="10.6875" bestFit="1" customWidth="1"/>
    <col min="5" max="5" width="19.625" customWidth="1"/>
    <col min="6" max="6" width="13.1875" bestFit="1" customWidth="1"/>
    <col min="8" max="8" width="10.8125" bestFit="1" customWidth="1"/>
    <col min="9" max="9" width="18.875" bestFit="1" customWidth="1"/>
    <col min="10" max="10" width="13.1875" bestFit="1" customWidth="1"/>
  </cols>
  <sheetData>
    <row r="2" spans="2:10" x14ac:dyDescent="0.7">
      <c r="B2" s="103" t="s">
        <v>76</v>
      </c>
      <c r="D2" s="112" t="s">
        <v>77</v>
      </c>
      <c r="E2" s="112" t="s">
        <v>78</v>
      </c>
      <c r="F2" s="112" t="s">
        <v>79</v>
      </c>
      <c r="H2" s="113" t="s">
        <v>77</v>
      </c>
      <c r="I2" s="113" t="s">
        <v>78</v>
      </c>
      <c r="J2" s="113" t="s">
        <v>79</v>
      </c>
    </row>
    <row r="3" spans="2:10" x14ac:dyDescent="0.7">
      <c r="B3" s="117">
        <v>1.5</v>
      </c>
      <c r="D3" s="116">
        <f>SUM(B3:B12)</f>
        <v>-2.3999999999999995</v>
      </c>
      <c r="E3" s="116">
        <f>SUM(B3:B12)</f>
        <v>-2.3999999999999995</v>
      </c>
      <c r="H3" s="110">
        <f>AVERAGE(D3:D5)</f>
        <v>1.3333333333333333</v>
      </c>
      <c r="I3" s="110">
        <f>AVERAGE(E3:E23)</f>
        <v>1.8476190476190475</v>
      </c>
      <c r="J3" s="110">
        <f>AVERAGE(D3:D5)</f>
        <v>1.3333333333333333</v>
      </c>
    </row>
    <row r="4" spans="2:10" x14ac:dyDescent="0.7">
      <c r="B4" s="117">
        <v>0.1</v>
      </c>
      <c r="D4" s="116">
        <f>SUM(B13:B22)</f>
        <v>5.0999999999999996</v>
      </c>
      <c r="E4" s="116">
        <f t="shared" ref="E4:E23" si="0">SUM(B4:B13)</f>
        <v>-3.9</v>
      </c>
      <c r="H4" s="107">
        <f>_xlfn.STDEV.P(D3:D5)</f>
        <v>3.0619528989773102</v>
      </c>
      <c r="I4" s="107">
        <f>_xlfn.STDEV.P(E3:E23)</f>
        <v>3.0137176926622971</v>
      </c>
      <c r="J4" s="107">
        <f>_xlfn.STDEV.S(B3:B32)*SQRT(10)</f>
        <v>3.6627983774735657</v>
      </c>
    </row>
    <row r="5" spans="2:10" x14ac:dyDescent="0.7">
      <c r="B5" s="117">
        <v>0.2</v>
      </c>
      <c r="D5" s="116">
        <f>SUM(B23:B32)</f>
        <v>1.3000000000000003</v>
      </c>
      <c r="E5" s="116">
        <f t="shared" si="0"/>
        <v>-3.7</v>
      </c>
    </row>
    <row r="6" spans="2:10" x14ac:dyDescent="0.7">
      <c r="B6" s="117">
        <v>1.1000000000000001</v>
      </c>
      <c r="E6" s="116">
        <f t="shared" si="0"/>
        <v>-1.7000000000000002</v>
      </c>
    </row>
    <row r="7" spans="2:10" x14ac:dyDescent="0.7">
      <c r="B7" s="117">
        <v>-2.5</v>
      </c>
      <c r="D7">
        <f>_xlfn.STDEV.S(B3:B12)</f>
        <v>1.3492384683385084</v>
      </c>
      <c r="E7" s="116">
        <f t="shared" si="0"/>
        <v>-3.0999999999999996</v>
      </c>
    </row>
    <row r="8" spans="2:10" x14ac:dyDescent="0.7">
      <c r="B8" s="117">
        <v>-2.5</v>
      </c>
      <c r="D8">
        <f>_xlfn.STDEV.S(B14:B23)</f>
        <v>0.9997777530809312</v>
      </c>
      <c r="E8" s="116">
        <f t="shared" si="0"/>
        <v>0.39999999999999969</v>
      </c>
    </row>
    <row r="9" spans="2:10" x14ac:dyDescent="0.7">
      <c r="B9" s="117">
        <v>-0.5</v>
      </c>
      <c r="D9">
        <f>_xlfn.STDEV.S(B23:B32)</f>
        <v>1.2275087689209301</v>
      </c>
      <c r="E9" s="116">
        <f t="shared" si="0"/>
        <v>2.7</v>
      </c>
    </row>
    <row r="10" spans="2:10" x14ac:dyDescent="0.7">
      <c r="B10" s="117">
        <v>0.5</v>
      </c>
      <c r="E10" s="116">
        <f t="shared" si="0"/>
        <v>4.7</v>
      </c>
    </row>
    <row r="11" spans="2:10" x14ac:dyDescent="0.7">
      <c r="B11" s="117">
        <v>0.3</v>
      </c>
      <c r="E11" s="116">
        <f t="shared" si="0"/>
        <v>4.8</v>
      </c>
    </row>
    <row r="12" spans="2:10" x14ac:dyDescent="0.7">
      <c r="B12" s="117">
        <v>-0.6</v>
      </c>
      <c r="E12" s="116">
        <f t="shared" si="0"/>
        <v>4.7</v>
      </c>
    </row>
    <row r="13" spans="2:10" x14ac:dyDescent="0.7">
      <c r="B13" s="117">
        <v>0</v>
      </c>
      <c r="E13" s="116">
        <f t="shared" si="0"/>
        <v>5.0999999999999996</v>
      </c>
    </row>
    <row r="14" spans="2:10" x14ac:dyDescent="0.7">
      <c r="B14" s="117">
        <v>0.3</v>
      </c>
      <c r="E14" s="116">
        <f t="shared" si="0"/>
        <v>3.8</v>
      </c>
    </row>
    <row r="15" spans="2:10" x14ac:dyDescent="0.7">
      <c r="B15" s="117">
        <v>2.2000000000000002</v>
      </c>
      <c r="E15" s="116">
        <f t="shared" si="0"/>
        <v>2.9</v>
      </c>
    </row>
    <row r="16" spans="2:10" x14ac:dyDescent="0.7">
      <c r="B16" s="117">
        <v>-0.3</v>
      </c>
      <c r="E16" s="116">
        <f t="shared" si="0"/>
        <v>3.7</v>
      </c>
    </row>
    <row r="17" spans="2:5" x14ac:dyDescent="0.7">
      <c r="B17" s="117">
        <v>1</v>
      </c>
      <c r="E17" s="116">
        <f t="shared" si="0"/>
        <v>5</v>
      </c>
    </row>
    <row r="18" spans="2:5" x14ac:dyDescent="0.7">
      <c r="B18" s="117">
        <v>-0.2</v>
      </c>
      <c r="E18" s="116">
        <f t="shared" si="0"/>
        <v>4.2</v>
      </c>
    </row>
    <row r="19" spans="2:5" x14ac:dyDescent="0.7">
      <c r="B19" s="117">
        <v>1.5</v>
      </c>
      <c r="E19" s="116">
        <f t="shared" si="0"/>
        <v>4.4000000000000004</v>
      </c>
    </row>
    <row r="20" spans="2:5" x14ac:dyDescent="0.7">
      <c r="B20" s="117">
        <v>0.6</v>
      </c>
      <c r="E20" s="116">
        <f t="shared" si="0"/>
        <v>3.3000000000000003</v>
      </c>
    </row>
    <row r="21" spans="2:5" x14ac:dyDescent="0.7">
      <c r="B21" s="117">
        <v>0.2</v>
      </c>
      <c r="E21" s="116">
        <f t="shared" si="0"/>
        <v>1.5000000000000002</v>
      </c>
    </row>
    <row r="22" spans="2:5" x14ac:dyDescent="0.7">
      <c r="B22" s="117">
        <v>-0.2</v>
      </c>
      <c r="E22" s="116">
        <f t="shared" si="0"/>
        <v>1.1000000000000001</v>
      </c>
    </row>
    <row r="23" spans="2:5" x14ac:dyDescent="0.7">
      <c r="B23" s="117">
        <v>-1.3</v>
      </c>
      <c r="E23" s="116">
        <f t="shared" si="0"/>
        <v>1.3000000000000003</v>
      </c>
    </row>
    <row r="24" spans="2:5" x14ac:dyDescent="0.7">
      <c r="B24" s="117">
        <v>-0.6</v>
      </c>
      <c r="E24" s="116"/>
    </row>
    <row r="25" spans="2:5" x14ac:dyDescent="0.7">
      <c r="B25" s="117">
        <v>3</v>
      </c>
      <c r="E25" s="116"/>
    </row>
    <row r="26" spans="2:5" x14ac:dyDescent="0.7">
      <c r="B26" s="117">
        <v>1</v>
      </c>
      <c r="E26" s="116"/>
    </row>
    <row r="27" spans="2:5" x14ac:dyDescent="0.7">
      <c r="B27" s="117">
        <v>0.2</v>
      </c>
      <c r="E27" s="116"/>
    </row>
    <row r="28" spans="2:5" x14ac:dyDescent="0.7">
      <c r="B28" s="117">
        <v>0</v>
      </c>
    </row>
    <row r="29" spans="2:5" x14ac:dyDescent="0.7">
      <c r="B29" s="117">
        <v>0.4</v>
      </c>
    </row>
    <row r="30" spans="2:5" x14ac:dyDescent="0.7">
      <c r="B30" s="117">
        <v>-1.2</v>
      </c>
    </row>
    <row r="31" spans="2:5" x14ac:dyDescent="0.7">
      <c r="B31" s="117">
        <v>-0.2</v>
      </c>
    </row>
    <row r="32" spans="2:5" x14ac:dyDescent="0.7">
      <c r="B32" s="117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71BF-EA91-4492-9E3C-54DA26B8F206}">
  <dimension ref="B2:L25"/>
  <sheetViews>
    <sheetView showGridLines="0" tabSelected="1" workbookViewId="0">
      <selection activeCell="L14" sqref="L14"/>
    </sheetView>
  </sheetViews>
  <sheetFormatPr defaultRowHeight="17.649999999999999" x14ac:dyDescent="0.7"/>
  <cols>
    <col min="6" max="6" width="1.6875" customWidth="1"/>
    <col min="9" max="9" width="14.6875" customWidth="1"/>
    <col min="10" max="10" width="13.875" customWidth="1"/>
    <col min="11" max="11" width="13.9375" bestFit="1" customWidth="1"/>
    <col min="12" max="12" width="10.375" customWidth="1"/>
  </cols>
  <sheetData>
    <row r="2" spans="2:12" x14ac:dyDescent="0.7">
      <c r="B2" t="s">
        <v>84</v>
      </c>
    </row>
    <row r="3" spans="2:12" x14ac:dyDescent="0.7">
      <c r="B3" s="123" t="s">
        <v>80</v>
      </c>
      <c r="C3" s="123"/>
      <c r="D3" s="123"/>
      <c r="E3" s="118" t="s">
        <v>81</v>
      </c>
      <c r="G3" s="123" t="s">
        <v>82</v>
      </c>
      <c r="H3" s="123"/>
      <c r="I3" s="106" t="s">
        <v>83</v>
      </c>
    </row>
    <row r="4" spans="2:12" x14ac:dyDescent="0.7">
      <c r="B4" s="126">
        <v>1.5</v>
      </c>
      <c r="C4" s="126"/>
      <c r="D4" s="126"/>
      <c r="E4" s="119">
        <v>5</v>
      </c>
      <c r="G4" s="124">
        <v>1</v>
      </c>
      <c r="H4" s="124"/>
      <c r="I4" s="114">
        <f>(B4-G4)/G4*E4</f>
        <v>2.5</v>
      </c>
    </row>
    <row r="5" spans="2:12" x14ac:dyDescent="0.7">
      <c r="B5" s="126">
        <v>2.5</v>
      </c>
      <c r="C5" s="126"/>
      <c r="D5" s="126"/>
      <c r="E5" s="119">
        <v>5</v>
      </c>
      <c r="G5" s="124">
        <v>2</v>
      </c>
      <c r="H5" s="124"/>
      <c r="I5" s="114">
        <f>(B4-G4)/(G5-G4)*E4+(G6-B5)/(G6-G5)*E5</f>
        <v>5</v>
      </c>
    </row>
    <row r="6" spans="2:12" x14ac:dyDescent="0.7">
      <c r="B6" s="126">
        <v>3.5</v>
      </c>
      <c r="C6" s="126"/>
      <c r="D6" s="126"/>
      <c r="E6" s="119">
        <v>105</v>
      </c>
      <c r="G6" s="124">
        <v>3</v>
      </c>
      <c r="H6" s="124"/>
      <c r="I6" s="114">
        <f>(B5-G5)/(G6-G5)*E5+(G7-B6)/(G7-G6)*E6</f>
        <v>81.25</v>
      </c>
    </row>
    <row r="7" spans="2:12" x14ac:dyDescent="0.7">
      <c r="G7" s="124">
        <v>5</v>
      </c>
      <c r="H7" s="124"/>
      <c r="I7" s="114">
        <f>(B6-G6)/(G7-G6)*E6</f>
        <v>26.25</v>
      </c>
    </row>
    <row r="8" spans="2:12" x14ac:dyDescent="0.7">
      <c r="G8" s="125" t="s">
        <v>67</v>
      </c>
      <c r="H8" s="125"/>
      <c r="I8" s="111">
        <f>SUM(I4:I7)</f>
        <v>115</v>
      </c>
    </row>
    <row r="11" spans="2:12" x14ac:dyDescent="0.7">
      <c r="B11" t="s">
        <v>85</v>
      </c>
    </row>
    <row r="12" spans="2:12" x14ac:dyDescent="0.7">
      <c r="B12" s="111" t="s">
        <v>86</v>
      </c>
      <c r="C12" s="111"/>
      <c r="G12" s="123" t="s">
        <v>82</v>
      </c>
      <c r="H12" s="123"/>
      <c r="I12" s="112" t="s">
        <v>6</v>
      </c>
      <c r="K12" s="120" t="s">
        <v>89</v>
      </c>
      <c r="L12" s="114">
        <f t="array" ref="L12">SQRT(MMULT(MMULT(TRANSPOSE(I13:I16),B13:E16),I13:I16))</f>
        <v>22.350195748583502</v>
      </c>
    </row>
    <row r="13" spans="2:12" x14ac:dyDescent="0.7">
      <c r="B13">
        <v>0.01</v>
      </c>
      <c r="C13">
        <v>0.01</v>
      </c>
      <c r="D13">
        <v>0.01</v>
      </c>
      <c r="E13">
        <v>0.02</v>
      </c>
      <c r="G13" s="124">
        <v>1</v>
      </c>
      <c r="H13" s="124"/>
      <c r="I13" s="114">
        <f>I4</f>
        <v>2.5</v>
      </c>
      <c r="K13" s="120" t="s">
        <v>90</v>
      </c>
      <c r="L13" s="114">
        <f>2.33*L12</f>
        <v>52.075956094199562</v>
      </c>
    </row>
    <row r="14" spans="2:12" x14ac:dyDescent="0.7">
      <c r="B14">
        <v>0.01</v>
      </c>
      <c r="C14">
        <v>0.02</v>
      </c>
      <c r="D14">
        <v>0.01</v>
      </c>
      <c r="E14">
        <v>0.03</v>
      </c>
      <c r="G14" s="124">
        <v>2</v>
      </c>
      <c r="H14" s="124"/>
      <c r="I14" s="114">
        <f t="shared" ref="I14:I16" si="0">I5</f>
        <v>5</v>
      </c>
    </row>
    <row r="15" spans="2:12" x14ac:dyDescent="0.7">
      <c r="B15">
        <v>0.01</v>
      </c>
      <c r="C15">
        <v>0.01</v>
      </c>
      <c r="D15">
        <v>0.04</v>
      </c>
      <c r="E15">
        <v>0.04</v>
      </c>
      <c r="G15" s="124">
        <v>3</v>
      </c>
      <c r="H15" s="124"/>
      <c r="I15" s="114">
        <f t="shared" si="0"/>
        <v>81.25</v>
      </c>
    </row>
    <row r="16" spans="2:12" x14ac:dyDescent="0.7">
      <c r="B16">
        <v>0.02</v>
      </c>
      <c r="C16">
        <v>0.03</v>
      </c>
      <c r="D16">
        <v>0.04</v>
      </c>
      <c r="E16">
        <v>0.06</v>
      </c>
      <c r="G16" s="124">
        <v>5</v>
      </c>
      <c r="H16" s="124"/>
      <c r="I16" s="114">
        <f t="shared" si="0"/>
        <v>26.25</v>
      </c>
    </row>
    <row r="20" spans="2:12" x14ac:dyDescent="0.7">
      <c r="B20" t="s">
        <v>88</v>
      </c>
    </row>
    <row r="21" spans="2:12" x14ac:dyDescent="0.7">
      <c r="B21" s="111" t="s">
        <v>86</v>
      </c>
      <c r="C21" s="111"/>
      <c r="G21" s="123" t="s">
        <v>82</v>
      </c>
      <c r="H21" s="123"/>
      <c r="I21" s="112" t="s">
        <v>87</v>
      </c>
      <c r="J21" s="112" t="s">
        <v>6</v>
      </c>
      <c r="K21" s="120" t="s">
        <v>89</v>
      </c>
      <c r="L21" s="114">
        <f t="array" ref="L21">SQRT(MMULT(MMULT(TRANSPOSE(J22:J25),B22:E25),J22:J25))</f>
        <v>12.599539482780049</v>
      </c>
    </row>
    <row r="22" spans="2:12" x14ac:dyDescent="0.7">
      <c r="B22">
        <v>8.0000000000000002E-3</v>
      </c>
      <c r="C22">
        <v>4.0000000000000001E-3</v>
      </c>
      <c r="D22">
        <v>2E-3</v>
      </c>
      <c r="E22">
        <v>1E-3</v>
      </c>
      <c r="G22" s="124">
        <v>1</v>
      </c>
      <c r="H22" s="124"/>
      <c r="I22" s="114">
        <v>0.01</v>
      </c>
      <c r="J22" s="114">
        <f>-G22*I4/(1+I22)^(G22+1)</f>
        <v>-2.4507401235173023</v>
      </c>
      <c r="K22" s="120" t="s">
        <v>90</v>
      </c>
      <c r="L22" s="114">
        <f>2.33*L21</f>
        <v>29.356926994877515</v>
      </c>
    </row>
    <row r="23" spans="2:12" x14ac:dyDescent="0.7">
      <c r="B23">
        <v>4.0000000000000001E-3</v>
      </c>
      <c r="C23">
        <v>4.0000000000000001E-3</v>
      </c>
      <c r="D23">
        <v>1E-3</v>
      </c>
      <c r="E23">
        <v>1E-3</v>
      </c>
      <c r="G23" s="124">
        <v>2</v>
      </c>
      <c r="H23" s="124"/>
      <c r="I23" s="114">
        <v>0.02</v>
      </c>
      <c r="J23" s="114">
        <f t="shared" ref="J23:J25" si="1">-G23*I5/(1+I23)^(G23+1)</f>
        <v>-9.4232233454704453</v>
      </c>
    </row>
    <row r="24" spans="2:12" x14ac:dyDescent="0.7">
      <c r="B24">
        <v>2E-3</v>
      </c>
      <c r="C24">
        <v>1E-3</v>
      </c>
      <c r="D24">
        <v>2E-3</v>
      </c>
      <c r="E24">
        <v>1E-3</v>
      </c>
      <c r="G24" s="124">
        <v>3</v>
      </c>
      <c r="H24" s="124"/>
      <c r="I24" s="114">
        <v>0.03</v>
      </c>
      <c r="J24" s="114">
        <f t="shared" si="1"/>
        <v>-216.56871792944918</v>
      </c>
    </row>
    <row r="25" spans="2:12" x14ac:dyDescent="0.7">
      <c r="B25">
        <v>1E-3</v>
      </c>
      <c r="C25">
        <v>1E-3</v>
      </c>
      <c r="D25">
        <v>1E-3</v>
      </c>
      <c r="E25">
        <v>1E-3</v>
      </c>
      <c r="G25" s="124">
        <v>5</v>
      </c>
      <c r="H25" s="124"/>
      <c r="I25" s="114">
        <v>0.04</v>
      </c>
      <c r="J25" s="114">
        <f t="shared" si="1"/>
        <v>-103.72878150208163</v>
      </c>
    </row>
  </sheetData>
  <mergeCells count="20">
    <mergeCell ref="G21:H21"/>
    <mergeCell ref="G22:H22"/>
    <mergeCell ref="G23:H23"/>
    <mergeCell ref="G24:H24"/>
    <mergeCell ref="G25:H25"/>
    <mergeCell ref="G12:H12"/>
    <mergeCell ref="G13:H13"/>
    <mergeCell ref="G14:H14"/>
    <mergeCell ref="G15:H15"/>
    <mergeCell ref="G16:H16"/>
    <mergeCell ref="G7:H7"/>
    <mergeCell ref="G8:H8"/>
    <mergeCell ref="B3:D3"/>
    <mergeCell ref="B4:D4"/>
    <mergeCell ref="B5:D5"/>
    <mergeCell ref="B6:D6"/>
    <mergeCell ref="G3:H3"/>
    <mergeCell ref="G4:H4"/>
    <mergeCell ref="G5:H5"/>
    <mergeCell ref="G6:H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Section1</vt:lpstr>
      <vt:lpstr>Section1-2</vt:lpstr>
      <vt:lpstr>回帰分析②</vt:lpstr>
      <vt:lpstr>Section2</vt:lpstr>
      <vt:lpstr>Section3-1</vt:lpstr>
      <vt:lpstr>Section3-2</vt:lpstr>
      <vt:lpstr>Section4-1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西村翼</dc:creator>
  <cp:lastModifiedBy>西村 翼</cp:lastModifiedBy>
  <dcterms:created xsi:type="dcterms:W3CDTF">2021-01-11T13:55:27Z</dcterms:created>
  <dcterms:modified xsi:type="dcterms:W3CDTF">2021-03-25T06:28:58Z</dcterms:modified>
</cp:coreProperties>
</file>