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business-forecasting\Midterm\"/>
    </mc:Choice>
  </mc:AlternateContent>
  <bookViews>
    <workbookView xWindow="-120" yWindow="-120" windowWidth="28110" windowHeight="16440" activeTab="5"/>
  </bookViews>
  <sheets>
    <sheet name="1-ErrorMeasures" sheetId="1" r:id="rId1"/>
    <sheet name="1-EffDemand" sheetId="4" r:id="rId2"/>
    <sheet name="2-SES" sheetId="6" r:id="rId3"/>
    <sheet name="2-Holt" sheetId="7" r:id="rId4"/>
    <sheet name="5-SI" sheetId="8" r:id="rId5"/>
    <sheet name="5-SI (A)" sheetId="9" r:id="rId6"/>
  </sheets>
  <definedNames>
    <definedName name="SI" localSheetId="5">'5-SI (A)'!$C$17:$D$20</definedName>
    <definedName name="SI">'5-SI'!$C$17:$D$20</definedName>
    <definedName name="solver_adj" localSheetId="2" hidden="1">'2-SES'!$C$2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'2-SES'!$C$2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'2-SES'!$D$17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9" l="1"/>
  <c r="H13" i="9"/>
  <c r="H12" i="9"/>
  <c r="H11" i="9"/>
  <c r="H10" i="9"/>
  <c r="H9" i="9"/>
  <c r="H8" i="9"/>
  <c r="H7" i="9"/>
  <c r="H6" i="9"/>
  <c r="H5" i="9"/>
  <c r="H4" i="9"/>
  <c r="H3" i="9"/>
  <c r="F13" i="9"/>
  <c r="F12" i="9"/>
  <c r="F11" i="9"/>
  <c r="F10" i="9"/>
  <c r="F9" i="9"/>
  <c r="F8" i="9"/>
  <c r="F7" i="9"/>
  <c r="F6" i="9"/>
  <c r="F5" i="9"/>
  <c r="F4" i="9"/>
  <c r="F3" i="9"/>
  <c r="F2" i="9"/>
  <c r="D13" i="9"/>
  <c r="D12" i="9"/>
  <c r="D11" i="9"/>
  <c r="D10" i="9"/>
  <c r="D9" i="9"/>
  <c r="D8" i="9"/>
  <c r="D7" i="9"/>
  <c r="D6" i="9"/>
  <c r="D17" i="9" s="1"/>
  <c r="D5" i="9"/>
  <c r="D4" i="9"/>
  <c r="D19" i="9" s="1"/>
  <c r="D3" i="9"/>
  <c r="D2" i="9"/>
  <c r="C16" i="9"/>
  <c r="D20" i="9"/>
  <c r="D18" i="9"/>
  <c r="D20" i="8"/>
  <c r="D19" i="8"/>
  <c r="D18" i="8"/>
  <c r="D17" i="8"/>
  <c r="E14" i="8" s="1"/>
  <c r="E13" i="8"/>
  <c r="F13" i="8" s="1"/>
  <c r="G14" i="8" s="1"/>
  <c r="E12" i="8"/>
  <c r="F12" i="8" s="1"/>
  <c r="G13" i="8" s="1"/>
  <c r="E11" i="8"/>
  <c r="F11" i="8" s="1"/>
  <c r="G12" i="8" s="1"/>
  <c r="H12" i="8" s="1"/>
  <c r="E9" i="8"/>
  <c r="F9" i="8" s="1"/>
  <c r="G10" i="8" s="1"/>
  <c r="E8" i="8"/>
  <c r="F8" i="8" s="1"/>
  <c r="G9" i="8" s="1"/>
  <c r="E7" i="8"/>
  <c r="F7" i="8" s="1"/>
  <c r="G8" i="8" s="1"/>
  <c r="E5" i="8"/>
  <c r="F5" i="8" s="1"/>
  <c r="G6" i="8" s="1"/>
  <c r="E4" i="8"/>
  <c r="F4" i="8" s="1"/>
  <c r="G5" i="8" s="1"/>
  <c r="E3" i="8"/>
  <c r="F3" i="8" s="1"/>
  <c r="G4" i="8" s="1"/>
  <c r="D21" i="9" l="1"/>
  <c r="E14" i="9"/>
  <c r="E10" i="9"/>
  <c r="G11" i="9" s="1"/>
  <c r="E2" i="9"/>
  <c r="G3" i="9" s="1"/>
  <c r="E6" i="9"/>
  <c r="G7" i="9" s="1"/>
  <c r="E11" i="9"/>
  <c r="G12" i="9" s="1"/>
  <c r="E7" i="9"/>
  <c r="G8" i="9" s="1"/>
  <c r="E3" i="9"/>
  <c r="G4" i="9" s="1"/>
  <c r="E12" i="9"/>
  <c r="G13" i="9" s="1"/>
  <c r="E8" i="9"/>
  <c r="G9" i="9" s="1"/>
  <c r="E4" i="9"/>
  <c r="G5" i="9" s="1"/>
  <c r="E13" i="9"/>
  <c r="G14" i="9" s="1"/>
  <c r="E9" i="9"/>
  <c r="G10" i="9" s="1"/>
  <c r="E5" i="9"/>
  <c r="G6" i="9" s="1"/>
  <c r="H5" i="8"/>
  <c r="H8" i="8"/>
  <c r="H13" i="8"/>
  <c r="H4" i="8"/>
  <c r="H9" i="8"/>
  <c r="H14" i="8"/>
  <c r="E2" i="8"/>
  <c r="F2" i="8" s="1"/>
  <c r="G3" i="8" s="1"/>
  <c r="H3" i="8" s="1"/>
  <c r="E6" i="8"/>
  <c r="F6" i="8" s="1"/>
  <c r="G7" i="8" s="1"/>
  <c r="H7" i="8" s="1"/>
  <c r="E10" i="8"/>
  <c r="F10" i="8" s="1"/>
  <c r="G11" i="8" s="1"/>
  <c r="H11" i="8" s="1"/>
  <c r="D21" i="8"/>
  <c r="D13" i="8"/>
  <c r="D12" i="8"/>
  <c r="D11" i="8"/>
  <c r="D10" i="8"/>
  <c r="D9" i="8"/>
  <c r="D8" i="8"/>
  <c r="D7" i="8"/>
  <c r="D6" i="8"/>
  <c r="D5" i="8"/>
  <c r="D4" i="8"/>
  <c r="D3" i="8"/>
  <c r="D2" i="8"/>
  <c r="C16" i="8"/>
  <c r="H6" i="8" l="1"/>
  <c r="H10" i="8"/>
  <c r="D4" i="7"/>
  <c r="C4" i="7"/>
  <c r="C5" i="7" s="1"/>
  <c r="C4" i="6"/>
  <c r="D5" i="6" s="1"/>
  <c r="D5" i="7" l="1"/>
  <c r="C6" i="7"/>
  <c r="C5" i="6"/>
  <c r="D118" i="4"/>
  <c r="D120" i="4"/>
  <c r="D116" i="4"/>
  <c r="D115" i="4"/>
  <c r="D114" i="4"/>
  <c r="C86" i="4"/>
  <c r="C94" i="4"/>
  <c r="C102" i="4"/>
  <c r="H2" i="4"/>
  <c r="C87" i="4"/>
  <c r="C95" i="4"/>
  <c r="C103" i="4"/>
  <c r="H3" i="4"/>
  <c r="H6" i="4"/>
  <c r="C107" i="4"/>
  <c r="H7" i="4"/>
  <c r="H8" i="4"/>
  <c r="C88" i="4"/>
  <c r="C96" i="4"/>
  <c r="C104" i="4"/>
  <c r="H4" i="4"/>
  <c r="C99" i="4"/>
  <c r="C100" i="4"/>
  <c r="C89" i="4"/>
  <c r="C97" i="4"/>
  <c r="C105" i="4"/>
  <c r="H5" i="4"/>
  <c r="C106" i="4"/>
  <c r="C108" i="4"/>
  <c r="C90" i="4"/>
  <c r="C98" i="4"/>
  <c r="C91" i="4"/>
  <c r="C92" i="4"/>
  <c r="C93" i="4"/>
  <c r="C101" i="4"/>
  <c r="C109" i="4"/>
  <c r="D6" i="7" l="1"/>
  <c r="C7" i="7" s="1"/>
  <c r="C6" i="6"/>
  <c r="D6" i="6"/>
  <c r="D119" i="4"/>
  <c r="D109" i="4"/>
  <c r="E91" i="4"/>
  <c r="D106" i="4"/>
  <c r="D100" i="4"/>
  <c r="D88" i="4"/>
  <c r="D87" i="4"/>
  <c r="E109" i="4"/>
  <c r="D91" i="4"/>
  <c r="E106" i="4"/>
  <c r="E100" i="4"/>
  <c r="E88" i="4"/>
  <c r="E87" i="4"/>
  <c r="D93" i="4"/>
  <c r="D97" i="4"/>
  <c r="D94" i="4"/>
  <c r="E103" i="4"/>
  <c r="E92" i="4"/>
  <c r="D86" i="4"/>
  <c r="E89" i="4"/>
  <c r="E86" i="4"/>
  <c r="D101" i="4"/>
  <c r="D98" i="4"/>
  <c r="D105" i="4"/>
  <c r="E99" i="4"/>
  <c r="E107" i="4"/>
  <c r="D102" i="4"/>
  <c r="D104" i="4"/>
  <c r="D89" i="4"/>
  <c r="E96" i="4"/>
  <c r="E101" i="4"/>
  <c r="E98" i="4"/>
  <c r="E105" i="4"/>
  <c r="D99" i="4"/>
  <c r="D107" i="4"/>
  <c r="E102" i="4"/>
  <c r="D90" i="4"/>
  <c r="D103" i="4"/>
  <c r="E94" i="4"/>
  <c r="D96" i="4"/>
  <c r="E108" i="4"/>
  <c r="E93" i="4"/>
  <c r="E90" i="4"/>
  <c r="E97" i="4"/>
  <c r="E104" i="4"/>
  <c r="D108" i="4"/>
  <c r="D95" i="4"/>
  <c r="D92" i="4"/>
  <c r="E95" i="4"/>
  <c r="D7" i="7" l="1"/>
  <c r="C8" i="7"/>
  <c r="D7" i="6"/>
  <c r="C7" i="6"/>
  <c r="B27" i="1"/>
  <c r="B28" i="1" s="1"/>
  <c r="E17" i="1" a="1"/>
  <c r="E17" i="1" s="1"/>
  <c r="E16" i="1" a="1"/>
  <c r="E16" i="1" s="1"/>
  <c r="E15" i="1" a="1"/>
  <c r="E15" i="1" s="1"/>
  <c r="E14" i="1" a="1"/>
  <c r="E14" i="1" s="1"/>
  <c r="I8" i="1"/>
  <c r="I7" i="1"/>
  <c r="I6" i="1"/>
  <c r="I5" i="1"/>
  <c r="I4" i="1"/>
  <c r="I3" i="1"/>
  <c r="I2" i="1"/>
  <c r="H10" i="1"/>
  <c r="H8" i="1"/>
  <c r="H7" i="1"/>
  <c r="H6" i="1"/>
  <c r="H5" i="1"/>
  <c r="H4" i="1"/>
  <c r="H3" i="1"/>
  <c r="H2" i="1"/>
  <c r="G8" i="1"/>
  <c r="G7" i="1"/>
  <c r="G6" i="1"/>
  <c r="G5" i="1"/>
  <c r="G4" i="1"/>
  <c r="G3" i="1"/>
  <c r="G2" i="1"/>
  <c r="F10" i="1"/>
  <c r="F8" i="1"/>
  <c r="E8" i="1"/>
  <c r="F7" i="1"/>
  <c r="F6" i="1"/>
  <c r="F5" i="1"/>
  <c r="F4" i="1"/>
  <c r="F3" i="1"/>
  <c r="F2" i="1"/>
  <c r="E7" i="1"/>
  <c r="E6" i="1"/>
  <c r="E5" i="1"/>
  <c r="E4" i="1"/>
  <c r="E3" i="1"/>
  <c r="E2" i="1"/>
  <c r="D7" i="1"/>
  <c r="D6" i="1"/>
  <c r="D5" i="1"/>
  <c r="D4" i="1"/>
  <c r="D3" i="1"/>
  <c r="D2" i="1"/>
  <c r="D8" i="7" l="1"/>
  <c r="C9" i="7" s="1"/>
  <c r="C8" i="6"/>
  <c r="D8" i="6"/>
  <c r="D9" i="7" l="1"/>
  <c r="C10" i="7"/>
  <c r="D9" i="6"/>
  <c r="C9" i="6"/>
  <c r="D10" i="7" l="1"/>
  <c r="C11" i="7" s="1"/>
  <c r="C10" i="6"/>
  <c r="D10" i="6"/>
  <c r="D11" i="7" l="1"/>
  <c r="C12" i="7"/>
  <c r="D11" i="6"/>
  <c r="C11" i="6"/>
  <c r="D12" i="7" l="1"/>
  <c r="C13" i="7" s="1"/>
  <c r="C12" i="6"/>
  <c r="D12" i="6"/>
  <c r="D13" i="7" l="1"/>
  <c r="C14" i="7"/>
  <c r="D13" i="6"/>
  <c r="C13" i="6"/>
  <c r="E16" i="7" l="1"/>
  <c r="E15" i="7"/>
  <c r="E18" i="7"/>
  <c r="D14" i="7"/>
  <c r="E17" i="7"/>
  <c r="C14" i="6"/>
  <c r="D14" i="6"/>
  <c r="D16" i="6" s="1" a="1"/>
  <c r="D16" i="6" s="1"/>
  <c r="D17" i="6" s="1"/>
  <c r="H3" i="6" s="1"/>
</calcChain>
</file>

<file path=xl/sharedStrings.xml><?xml version="1.0" encoding="utf-8"?>
<sst xmlns="http://schemas.openxmlformats.org/spreadsheetml/2006/main" count="85" uniqueCount="58">
  <si>
    <t>Week</t>
  </si>
  <si>
    <t>Forecast</t>
  </si>
  <si>
    <t>Actual</t>
  </si>
  <si>
    <t>Error</t>
  </si>
  <si>
    <t>|Error|</t>
  </si>
  <si>
    <t>Sq.Error</t>
  </si>
  <si>
    <t>MAE</t>
  </si>
  <si>
    <t>MSE</t>
  </si>
  <si>
    <t>RMSE</t>
  </si>
  <si>
    <t>MPE</t>
  </si>
  <si>
    <t>Error/Actual</t>
  </si>
  <si>
    <t>|Error|/Actual</t>
  </si>
  <si>
    <t>MAPE</t>
  </si>
  <si>
    <t>SMAPE</t>
  </si>
  <si>
    <t>Date</t>
  </si>
  <si>
    <t>TNHS</t>
  </si>
  <si>
    <t>Forecast(TNHS)</t>
  </si>
  <si>
    <t>Lower Confidence Bound(TNHS)</t>
  </si>
  <si>
    <t>Upper Confidence Bound(TNHS)</t>
  </si>
  <si>
    <t>Statistic</t>
  </si>
  <si>
    <t>Value</t>
  </si>
  <si>
    <t>Alpha</t>
  </si>
  <si>
    <t>Beta</t>
  </si>
  <si>
    <t>Gamma</t>
  </si>
  <si>
    <t>MASE</t>
  </si>
  <si>
    <t>Review period (1 qtr)</t>
  </si>
  <si>
    <t xml:space="preserve">Lead time </t>
  </si>
  <si>
    <t>OUTL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</si>
  <si>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Tahoma"/>
        <family val="2"/>
        <scheme val="minor"/>
      </rPr>
      <t>1</t>
    </r>
  </si>
  <si>
    <r>
      <t>s</t>
    </r>
    <r>
      <rPr>
        <sz val="10"/>
        <color theme="1"/>
        <rFont val="Tahoma"/>
        <family val="2"/>
        <scheme val="minor"/>
      </rPr>
      <t>e</t>
    </r>
  </si>
  <si>
    <t>Safety Stock</t>
  </si>
  <si>
    <t>Point forecast demand during Protection Time</t>
  </si>
  <si>
    <t>Cycle Service Level</t>
  </si>
  <si>
    <t>Initial Level</t>
  </si>
  <si>
    <t>Smoothing parameter</t>
  </si>
  <si>
    <t>a</t>
  </si>
  <si>
    <t>t</t>
  </si>
  <si>
    <t>Demand</t>
  </si>
  <si>
    <t>Level</t>
  </si>
  <si>
    <t>Solver</t>
  </si>
  <si>
    <t>Objective: Minimize RMSE</t>
  </si>
  <si>
    <t>Change smoothing parameter</t>
  </si>
  <si>
    <t>Constraint smoothing parameter &lt;= 1</t>
  </si>
  <si>
    <t>GRG Non Linear</t>
  </si>
  <si>
    <t>Initial</t>
  </si>
  <si>
    <t>Smoothing parameters</t>
  </si>
  <si>
    <t>Trend</t>
  </si>
  <si>
    <t>Year</t>
  </si>
  <si>
    <t>Quarter</t>
  </si>
  <si>
    <t>True Value</t>
  </si>
  <si>
    <t>Overall average</t>
  </si>
  <si>
    <t>SI</t>
  </si>
  <si>
    <t>Seasonal
Factor</t>
  </si>
  <si>
    <t>Sum(SI)</t>
  </si>
  <si>
    <t>SI - Q</t>
  </si>
  <si>
    <t>Seasonally
Adjusted</t>
  </si>
  <si>
    <t>SSADJ
Forecast</t>
  </si>
  <si>
    <t>Actual
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</si>
</sst>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87" formatCode="0.0000"/>
    <numFmt numFmtId="188" formatCode="#,##0.0000"/>
    <numFmt numFmtId="189" formatCode="_(* #,##0.000_);_(* \(#,##0.000\);_(* &quot;-&quot;??_);_(@_)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00B050"/>
      <name val="Roboto"/>
    </font>
    <font>
      <sz val="10"/>
      <color theme="1"/>
      <name val="Tahoma"/>
      <family val="2"/>
      <scheme val="minor"/>
    </font>
    <font>
      <sz val="10"/>
      <color theme="1"/>
      <name val="Symbol"/>
      <family val="1"/>
      <charset val="2"/>
    </font>
    <font>
      <sz val="10"/>
      <name val="Roboto"/>
    </font>
    <font>
      <sz val="10"/>
      <color rgb="FF000000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/>
    <xf numFmtId="0" fontId="4" fillId="0" borderId="0" xfId="0" applyFont="1" applyAlignment="1">
      <alignment horizontal="center" wrapText="1" readingOrder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87" fontId="3" fillId="0" borderId="0" xfId="0" applyNumberFormat="1" applyFont="1"/>
    <xf numFmtId="10" fontId="3" fillId="0" borderId="0" xfId="1" applyNumberFormat="1" applyFont="1"/>
    <xf numFmtId="0" fontId="6" fillId="0" borderId="0" xfId="0" applyFont="1"/>
    <xf numFmtId="15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2" fontId="6" fillId="0" borderId="0" xfId="0" applyNumberFormat="1" applyFont="1"/>
    <xf numFmtId="188" fontId="7" fillId="0" borderId="0" xfId="0" applyNumberFormat="1" applyFont="1"/>
    <xf numFmtId="0" fontId="8" fillId="0" borderId="0" xfId="0" applyFont="1"/>
    <xf numFmtId="0" fontId="9" fillId="0" borderId="0" xfId="0" applyFont="1"/>
    <xf numFmtId="187" fontId="6" fillId="0" borderId="0" xfId="0" applyNumberFormat="1" applyFont="1"/>
    <xf numFmtId="0" fontId="10" fillId="0" borderId="0" xfId="0" applyFont="1"/>
    <xf numFmtId="2" fontId="11" fillId="0" borderId="0" xfId="2" applyNumberFormat="1" applyFont="1" applyAlignment="1">
      <alignment vertical="center"/>
    </xf>
    <xf numFmtId="187" fontId="11" fillId="0" borderId="0" xfId="2" applyNumberFormat="1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3" fontId="6" fillId="0" borderId="0" xfId="2" applyFont="1" applyAlignment="1">
      <alignment horizontal="right"/>
    </xf>
    <xf numFmtId="0" fontId="12" fillId="0" borderId="0" xfId="0" applyFont="1" applyAlignment="1">
      <alignment horizontal="right"/>
    </xf>
    <xf numFmtId="189" fontId="6" fillId="0" borderId="0" xfId="2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3" fontId="6" fillId="0" borderId="0" xfId="2" applyFont="1"/>
    <xf numFmtId="43" fontId="6" fillId="0" borderId="0" xfId="0" applyNumberFormat="1" applyFont="1"/>
  </cellXfs>
  <cellStyles count="3">
    <cellStyle name="Comma" xfId="2" builtinId="3"/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'1-EffDemand'!$B$1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'1-EffDemand'!$B$2:$B$109</c:f>
              <c:numCache>
                <c:formatCode>General</c:formatCode>
                <c:ptCount val="108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25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21</c:v>
                </c:pt>
                <c:pt idx="13">
                  <c:v>22</c:v>
                </c:pt>
                <c:pt idx="14">
                  <c:v>28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30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32</c:v>
                </c:pt>
                <c:pt idx="37">
                  <c:v>36</c:v>
                </c:pt>
                <c:pt idx="38">
                  <c:v>41</c:v>
                </c:pt>
                <c:pt idx="39">
                  <c:v>43</c:v>
                </c:pt>
                <c:pt idx="40">
                  <c:v>40</c:v>
                </c:pt>
                <c:pt idx="41">
                  <c:v>43</c:v>
                </c:pt>
                <c:pt idx="42">
                  <c:v>33</c:v>
                </c:pt>
                <c:pt idx="43">
                  <c:v>31</c:v>
                </c:pt>
                <c:pt idx="44">
                  <c:v>31</c:v>
                </c:pt>
                <c:pt idx="45">
                  <c:v>36</c:v>
                </c:pt>
                <c:pt idx="46">
                  <c:v>32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39</c:v>
                </c:pt>
                <c:pt idx="51">
                  <c:v>39</c:v>
                </c:pt>
                <c:pt idx="52">
                  <c:v>43</c:v>
                </c:pt>
                <c:pt idx="53">
                  <c:v>38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35</c:v>
                </c:pt>
                <c:pt idx="60">
                  <c:v>39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47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35</c:v>
                </c:pt>
                <c:pt idx="69">
                  <c:v>39</c:v>
                </c:pt>
                <c:pt idx="70">
                  <c:v>36</c:v>
                </c:pt>
                <c:pt idx="71">
                  <c:v>38</c:v>
                </c:pt>
                <c:pt idx="72">
                  <c:v>39</c:v>
                </c:pt>
                <c:pt idx="73">
                  <c:v>45</c:v>
                </c:pt>
                <c:pt idx="74">
                  <c:v>50</c:v>
                </c:pt>
                <c:pt idx="75">
                  <c:v>55</c:v>
                </c:pt>
                <c:pt idx="76">
                  <c:v>53</c:v>
                </c:pt>
                <c:pt idx="77">
                  <c:v>50</c:v>
                </c:pt>
                <c:pt idx="78">
                  <c:v>54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40</c:v>
                </c:pt>
                <c:pt idx="8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2-4A6C-8793-BB965130E2AB}"/>
            </c:ext>
          </c:extLst>
        </c:ser>
        <c:ser>
          <c:idx val="1"/>
          <c:order val="1"/>
          <c:tx>
            <c:strRef>
              <c:f>'1-EffDemand'!$C$1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'1-EffDemand'!$C$2:$C$109</c:f>
              <c:numCache>
                <c:formatCode>General</c:formatCode>
                <c:ptCount val="108"/>
                <c:pt idx="83">
                  <c:v>38</c:v>
                </c:pt>
                <c:pt idx="84">
                  <c:v>40.915766378857988</c:v>
                </c:pt>
                <c:pt idx="85">
                  <c:v>44.924183627575985</c:v>
                </c:pt>
                <c:pt idx="86">
                  <c:v>49.931495375655757</c:v>
                </c:pt>
                <c:pt idx="87">
                  <c:v>51.184761437322571</c:v>
                </c:pt>
                <c:pt idx="88">
                  <c:v>49.835425190863155</c:v>
                </c:pt>
                <c:pt idx="89">
                  <c:v>48.861750864105879</c:v>
                </c:pt>
                <c:pt idx="90">
                  <c:v>47.521496230544905</c:v>
                </c:pt>
                <c:pt idx="91">
                  <c:v>45.158272567918303</c:v>
                </c:pt>
                <c:pt idx="92">
                  <c:v>45.205075744067635</c:v>
                </c:pt>
                <c:pt idx="93">
                  <c:v>44.678401703070953</c:v>
                </c:pt>
                <c:pt idx="94">
                  <c:v>42.534199874384676</c:v>
                </c:pt>
                <c:pt idx="95">
                  <c:v>43.795951326919671</c:v>
                </c:pt>
                <c:pt idx="96">
                  <c:v>44.205805093678144</c:v>
                </c:pt>
                <c:pt idx="97">
                  <c:v>48.214222342396148</c:v>
                </c:pt>
                <c:pt idx="98">
                  <c:v>53.22153409047592</c:v>
                </c:pt>
                <c:pt idx="99">
                  <c:v>54.474800152142727</c:v>
                </c:pt>
                <c:pt idx="100">
                  <c:v>53.125463905683311</c:v>
                </c:pt>
                <c:pt idx="101">
                  <c:v>52.151789578926042</c:v>
                </c:pt>
                <c:pt idx="102">
                  <c:v>50.811534945365068</c:v>
                </c:pt>
                <c:pt idx="103">
                  <c:v>48.448311282738459</c:v>
                </c:pt>
                <c:pt idx="104">
                  <c:v>48.495114458887798</c:v>
                </c:pt>
                <c:pt idx="105">
                  <c:v>47.968440417891117</c:v>
                </c:pt>
                <c:pt idx="106">
                  <c:v>45.824238589204832</c:v>
                </c:pt>
                <c:pt idx="107">
                  <c:v>47.085990041739826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2-4A6C-8793-BB965130E2AB}"/>
            </c:ext>
          </c:extLst>
        </c:ser>
        <c:ser>
          <c:idx val="2"/>
          <c:order val="2"/>
          <c:tx>
            <c:strRef>
              <c:f>'1-EffDemand'!$D$1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'1-EffDemand'!$D$2:$D$109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35.673812780414387</c:v>
                </c:pt>
                <c:pt idx="85" formatCode="0.00">
                  <c:v>39.058805295561818</c:v>
                </c:pt>
                <c:pt idx="86" formatCode="0.00">
                  <c:v>43.500720624896502</c:v>
                </c:pt>
                <c:pt idx="87" formatCode="0.00">
                  <c:v>44.232442742353598</c:v>
                </c:pt>
                <c:pt idx="88" formatCode="0.00">
                  <c:v>42.396182490288496</c:v>
                </c:pt>
                <c:pt idx="89" formatCode="0.00">
                  <c:v>40.963794861691532</c:v>
                </c:pt>
                <c:pt idx="90" formatCode="0.00">
                  <c:v>39.188374284561618</c:v>
                </c:pt>
                <c:pt idx="91" formatCode="0.00">
                  <c:v>36.410014228918769</c:v>
                </c:pt>
                <c:pt idx="92" formatCode="0.00">
                  <c:v>36.058979758896271</c:v>
                </c:pt>
                <c:pt idx="93" formatCode="0.00">
                  <c:v>35.149596965064099</c:v>
                </c:pt>
                <c:pt idx="94" formatCode="0.00">
                  <c:v>32.636057482131861</c:v>
                </c:pt>
                <c:pt idx="95" formatCode="0.00">
                  <c:v>33.540394980583592</c:v>
                </c:pt>
                <c:pt idx="96" formatCode="0.00">
                  <c:v>33.602219184018907</c:v>
                </c:pt>
                <c:pt idx="97" formatCode="0.00">
                  <c:v>37.273672433265723</c:v>
                </c:pt>
                <c:pt idx="98" formatCode="0.00">
                  <c:v>41.952838273008837</c:v>
                </c:pt>
                <c:pt idx="99" formatCode="0.00">
                  <c:v>42.886025047026656</c:v>
                </c:pt>
                <c:pt idx="100" formatCode="0.00">
                  <c:v>41.224022971855064</c:v>
                </c:pt>
                <c:pt idx="101" formatCode="0.00">
                  <c:v>39.94452436610753</c:v>
                </c:pt>
                <c:pt idx="102" formatCode="0.00">
                  <c:v>38.304782912276217</c:v>
                </c:pt>
                <c:pt idx="103" formatCode="0.00">
                  <c:v>35.64796290541657</c:v>
                </c:pt>
                <c:pt idx="104" formatCode="0.00">
                  <c:v>35.406661707582586</c:v>
                </c:pt>
                <c:pt idx="105" formatCode="0.00">
                  <c:v>34.597018208554047</c:v>
                </c:pt>
                <c:pt idx="106" formatCode="0.00">
                  <c:v>32.174660465007236</c:v>
                </c:pt>
                <c:pt idx="107" formatCode="0.00">
                  <c:v>33.162779076450015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72-4A6C-8793-BB965130E2AB}"/>
            </c:ext>
          </c:extLst>
        </c:ser>
        <c:ser>
          <c:idx val="3"/>
          <c:order val="3"/>
          <c:tx>
            <c:strRef>
              <c:f>'1-EffDemand'!$E$1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'1-EffDemand'!$E$2:$E$109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46.157719977301589</c:v>
                </c:pt>
                <c:pt idx="85" formatCode="0.00">
                  <c:v>50.789561959590152</c:v>
                </c:pt>
                <c:pt idx="86" formatCode="0.00">
                  <c:v>56.362270126415012</c:v>
                </c:pt>
                <c:pt idx="87" formatCode="0.00">
                  <c:v>58.137080132291544</c:v>
                </c:pt>
                <c:pt idx="88" formatCode="0.00">
                  <c:v>57.274667891437815</c:v>
                </c:pt>
                <c:pt idx="89" formatCode="0.00">
                  <c:v>56.759706866520226</c:v>
                </c:pt>
                <c:pt idx="90" formatCode="0.00">
                  <c:v>55.854618176528191</c:v>
                </c:pt>
                <c:pt idx="91" formatCode="0.00">
                  <c:v>53.906530906917837</c:v>
                </c:pt>
                <c:pt idx="92" formatCode="0.00">
                  <c:v>54.351171729238999</c:v>
                </c:pt>
                <c:pt idx="93" formatCode="0.00">
                  <c:v>54.207206441077808</c:v>
                </c:pt>
                <c:pt idx="94" formatCode="0.00">
                  <c:v>52.432342266637491</c:v>
                </c:pt>
                <c:pt idx="95" formatCode="0.00">
                  <c:v>54.051507673255749</c:v>
                </c:pt>
                <c:pt idx="96" formatCode="0.00">
                  <c:v>54.809391003337382</c:v>
                </c:pt>
                <c:pt idx="97" formatCode="0.00">
                  <c:v>59.154772251526573</c:v>
                </c:pt>
                <c:pt idx="98" formatCode="0.00">
                  <c:v>64.490229907943004</c:v>
                </c:pt>
                <c:pt idx="99" formatCode="0.00">
                  <c:v>66.063575257258805</c:v>
                </c:pt>
                <c:pt idx="100" formatCode="0.00">
                  <c:v>65.026904839511559</c:v>
                </c:pt>
                <c:pt idx="101" formatCode="0.00">
                  <c:v>64.359054791744555</c:v>
                </c:pt>
                <c:pt idx="102" formatCode="0.00">
                  <c:v>63.318286978453919</c:v>
                </c:pt>
                <c:pt idx="103" formatCode="0.00">
                  <c:v>61.248659660060348</c:v>
                </c:pt>
                <c:pt idx="104" formatCode="0.00">
                  <c:v>61.58356721019301</c:v>
                </c:pt>
                <c:pt idx="105" formatCode="0.00">
                  <c:v>61.339862627228186</c:v>
                </c:pt>
                <c:pt idx="106" formatCode="0.00">
                  <c:v>59.473816713402428</c:v>
                </c:pt>
                <c:pt idx="107" formatCode="0.00">
                  <c:v>61.009201007029638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72-4A6C-8793-BB965130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231743"/>
        <c:axId val="2064225087"/>
      </c:lineChart>
      <c:catAx>
        <c:axId val="20642317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64225087"/>
        <c:crosses val="autoZero"/>
        <c:auto val="1"/>
        <c:lblAlgn val="ctr"/>
        <c:lblOffset val="100"/>
        <c:noMultiLvlLbl val="0"/>
      </c:catAx>
      <c:valAx>
        <c:axId val="20642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642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'5-SI'!$C$1</c:f>
              <c:strCache>
                <c:ptCount val="1"/>
                <c:pt idx="0">
                  <c:v>True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'5-SI'!$C$2:$C$14</c:f>
              <c:numCache>
                <c:formatCode>_(* #,##0.00_);_(* \(#,##0.00\);_(* "-"??_);_(@_)</c:formatCode>
                <c:ptCount val="13"/>
                <c:pt idx="0">
                  <c:v>6809</c:v>
                </c:pt>
                <c:pt idx="1">
                  <c:v>6465</c:v>
                </c:pt>
                <c:pt idx="2">
                  <c:v>6569</c:v>
                </c:pt>
                <c:pt idx="3">
                  <c:v>8266</c:v>
                </c:pt>
                <c:pt idx="4">
                  <c:v>7257</c:v>
                </c:pt>
                <c:pt idx="5">
                  <c:v>7064</c:v>
                </c:pt>
                <c:pt idx="6">
                  <c:v>7784</c:v>
                </c:pt>
                <c:pt idx="7">
                  <c:v>8724</c:v>
                </c:pt>
                <c:pt idx="8">
                  <c:v>6992</c:v>
                </c:pt>
                <c:pt idx="9">
                  <c:v>6822</c:v>
                </c:pt>
                <c:pt idx="10">
                  <c:v>7949</c:v>
                </c:pt>
                <c:pt idx="11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8-446B-B181-2F437C5F5485}"/>
            </c:ext>
          </c:extLst>
        </c:ser>
        <c:ser>
          <c:idx val="1"/>
          <c:order val="1"/>
          <c:tx>
            <c:strRef>
              <c:f>'5-SI'!$F$1</c:f>
              <c:strCache>
                <c:ptCount val="1"/>
                <c:pt idx="0">
                  <c:v>Seasonally
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'5-SI'!$F$2:$F$14</c:f>
              <c:numCache>
                <c:formatCode>_(* #,##0.00_);_(* \(#,##0.00\);_(* "-"??_);_(@_)</c:formatCode>
                <c:ptCount val="13"/>
                <c:pt idx="0">
                  <c:v>7321.5053763440856</c:v>
                </c:pt>
                <c:pt idx="1">
                  <c:v>7183.333333333333</c:v>
                </c:pt>
                <c:pt idx="2">
                  <c:v>6635.3535353535353</c:v>
                </c:pt>
                <c:pt idx="3">
                  <c:v>7005.0847457627124</c:v>
                </c:pt>
                <c:pt idx="4">
                  <c:v>7803.2258064516127</c:v>
                </c:pt>
                <c:pt idx="5">
                  <c:v>7848.8888888888887</c:v>
                </c:pt>
                <c:pt idx="6">
                  <c:v>7862.6262626262624</c:v>
                </c:pt>
                <c:pt idx="7">
                  <c:v>7393.2203389830511</c:v>
                </c:pt>
                <c:pt idx="8">
                  <c:v>7518.2795698924729</c:v>
                </c:pt>
                <c:pt idx="9">
                  <c:v>7580</c:v>
                </c:pt>
                <c:pt idx="10">
                  <c:v>8029.2929292929293</c:v>
                </c:pt>
                <c:pt idx="11">
                  <c:v>8177.9661016949158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8-446B-B181-2F437C5F5485}"/>
            </c:ext>
          </c:extLst>
        </c:ser>
        <c:ser>
          <c:idx val="2"/>
          <c:order val="2"/>
          <c:tx>
            <c:strRef>
              <c:f>'5-SI'!$G$1</c:f>
              <c:strCache>
                <c:ptCount val="1"/>
                <c:pt idx="0">
                  <c:v>SSADJ
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'5-SI'!$G$2:$G$14</c:f>
              <c:numCache>
                <c:formatCode>_(* #,##0.00_);_(* \(#,##0.00\);_(* "-"??_);_(@_)</c:formatCode>
                <c:ptCount val="13"/>
                <c:pt idx="1">
                  <c:v>7321.5053763440856</c:v>
                </c:pt>
                <c:pt idx="2">
                  <c:v>7183.333333333333</c:v>
                </c:pt>
                <c:pt idx="3">
                  <c:v>6635.3535353535353</c:v>
                </c:pt>
                <c:pt idx="4">
                  <c:v>7005.0847457627124</c:v>
                </c:pt>
                <c:pt idx="5">
                  <c:v>7803.2258064516127</c:v>
                </c:pt>
                <c:pt idx="6">
                  <c:v>7848.8888888888887</c:v>
                </c:pt>
                <c:pt idx="7">
                  <c:v>7862.6262626262624</c:v>
                </c:pt>
                <c:pt idx="8">
                  <c:v>7393.2203389830511</c:v>
                </c:pt>
                <c:pt idx="9">
                  <c:v>7518.2795698924729</c:v>
                </c:pt>
                <c:pt idx="10">
                  <c:v>7580</c:v>
                </c:pt>
                <c:pt idx="11">
                  <c:v>8029.2929292929293</c:v>
                </c:pt>
                <c:pt idx="12">
                  <c:v>8177.9661016949158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98-446B-B181-2F437C5F5485}"/>
            </c:ext>
          </c:extLst>
        </c:ser>
        <c:ser>
          <c:idx val="3"/>
          <c:order val="3"/>
          <c:tx>
            <c:strRef>
              <c:f>'5-SI'!$H$1</c:f>
              <c:strCache>
                <c:ptCount val="1"/>
                <c:pt idx="0">
                  <c:v>Actual
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'5-SI'!$H$2:$H$14</c:f>
              <c:numCache>
                <c:formatCode>_(* #,##0.00_);_(* \(#,##0.00\);_(* "-"??_);_(@_)</c:formatCode>
                <c:ptCount val="13"/>
                <c:pt idx="1">
                  <c:v>6589.3548387096771</c:v>
                </c:pt>
                <c:pt idx="2">
                  <c:v>7111.5</c:v>
                </c:pt>
                <c:pt idx="3">
                  <c:v>7829.7171717171714</c:v>
                </c:pt>
                <c:pt idx="4">
                  <c:v>6514.7288135593226</c:v>
                </c:pt>
                <c:pt idx="5">
                  <c:v>7022.9032258064517</c:v>
                </c:pt>
                <c:pt idx="6">
                  <c:v>7770.4</c:v>
                </c:pt>
                <c:pt idx="7">
                  <c:v>9277.8989898989894</c:v>
                </c:pt>
                <c:pt idx="8">
                  <c:v>6875.6949152542375</c:v>
                </c:pt>
                <c:pt idx="9">
                  <c:v>6766.4516129032254</c:v>
                </c:pt>
                <c:pt idx="10">
                  <c:v>7504.2</c:v>
                </c:pt>
                <c:pt idx="11">
                  <c:v>9474.5656565656554</c:v>
                </c:pt>
                <c:pt idx="12">
                  <c:v>7605.5084745762724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8-446B-B181-2F437C5F5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36943"/>
        <c:axId val="439226959"/>
      </c:lineChart>
      <c:catAx>
        <c:axId val="43923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226959"/>
        <c:crosses val="autoZero"/>
        <c:auto val="1"/>
        <c:lblAlgn val="ctr"/>
        <c:lblOffset val="100"/>
        <c:noMultiLvlLbl val="0"/>
      </c:catAx>
      <c:valAx>
        <c:axId val="439226959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23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'5-SI (A)'!$C$1</c:f>
              <c:strCache>
                <c:ptCount val="1"/>
                <c:pt idx="0">
                  <c:v>True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'5-SI (A)'!$C$2:$C$14</c:f>
              <c:numCache>
                <c:formatCode>_(* #,##0.00_);_(* \(#,##0.00\);_(* "-"??_);_(@_)</c:formatCode>
                <c:ptCount val="13"/>
                <c:pt idx="0">
                  <c:v>6809</c:v>
                </c:pt>
                <c:pt idx="1">
                  <c:v>6465</c:v>
                </c:pt>
                <c:pt idx="2">
                  <c:v>6569</c:v>
                </c:pt>
                <c:pt idx="3">
                  <c:v>8266</c:v>
                </c:pt>
                <c:pt idx="4">
                  <c:v>7257</c:v>
                </c:pt>
                <c:pt idx="5">
                  <c:v>7064</c:v>
                </c:pt>
                <c:pt idx="6">
                  <c:v>7784</c:v>
                </c:pt>
                <c:pt idx="7">
                  <c:v>8724</c:v>
                </c:pt>
                <c:pt idx="8">
                  <c:v>6992</c:v>
                </c:pt>
                <c:pt idx="9">
                  <c:v>6822</c:v>
                </c:pt>
                <c:pt idx="10">
                  <c:v>7949</c:v>
                </c:pt>
                <c:pt idx="11">
                  <c:v>9650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5-4C73-928D-58BC5DA58861}"/>
            </c:ext>
          </c:extLst>
        </c:ser>
        <c:ser>
          <c:idx val="1"/>
          <c:order val="1"/>
          <c:tx>
            <c:strRef>
              <c:f>'5-SI (A)'!$F$1</c:f>
              <c:strCache>
                <c:ptCount val="1"/>
                <c:pt idx="0">
                  <c:v>Seasonally
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'5-SI (A)'!$F$2:$F$14</c:f>
              <c:numCache>
                <c:formatCode>_(* #,##0.00_);_(* \(#,##0.00\);_(* "-"??_);_(@_)</c:formatCode>
                <c:ptCount val="13"/>
                <c:pt idx="0">
                  <c:v>7318.92</c:v>
                </c:pt>
                <c:pt idx="1">
                  <c:v>7210.58</c:v>
                </c:pt>
                <c:pt idx="2">
                  <c:v>6664.25</c:v>
                </c:pt>
                <c:pt idx="3">
                  <c:v>6915.25</c:v>
                </c:pt>
                <c:pt idx="4">
                  <c:v>7766.92</c:v>
                </c:pt>
                <c:pt idx="5">
                  <c:v>7809.58</c:v>
                </c:pt>
                <c:pt idx="6">
                  <c:v>7879.25</c:v>
                </c:pt>
                <c:pt idx="7">
                  <c:v>7373.25</c:v>
                </c:pt>
                <c:pt idx="8">
                  <c:v>7501.92</c:v>
                </c:pt>
                <c:pt idx="9">
                  <c:v>7567.58</c:v>
                </c:pt>
                <c:pt idx="10">
                  <c:v>8044.25</c:v>
                </c:pt>
                <c:pt idx="11">
                  <c:v>8299.25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5-4C73-928D-58BC5DA58861}"/>
            </c:ext>
          </c:extLst>
        </c:ser>
        <c:ser>
          <c:idx val="2"/>
          <c:order val="2"/>
          <c:tx>
            <c:strRef>
              <c:f>'5-SI (A)'!$G$1</c:f>
              <c:strCache>
                <c:ptCount val="1"/>
                <c:pt idx="0">
                  <c:v>SSADJ
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'5-SI (A)'!$G$2:$G$14</c:f>
              <c:numCache>
                <c:formatCode>_(* #,##0.00_);_(* \(#,##0.00\);_(* "-"??_);_(@_)</c:formatCode>
                <c:ptCount val="13"/>
                <c:pt idx="1">
                  <c:v>7318.92</c:v>
                </c:pt>
                <c:pt idx="2">
                  <c:v>7210.58</c:v>
                </c:pt>
                <c:pt idx="3">
                  <c:v>6664.25</c:v>
                </c:pt>
                <c:pt idx="4">
                  <c:v>6915.25</c:v>
                </c:pt>
                <c:pt idx="5">
                  <c:v>7766.92</c:v>
                </c:pt>
                <c:pt idx="6">
                  <c:v>7809.58</c:v>
                </c:pt>
                <c:pt idx="7">
                  <c:v>7879.25</c:v>
                </c:pt>
                <c:pt idx="8">
                  <c:v>7373.25</c:v>
                </c:pt>
                <c:pt idx="9">
                  <c:v>7501.92</c:v>
                </c:pt>
                <c:pt idx="10">
                  <c:v>7567.58</c:v>
                </c:pt>
                <c:pt idx="11">
                  <c:v>8044.25</c:v>
                </c:pt>
                <c:pt idx="12">
                  <c:v>8299.25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5-4C73-928D-58BC5DA58861}"/>
            </c:ext>
          </c:extLst>
        </c:ser>
        <c:ser>
          <c:idx val="3"/>
          <c:order val="3"/>
          <c:tx>
            <c:strRef>
              <c:f>'5-SI (A)'!$H$1</c:f>
              <c:strCache>
                <c:ptCount val="1"/>
                <c:pt idx="0">
                  <c:v>Actual
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'5-SI (A)'!$H$2:$H$14</c:f>
              <c:numCache>
                <c:formatCode>_(* #,##0.00_);_(* \(#,##0.00\);_(* "-"??_);_(@_)</c:formatCode>
                <c:ptCount val="13"/>
                <c:pt idx="1">
                  <c:v>6573.34</c:v>
                </c:pt>
                <c:pt idx="2">
                  <c:v>7115.33</c:v>
                </c:pt>
                <c:pt idx="3">
                  <c:v>8015</c:v>
                </c:pt>
                <c:pt idx="4">
                  <c:v>6405.33</c:v>
                </c:pt>
                <c:pt idx="5">
                  <c:v>7021.34</c:v>
                </c:pt>
                <c:pt idx="6">
                  <c:v>7714.33</c:v>
                </c:pt>
                <c:pt idx="7">
                  <c:v>9230</c:v>
                </c:pt>
                <c:pt idx="8">
                  <c:v>6863.33</c:v>
                </c:pt>
                <c:pt idx="9">
                  <c:v>6756.34</c:v>
                </c:pt>
                <c:pt idx="10">
                  <c:v>7472.33</c:v>
                </c:pt>
                <c:pt idx="11">
                  <c:v>9395</c:v>
                </c:pt>
                <c:pt idx="12">
                  <c:v>7789.33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5-4C73-928D-58BC5DA5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36943"/>
        <c:axId val="439226959"/>
      </c:lineChart>
      <c:catAx>
        <c:axId val="43923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226959"/>
        <c:crosses val="autoZero"/>
        <c:auto val="1"/>
        <c:lblAlgn val="ctr"/>
        <c:lblOffset val="100"/>
        <c:noMultiLvlLbl val="0"/>
      </c:catAx>
      <c:valAx>
        <c:axId val="439226959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923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18</xdr:col>
      <xdr:colOff>583793</xdr:colOff>
      <xdr:row>25</xdr:row>
      <xdr:rowOff>39205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5DAB7-7F30-4926-AE4D-2EC410D6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390525"/>
          <a:ext cx="5889218" cy="4592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19050</xdr:rowOff>
    </xdr:from>
    <xdr:to>
      <xdr:col>19</xdr:col>
      <xdr:colOff>57150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BD72-A01B-4E88-B13A-331DA7681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219701</xdr:colOff>
      <xdr:row>7</xdr:row>
      <xdr:rowOff>123986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180975"/>
          <a:ext cx="5020301" cy="109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185737</xdr:rowOff>
    </xdr:from>
    <xdr:to>
      <xdr:col>15</xdr:col>
      <xdr:colOff>257175</xdr:colOff>
      <xdr:row>23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0</xdr:row>
      <xdr:rowOff>185737</xdr:rowOff>
    </xdr:from>
    <xdr:to>
      <xdr:col>15</xdr:col>
      <xdr:colOff>257175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E109" totalsRowShown="0" headerRowDxfId="10" dataDxfId="9">
  <autoFilter ref="A1:E109"/>
  <tableColumns count="5">
    <tableColumn id="1" name="Date" dataDxfId="8"/>
    <tableColumn id="2" name="TNHS" dataDxfId="7"/>
    <tableColumn id="3" name="Forecast(TNHS)" dataDxfId="6">
      <calculatedColumnFormula>_xlfn.FORECAST.ETS(A2,$B$2:$B$85,$A$2:$A$85,1,1)</calculatedColumnFormula>
    </tableColumn>
    <tableColumn id="4" name="Lower Confidence Bound(TNHS)" dataDxfId="5">
      <calculatedColumnFormula>C2-_xlfn.FORECAST.ETS.CONFINT(A2,$B$2:$B$85,$A$2:$A$85,0.95,1,1)</calculatedColumnFormula>
    </tableColumn>
    <tableColumn id="5" name="Upper Confidence Bound(TNHS)" dataDxfId="4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H8" totalsRowShown="0" headerRowDxfId="3" dataDxfId="2">
  <autoFilter ref="G1:H8"/>
  <tableColumns count="2">
    <tableColumn id="1" name="Statistic" dataDxfId="1"/>
    <tableColumn id="2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7" sqref="B27"/>
    </sheetView>
  </sheetViews>
  <sheetFormatPr defaultColWidth="9.125" defaultRowHeight="15" x14ac:dyDescent="0.25"/>
  <cols>
    <col min="1" max="1" width="7.75" style="2" customWidth="1"/>
    <col min="2" max="2" width="13.375" style="2" customWidth="1"/>
    <col min="3" max="3" width="8.625" style="2" customWidth="1"/>
    <col min="4" max="4" width="9.125" style="2"/>
    <col min="5" max="11" width="15.75" style="2" customWidth="1"/>
    <col min="12" max="16384" width="9.125" style="2"/>
  </cols>
  <sheetData>
    <row r="1" spans="1:11" s="6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10</v>
      </c>
      <c r="H1" s="5" t="s">
        <v>11</v>
      </c>
      <c r="I1" s="5" t="s">
        <v>13</v>
      </c>
    </row>
    <row r="2" spans="1:11" x14ac:dyDescent="0.25">
      <c r="A2" s="3">
        <v>1</v>
      </c>
      <c r="B2" s="3">
        <v>92</v>
      </c>
      <c r="C2" s="3">
        <v>88</v>
      </c>
      <c r="D2" s="2">
        <f>C2-B2</f>
        <v>-4</v>
      </c>
      <c r="E2" s="2">
        <f>ABS(D2)</f>
        <v>4</v>
      </c>
      <c r="F2" s="2">
        <f>D2^2</f>
        <v>16</v>
      </c>
      <c r="G2" s="8">
        <f>D2/C2</f>
        <v>-4.5454545454545456E-2</v>
      </c>
      <c r="H2" s="8">
        <f>E2/C2</f>
        <v>4.5454545454545456E-2</v>
      </c>
      <c r="I2" s="8">
        <f>E2/((ABS(C2)+ABS(B2))/2)</f>
        <v>4.4444444444444446E-2</v>
      </c>
    </row>
    <row r="3" spans="1:11" x14ac:dyDescent="0.25">
      <c r="A3" s="3">
        <v>2</v>
      </c>
      <c r="B3" s="3">
        <v>87</v>
      </c>
      <c r="C3" s="3">
        <v>88</v>
      </c>
      <c r="D3" s="2">
        <f t="shared" ref="D3:D7" si="0">C3-B3</f>
        <v>1</v>
      </c>
      <c r="E3" s="2">
        <f t="shared" ref="E3:E7" si="1">ABS(D3)</f>
        <v>1</v>
      </c>
      <c r="F3" s="2">
        <f t="shared" ref="F3:F7" si="2">D3^2</f>
        <v>1</v>
      </c>
      <c r="G3" s="8">
        <f t="shared" ref="G3:G7" si="3">D3/C3</f>
        <v>1.1363636363636364E-2</v>
      </c>
      <c r="H3" s="8">
        <f t="shared" ref="H3:H7" si="4">E3/C3</f>
        <v>1.1363636363636364E-2</v>
      </c>
      <c r="I3" s="8">
        <f t="shared" ref="I3:I7" si="5">E3/((ABS(C3)+ABS(B3))/2)</f>
        <v>1.1428571428571429E-2</v>
      </c>
    </row>
    <row r="4" spans="1:11" x14ac:dyDescent="0.25">
      <c r="A4" s="3">
        <v>3</v>
      </c>
      <c r="B4" s="3">
        <v>95</v>
      </c>
      <c r="C4" s="3">
        <v>97</v>
      </c>
      <c r="D4" s="2">
        <f t="shared" si="0"/>
        <v>2</v>
      </c>
      <c r="E4" s="2">
        <f t="shared" si="1"/>
        <v>2</v>
      </c>
      <c r="F4" s="2">
        <f t="shared" si="2"/>
        <v>4</v>
      </c>
      <c r="G4" s="8">
        <f t="shared" si="3"/>
        <v>2.0618556701030927E-2</v>
      </c>
      <c r="H4" s="8">
        <f t="shared" si="4"/>
        <v>2.0618556701030927E-2</v>
      </c>
      <c r="I4" s="8">
        <f t="shared" si="5"/>
        <v>2.0833333333333332E-2</v>
      </c>
    </row>
    <row r="5" spans="1:11" x14ac:dyDescent="0.25">
      <c r="A5" s="3">
        <v>4</v>
      </c>
      <c r="B5" s="3">
        <v>90</v>
      </c>
      <c r="C5" s="3">
        <v>83</v>
      </c>
      <c r="D5" s="2">
        <f t="shared" si="0"/>
        <v>-7</v>
      </c>
      <c r="E5" s="2">
        <f t="shared" si="1"/>
        <v>7</v>
      </c>
      <c r="F5" s="2">
        <f t="shared" si="2"/>
        <v>49</v>
      </c>
      <c r="G5" s="8">
        <f t="shared" si="3"/>
        <v>-8.4337349397590355E-2</v>
      </c>
      <c r="H5" s="8">
        <f t="shared" si="4"/>
        <v>8.4337349397590355E-2</v>
      </c>
      <c r="I5" s="8">
        <f t="shared" si="5"/>
        <v>8.0924855491329481E-2</v>
      </c>
    </row>
    <row r="6" spans="1:11" x14ac:dyDescent="0.25">
      <c r="A6" s="3">
        <v>5</v>
      </c>
      <c r="B6" s="3">
        <v>88</v>
      </c>
      <c r="C6" s="3">
        <v>91</v>
      </c>
      <c r="D6" s="2">
        <f t="shared" si="0"/>
        <v>3</v>
      </c>
      <c r="E6" s="2">
        <f t="shared" si="1"/>
        <v>3</v>
      </c>
      <c r="F6" s="2">
        <f t="shared" si="2"/>
        <v>9</v>
      </c>
      <c r="G6" s="8">
        <f t="shared" si="3"/>
        <v>3.2967032967032968E-2</v>
      </c>
      <c r="H6" s="8">
        <f t="shared" si="4"/>
        <v>3.2967032967032968E-2</v>
      </c>
      <c r="I6" s="8">
        <f t="shared" si="5"/>
        <v>3.3519553072625698E-2</v>
      </c>
    </row>
    <row r="7" spans="1:11" x14ac:dyDescent="0.25">
      <c r="A7" s="3">
        <v>6</v>
      </c>
      <c r="B7" s="3">
        <v>93</v>
      </c>
      <c r="C7" s="3">
        <v>93</v>
      </c>
      <c r="D7" s="2">
        <f t="shared" si="0"/>
        <v>0</v>
      </c>
      <c r="E7" s="2">
        <f t="shared" si="1"/>
        <v>0</v>
      </c>
      <c r="F7" s="2">
        <f t="shared" si="2"/>
        <v>0</v>
      </c>
      <c r="G7" s="8">
        <f t="shared" si="3"/>
        <v>0</v>
      </c>
      <c r="H7" s="8">
        <f t="shared" si="4"/>
        <v>0</v>
      </c>
      <c r="I7" s="8">
        <f t="shared" si="5"/>
        <v>0</v>
      </c>
    </row>
    <row r="8" spans="1:11" x14ac:dyDescent="0.25">
      <c r="A8" s="3"/>
      <c r="B8" s="3"/>
      <c r="C8" s="3"/>
      <c r="E8" s="8">
        <f>AVERAGE(E2:E7)</f>
        <v>2.8333333333333335</v>
      </c>
      <c r="F8" s="8">
        <f>AVERAGE(F2:F7)</f>
        <v>13.166666666666666</v>
      </c>
      <c r="G8" s="8">
        <f>AVERAGE(G2:G7)</f>
        <v>-1.0807111470072591E-2</v>
      </c>
      <c r="H8" s="8">
        <f>AVERAGE(H2:H7)</f>
        <v>3.2456853480639342E-2</v>
      </c>
      <c r="I8" s="8">
        <f>AVERAGE(I2:I7)</f>
        <v>3.1858459628384066E-2</v>
      </c>
    </row>
    <row r="9" spans="1:11" x14ac:dyDescent="0.25">
      <c r="E9" s="7" t="s">
        <v>6</v>
      </c>
      <c r="F9" s="7" t="s">
        <v>7</v>
      </c>
      <c r="G9" s="7" t="s">
        <v>9</v>
      </c>
      <c r="H9" s="7" t="s">
        <v>12</v>
      </c>
      <c r="I9" s="7" t="s">
        <v>13</v>
      </c>
      <c r="J9" s="7"/>
      <c r="K9" s="7"/>
    </row>
    <row r="10" spans="1:11" x14ac:dyDescent="0.25">
      <c r="F10" s="2">
        <f>SQRT(F8)</f>
        <v>3.6285901761795403</v>
      </c>
      <c r="H10" s="9">
        <f>H8</f>
        <v>3.2456853480639342E-2</v>
      </c>
    </row>
    <row r="11" spans="1:11" x14ac:dyDescent="0.25">
      <c r="F11" s="7" t="s">
        <v>8</v>
      </c>
    </row>
    <row r="14" spans="1:11" x14ac:dyDescent="0.25">
      <c r="D14" s="4" t="s">
        <v>6</v>
      </c>
      <c r="E14" s="8">
        <f t="array" ref="E14">AVERAGE(ABS(D2:D7))</f>
        <v>2.8333333333333335</v>
      </c>
    </row>
    <row r="15" spans="1:11" x14ac:dyDescent="0.25">
      <c r="D15" s="4" t="s">
        <v>6</v>
      </c>
      <c r="E15" s="8">
        <f t="array" ref="E15">AVERAGE(D2:D7^2)</f>
        <v>13.166666666666666</v>
      </c>
    </row>
    <row r="16" spans="1:11" x14ac:dyDescent="0.25">
      <c r="D16" s="4" t="s">
        <v>9</v>
      </c>
      <c r="E16" s="8">
        <f t="array" ref="E16">AVERAGE(D2:D7/C2:C7)</f>
        <v>-1.0807111470072591E-2</v>
      </c>
    </row>
    <row r="17" spans="2:5" x14ac:dyDescent="0.25">
      <c r="D17" s="4" t="s">
        <v>12</v>
      </c>
      <c r="E17" s="8">
        <f t="array" ref="E17">AVERAGE(ABS(D2:D7)/C2:C7)</f>
        <v>3.2456853480639342E-2</v>
      </c>
    </row>
    <row r="18" spans="2:5" x14ac:dyDescent="0.25">
      <c r="E18" s="8"/>
    </row>
    <row r="19" spans="2:5" x14ac:dyDescent="0.25">
      <c r="E19" s="8"/>
    </row>
    <row r="20" spans="2:5" x14ac:dyDescent="0.25">
      <c r="E20" s="8"/>
    </row>
    <row r="21" spans="2:5" x14ac:dyDescent="0.25">
      <c r="E21" s="8"/>
    </row>
    <row r="22" spans="2:5" x14ac:dyDescent="0.25">
      <c r="E22" s="8"/>
    </row>
    <row r="23" spans="2:5" x14ac:dyDescent="0.25">
      <c r="E23" s="8"/>
    </row>
    <row r="24" spans="2:5" x14ac:dyDescent="0.25">
      <c r="E24" s="8"/>
    </row>
    <row r="27" spans="2:5" x14ac:dyDescent="0.25">
      <c r="B27" s="2">
        <f>_xlfn.NORM.DIST(1,0,1,FALSE)</f>
        <v>0.24197072451914337</v>
      </c>
    </row>
    <row r="28" spans="2:5" x14ac:dyDescent="0.25">
      <c r="B28" s="2">
        <f>_xlfn.NORM.INV(B27,0,1)</f>
        <v>-0.69997735099785086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79" workbookViewId="0">
      <selection activeCell="D119" sqref="D119"/>
    </sheetView>
  </sheetViews>
  <sheetFormatPr defaultColWidth="9.125" defaultRowHeight="12.75" x14ac:dyDescent="0.2"/>
  <cols>
    <col min="1" max="1" width="9.625" style="10" bestFit="1" customWidth="1"/>
    <col min="2" max="2" width="9.25" style="10" bestFit="1" customWidth="1"/>
    <col min="3" max="3" width="14.125" style="10" customWidth="1"/>
    <col min="4" max="4" width="19.375" style="10" customWidth="1"/>
    <col min="5" max="5" width="17.125" style="10" customWidth="1"/>
    <col min="6" max="6" width="9.125" style="10"/>
    <col min="7" max="7" width="10.125" style="10" customWidth="1"/>
    <col min="8" max="8" width="8.25" style="10" customWidth="1"/>
    <col min="9" max="16384" width="9.125" style="10"/>
  </cols>
  <sheetData>
    <row r="1" spans="1:8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G1" s="10" t="s">
        <v>19</v>
      </c>
      <c r="H1" s="10" t="s">
        <v>20</v>
      </c>
    </row>
    <row r="2" spans="1:8" x14ac:dyDescent="0.2">
      <c r="A2" s="11">
        <v>40179</v>
      </c>
      <c r="B2" s="12">
        <v>24</v>
      </c>
      <c r="G2" s="10" t="s">
        <v>21</v>
      </c>
      <c r="H2" s="13">
        <f>_xlfn.FORECAST.ETS.STAT($B$2:$B$85,$A$2:$A$85,1,1,1)</f>
        <v>0.501</v>
      </c>
    </row>
    <row r="3" spans="1:8" x14ac:dyDescent="0.2">
      <c r="A3" s="11">
        <v>40210</v>
      </c>
      <c r="B3" s="12">
        <v>27</v>
      </c>
      <c r="G3" s="10" t="s">
        <v>22</v>
      </c>
      <c r="H3" s="13">
        <f>_xlfn.FORECAST.ETS.STAT($B$2:$B$85,$A$2:$A$85,2,1,1)</f>
        <v>1E-3</v>
      </c>
    </row>
    <row r="4" spans="1:8" x14ac:dyDescent="0.2">
      <c r="A4" s="11">
        <v>40238</v>
      </c>
      <c r="B4" s="12">
        <v>36</v>
      </c>
      <c r="G4" s="10" t="s">
        <v>23</v>
      </c>
      <c r="H4" s="13">
        <f>_xlfn.FORECAST.ETS.STAT($B$2:$B$85,$A$2:$A$85,3,1,1)</f>
        <v>1E-3</v>
      </c>
    </row>
    <row r="5" spans="1:8" x14ac:dyDescent="0.2">
      <c r="A5" s="11">
        <v>40269</v>
      </c>
      <c r="B5" s="12">
        <v>41</v>
      </c>
      <c r="G5" s="10" t="s">
        <v>24</v>
      </c>
      <c r="H5" s="13">
        <f>_xlfn.FORECAST.ETS.STAT($B$2:$B$85,$A$2:$A$85,4,1,1)</f>
        <v>0.79846361115986686</v>
      </c>
    </row>
    <row r="6" spans="1:8" x14ac:dyDescent="0.2">
      <c r="A6" s="11">
        <v>40299</v>
      </c>
      <c r="B6" s="12">
        <v>26</v>
      </c>
      <c r="G6" s="10" t="s">
        <v>13</v>
      </c>
      <c r="H6" s="13">
        <f>_xlfn.FORECAST.ETS.STAT($B$2:$B$85,$A$2:$A$85,5,1,1)</f>
        <v>5.171367616600888E-2</v>
      </c>
    </row>
    <row r="7" spans="1:8" x14ac:dyDescent="0.2">
      <c r="A7" s="11">
        <v>40330</v>
      </c>
      <c r="B7" s="12">
        <v>28</v>
      </c>
      <c r="G7" s="10" t="s">
        <v>6</v>
      </c>
      <c r="H7" s="13">
        <f>_xlfn.FORECAST.ETS.STAT($B$2:$B$85,$A$2:$A$85,6,1,1)</f>
        <v>2.2600580180287757</v>
      </c>
    </row>
    <row r="8" spans="1:8" x14ac:dyDescent="0.2">
      <c r="A8" s="11">
        <v>40360</v>
      </c>
      <c r="B8" s="12">
        <v>26</v>
      </c>
      <c r="G8" s="10" t="s">
        <v>8</v>
      </c>
      <c r="H8" s="13">
        <f>_xlfn.FORECAST.ETS.STAT($B$2:$B$85,$A$2:$A$85,7,1,1)</f>
        <v>2.8621367251299032</v>
      </c>
    </row>
    <row r="9" spans="1:8" x14ac:dyDescent="0.2">
      <c r="A9" s="11">
        <v>40391</v>
      </c>
      <c r="B9" s="12">
        <v>23</v>
      </c>
    </row>
    <row r="10" spans="1:8" x14ac:dyDescent="0.2">
      <c r="A10" s="11">
        <v>40422</v>
      </c>
      <c r="B10" s="12">
        <v>25</v>
      </c>
    </row>
    <row r="11" spans="1:8" x14ac:dyDescent="0.2">
      <c r="A11" s="11">
        <v>40452</v>
      </c>
      <c r="B11" s="12">
        <v>23</v>
      </c>
    </row>
    <row r="12" spans="1:8" x14ac:dyDescent="0.2">
      <c r="A12" s="11">
        <v>40483</v>
      </c>
      <c r="B12" s="12">
        <v>20</v>
      </c>
    </row>
    <row r="13" spans="1:8" x14ac:dyDescent="0.2">
      <c r="A13" s="11">
        <v>40513</v>
      </c>
      <c r="B13" s="12">
        <v>23</v>
      </c>
    </row>
    <row r="14" spans="1:8" x14ac:dyDescent="0.2">
      <c r="A14" s="11">
        <v>40544</v>
      </c>
      <c r="B14" s="12">
        <v>21</v>
      </c>
    </row>
    <row r="15" spans="1:8" x14ac:dyDescent="0.2">
      <c r="A15" s="11">
        <v>40575</v>
      </c>
      <c r="B15" s="12">
        <v>22</v>
      </c>
    </row>
    <row r="16" spans="1:8" x14ac:dyDescent="0.2">
      <c r="A16" s="11">
        <v>40603</v>
      </c>
      <c r="B16" s="12">
        <v>28</v>
      </c>
    </row>
    <row r="17" spans="1:2" x14ac:dyDescent="0.2">
      <c r="A17" s="11">
        <v>40634</v>
      </c>
      <c r="B17" s="12">
        <v>30</v>
      </c>
    </row>
    <row r="18" spans="1:2" x14ac:dyDescent="0.2">
      <c r="A18" s="11">
        <v>40664</v>
      </c>
      <c r="B18" s="12">
        <v>28</v>
      </c>
    </row>
    <row r="19" spans="1:2" x14ac:dyDescent="0.2">
      <c r="A19" s="11">
        <v>40695</v>
      </c>
      <c r="B19" s="12">
        <v>28</v>
      </c>
    </row>
    <row r="20" spans="1:2" x14ac:dyDescent="0.2">
      <c r="A20" s="11">
        <v>40725</v>
      </c>
      <c r="B20" s="12">
        <v>27</v>
      </c>
    </row>
    <row r="21" spans="1:2" x14ac:dyDescent="0.2">
      <c r="A21" s="11">
        <v>40756</v>
      </c>
      <c r="B21" s="12">
        <v>25</v>
      </c>
    </row>
    <row r="22" spans="1:2" x14ac:dyDescent="0.2">
      <c r="A22" s="11">
        <v>40787</v>
      </c>
      <c r="B22" s="12">
        <v>24</v>
      </c>
    </row>
    <row r="23" spans="1:2" x14ac:dyDescent="0.2">
      <c r="A23" s="11">
        <v>40817</v>
      </c>
      <c r="B23" s="12">
        <v>25</v>
      </c>
    </row>
    <row r="24" spans="1:2" x14ac:dyDescent="0.2">
      <c r="A24" s="11">
        <v>40848</v>
      </c>
      <c r="B24" s="12">
        <v>23</v>
      </c>
    </row>
    <row r="25" spans="1:2" x14ac:dyDescent="0.2">
      <c r="A25" s="11">
        <v>40878</v>
      </c>
      <c r="B25" s="12">
        <v>24</v>
      </c>
    </row>
    <row r="26" spans="1:2" x14ac:dyDescent="0.2">
      <c r="A26" s="11">
        <v>40909</v>
      </c>
      <c r="B26" s="12">
        <v>23</v>
      </c>
    </row>
    <row r="27" spans="1:2" x14ac:dyDescent="0.2">
      <c r="A27" s="11">
        <v>40940</v>
      </c>
      <c r="B27" s="12">
        <v>30</v>
      </c>
    </row>
    <row r="28" spans="1:2" x14ac:dyDescent="0.2">
      <c r="A28" s="11">
        <v>40969</v>
      </c>
      <c r="B28" s="12">
        <v>34</v>
      </c>
    </row>
    <row r="29" spans="1:2" x14ac:dyDescent="0.2">
      <c r="A29" s="11">
        <v>41000</v>
      </c>
      <c r="B29" s="12">
        <v>34</v>
      </c>
    </row>
    <row r="30" spans="1:2" x14ac:dyDescent="0.2">
      <c r="A30" s="11">
        <v>41030</v>
      </c>
      <c r="B30" s="12">
        <v>35</v>
      </c>
    </row>
    <row r="31" spans="1:2" x14ac:dyDescent="0.2">
      <c r="A31" s="11">
        <v>41061</v>
      </c>
      <c r="B31" s="12">
        <v>34</v>
      </c>
    </row>
    <row r="32" spans="1:2" x14ac:dyDescent="0.2">
      <c r="A32" s="11">
        <v>41091</v>
      </c>
      <c r="B32" s="12">
        <v>33</v>
      </c>
    </row>
    <row r="33" spans="1:2" x14ac:dyDescent="0.2">
      <c r="A33" s="11">
        <v>41122</v>
      </c>
      <c r="B33" s="12">
        <v>31</v>
      </c>
    </row>
    <row r="34" spans="1:2" x14ac:dyDescent="0.2">
      <c r="A34" s="11">
        <v>41153</v>
      </c>
      <c r="B34" s="12">
        <v>30</v>
      </c>
    </row>
    <row r="35" spans="1:2" x14ac:dyDescent="0.2">
      <c r="A35" s="11">
        <v>41183</v>
      </c>
      <c r="B35" s="12">
        <v>29</v>
      </c>
    </row>
    <row r="36" spans="1:2" x14ac:dyDescent="0.2">
      <c r="A36" s="11">
        <v>41214</v>
      </c>
      <c r="B36" s="12">
        <v>28</v>
      </c>
    </row>
    <row r="37" spans="1:2" x14ac:dyDescent="0.2">
      <c r="A37" s="11">
        <v>41244</v>
      </c>
      <c r="B37" s="12">
        <v>28</v>
      </c>
    </row>
    <row r="38" spans="1:2" x14ac:dyDescent="0.2">
      <c r="A38" s="11">
        <v>41275</v>
      </c>
      <c r="B38" s="12">
        <v>32</v>
      </c>
    </row>
    <row r="39" spans="1:2" x14ac:dyDescent="0.2">
      <c r="A39" s="11">
        <v>41306</v>
      </c>
      <c r="B39" s="12">
        <v>36</v>
      </c>
    </row>
    <row r="40" spans="1:2" x14ac:dyDescent="0.2">
      <c r="A40" s="11">
        <v>41334</v>
      </c>
      <c r="B40" s="12">
        <v>41</v>
      </c>
    </row>
    <row r="41" spans="1:2" x14ac:dyDescent="0.2">
      <c r="A41" s="11">
        <v>41365</v>
      </c>
      <c r="B41" s="12">
        <v>43</v>
      </c>
    </row>
    <row r="42" spans="1:2" x14ac:dyDescent="0.2">
      <c r="A42" s="11">
        <v>41395</v>
      </c>
      <c r="B42" s="12">
        <v>40</v>
      </c>
    </row>
    <row r="43" spans="1:2" x14ac:dyDescent="0.2">
      <c r="A43" s="11">
        <v>41426</v>
      </c>
      <c r="B43" s="12">
        <v>43</v>
      </c>
    </row>
    <row r="44" spans="1:2" x14ac:dyDescent="0.2">
      <c r="A44" s="11">
        <v>41456</v>
      </c>
      <c r="B44" s="12">
        <v>33</v>
      </c>
    </row>
    <row r="45" spans="1:2" x14ac:dyDescent="0.2">
      <c r="A45" s="11">
        <v>41487</v>
      </c>
      <c r="B45" s="12">
        <v>31</v>
      </c>
    </row>
    <row r="46" spans="1:2" x14ac:dyDescent="0.2">
      <c r="A46" s="11">
        <v>41518</v>
      </c>
      <c r="B46" s="12">
        <v>31</v>
      </c>
    </row>
    <row r="47" spans="1:2" x14ac:dyDescent="0.2">
      <c r="A47" s="11">
        <v>41548</v>
      </c>
      <c r="B47" s="12">
        <v>36</v>
      </c>
    </row>
    <row r="48" spans="1:2" x14ac:dyDescent="0.2">
      <c r="A48" s="11">
        <v>41579</v>
      </c>
      <c r="B48" s="12">
        <v>32</v>
      </c>
    </row>
    <row r="49" spans="1:2" x14ac:dyDescent="0.2">
      <c r="A49" s="11">
        <v>41609</v>
      </c>
      <c r="B49" s="12">
        <v>31</v>
      </c>
    </row>
    <row r="50" spans="1:2" x14ac:dyDescent="0.2">
      <c r="A50" s="11">
        <v>41640</v>
      </c>
      <c r="B50" s="12">
        <v>33</v>
      </c>
    </row>
    <row r="51" spans="1:2" x14ac:dyDescent="0.2">
      <c r="A51" s="11">
        <v>41671</v>
      </c>
      <c r="B51" s="12">
        <v>35</v>
      </c>
    </row>
    <row r="52" spans="1:2" x14ac:dyDescent="0.2">
      <c r="A52" s="11">
        <v>41699</v>
      </c>
      <c r="B52" s="12">
        <v>39</v>
      </c>
    </row>
    <row r="53" spans="1:2" x14ac:dyDescent="0.2">
      <c r="A53" s="11">
        <v>41730</v>
      </c>
      <c r="B53" s="12">
        <v>39</v>
      </c>
    </row>
    <row r="54" spans="1:2" x14ac:dyDescent="0.2">
      <c r="A54" s="11">
        <v>41760</v>
      </c>
      <c r="B54" s="12">
        <v>43</v>
      </c>
    </row>
    <row r="55" spans="1:2" x14ac:dyDescent="0.2">
      <c r="A55" s="11">
        <v>41791</v>
      </c>
      <c r="B55" s="12">
        <v>38</v>
      </c>
    </row>
    <row r="56" spans="1:2" x14ac:dyDescent="0.2">
      <c r="A56" s="11">
        <v>41821</v>
      </c>
      <c r="B56" s="12">
        <v>35</v>
      </c>
    </row>
    <row r="57" spans="1:2" x14ac:dyDescent="0.2">
      <c r="A57" s="11">
        <v>41852</v>
      </c>
      <c r="B57" s="12">
        <v>36</v>
      </c>
    </row>
    <row r="58" spans="1:2" x14ac:dyDescent="0.2">
      <c r="A58" s="11">
        <v>41883</v>
      </c>
      <c r="B58" s="12">
        <v>37</v>
      </c>
    </row>
    <row r="59" spans="1:2" x14ac:dyDescent="0.2">
      <c r="A59" s="11">
        <v>41913</v>
      </c>
      <c r="B59" s="12">
        <v>38</v>
      </c>
    </row>
    <row r="60" spans="1:2" x14ac:dyDescent="0.2">
      <c r="A60" s="11">
        <v>41944</v>
      </c>
      <c r="B60" s="12">
        <v>31</v>
      </c>
    </row>
    <row r="61" spans="1:2" x14ac:dyDescent="0.2">
      <c r="A61" s="11">
        <v>41974</v>
      </c>
      <c r="B61" s="12">
        <v>35</v>
      </c>
    </row>
    <row r="62" spans="1:2" x14ac:dyDescent="0.2">
      <c r="A62" s="11">
        <v>42005</v>
      </c>
      <c r="B62" s="12">
        <v>39</v>
      </c>
    </row>
    <row r="63" spans="1:2" x14ac:dyDescent="0.2">
      <c r="A63" s="11">
        <v>42036</v>
      </c>
      <c r="B63" s="12">
        <v>45</v>
      </c>
    </row>
    <row r="64" spans="1:2" x14ac:dyDescent="0.2">
      <c r="A64" s="11">
        <v>42064</v>
      </c>
      <c r="B64" s="12">
        <v>46</v>
      </c>
    </row>
    <row r="65" spans="1:2" x14ac:dyDescent="0.2">
      <c r="A65" s="11">
        <v>42095</v>
      </c>
      <c r="B65" s="12">
        <v>48</v>
      </c>
    </row>
    <row r="66" spans="1:2" x14ac:dyDescent="0.2">
      <c r="A66" s="11">
        <v>42125</v>
      </c>
      <c r="B66" s="12">
        <v>47</v>
      </c>
    </row>
    <row r="67" spans="1:2" x14ac:dyDescent="0.2">
      <c r="A67" s="11">
        <v>42156</v>
      </c>
      <c r="B67" s="12">
        <v>44</v>
      </c>
    </row>
    <row r="68" spans="1:2" x14ac:dyDescent="0.2">
      <c r="A68" s="11">
        <v>42186</v>
      </c>
      <c r="B68" s="12">
        <v>43</v>
      </c>
    </row>
    <row r="69" spans="1:2" x14ac:dyDescent="0.2">
      <c r="A69" s="11">
        <v>42217</v>
      </c>
      <c r="B69" s="12">
        <v>41</v>
      </c>
    </row>
    <row r="70" spans="1:2" x14ac:dyDescent="0.2">
      <c r="A70" s="11">
        <v>42248</v>
      </c>
      <c r="B70" s="12">
        <v>35</v>
      </c>
    </row>
    <row r="71" spans="1:2" x14ac:dyDescent="0.2">
      <c r="A71" s="11">
        <v>42278</v>
      </c>
      <c r="B71" s="12">
        <v>39</v>
      </c>
    </row>
    <row r="72" spans="1:2" x14ac:dyDescent="0.2">
      <c r="A72" s="11">
        <v>42309</v>
      </c>
      <c r="B72" s="12">
        <v>36</v>
      </c>
    </row>
    <row r="73" spans="1:2" x14ac:dyDescent="0.2">
      <c r="A73" s="11">
        <v>42339</v>
      </c>
      <c r="B73" s="12">
        <v>38</v>
      </c>
    </row>
    <row r="74" spans="1:2" x14ac:dyDescent="0.2">
      <c r="A74" s="11">
        <v>42370</v>
      </c>
      <c r="B74" s="12">
        <v>39</v>
      </c>
    </row>
    <row r="75" spans="1:2" x14ac:dyDescent="0.2">
      <c r="A75" s="11">
        <v>42401</v>
      </c>
      <c r="B75" s="12">
        <v>45</v>
      </c>
    </row>
    <row r="76" spans="1:2" x14ac:dyDescent="0.2">
      <c r="A76" s="11">
        <v>42430</v>
      </c>
      <c r="B76" s="12">
        <v>50</v>
      </c>
    </row>
    <row r="77" spans="1:2" x14ac:dyDescent="0.2">
      <c r="A77" s="11">
        <v>42461</v>
      </c>
      <c r="B77" s="12">
        <v>55</v>
      </c>
    </row>
    <row r="78" spans="1:2" x14ac:dyDescent="0.2">
      <c r="A78" s="11">
        <v>42491</v>
      </c>
      <c r="B78" s="12">
        <v>53</v>
      </c>
    </row>
    <row r="79" spans="1:2" x14ac:dyDescent="0.2">
      <c r="A79" s="11">
        <v>42522</v>
      </c>
      <c r="B79" s="12">
        <v>50</v>
      </c>
    </row>
    <row r="80" spans="1:2" x14ac:dyDescent="0.2">
      <c r="A80" s="11">
        <v>42552</v>
      </c>
      <c r="B80" s="12">
        <v>54</v>
      </c>
    </row>
    <row r="81" spans="1:5" x14ac:dyDescent="0.2">
      <c r="A81" s="11">
        <v>42583</v>
      </c>
      <c r="B81" s="12">
        <v>46</v>
      </c>
    </row>
    <row r="82" spans="1:5" x14ac:dyDescent="0.2">
      <c r="A82" s="11">
        <v>42614</v>
      </c>
      <c r="B82" s="12">
        <v>44</v>
      </c>
    </row>
    <row r="83" spans="1:5" x14ac:dyDescent="0.2">
      <c r="A83" s="11">
        <v>42644</v>
      </c>
      <c r="B83" s="12">
        <v>46</v>
      </c>
    </row>
    <row r="84" spans="1:5" x14ac:dyDescent="0.2">
      <c r="A84" s="11">
        <v>42675</v>
      </c>
      <c r="B84" s="12">
        <v>40</v>
      </c>
    </row>
    <row r="85" spans="1:5" x14ac:dyDescent="0.2">
      <c r="A85" s="11">
        <v>42705</v>
      </c>
      <c r="B85" s="12">
        <v>38</v>
      </c>
      <c r="C85" s="12">
        <v>38</v>
      </c>
      <c r="D85" s="14">
        <v>38</v>
      </c>
      <c r="E85" s="14">
        <v>38</v>
      </c>
    </row>
    <row r="86" spans="1:5" x14ac:dyDescent="0.2">
      <c r="A86" s="11">
        <v>42736</v>
      </c>
      <c r="C86" s="19">
        <f t="shared" ref="C86:C109" si="0">_xlfn.FORECAST.ETS(A86,$B$2:$B$85,$A$2:$A$85,1,1)</f>
        <v>40.915766378857988</v>
      </c>
      <c r="D86" s="14">
        <f t="shared" ref="D86:D109" si="1">C86-_xlfn.FORECAST.ETS.CONFINT(A86,$B$2:$B$85,$A$2:$A$85,0.95,1,1)</f>
        <v>35.673812780414387</v>
      </c>
      <c r="E86" s="14">
        <f t="shared" ref="E86:E109" si="2">C86+_xlfn.FORECAST.ETS.CONFINT(A86,$B$2:$B$85,$A$2:$A$85,0.95,1,1)</f>
        <v>46.157719977301589</v>
      </c>
    </row>
    <row r="87" spans="1:5" x14ac:dyDescent="0.2">
      <c r="A87" s="11">
        <v>42767</v>
      </c>
      <c r="C87" s="19">
        <f t="shared" si="0"/>
        <v>44.924183627575985</v>
      </c>
      <c r="D87" s="14">
        <f t="shared" si="1"/>
        <v>39.058805295561818</v>
      </c>
      <c r="E87" s="14">
        <f t="shared" si="2"/>
        <v>50.789561959590152</v>
      </c>
    </row>
    <row r="88" spans="1:5" x14ac:dyDescent="0.2">
      <c r="A88" s="11">
        <v>42795</v>
      </c>
      <c r="C88" s="19">
        <f t="shared" si="0"/>
        <v>49.931495375655757</v>
      </c>
      <c r="D88" s="14">
        <f t="shared" si="1"/>
        <v>43.500720624896502</v>
      </c>
      <c r="E88" s="14">
        <f t="shared" si="2"/>
        <v>56.362270126415012</v>
      </c>
    </row>
    <row r="89" spans="1:5" x14ac:dyDescent="0.2">
      <c r="A89" s="11">
        <v>42826</v>
      </c>
      <c r="C89" s="19">
        <f t="shared" si="0"/>
        <v>51.184761437322571</v>
      </c>
      <c r="D89" s="14">
        <f t="shared" si="1"/>
        <v>44.232442742353598</v>
      </c>
      <c r="E89" s="14">
        <f t="shared" si="2"/>
        <v>58.137080132291544</v>
      </c>
    </row>
    <row r="90" spans="1:5" x14ac:dyDescent="0.2">
      <c r="A90" s="11">
        <v>42856</v>
      </c>
      <c r="C90" s="12">
        <f t="shared" si="0"/>
        <v>49.835425190863155</v>
      </c>
      <c r="D90" s="14">
        <f t="shared" si="1"/>
        <v>42.396182490288496</v>
      </c>
      <c r="E90" s="14">
        <f t="shared" si="2"/>
        <v>57.274667891437815</v>
      </c>
    </row>
    <row r="91" spans="1:5" x14ac:dyDescent="0.2">
      <c r="A91" s="11">
        <v>42887</v>
      </c>
      <c r="C91" s="12">
        <f t="shared" si="0"/>
        <v>48.861750864105879</v>
      </c>
      <c r="D91" s="14">
        <f t="shared" si="1"/>
        <v>40.963794861691532</v>
      </c>
      <c r="E91" s="14">
        <f t="shared" si="2"/>
        <v>56.759706866520226</v>
      </c>
    </row>
    <row r="92" spans="1:5" x14ac:dyDescent="0.2">
      <c r="A92" s="11">
        <v>42917</v>
      </c>
      <c r="C92" s="12">
        <f t="shared" si="0"/>
        <v>47.521496230544905</v>
      </c>
      <c r="D92" s="14">
        <f t="shared" si="1"/>
        <v>39.188374284561618</v>
      </c>
      <c r="E92" s="14">
        <f t="shared" si="2"/>
        <v>55.854618176528191</v>
      </c>
    </row>
    <row r="93" spans="1:5" x14ac:dyDescent="0.2">
      <c r="A93" s="11">
        <v>42948</v>
      </c>
      <c r="C93" s="12">
        <f t="shared" si="0"/>
        <v>45.158272567918303</v>
      </c>
      <c r="D93" s="14">
        <f t="shared" si="1"/>
        <v>36.410014228918769</v>
      </c>
      <c r="E93" s="14">
        <f t="shared" si="2"/>
        <v>53.906530906917837</v>
      </c>
    </row>
    <row r="94" spans="1:5" x14ac:dyDescent="0.2">
      <c r="A94" s="11">
        <v>42979</v>
      </c>
      <c r="C94" s="12">
        <f t="shared" si="0"/>
        <v>45.205075744067635</v>
      </c>
      <c r="D94" s="14">
        <f t="shared" si="1"/>
        <v>36.058979758896271</v>
      </c>
      <c r="E94" s="14">
        <f t="shared" si="2"/>
        <v>54.351171729238999</v>
      </c>
    </row>
    <row r="95" spans="1:5" x14ac:dyDescent="0.2">
      <c r="A95" s="11">
        <v>43009</v>
      </c>
      <c r="C95" s="12">
        <f t="shared" si="0"/>
        <v>44.678401703070953</v>
      </c>
      <c r="D95" s="14">
        <f t="shared" si="1"/>
        <v>35.149596965064099</v>
      </c>
      <c r="E95" s="14">
        <f t="shared" si="2"/>
        <v>54.207206441077808</v>
      </c>
    </row>
    <row r="96" spans="1:5" x14ac:dyDescent="0.2">
      <c r="A96" s="11">
        <v>43040</v>
      </c>
      <c r="C96" s="12">
        <f t="shared" si="0"/>
        <v>42.534199874384676</v>
      </c>
      <c r="D96" s="14">
        <f t="shared" si="1"/>
        <v>32.636057482131861</v>
      </c>
      <c r="E96" s="14">
        <f t="shared" si="2"/>
        <v>52.432342266637491</v>
      </c>
    </row>
    <row r="97" spans="1:5" x14ac:dyDescent="0.2">
      <c r="A97" s="11">
        <v>43070</v>
      </c>
      <c r="C97" s="12">
        <f t="shared" si="0"/>
        <v>43.795951326919671</v>
      </c>
      <c r="D97" s="14">
        <f t="shared" si="1"/>
        <v>33.540394980583592</v>
      </c>
      <c r="E97" s="14">
        <f t="shared" si="2"/>
        <v>54.051507673255749</v>
      </c>
    </row>
    <row r="98" spans="1:5" x14ac:dyDescent="0.2">
      <c r="A98" s="11">
        <v>43101</v>
      </c>
      <c r="C98" s="12">
        <f t="shared" si="0"/>
        <v>44.205805093678144</v>
      </c>
      <c r="D98" s="14">
        <f t="shared" si="1"/>
        <v>33.602219184018907</v>
      </c>
      <c r="E98" s="14">
        <f t="shared" si="2"/>
        <v>54.809391003337382</v>
      </c>
    </row>
    <row r="99" spans="1:5" x14ac:dyDescent="0.2">
      <c r="A99" s="11">
        <v>43132</v>
      </c>
      <c r="C99" s="12">
        <f t="shared" si="0"/>
        <v>48.214222342396148</v>
      </c>
      <c r="D99" s="14">
        <f t="shared" si="1"/>
        <v>37.273672433265723</v>
      </c>
      <c r="E99" s="14">
        <f t="shared" si="2"/>
        <v>59.154772251526573</v>
      </c>
    </row>
    <row r="100" spans="1:5" x14ac:dyDescent="0.2">
      <c r="A100" s="11">
        <v>43160</v>
      </c>
      <c r="C100" s="12">
        <f t="shared" si="0"/>
        <v>53.22153409047592</v>
      </c>
      <c r="D100" s="14">
        <f t="shared" si="1"/>
        <v>41.952838273008837</v>
      </c>
      <c r="E100" s="14">
        <f t="shared" si="2"/>
        <v>64.490229907943004</v>
      </c>
    </row>
    <row r="101" spans="1:5" x14ac:dyDescent="0.2">
      <c r="A101" s="11">
        <v>43191</v>
      </c>
      <c r="C101" s="12">
        <f t="shared" si="0"/>
        <v>54.474800152142727</v>
      </c>
      <c r="D101" s="14">
        <f t="shared" si="1"/>
        <v>42.886025047026656</v>
      </c>
      <c r="E101" s="14">
        <f t="shared" si="2"/>
        <v>66.063575257258805</v>
      </c>
    </row>
    <row r="102" spans="1:5" x14ac:dyDescent="0.2">
      <c r="A102" s="11">
        <v>43221</v>
      </c>
      <c r="C102" s="12">
        <f t="shared" si="0"/>
        <v>53.125463905683311</v>
      </c>
      <c r="D102" s="14">
        <f t="shared" si="1"/>
        <v>41.224022971855064</v>
      </c>
      <c r="E102" s="14">
        <f t="shared" si="2"/>
        <v>65.026904839511559</v>
      </c>
    </row>
    <row r="103" spans="1:5" x14ac:dyDescent="0.2">
      <c r="A103" s="11">
        <v>43252</v>
      </c>
      <c r="C103" s="12">
        <f t="shared" si="0"/>
        <v>52.151789578926042</v>
      </c>
      <c r="D103" s="14">
        <f t="shared" si="1"/>
        <v>39.94452436610753</v>
      </c>
      <c r="E103" s="14">
        <f t="shared" si="2"/>
        <v>64.359054791744555</v>
      </c>
    </row>
    <row r="104" spans="1:5" x14ac:dyDescent="0.2">
      <c r="A104" s="11">
        <v>43282</v>
      </c>
      <c r="C104" s="12">
        <f t="shared" si="0"/>
        <v>50.811534945365068</v>
      </c>
      <c r="D104" s="14">
        <f t="shared" si="1"/>
        <v>38.304782912276217</v>
      </c>
      <c r="E104" s="14">
        <f t="shared" si="2"/>
        <v>63.318286978453919</v>
      </c>
    </row>
    <row r="105" spans="1:5" x14ac:dyDescent="0.2">
      <c r="A105" s="11">
        <v>43313</v>
      </c>
      <c r="C105" s="12">
        <f t="shared" si="0"/>
        <v>48.448311282738459</v>
      </c>
      <c r="D105" s="14">
        <f t="shared" si="1"/>
        <v>35.64796290541657</v>
      </c>
      <c r="E105" s="14">
        <f t="shared" si="2"/>
        <v>61.248659660060348</v>
      </c>
    </row>
    <row r="106" spans="1:5" x14ac:dyDescent="0.2">
      <c r="A106" s="11">
        <v>43344</v>
      </c>
      <c r="C106" s="12">
        <f t="shared" si="0"/>
        <v>48.495114458887798</v>
      </c>
      <c r="D106" s="14">
        <f t="shared" si="1"/>
        <v>35.406661707582586</v>
      </c>
      <c r="E106" s="14">
        <f t="shared" si="2"/>
        <v>61.58356721019301</v>
      </c>
    </row>
    <row r="107" spans="1:5" x14ac:dyDescent="0.2">
      <c r="A107" s="11">
        <v>43374</v>
      </c>
      <c r="C107" s="12">
        <f t="shared" si="0"/>
        <v>47.968440417891117</v>
      </c>
      <c r="D107" s="14">
        <f t="shared" si="1"/>
        <v>34.597018208554047</v>
      </c>
      <c r="E107" s="14">
        <f t="shared" si="2"/>
        <v>61.339862627228186</v>
      </c>
    </row>
    <row r="108" spans="1:5" x14ac:dyDescent="0.2">
      <c r="A108" s="11">
        <v>43405</v>
      </c>
      <c r="C108" s="12">
        <f t="shared" si="0"/>
        <v>45.824238589204832</v>
      </c>
      <c r="D108" s="14">
        <f t="shared" si="1"/>
        <v>32.174660465007236</v>
      </c>
      <c r="E108" s="14">
        <f t="shared" si="2"/>
        <v>59.473816713402428</v>
      </c>
    </row>
    <row r="109" spans="1:5" x14ac:dyDescent="0.2">
      <c r="A109" s="11">
        <v>43435</v>
      </c>
      <c r="C109" s="12">
        <f t="shared" si="0"/>
        <v>47.085990041739826</v>
      </c>
      <c r="D109" s="14">
        <f t="shared" si="1"/>
        <v>33.162779076450015</v>
      </c>
      <c r="E109" s="14">
        <f t="shared" si="2"/>
        <v>61.009201007029638</v>
      </c>
    </row>
    <row r="111" spans="1:5" x14ac:dyDescent="0.2">
      <c r="A111" s="10" t="s">
        <v>32</v>
      </c>
      <c r="D111" s="10">
        <v>0.9</v>
      </c>
    </row>
    <row r="112" spans="1:5" x14ac:dyDescent="0.2">
      <c r="A112" s="10" t="s">
        <v>25</v>
      </c>
      <c r="D112" s="10">
        <v>3</v>
      </c>
    </row>
    <row r="113" spans="1:4" x14ac:dyDescent="0.2">
      <c r="A113" s="10" t="s">
        <v>26</v>
      </c>
      <c r="D113" s="10">
        <v>1</v>
      </c>
    </row>
    <row r="114" spans="1:4" x14ac:dyDescent="0.2">
      <c r="A114" s="16" t="s">
        <v>28</v>
      </c>
      <c r="D114" s="15">
        <f>H8</f>
        <v>2.8621367251299032</v>
      </c>
    </row>
    <row r="115" spans="1:4" x14ac:dyDescent="0.2">
      <c r="A115" s="17" t="s">
        <v>29</v>
      </c>
      <c r="D115" s="18">
        <f>D114*SQRT(D112+D113)</f>
        <v>5.7242734502598065</v>
      </c>
    </row>
    <row r="116" spans="1:4" x14ac:dyDescent="0.2">
      <c r="A116" s="10" t="s">
        <v>30</v>
      </c>
      <c r="D116" s="18">
        <f>_xlfn.NORM.INV(D111,0,D115)</f>
        <v>7.3359516017858475</v>
      </c>
    </row>
    <row r="118" spans="1:4" x14ac:dyDescent="0.2">
      <c r="A118" s="10" t="s">
        <v>31</v>
      </c>
      <c r="D118" s="18">
        <f>SUM(C87:C90)</f>
        <v>195.87586563141747</v>
      </c>
    </row>
    <row r="119" spans="1:4" x14ac:dyDescent="0.2">
      <c r="A119" s="10" t="s">
        <v>27</v>
      </c>
      <c r="D119" s="18">
        <f>D118+D116</f>
        <v>203.21181723320331</v>
      </c>
    </row>
    <row r="120" spans="1:4" x14ac:dyDescent="0.2">
      <c r="D120" s="18">
        <f>_xlfn.NORM.INV(D111,D118,D115)</f>
        <v>203.21181723320331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8" sqref="J8"/>
    </sheetView>
  </sheetViews>
  <sheetFormatPr defaultRowHeight="12.75" x14ac:dyDescent="0.2"/>
  <cols>
    <col min="1" max="2" width="9" style="12"/>
    <col min="3" max="3" width="13.25" style="12" bestFit="1" customWidth="1"/>
    <col min="4" max="6" width="9" style="12"/>
    <col min="7" max="8" width="9" style="22"/>
    <col min="9" max="16384" width="9" style="12"/>
  </cols>
  <sheetData>
    <row r="1" spans="1:11" x14ac:dyDescent="0.2">
      <c r="A1" s="27" t="s">
        <v>33</v>
      </c>
      <c r="B1" s="27"/>
      <c r="C1" s="20">
        <v>1249.3183973285199</v>
      </c>
    </row>
    <row r="2" spans="1:11" x14ac:dyDescent="0.2">
      <c r="A2" s="28" t="s">
        <v>34</v>
      </c>
      <c r="B2" s="28"/>
      <c r="C2" s="21">
        <v>0.61990608660436453</v>
      </c>
      <c r="G2" s="22" t="s">
        <v>35</v>
      </c>
      <c r="H2" s="22" t="s">
        <v>8</v>
      </c>
    </row>
    <row r="3" spans="1:11" x14ac:dyDescent="0.2">
      <c r="A3" s="23" t="s">
        <v>36</v>
      </c>
      <c r="B3" s="25" t="s">
        <v>37</v>
      </c>
      <c r="C3" s="25" t="s">
        <v>38</v>
      </c>
      <c r="D3" s="25" t="s">
        <v>1</v>
      </c>
      <c r="G3" s="24"/>
      <c r="H3" s="24">
        <f>D17</f>
        <v>68.853355886586911</v>
      </c>
      <c r="J3" s="12" t="s">
        <v>39</v>
      </c>
    </row>
    <row r="4" spans="1:11" x14ac:dyDescent="0.2">
      <c r="A4" s="12">
        <v>0</v>
      </c>
      <c r="C4" s="14">
        <f>C1</f>
        <v>1249.3183973285199</v>
      </c>
      <c r="G4" s="24">
        <v>0.1</v>
      </c>
      <c r="H4" s="24">
        <f t="dataTable" ref="H4:H12" dt2D="0" dtr="0" r1="C2"/>
        <v>71.790973602861683</v>
      </c>
      <c r="J4" s="12">
        <v>1</v>
      </c>
      <c r="K4" s="12" t="s">
        <v>40</v>
      </c>
    </row>
    <row r="5" spans="1:11" x14ac:dyDescent="0.2">
      <c r="A5" s="12">
        <v>1</v>
      </c>
      <c r="B5" s="12">
        <v>1212</v>
      </c>
      <c r="C5" s="14">
        <f>$C$2*B5+(1-$C$2)*C4</f>
        <v>1226.1844956822504</v>
      </c>
      <c r="D5" s="14">
        <f>C4</f>
        <v>1249.3183973285199</v>
      </c>
      <c r="G5" s="24">
        <v>0.2</v>
      </c>
      <c r="H5" s="24">
        <v>72.266848866809227</v>
      </c>
      <c r="J5" s="12">
        <v>2</v>
      </c>
      <c r="K5" s="12" t="s">
        <v>41</v>
      </c>
    </row>
    <row r="6" spans="1:11" x14ac:dyDescent="0.2">
      <c r="A6" s="12">
        <v>2</v>
      </c>
      <c r="B6" s="12">
        <v>1321</v>
      </c>
      <c r="C6" s="14">
        <f t="shared" ref="C6:C14" si="0">$C$2*B6+(1-$C$2)*C5</f>
        <v>1284.9612039132858</v>
      </c>
      <c r="D6" s="14">
        <f t="shared" ref="D6:D14" si="1">C5</f>
        <v>1226.1844956822504</v>
      </c>
      <c r="G6" s="24">
        <v>0.3</v>
      </c>
      <c r="H6" s="24">
        <v>71.520598492424782</v>
      </c>
      <c r="J6" s="12">
        <v>3</v>
      </c>
      <c r="K6" s="12" t="s">
        <v>42</v>
      </c>
    </row>
    <row r="7" spans="1:11" x14ac:dyDescent="0.2">
      <c r="A7" s="12">
        <v>3</v>
      </c>
      <c r="B7" s="12">
        <v>1278</v>
      </c>
      <c r="C7" s="14">
        <f t="shared" si="0"/>
        <v>1280.6459112373457</v>
      </c>
      <c r="D7" s="14">
        <f t="shared" si="1"/>
        <v>1284.9612039132858</v>
      </c>
      <c r="G7" s="24">
        <v>0.4</v>
      </c>
      <c r="H7" s="24">
        <v>70.350319490671211</v>
      </c>
      <c r="J7" s="12">
        <v>4</v>
      </c>
      <c r="K7" s="12" t="s">
        <v>43</v>
      </c>
    </row>
    <row r="8" spans="1:11" x14ac:dyDescent="0.2">
      <c r="A8" s="12">
        <v>4</v>
      </c>
      <c r="B8" s="12">
        <v>1341</v>
      </c>
      <c r="C8" s="14">
        <f t="shared" si="0"/>
        <v>1318.0597782127752</v>
      </c>
      <c r="D8" s="14">
        <f t="shared" si="1"/>
        <v>1280.6459112373457</v>
      </c>
      <c r="G8" s="24">
        <v>0.5</v>
      </c>
      <c r="H8" s="24">
        <v>69.348573231514649</v>
      </c>
    </row>
    <row r="9" spans="1:11" x14ac:dyDescent="0.2">
      <c r="A9" s="12">
        <v>5</v>
      </c>
      <c r="B9" s="12">
        <v>1257</v>
      </c>
      <c r="C9" s="14">
        <f t="shared" si="0"/>
        <v>1280.2084500519632</v>
      </c>
      <c r="D9" s="14">
        <f t="shared" si="1"/>
        <v>1318.0597782127752</v>
      </c>
      <c r="G9" s="24">
        <v>0.6</v>
      </c>
      <c r="H9" s="24">
        <v>68.868021186770974</v>
      </c>
    </row>
    <row r="10" spans="1:11" x14ac:dyDescent="0.2">
      <c r="A10" s="12">
        <v>6</v>
      </c>
      <c r="B10" s="12">
        <v>1341</v>
      </c>
      <c r="C10" s="14">
        <f t="shared" si="0"/>
        <v>1317.8935018788643</v>
      </c>
      <c r="D10" s="14">
        <f t="shared" si="1"/>
        <v>1280.2084500519632</v>
      </c>
      <c r="G10" s="24">
        <v>0.7</v>
      </c>
      <c r="H10" s="24">
        <v>69.104062710127906</v>
      </c>
    </row>
    <row r="11" spans="1:11" x14ac:dyDescent="0.2">
      <c r="A11" s="12">
        <v>7</v>
      </c>
      <c r="B11" s="12">
        <v>1257</v>
      </c>
      <c r="C11" s="14">
        <f t="shared" si="0"/>
        <v>1280.145249429502</v>
      </c>
      <c r="D11" s="14">
        <f t="shared" si="1"/>
        <v>1317.8935018788643</v>
      </c>
      <c r="G11" s="24">
        <v>0.8</v>
      </c>
      <c r="H11" s="24">
        <v>70.182944538541904</v>
      </c>
    </row>
    <row r="12" spans="1:11" x14ac:dyDescent="0.2">
      <c r="A12" s="12">
        <v>8</v>
      </c>
      <c r="B12" s="12">
        <v>1287</v>
      </c>
      <c r="C12" s="14">
        <f t="shared" si="0"/>
        <v>1284.3945510303085</v>
      </c>
      <c r="D12" s="14">
        <f t="shared" si="1"/>
        <v>1280.145249429502</v>
      </c>
      <c r="G12" s="24">
        <v>0.9</v>
      </c>
      <c r="H12" s="24">
        <v>72.226857340239377</v>
      </c>
    </row>
    <row r="13" spans="1:11" x14ac:dyDescent="0.2">
      <c r="A13" s="12">
        <v>9</v>
      </c>
      <c r="B13" s="12">
        <v>1189</v>
      </c>
      <c r="C13" s="14">
        <f t="shared" si="0"/>
        <v>1225.2588882177297</v>
      </c>
      <c r="D13" s="14">
        <f t="shared" si="1"/>
        <v>1284.3945510303085</v>
      </c>
    </row>
    <row r="14" spans="1:11" x14ac:dyDescent="0.2">
      <c r="A14" s="12">
        <v>10</v>
      </c>
      <c r="B14" s="12">
        <v>1111</v>
      </c>
      <c r="C14" s="14">
        <f t="shared" si="0"/>
        <v>1154.4291079629113</v>
      </c>
      <c r="D14" s="14">
        <f t="shared" si="1"/>
        <v>1225.2588882177297</v>
      </c>
    </row>
    <row r="16" spans="1:11" x14ac:dyDescent="0.2">
      <c r="C16" s="12" t="s">
        <v>7</v>
      </c>
      <c r="D16" s="12">
        <f t="array" ref="D16">AVERAGE((B5:B14-D5:D14)^2)</f>
        <v>4740.7846168449923</v>
      </c>
    </row>
    <row r="17" spans="3:4" x14ac:dyDescent="0.2">
      <c r="C17" s="12" t="s">
        <v>8</v>
      </c>
      <c r="D17" s="12">
        <f>SQRT(D16)</f>
        <v>68.853355886586911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2.75" x14ac:dyDescent="0.2"/>
  <cols>
    <col min="1" max="1" width="21.625" style="12" bestFit="1" customWidth="1"/>
    <col min="2" max="4" width="9" style="12"/>
    <col min="5" max="5" width="10.625" style="12" bestFit="1" customWidth="1"/>
    <col min="6" max="16384" width="9" style="12"/>
  </cols>
  <sheetData>
    <row r="1" spans="1:5" x14ac:dyDescent="0.2">
      <c r="A1" s="12" t="s">
        <v>44</v>
      </c>
      <c r="C1" s="12">
        <v>1324.7713000000001</v>
      </c>
      <c r="D1" s="12">
        <v>-11.7524</v>
      </c>
    </row>
    <row r="2" spans="1:5" x14ac:dyDescent="0.2">
      <c r="A2" s="12" t="s">
        <v>45</v>
      </c>
      <c r="C2" s="12">
        <v>1E-4</v>
      </c>
      <c r="D2" s="12">
        <v>1E-4</v>
      </c>
    </row>
    <row r="3" spans="1:5" x14ac:dyDescent="0.2">
      <c r="A3" s="23" t="s">
        <v>36</v>
      </c>
      <c r="B3" s="12" t="s">
        <v>37</v>
      </c>
      <c r="C3" s="12" t="s">
        <v>38</v>
      </c>
      <c r="D3" s="12" t="s">
        <v>46</v>
      </c>
      <c r="E3" s="12" t="s">
        <v>1</v>
      </c>
    </row>
    <row r="4" spans="1:5" x14ac:dyDescent="0.2">
      <c r="A4" s="12">
        <v>0</v>
      </c>
      <c r="C4" s="12">
        <f>C1</f>
        <v>1324.7713000000001</v>
      </c>
      <c r="D4" s="12">
        <f>D1</f>
        <v>-11.7524</v>
      </c>
    </row>
    <row r="5" spans="1:5" x14ac:dyDescent="0.2">
      <c r="A5" s="12">
        <v>1</v>
      </c>
      <c r="B5" s="12">
        <v>1212</v>
      </c>
      <c r="C5" s="12">
        <f>$C$2*B5+(1-$C$2)*(C4+D4)</f>
        <v>1313.00879811</v>
      </c>
      <c r="D5" s="12">
        <f>$D$2*(C5-C4)+(1-$D$2)*D4</f>
        <v>-11.752401010188999</v>
      </c>
    </row>
    <row r="6" spans="1:5" x14ac:dyDescent="0.2">
      <c r="A6" s="12">
        <v>2</v>
      </c>
      <c r="B6" s="12">
        <v>1321</v>
      </c>
      <c r="C6" s="12">
        <f t="shared" ref="C6:C14" si="0">$C$2*B6+(1-$C$2)*(C5+D5)</f>
        <v>1301.258371460101</v>
      </c>
      <c r="D6" s="12">
        <f t="shared" ref="D6:D14" si="1">$D$2*(C6-C5)+(1-$D$2)*D5</f>
        <v>-11.75240081275297</v>
      </c>
    </row>
    <row r="7" spans="1:5" x14ac:dyDescent="0.2">
      <c r="A7" s="12">
        <v>3</v>
      </c>
      <c r="B7" s="12">
        <v>1278</v>
      </c>
      <c r="C7" s="12">
        <f t="shared" si="0"/>
        <v>1289.5048200502833</v>
      </c>
      <c r="D7" s="12">
        <f t="shared" si="1"/>
        <v>-11.752400927812676</v>
      </c>
    </row>
    <row r="8" spans="1:5" x14ac:dyDescent="0.2">
      <c r="A8" s="12">
        <v>4</v>
      </c>
      <c r="B8" s="12">
        <v>1341</v>
      </c>
      <c r="C8" s="12">
        <f t="shared" si="0"/>
        <v>1277.7587438805583</v>
      </c>
      <c r="D8" s="12">
        <f t="shared" si="1"/>
        <v>-11.752400295336868</v>
      </c>
    </row>
    <row r="9" spans="1:5" x14ac:dyDescent="0.2">
      <c r="A9" s="12">
        <v>5</v>
      </c>
      <c r="B9" s="12">
        <v>1257</v>
      </c>
      <c r="C9" s="12">
        <f t="shared" si="0"/>
        <v>1266.005442950863</v>
      </c>
      <c r="D9" s="12">
        <f t="shared" si="1"/>
        <v>-11.752400385400303</v>
      </c>
    </row>
    <row r="10" spans="1:5" x14ac:dyDescent="0.2">
      <c r="A10" s="12">
        <v>6</v>
      </c>
      <c r="B10" s="12">
        <v>1341</v>
      </c>
      <c r="C10" s="12">
        <f t="shared" si="0"/>
        <v>1254.2617172612061</v>
      </c>
      <c r="D10" s="12">
        <f t="shared" si="1"/>
        <v>-11.75239951793073</v>
      </c>
    </row>
    <row r="11" spans="1:5" x14ac:dyDescent="0.2">
      <c r="A11" s="12">
        <v>7</v>
      </c>
      <c r="B11" s="12">
        <v>1257</v>
      </c>
      <c r="C11" s="12">
        <f t="shared" si="0"/>
        <v>1242.5107668115011</v>
      </c>
      <c r="D11" s="12">
        <f t="shared" si="1"/>
        <v>-11.752399373023907</v>
      </c>
    </row>
    <row r="12" spans="1:5" x14ac:dyDescent="0.2">
      <c r="A12" s="12">
        <v>8</v>
      </c>
      <c r="B12" s="12">
        <v>1287</v>
      </c>
      <c r="C12" s="12">
        <f t="shared" si="0"/>
        <v>1230.7639916017333</v>
      </c>
      <c r="D12" s="12">
        <f t="shared" si="1"/>
        <v>-11.752398810607582</v>
      </c>
    </row>
    <row r="13" spans="1:5" x14ac:dyDescent="0.2">
      <c r="A13" s="12">
        <v>9</v>
      </c>
      <c r="B13" s="12">
        <v>1189</v>
      </c>
      <c r="C13" s="12">
        <f t="shared" si="0"/>
        <v>1219.0085916318467</v>
      </c>
      <c r="D13" s="12">
        <f t="shared" si="1"/>
        <v>-11.752399110723511</v>
      </c>
    </row>
    <row r="14" spans="1:5" x14ac:dyDescent="0.2">
      <c r="A14" s="12">
        <v>10</v>
      </c>
      <c r="B14" s="12">
        <v>1111</v>
      </c>
      <c r="C14" s="12">
        <f t="shared" si="0"/>
        <v>1207.2465669018711</v>
      </c>
      <c r="D14" s="12">
        <f t="shared" si="1"/>
        <v>-11.752400073285436</v>
      </c>
    </row>
    <row r="15" spans="1:5" x14ac:dyDescent="0.2">
      <c r="A15" s="12">
        <v>11</v>
      </c>
      <c r="E15" s="26">
        <f>$C$14+(A15-$A$14)*$D$14</f>
        <v>1195.4941668285858</v>
      </c>
    </row>
    <row r="16" spans="1:5" x14ac:dyDescent="0.2">
      <c r="A16" s="12">
        <v>12</v>
      </c>
      <c r="E16" s="26">
        <f t="shared" ref="E16:E18" si="2">$C$14+(A16-$A$14)*$D$14</f>
        <v>1183.7417667553002</v>
      </c>
    </row>
    <row r="17" spans="1:5" x14ac:dyDescent="0.2">
      <c r="A17" s="12">
        <v>13</v>
      </c>
      <c r="E17" s="26">
        <f t="shared" si="2"/>
        <v>1171.9893666820149</v>
      </c>
    </row>
    <row r="18" spans="1:5" x14ac:dyDescent="0.2">
      <c r="A18" s="12">
        <v>14</v>
      </c>
      <c r="E18" s="26">
        <f t="shared" si="2"/>
        <v>1160.2369666087293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Q12" sqref="Q12"/>
    </sheetView>
  </sheetViews>
  <sheetFormatPr defaultRowHeight="12.75" x14ac:dyDescent="0.2"/>
  <cols>
    <col min="1" max="1" width="9" style="12"/>
    <col min="2" max="2" width="7" style="12" bestFit="1" customWidth="1"/>
    <col min="3" max="3" width="11.25" style="12" customWidth="1"/>
    <col min="4" max="4" width="10.5" style="12" bestFit="1" customWidth="1"/>
    <col min="5" max="5" width="9" style="12"/>
    <col min="6" max="6" width="10" style="12" customWidth="1"/>
    <col min="7" max="7" width="9" style="12"/>
    <col min="8" max="8" width="10" style="12" customWidth="1"/>
    <col min="9" max="16384" width="9" style="12"/>
  </cols>
  <sheetData>
    <row r="1" spans="1:9" s="31" customFormat="1" ht="25.5" x14ac:dyDescent="0.2">
      <c r="A1" s="30" t="s">
        <v>47</v>
      </c>
      <c r="B1" s="30" t="s">
        <v>48</v>
      </c>
      <c r="C1" s="30" t="s">
        <v>49</v>
      </c>
      <c r="D1" s="30" t="s">
        <v>52</v>
      </c>
      <c r="E1" s="30" t="s">
        <v>51</v>
      </c>
      <c r="F1" s="30" t="s">
        <v>55</v>
      </c>
      <c r="G1" s="30" t="s">
        <v>56</v>
      </c>
      <c r="H1" s="30" t="s">
        <v>57</v>
      </c>
      <c r="I1" s="30"/>
    </row>
    <row r="2" spans="1:9" x14ac:dyDescent="0.2">
      <c r="A2" s="12">
        <v>1</v>
      </c>
      <c r="B2" s="12">
        <v>1</v>
      </c>
      <c r="C2" s="32">
        <v>6809</v>
      </c>
      <c r="D2" s="18">
        <f>C2/$C$16</f>
        <v>0.90433974167413755</v>
      </c>
      <c r="E2" s="18">
        <f>VLOOKUP(B2,SI,2)</f>
        <v>0.93</v>
      </c>
      <c r="F2" s="32">
        <f>C2/E2</f>
        <v>7321.5053763440856</v>
      </c>
      <c r="G2" s="32"/>
    </row>
    <row r="3" spans="1:9" x14ac:dyDescent="0.2">
      <c r="A3" s="12">
        <v>1</v>
      </c>
      <c r="B3" s="12">
        <v>2</v>
      </c>
      <c r="C3" s="32">
        <v>6465</v>
      </c>
      <c r="D3" s="18">
        <f t="shared" ref="D3:D13" si="0">C3/$C$16</f>
        <v>0.85865126008566595</v>
      </c>
      <c r="E3" s="18">
        <f>VLOOKUP(B3,SI,2)</f>
        <v>0.9</v>
      </c>
      <c r="F3" s="32">
        <f t="shared" ref="F3:F13" si="1">C3/E3</f>
        <v>7183.333333333333</v>
      </c>
      <c r="G3" s="32">
        <f>F2</f>
        <v>7321.5053763440856</v>
      </c>
      <c r="H3" s="33">
        <f>G3*E3</f>
        <v>6589.3548387096771</v>
      </c>
    </row>
    <row r="4" spans="1:9" x14ac:dyDescent="0.2">
      <c r="A4" s="12">
        <v>1</v>
      </c>
      <c r="B4" s="12">
        <v>3</v>
      </c>
      <c r="C4" s="32">
        <v>6569</v>
      </c>
      <c r="D4" s="18">
        <f t="shared" si="0"/>
        <v>0.8724640568449713</v>
      </c>
      <c r="E4" s="18">
        <f>VLOOKUP(B4,SI,2)</f>
        <v>0.99</v>
      </c>
      <c r="F4" s="32">
        <f t="shared" si="1"/>
        <v>6635.3535353535353</v>
      </c>
      <c r="G4" s="32">
        <f t="shared" ref="G4:G14" si="2">F3</f>
        <v>7183.333333333333</v>
      </c>
      <c r="H4" s="33">
        <f t="shared" ref="H4:H14" si="3">G4*E4</f>
        <v>7111.5</v>
      </c>
    </row>
    <row r="5" spans="1:9" x14ac:dyDescent="0.2">
      <c r="A5" s="12">
        <v>1</v>
      </c>
      <c r="B5" s="12">
        <v>4</v>
      </c>
      <c r="C5" s="32">
        <v>8266</v>
      </c>
      <c r="D5" s="18">
        <f t="shared" si="0"/>
        <v>1.0978517116578677</v>
      </c>
      <c r="E5" s="18">
        <f>VLOOKUP(B5,SI,2)</f>
        <v>1.18</v>
      </c>
      <c r="F5" s="32">
        <f t="shared" si="1"/>
        <v>7005.0847457627124</v>
      </c>
      <c r="G5" s="32">
        <f t="shared" si="2"/>
        <v>6635.3535353535353</v>
      </c>
      <c r="H5" s="33">
        <f t="shared" si="3"/>
        <v>7829.7171717171714</v>
      </c>
    </row>
    <row r="6" spans="1:9" x14ac:dyDescent="0.2">
      <c r="A6" s="12">
        <v>2</v>
      </c>
      <c r="B6" s="12">
        <v>1</v>
      </c>
      <c r="C6" s="32">
        <v>7257</v>
      </c>
      <c r="D6" s="18">
        <f t="shared" si="0"/>
        <v>0.96384102002191452</v>
      </c>
      <c r="E6" s="18">
        <f>VLOOKUP(B6,SI,2)</f>
        <v>0.93</v>
      </c>
      <c r="F6" s="32">
        <f t="shared" si="1"/>
        <v>7803.2258064516127</v>
      </c>
      <c r="G6" s="32">
        <f t="shared" si="2"/>
        <v>7005.0847457627124</v>
      </c>
      <c r="H6" s="33">
        <f t="shared" si="3"/>
        <v>6514.7288135593226</v>
      </c>
    </row>
    <row r="7" spans="1:9" x14ac:dyDescent="0.2">
      <c r="A7" s="12">
        <v>2</v>
      </c>
      <c r="B7" s="12">
        <v>2</v>
      </c>
      <c r="C7" s="32">
        <v>7064</v>
      </c>
      <c r="D7" s="18">
        <f t="shared" si="0"/>
        <v>0.93820765680512663</v>
      </c>
      <c r="E7" s="18">
        <f>VLOOKUP(B7,SI,2)</f>
        <v>0.9</v>
      </c>
      <c r="F7" s="32">
        <f t="shared" si="1"/>
        <v>7848.8888888888887</v>
      </c>
      <c r="G7" s="32">
        <f t="shared" si="2"/>
        <v>7803.2258064516127</v>
      </c>
      <c r="H7" s="33">
        <f t="shared" si="3"/>
        <v>7022.9032258064517</v>
      </c>
    </row>
    <row r="8" spans="1:9" x14ac:dyDescent="0.2">
      <c r="A8" s="12">
        <v>2</v>
      </c>
      <c r="B8" s="12">
        <v>3</v>
      </c>
      <c r="C8" s="32">
        <v>7784</v>
      </c>
      <c r="D8" s="18">
        <f t="shared" si="0"/>
        <v>1.0338347112926254</v>
      </c>
      <c r="E8" s="18">
        <f>VLOOKUP(B8,SI,2)</f>
        <v>0.99</v>
      </c>
      <c r="F8" s="32">
        <f t="shared" si="1"/>
        <v>7862.6262626262624</v>
      </c>
      <c r="G8" s="32">
        <f t="shared" si="2"/>
        <v>7848.8888888888887</v>
      </c>
      <c r="H8" s="33">
        <f t="shared" si="3"/>
        <v>7770.4</v>
      </c>
    </row>
    <row r="9" spans="1:9" x14ac:dyDescent="0.2">
      <c r="A9" s="12">
        <v>2</v>
      </c>
      <c r="B9" s="12">
        <v>4</v>
      </c>
      <c r="C9" s="32">
        <v>8724</v>
      </c>
      <c r="D9" s="18">
        <f t="shared" si="0"/>
        <v>1.1586811435401931</v>
      </c>
      <c r="E9" s="18">
        <f>VLOOKUP(B9,SI,2)</f>
        <v>1.18</v>
      </c>
      <c r="F9" s="32">
        <f t="shared" si="1"/>
        <v>7393.2203389830511</v>
      </c>
      <c r="G9" s="32">
        <f t="shared" si="2"/>
        <v>7862.6262626262624</v>
      </c>
      <c r="H9" s="33">
        <f t="shared" si="3"/>
        <v>9277.8989898989894</v>
      </c>
    </row>
    <row r="10" spans="1:9" x14ac:dyDescent="0.2">
      <c r="A10" s="12">
        <v>3</v>
      </c>
      <c r="B10" s="12">
        <v>1</v>
      </c>
      <c r="C10" s="32">
        <v>6992</v>
      </c>
      <c r="D10" s="18">
        <f t="shared" si="0"/>
        <v>0.92864495135637681</v>
      </c>
      <c r="E10" s="18">
        <f>VLOOKUP(B10,SI,2)</f>
        <v>0.93</v>
      </c>
      <c r="F10" s="32">
        <f t="shared" si="1"/>
        <v>7518.2795698924729</v>
      </c>
      <c r="G10" s="32">
        <f t="shared" si="2"/>
        <v>7393.2203389830511</v>
      </c>
      <c r="H10" s="33">
        <f t="shared" si="3"/>
        <v>6875.6949152542375</v>
      </c>
    </row>
    <row r="11" spans="1:9" x14ac:dyDescent="0.2">
      <c r="A11" s="12">
        <v>3</v>
      </c>
      <c r="B11" s="12">
        <v>2</v>
      </c>
      <c r="C11" s="32">
        <v>6822</v>
      </c>
      <c r="D11" s="18">
        <f t="shared" si="0"/>
        <v>0.90606634126905072</v>
      </c>
      <c r="E11" s="18">
        <f>VLOOKUP(B11,SI,2)</f>
        <v>0.9</v>
      </c>
      <c r="F11" s="32">
        <f t="shared" si="1"/>
        <v>7580</v>
      </c>
      <c r="G11" s="32">
        <f t="shared" si="2"/>
        <v>7518.2795698924729</v>
      </c>
      <c r="H11" s="33">
        <f t="shared" si="3"/>
        <v>6766.4516129032254</v>
      </c>
    </row>
    <row r="12" spans="1:9" x14ac:dyDescent="0.2">
      <c r="A12" s="12">
        <v>3</v>
      </c>
      <c r="B12" s="12">
        <v>3</v>
      </c>
      <c r="C12" s="32">
        <v>7949</v>
      </c>
      <c r="D12" s="18">
        <f t="shared" si="0"/>
        <v>1.0557492446126773</v>
      </c>
      <c r="E12" s="18">
        <f>VLOOKUP(B12,SI,2)</f>
        <v>0.99</v>
      </c>
      <c r="F12" s="32">
        <f t="shared" si="1"/>
        <v>8029.2929292929293</v>
      </c>
      <c r="G12" s="32">
        <f t="shared" si="2"/>
        <v>7580</v>
      </c>
      <c r="H12" s="33">
        <f t="shared" si="3"/>
        <v>7504.2</v>
      </c>
    </row>
    <row r="13" spans="1:9" x14ac:dyDescent="0.2">
      <c r="A13" s="12">
        <v>3</v>
      </c>
      <c r="B13" s="12">
        <v>4</v>
      </c>
      <c r="C13" s="32">
        <v>9650</v>
      </c>
      <c r="D13" s="18">
        <f t="shared" si="0"/>
        <v>1.2816681608393929</v>
      </c>
      <c r="E13" s="18">
        <f>VLOOKUP(B13,SI,2)</f>
        <v>1.18</v>
      </c>
      <c r="F13" s="32">
        <f t="shared" si="1"/>
        <v>8177.9661016949158</v>
      </c>
      <c r="G13" s="32">
        <f t="shared" si="2"/>
        <v>8029.2929292929293</v>
      </c>
      <c r="H13" s="33">
        <f t="shared" si="3"/>
        <v>9474.5656565656554</v>
      </c>
    </row>
    <row r="14" spans="1:9" x14ac:dyDescent="0.2">
      <c r="A14" s="12">
        <v>4</v>
      </c>
      <c r="B14" s="12">
        <v>1</v>
      </c>
      <c r="C14" s="32"/>
      <c r="E14" s="18">
        <f>VLOOKUP(B14,SI,2)</f>
        <v>0.93</v>
      </c>
      <c r="F14" s="32"/>
      <c r="G14" s="32">
        <f t="shared" si="2"/>
        <v>8177.9661016949158</v>
      </c>
      <c r="H14" s="33">
        <f t="shared" si="3"/>
        <v>7605.5084745762724</v>
      </c>
    </row>
    <row r="16" spans="1:9" x14ac:dyDescent="0.2">
      <c r="A16" s="12" t="s">
        <v>50</v>
      </c>
      <c r="C16" s="12">
        <f>AVERAGE(C2:C13)</f>
        <v>7529.25</v>
      </c>
    </row>
    <row r="17" spans="2:4" x14ac:dyDescent="0.2">
      <c r="B17" s="12" t="s">
        <v>54</v>
      </c>
      <c r="C17" s="29">
        <v>1</v>
      </c>
      <c r="D17" s="14">
        <f>ROUND(AVERAGEIF(B$2:B$13,C17,D$2:D$13),2)</f>
        <v>0.93</v>
      </c>
    </row>
    <row r="18" spans="2:4" x14ac:dyDescent="0.2">
      <c r="C18" s="29">
        <v>2</v>
      </c>
      <c r="D18" s="14">
        <f t="shared" ref="D18:D20" si="4">ROUND(AVERAGEIF(B$2:B$13,C18,D$2:D$13),2)</f>
        <v>0.9</v>
      </c>
    </row>
    <row r="19" spans="2:4" x14ac:dyDescent="0.2">
      <c r="C19" s="29">
        <v>3</v>
      </c>
      <c r="D19" s="14">
        <f t="shared" si="4"/>
        <v>0.99</v>
      </c>
    </row>
    <row r="20" spans="2:4" x14ac:dyDescent="0.2">
      <c r="C20" s="29">
        <v>4</v>
      </c>
      <c r="D20" s="14">
        <f t="shared" si="4"/>
        <v>1.18</v>
      </c>
    </row>
    <row r="21" spans="2:4" x14ac:dyDescent="0.2">
      <c r="C21" s="25" t="s">
        <v>53</v>
      </c>
      <c r="D21" s="12">
        <f>SUM(D17:D20)</f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4" sqref="H14"/>
    </sheetView>
  </sheetViews>
  <sheetFormatPr defaultRowHeight="12.75" x14ac:dyDescent="0.2"/>
  <cols>
    <col min="1" max="1" width="9" style="12"/>
    <col min="2" max="2" width="7" style="12" bestFit="1" customWidth="1"/>
    <col min="3" max="3" width="11.25" style="12" customWidth="1"/>
    <col min="4" max="4" width="10.5" style="12" bestFit="1" customWidth="1"/>
    <col min="5" max="5" width="9" style="12"/>
    <col min="6" max="6" width="10" style="12" customWidth="1"/>
    <col min="7" max="7" width="9" style="12"/>
    <col min="8" max="8" width="10" style="12" customWidth="1"/>
    <col min="9" max="16384" width="9" style="12"/>
  </cols>
  <sheetData>
    <row r="1" spans="1:9" s="31" customFormat="1" ht="25.5" x14ac:dyDescent="0.2">
      <c r="A1" s="30" t="s">
        <v>47</v>
      </c>
      <c r="B1" s="30" t="s">
        <v>48</v>
      </c>
      <c r="C1" s="30" t="s">
        <v>49</v>
      </c>
      <c r="D1" s="30" t="s">
        <v>52</v>
      </c>
      <c r="E1" s="30" t="s">
        <v>51</v>
      </c>
      <c r="F1" s="30" t="s">
        <v>55</v>
      </c>
      <c r="G1" s="30" t="s">
        <v>56</v>
      </c>
      <c r="H1" s="30" t="s">
        <v>57</v>
      </c>
      <c r="I1" s="30"/>
    </row>
    <row r="2" spans="1:9" x14ac:dyDescent="0.2">
      <c r="A2" s="12">
        <v>1</v>
      </c>
      <c r="B2" s="12">
        <v>1</v>
      </c>
      <c r="C2" s="32">
        <v>6809</v>
      </c>
      <c r="D2" s="18">
        <f>C2-$C$16</f>
        <v>-720.25</v>
      </c>
      <c r="E2" s="18">
        <f>VLOOKUP(B2,SI,2)</f>
        <v>-509.92</v>
      </c>
      <c r="F2" s="32">
        <f>C2-E2</f>
        <v>7318.92</v>
      </c>
      <c r="G2" s="32"/>
    </row>
    <row r="3" spans="1:9" x14ac:dyDescent="0.2">
      <c r="A3" s="12">
        <v>1</v>
      </c>
      <c r="B3" s="12">
        <v>2</v>
      </c>
      <c r="C3" s="32">
        <v>6465</v>
      </c>
      <c r="D3" s="18">
        <f t="shared" ref="D3:D13" si="0">C3-$C$16</f>
        <v>-1064.25</v>
      </c>
      <c r="E3" s="18">
        <f>VLOOKUP(B3,SI,2)</f>
        <v>-745.58</v>
      </c>
      <c r="F3" s="32">
        <f t="shared" ref="F3:F13" si="1">C3-E3</f>
        <v>7210.58</v>
      </c>
      <c r="G3" s="32">
        <f>F2</f>
        <v>7318.92</v>
      </c>
      <c r="H3" s="33">
        <f>G3+E3</f>
        <v>6573.34</v>
      </c>
    </row>
    <row r="4" spans="1:9" x14ac:dyDescent="0.2">
      <c r="A4" s="12">
        <v>1</v>
      </c>
      <c r="B4" s="12">
        <v>3</v>
      </c>
      <c r="C4" s="32">
        <v>6569</v>
      </c>
      <c r="D4" s="18">
        <f t="shared" si="0"/>
        <v>-960.25</v>
      </c>
      <c r="E4" s="18">
        <f>VLOOKUP(B4,SI,2)</f>
        <v>-95.25</v>
      </c>
      <c r="F4" s="32">
        <f t="shared" si="1"/>
        <v>6664.25</v>
      </c>
      <c r="G4" s="32">
        <f t="shared" ref="G4:G14" si="2">F3</f>
        <v>7210.58</v>
      </c>
      <c r="H4" s="33">
        <f t="shared" ref="H4:H14" si="3">G4+E4</f>
        <v>7115.33</v>
      </c>
    </row>
    <row r="5" spans="1:9" x14ac:dyDescent="0.2">
      <c r="A5" s="12">
        <v>1</v>
      </c>
      <c r="B5" s="12">
        <v>4</v>
      </c>
      <c r="C5" s="32">
        <v>8266</v>
      </c>
      <c r="D5" s="18">
        <f t="shared" si="0"/>
        <v>736.75</v>
      </c>
      <c r="E5" s="18">
        <f>VLOOKUP(B5,SI,2)</f>
        <v>1350.75</v>
      </c>
      <c r="F5" s="32">
        <f t="shared" si="1"/>
        <v>6915.25</v>
      </c>
      <c r="G5" s="32">
        <f t="shared" si="2"/>
        <v>6664.25</v>
      </c>
      <c r="H5" s="33">
        <f t="shared" si="3"/>
        <v>8015</v>
      </c>
    </row>
    <row r="6" spans="1:9" x14ac:dyDescent="0.2">
      <c r="A6" s="12">
        <v>2</v>
      </c>
      <c r="B6" s="12">
        <v>1</v>
      </c>
      <c r="C6" s="32">
        <v>7257</v>
      </c>
      <c r="D6" s="18">
        <f t="shared" si="0"/>
        <v>-272.25</v>
      </c>
      <c r="E6" s="18">
        <f>VLOOKUP(B6,SI,2)</f>
        <v>-509.92</v>
      </c>
      <c r="F6" s="32">
        <f t="shared" si="1"/>
        <v>7766.92</v>
      </c>
      <c r="G6" s="32">
        <f t="shared" si="2"/>
        <v>6915.25</v>
      </c>
      <c r="H6" s="33">
        <f t="shared" si="3"/>
        <v>6405.33</v>
      </c>
    </row>
    <row r="7" spans="1:9" x14ac:dyDescent="0.2">
      <c r="A7" s="12">
        <v>2</v>
      </c>
      <c r="B7" s="12">
        <v>2</v>
      </c>
      <c r="C7" s="32">
        <v>7064</v>
      </c>
      <c r="D7" s="18">
        <f t="shared" si="0"/>
        <v>-465.25</v>
      </c>
      <c r="E7" s="18">
        <f>VLOOKUP(B7,SI,2)</f>
        <v>-745.58</v>
      </c>
      <c r="F7" s="32">
        <f t="shared" si="1"/>
        <v>7809.58</v>
      </c>
      <c r="G7" s="32">
        <f t="shared" si="2"/>
        <v>7766.92</v>
      </c>
      <c r="H7" s="33">
        <f t="shared" si="3"/>
        <v>7021.34</v>
      </c>
    </row>
    <row r="8" spans="1:9" x14ac:dyDescent="0.2">
      <c r="A8" s="12">
        <v>2</v>
      </c>
      <c r="B8" s="12">
        <v>3</v>
      </c>
      <c r="C8" s="32">
        <v>7784</v>
      </c>
      <c r="D8" s="18">
        <f t="shared" si="0"/>
        <v>254.75</v>
      </c>
      <c r="E8" s="18">
        <f>VLOOKUP(B8,SI,2)</f>
        <v>-95.25</v>
      </c>
      <c r="F8" s="32">
        <f t="shared" si="1"/>
        <v>7879.25</v>
      </c>
      <c r="G8" s="32">
        <f t="shared" si="2"/>
        <v>7809.58</v>
      </c>
      <c r="H8" s="33">
        <f t="shared" si="3"/>
        <v>7714.33</v>
      </c>
    </row>
    <row r="9" spans="1:9" x14ac:dyDescent="0.2">
      <c r="A9" s="12">
        <v>2</v>
      </c>
      <c r="B9" s="12">
        <v>4</v>
      </c>
      <c r="C9" s="32">
        <v>8724</v>
      </c>
      <c r="D9" s="18">
        <f t="shared" si="0"/>
        <v>1194.75</v>
      </c>
      <c r="E9" s="18">
        <f>VLOOKUP(B9,SI,2)</f>
        <v>1350.75</v>
      </c>
      <c r="F9" s="32">
        <f t="shared" si="1"/>
        <v>7373.25</v>
      </c>
      <c r="G9" s="32">
        <f t="shared" si="2"/>
        <v>7879.25</v>
      </c>
      <c r="H9" s="33">
        <f t="shared" si="3"/>
        <v>9230</v>
      </c>
    </row>
    <row r="10" spans="1:9" x14ac:dyDescent="0.2">
      <c r="A10" s="12">
        <v>3</v>
      </c>
      <c r="B10" s="12">
        <v>1</v>
      </c>
      <c r="C10" s="32">
        <v>6992</v>
      </c>
      <c r="D10" s="18">
        <f t="shared" si="0"/>
        <v>-537.25</v>
      </c>
      <c r="E10" s="18">
        <f>VLOOKUP(B10,SI,2)</f>
        <v>-509.92</v>
      </c>
      <c r="F10" s="32">
        <f t="shared" si="1"/>
        <v>7501.92</v>
      </c>
      <c r="G10" s="32">
        <f t="shared" si="2"/>
        <v>7373.25</v>
      </c>
      <c r="H10" s="33">
        <f t="shared" si="3"/>
        <v>6863.33</v>
      </c>
    </row>
    <row r="11" spans="1:9" x14ac:dyDescent="0.2">
      <c r="A11" s="12">
        <v>3</v>
      </c>
      <c r="B11" s="12">
        <v>2</v>
      </c>
      <c r="C11" s="32">
        <v>6822</v>
      </c>
      <c r="D11" s="18">
        <f t="shared" si="0"/>
        <v>-707.25</v>
      </c>
      <c r="E11" s="18">
        <f>VLOOKUP(B11,SI,2)</f>
        <v>-745.58</v>
      </c>
      <c r="F11" s="32">
        <f t="shared" si="1"/>
        <v>7567.58</v>
      </c>
      <c r="G11" s="32">
        <f t="shared" si="2"/>
        <v>7501.92</v>
      </c>
      <c r="H11" s="33">
        <f t="shared" si="3"/>
        <v>6756.34</v>
      </c>
    </row>
    <row r="12" spans="1:9" x14ac:dyDescent="0.2">
      <c r="A12" s="12">
        <v>3</v>
      </c>
      <c r="B12" s="12">
        <v>3</v>
      </c>
      <c r="C12" s="32">
        <v>7949</v>
      </c>
      <c r="D12" s="18">
        <f t="shared" si="0"/>
        <v>419.75</v>
      </c>
      <c r="E12" s="18">
        <f>VLOOKUP(B12,SI,2)</f>
        <v>-95.25</v>
      </c>
      <c r="F12" s="32">
        <f t="shared" si="1"/>
        <v>8044.25</v>
      </c>
      <c r="G12" s="32">
        <f t="shared" si="2"/>
        <v>7567.58</v>
      </c>
      <c r="H12" s="33">
        <f t="shared" si="3"/>
        <v>7472.33</v>
      </c>
    </row>
    <row r="13" spans="1:9" x14ac:dyDescent="0.2">
      <c r="A13" s="12">
        <v>3</v>
      </c>
      <c r="B13" s="12">
        <v>4</v>
      </c>
      <c r="C13" s="32">
        <v>9650</v>
      </c>
      <c r="D13" s="18">
        <f t="shared" si="0"/>
        <v>2120.75</v>
      </c>
      <c r="E13" s="18">
        <f>VLOOKUP(B13,SI,2)</f>
        <v>1350.75</v>
      </c>
      <c r="F13" s="32">
        <f t="shared" si="1"/>
        <v>8299.25</v>
      </c>
      <c r="G13" s="32">
        <f t="shared" si="2"/>
        <v>8044.25</v>
      </c>
      <c r="H13" s="33">
        <f t="shared" si="3"/>
        <v>9395</v>
      </c>
    </row>
    <row r="14" spans="1:9" x14ac:dyDescent="0.2">
      <c r="A14" s="12">
        <v>4</v>
      </c>
      <c r="B14" s="12">
        <v>1</v>
      </c>
      <c r="C14" s="32"/>
      <c r="D14" s="18"/>
      <c r="E14" s="18">
        <f>VLOOKUP(B14,SI,2)</f>
        <v>-509.92</v>
      </c>
      <c r="F14" s="32"/>
      <c r="G14" s="32">
        <f t="shared" si="2"/>
        <v>8299.25</v>
      </c>
      <c r="H14" s="33">
        <f t="shared" si="3"/>
        <v>7789.33</v>
      </c>
    </row>
    <row r="16" spans="1:9" x14ac:dyDescent="0.2">
      <c r="A16" s="12" t="s">
        <v>50</v>
      </c>
      <c r="C16" s="12">
        <f>AVERAGE(C2:C13)</f>
        <v>7529.25</v>
      </c>
    </row>
    <row r="17" spans="2:4" x14ac:dyDescent="0.2">
      <c r="B17" s="12" t="s">
        <v>54</v>
      </c>
      <c r="C17" s="29">
        <v>1</v>
      </c>
      <c r="D17" s="14">
        <f>ROUND(AVERAGEIF(B$2:B$13,C17,D$2:D$13),2)</f>
        <v>-509.92</v>
      </c>
    </row>
    <row r="18" spans="2:4" x14ac:dyDescent="0.2">
      <c r="C18" s="29">
        <v>2</v>
      </c>
      <c r="D18" s="14">
        <f t="shared" ref="D18:D20" si="4">ROUND(AVERAGEIF(B$2:B$13,C18,D$2:D$13),2)</f>
        <v>-745.58</v>
      </c>
    </row>
    <row r="19" spans="2:4" x14ac:dyDescent="0.2">
      <c r="C19" s="29">
        <v>3</v>
      </c>
      <c r="D19" s="14">
        <f t="shared" si="4"/>
        <v>-95.25</v>
      </c>
    </row>
    <row r="20" spans="2:4" x14ac:dyDescent="0.2">
      <c r="C20" s="29">
        <v>4</v>
      </c>
      <c r="D20" s="14">
        <f t="shared" si="4"/>
        <v>1350.75</v>
      </c>
    </row>
    <row r="21" spans="2:4" x14ac:dyDescent="0.2">
      <c r="C21" s="25" t="s">
        <v>53</v>
      </c>
      <c r="D21" s="12">
        <f>SUM(D17:D20)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1-ErrorMeasures</vt:lpstr>
      <vt:lpstr>1-EffDemand</vt:lpstr>
      <vt:lpstr>2-SES</vt:lpstr>
      <vt:lpstr>2-Holt</vt:lpstr>
      <vt:lpstr>5-SI</vt:lpstr>
      <vt:lpstr>5-SI (A)</vt:lpstr>
      <vt:lpstr>'5-SI (A)'!SI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2021-06-27T06:27:12Z</dcterms:created>
  <dcterms:modified xsi:type="dcterms:W3CDTF">2021-06-30T11:30:55Z</dcterms:modified>
</cp:coreProperties>
</file>