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siness-forecasting\Midterm\"/>
    </mc:Choice>
  </mc:AlternateContent>
  <xr:revisionPtr revIDLastSave="0" documentId="13_ncr:1_{4BA8FFD2-12EC-4A9E-97A2-9927D81A2441}" xr6:coauthVersionLast="47" xr6:coauthVersionMax="47" xr10:uidLastSave="{00000000-0000-0000-0000-000000000000}"/>
  <bookViews>
    <workbookView xWindow="-120" yWindow="-120" windowWidth="28110" windowHeight="16440" activeTab="1" xr2:uid="{89B50703-7FC9-49CC-A9D1-572C2F3D84EF}"/>
  </bookViews>
  <sheets>
    <sheet name="1-ErrorMeasures" sheetId="1" r:id="rId1"/>
    <sheet name="1-EffDeman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8" i="4" l="1"/>
  <c r="D120" i="4"/>
  <c r="D116" i="4"/>
  <c r="D115" i="4"/>
  <c r="D114" i="4"/>
  <c r="C86" i="4"/>
  <c r="C94" i="4"/>
  <c r="C102" i="4"/>
  <c r="H2" i="4"/>
  <c r="C87" i="4"/>
  <c r="C95" i="4"/>
  <c r="C103" i="4"/>
  <c r="H3" i="4"/>
  <c r="H6" i="4"/>
  <c r="C107" i="4"/>
  <c r="H7" i="4"/>
  <c r="H8" i="4"/>
  <c r="C88" i="4"/>
  <c r="C96" i="4"/>
  <c r="C104" i="4"/>
  <c r="H4" i="4"/>
  <c r="C99" i="4"/>
  <c r="C100" i="4"/>
  <c r="C89" i="4"/>
  <c r="C97" i="4"/>
  <c r="C105" i="4"/>
  <c r="H5" i="4"/>
  <c r="C106" i="4"/>
  <c r="C108" i="4"/>
  <c r="C90" i="4"/>
  <c r="C98" i="4"/>
  <c r="C91" i="4"/>
  <c r="C92" i="4"/>
  <c r="C93" i="4"/>
  <c r="C101" i="4"/>
  <c r="C109" i="4"/>
  <c r="D119" i="4" l="1"/>
  <c r="D109" i="4"/>
  <c r="E91" i="4"/>
  <c r="D106" i="4"/>
  <c r="D100" i="4"/>
  <c r="D88" i="4"/>
  <c r="D87" i="4"/>
  <c r="E109" i="4"/>
  <c r="D91" i="4"/>
  <c r="E106" i="4"/>
  <c r="E100" i="4"/>
  <c r="E88" i="4"/>
  <c r="E87" i="4"/>
  <c r="D93" i="4"/>
  <c r="D97" i="4"/>
  <c r="D94" i="4"/>
  <c r="E103" i="4"/>
  <c r="E92" i="4"/>
  <c r="D86" i="4"/>
  <c r="E89" i="4"/>
  <c r="E86" i="4"/>
  <c r="D101" i="4"/>
  <c r="D98" i="4"/>
  <c r="D105" i="4"/>
  <c r="E99" i="4"/>
  <c r="E107" i="4"/>
  <c r="D102" i="4"/>
  <c r="D104" i="4"/>
  <c r="D89" i="4"/>
  <c r="E96" i="4"/>
  <c r="E101" i="4"/>
  <c r="E98" i="4"/>
  <c r="E105" i="4"/>
  <c r="D99" i="4"/>
  <c r="D107" i="4"/>
  <c r="E102" i="4"/>
  <c r="D90" i="4"/>
  <c r="D103" i="4"/>
  <c r="E94" i="4"/>
  <c r="D96" i="4"/>
  <c r="E108" i="4"/>
  <c r="E93" i="4"/>
  <c r="E90" i="4"/>
  <c r="E97" i="4"/>
  <c r="E104" i="4"/>
  <c r="D108" i="4"/>
  <c r="D95" i="4"/>
  <c r="D92" i="4"/>
  <c r="E95" i="4"/>
  <c r="B27" i="1" l="1"/>
  <c r="B28" i="1" s="1"/>
  <c r="E17" i="1" a="1"/>
  <c r="E17" i="1" s="1"/>
  <c r="E16" i="1" a="1"/>
  <c r="E16" i="1" s="1"/>
  <c r="E15" i="1" a="1"/>
  <c r="E15" i="1" s="1"/>
  <c r="E14" i="1" a="1"/>
  <c r="E14" i="1" s="1"/>
  <c r="I8" i="1"/>
  <c r="I7" i="1"/>
  <c r="I6" i="1"/>
  <c r="I5" i="1"/>
  <c r="I4" i="1"/>
  <c r="I3" i="1"/>
  <c r="I2" i="1"/>
  <c r="H10" i="1"/>
  <c r="H8" i="1"/>
  <c r="H7" i="1"/>
  <c r="H6" i="1"/>
  <c r="H5" i="1"/>
  <c r="H4" i="1"/>
  <c r="H3" i="1"/>
  <c r="H2" i="1"/>
  <c r="G8" i="1"/>
  <c r="G7" i="1"/>
  <c r="G6" i="1"/>
  <c r="G5" i="1"/>
  <c r="G4" i="1"/>
  <c r="G3" i="1"/>
  <c r="G2" i="1"/>
  <c r="F10" i="1"/>
  <c r="F8" i="1"/>
  <c r="E8" i="1"/>
  <c r="F7" i="1"/>
  <c r="F6" i="1"/>
  <c r="F5" i="1"/>
  <c r="F4" i="1"/>
  <c r="F3" i="1"/>
  <c r="F2" i="1"/>
  <c r="E7" i="1"/>
  <c r="E6" i="1"/>
  <c r="E5" i="1"/>
  <c r="E4" i="1"/>
  <c r="E3" i="1"/>
  <c r="E2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<sst xmlns="http://schemas.openxmlformats.org/spreadsheetml/2006/main" count="41" uniqueCount="33">
  <si>
    <t>Week</t>
  </si>
  <si>
    <t>Forecast</t>
  </si>
  <si>
    <t>Actual</t>
  </si>
  <si>
    <t>Error</t>
  </si>
  <si>
    <t>|Error|</t>
  </si>
  <si>
    <t>Sq.Error</t>
  </si>
  <si>
    <t>MAE</t>
  </si>
  <si>
    <t>MSE</t>
  </si>
  <si>
    <t>RMSE</t>
  </si>
  <si>
    <t>MPE</t>
  </si>
  <si>
    <t>Error/Actual</t>
  </si>
  <si>
    <t>|Error|/Actual</t>
  </si>
  <si>
    <t>MAPE</t>
  </si>
  <si>
    <t>SMAPE</t>
  </si>
  <si>
    <t>Date</t>
  </si>
  <si>
    <t>TNHS</t>
  </si>
  <si>
    <t>Forecast(TNHS)</t>
  </si>
  <si>
    <t>Lower Confidence Bound(TNHS)</t>
  </si>
  <si>
    <t>Upper Confidence Bound(TNHS)</t>
  </si>
  <si>
    <t>Statistic</t>
  </si>
  <si>
    <t>Value</t>
  </si>
  <si>
    <t>Alpha</t>
  </si>
  <si>
    <t>Beta</t>
  </si>
  <si>
    <t>Gamma</t>
  </si>
  <si>
    <t>MASE</t>
  </si>
  <si>
    <t>Review period (1 qtr)</t>
  </si>
  <si>
    <t xml:space="preserve">Lead time </t>
  </si>
  <si>
    <t>OUTL</t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</si>
  <si>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Calibri"/>
        <family val="2"/>
        <scheme val="minor"/>
      </rPr>
      <t>1</t>
    </r>
  </si>
  <si>
    <r>
      <t>s</t>
    </r>
    <r>
      <rPr>
        <sz val="10"/>
        <color theme="1"/>
        <rFont val="Calibri"/>
        <family val="2"/>
        <scheme val="minor"/>
      </rPr>
      <t>e</t>
    </r>
  </si>
  <si>
    <t>Safety Stock</t>
  </si>
  <si>
    <t>Point forecast demand during Protection Time</t>
  </si>
  <si>
    <t>Cycle Service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</si>
</sst>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theme="1"/>
      <name val="Roboto"/>
    </font>
    <font>
      <sz val="11"/>
      <color rgb="FF000000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color rgb="FF00B050"/>
      <name val="Roboto"/>
    </font>
    <font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wrapText="1" readingOrder="1"/>
    </xf>
    <xf numFmtId="0" fontId="3" fillId="0" borderId="0" xfId="0" applyFont="1"/>
    <xf numFmtId="0" fontId="4" fillId="0" borderId="0" xfId="0" applyFont="1" applyAlignment="1">
      <alignment horizontal="center" wrapText="1" readingOrder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3" fillId="0" borderId="0" xfId="0" applyNumberFormat="1" applyFont="1"/>
    <xf numFmtId="10" fontId="3" fillId="0" borderId="0" xfId="1" applyNumberFormat="1" applyFont="1"/>
    <xf numFmtId="0" fontId="6" fillId="0" borderId="0" xfId="0" applyFont="1"/>
    <xf numFmtId="15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2" fontId="6" fillId="0" borderId="0" xfId="0" applyNumberFormat="1" applyFont="1"/>
    <xf numFmtId="165" fontId="7" fillId="0" borderId="0" xfId="0" applyNumberFormat="1" applyFont="1"/>
    <xf numFmtId="0" fontId="8" fillId="0" borderId="0" xfId="0" applyFont="1"/>
    <xf numFmtId="0" fontId="9" fillId="0" borderId="0" xfId="0" applyFont="1"/>
    <xf numFmtId="164" fontId="6" fillId="0" borderId="0" xfId="0" applyNumberFormat="1" applyFont="1"/>
    <xf numFmtId="0" fontId="10" fillId="0" borderId="0" xfId="0" applyFont="1"/>
  </cellXfs>
  <cellStyles count="2">
    <cellStyle name="Normal" xfId="0" builtinId="0"/>
    <cellStyle name="Percent" xfId="1" builtinId="5"/>
  </cellStyles>
  <dxfs count="11"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  <numFmt numFmtId="20" formatCode="d\-mmm\-yy"/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'1-EffDemand'!$B$1</c:f>
              <c:strCache>
                <c:ptCount val="1"/>
                <c:pt idx="0">
                  <c:v>TNHS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'1-EffDemand'!$B$2:$B$109</c:f>
              <c:numCache>
                <c:formatCode>General</c:formatCode>
                <c:ptCount val="108"/>
                <c:pt idx="0">
                  <c:v>24</c:v>
                </c:pt>
                <c:pt idx="1">
                  <c:v>27</c:v>
                </c:pt>
                <c:pt idx="2">
                  <c:v>36</c:v>
                </c:pt>
                <c:pt idx="3">
                  <c:v>41</c:v>
                </c:pt>
                <c:pt idx="4">
                  <c:v>26</c:v>
                </c:pt>
                <c:pt idx="5">
                  <c:v>28</c:v>
                </c:pt>
                <c:pt idx="6">
                  <c:v>26</c:v>
                </c:pt>
                <c:pt idx="7">
                  <c:v>23</c:v>
                </c:pt>
                <c:pt idx="8">
                  <c:v>25</c:v>
                </c:pt>
                <c:pt idx="9">
                  <c:v>23</c:v>
                </c:pt>
                <c:pt idx="10">
                  <c:v>20</c:v>
                </c:pt>
                <c:pt idx="11">
                  <c:v>23</c:v>
                </c:pt>
                <c:pt idx="12">
                  <c:v>21</c:v>
                </c:pt>
                <c:pt idx="13">
                  <c:v>22</c:v>
                </c:pt>
                <c:pt idx="14">
                  <c:v>28</c:v>
                </c:pt>
                <c:pt idx="15">
                  <c:v>30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25</c:v>
                </c:pt>
                <c:pt idx="20">
                  <c:v>24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23</c:v>
                </c:pt>
                <c:pt idx="25">
                  <c:v>30</c:v>
                </c:pt>
                <c:pt idx="26">
                  <c:v>34</c:v>
                </c:pt>
                <c:pt idx="27">
                  <c:v>34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32</c:v>
                </c:pt>
                <c:pt idx="37">
                  <c:v>36</c:v>
                </c:pt>
                <c:pt idx="38">
                  <c:v>41</c:v>
                </c:pt>
                <c:pt idx="39">
                  <c:v>43</c:v>
                </c:pt>
                <c:pt idx="40">
                  <c:v>40</c:v>
                </c:pt>
                <c:pt idx="41">
                  <c:v>43</c:v>
                </c:pt>
                <c:pt idx="42">
                  <c:v>33</c:v>
                </c:pt>
                <c:pt idx="43">
                  <c:v>31</c:v>
                </c:pt>
                <c:pt idx="44">
                  <c:v>31</c:v>
                </c:pt>
                <c:pt idx="45">
                  <c:v>36</c:v>
                </c:pt>
                <c:pt idx="46">
                  <c:v>32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39</c:v>
                </c:pt>
                <c:pt idx="51">
                  <c:v>39</c:v>
                </c:pt>
                <c:pt idx="52">
                  <c:v>43</c:v>
                </c:pt>
                <c:pt idx="53">
                  <c:v>38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31</c:v>
                </c:pt>
                <c:pt idx="59">
                  <c:v>35</c:v>
                </c:pt>
                <c:pt idx="60">
                  <c:v>39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47</c:v>
                </c:pt>
                <c:pt idx="65">
                  <c:v>44</c:v>
                </c:pt>
                <c:pt idx="66">
                  <c:v>43</c:v>
                </c:pt>
                <c:pt idx="67">
                  <c:v>41</c:v>
                </c:pt>
                <c:pt idx="68">
                  <c:v>35</c:v>
                </c:pt>
                <c:pt idx="69">
                  <c:v>39</c:v>
                </c:pt>
                <c:pt idx="70">
                  <c:v>36</c:v>
                </c:pt>
                <c:pt idx="71">
                  <c:v>38</c:v>
                </c:pt>
                <c:pt idx="72">
                  <c:v>39</c:v>
                </c:pt>
                <c:pt idx="73">
                  <c:v>45</c:v>
                </c:pt>
                <c:pt idx="74">
                  <c:v>50</c:v>
                </c:pt>
                <c:pt idx="75">
                  <c:v>55</c:v>
                </c:pt>
                <c:pt idx="76">
                  <c:v>53</c:v>
                </c:pt>
                <c:pt idx="77">
                  <c:v>50</c:v>
                </c:pt>
                <c:pt idx="78">
                  <c:v>54</c:v>
                </c:pt>
                <c:pt idx="79">
                  <c:v>46</c:v>
                </c:pt>
                <c:pt idx="80">
                  <c:v>44</c:v>
                </c:pt>
                <c:pt idx="81">
                  <c:v>46</c:v>
                </c:pt>
                <c:pt idx="82">
                  <c:v>40</c:v>
                </c:pt>
                <c:pt idx="8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2-4A6C-8793-BB965130E2AB}"/>
            </c:ext>
          </c:extLst>
        </c:ser>
        <c:ser>
          <c:idx val="1"/>
          <c:order val="1"/>
          <c:tx>
            <c:strRef>
              <c:f>'1-EffDemand'!$C$1</c:f>
              <c:strCache>
                <c:ptCount val="1"/>
                <c:pt idx="0">
                  <c:v>Forecast(TNHS)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'1-EffDemand'!$C$2:$C$109</c:f>
              <c:numCache>
                <c:formatCode>General</c:formatCode>
                <c:ptCount val="108"/>
                <c:pt idx="83">
                  <c:v>38</c:v>
                </c:pt>
                <c:pt idx="84">
                  <c:v>40.915766378857988</c:v>
                </c:pt>
                <c:pt idx="85">
                  <c:v>44.924183627575985</c:v>
                </c:pt>
                <c:pt idx="86">
                  <c:v>49.931495375655757</c:v>
                </c:pt>
                <c:pt idx="87">
                  <c:v>51.184761437322571</c:v>
                </c:pt>
                <c:pt idx="88">
                  <c:v>49.835425190863155</c:v>
                </c:pt>
                <c:pt idx="89">
                  <c:v>48.861750864105879</c:v>
                </c:pt>
                <c:pt idx="90">
                  <c:v>47.521496230544905</c:v>
                </c:pt>
                <c:pt idx="91">
                  <c:v>45.158272567918303</c:v>
                </c:pt>
                <c:pt idx="92">
                  <c:v>45.205075744067635</c:v>
                </c:pt>
                <c:pt idx="93">
                  <c:v>44.678401703070953</c:v>
                </c:pt>
                <c:pt idx="94">
                  <c:v>42.534199874384676</c:v>
                </c:pt>
                <c:pt idx="95">
                  <c:v>43.795951326919671</c:v>
                </c:pt>
                <c:pt idx="96">
                  <c:v>44.205805093678144</c:v>
                </c:pt>
                <c:pt idx="97">
                  <c:v>48.214222342396148</c:v>
                </c:pt>
                <c:pt idx="98">
                  <c:v>53.22153409047592</c:v>
                </c:pt>
                <c:pt idx="99">
                  <c:v>54.474800152142727</c:v>
                </c:pt>
                <c:pt idx="100">
                  <c:v>53.125463905683311</c:v>
                </c:pt>
                <c:pt idx="101">
                  <c:v>52.151789578926042</c:v>
                </c:pt>
                <c:pt idx="102">
                  <c:v>50.811534945365068</c:v>
                </c:pt>
                <c:pt idx="103">
                  <c:v>48.448311282738459</c:v>
                </c:pt>
                <c:pt idx="104">
                  <c:v>48.495114458887798</c:v>
                </c:pt>
                <c:pt idx="105">
                  <c:v>47.968440417891117</c:v>
                </c:pt>
                <c:pt idx="106">
                  <c:v>45.824238589204832</c:v>
                </c:pt>
                <c:pt idx="107">
                  <c:v>47.085990041739826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2-4A6C-8793-BB965130E2AB}"/>
            </c:ext>
          </c:extLst>
        </c:ser>
        <c:ser>
          <c:idx val="2"/>
          <c:order val="2"/>
          <c:tx>
            <c:strRef>
              <c:f>'1-EffDemand'!$D$1</c:f>
              <c:strCache>
                <c:ptCount val="1"/>
                <c:pt idx="0">
                  <c:v>Lower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'1-EffDemand'!$D$2:$D$109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35.673812780414387</c:v>
                </c:pt>
                <c:pt idx="85" formatCode="0.00">
                  <c:v>39.058805295561818</c:v>
                </c:pt>
                <c:pt idx="86" formatCode="0.00">
                  <c:v>43.500720624896502</c:v>
                </c:pt>
                <c:pt idx="87" formatCode="0.00">
                  <c:v>44.232442742353598</c:v>
                </c:pt>
                <c:pt idx="88" formatCode="0.00">
                  <c:v>42.396182490288496</c:v>
                </c:pt>
                <c:pt idx="89" formatCode="0.00">
                  <c:v>40.963794861691532</c:v>
                </c:pt>
                <c:pt idx="90" formatCode="0.00">
                  <c:v>39.188374284561618</c:v>
                </c:pt>
                <c:pt idx="91" formatCode="0.00">
                  <c:v>36.410014228918769</c:v>
                </c:pt>
                <c:pt idx="92" formatCode="0.00">
                  <c:v>36.058979758896271</c:v>
                </c:pt>
                <c:pt idx="93" formatCode="0.00">
                  <c:v>35.149596965064099</c:v>
                </c:pt>
                <c:pt idx="94" formatCode="0.00">
                  <c:v>32.636057482131861</c:v>
                </c:pt>
                <c:pt idx="95" formatCode="0.00">
                  <c:v>33.540394980583592</c:v>
                </c:pt>
                <c:pt idx="96" formatCode="0.00">
                  <c:v>33.602219184018907</c:v>
                </c:pt>
                <c:pt idx="97" formatCode="0.00">
                  <c:v>37.273672433265723</c:v>
                </c:pt>
                <c:pt idx="98" formatCode="0.00">
                  <c:v>41.952838273008837</c:v>
                </c:pt>
                <c:pt idx="99" formatCode="0.00">
                  <c:v>42.886025047026656</c:v>
                </c:pt>
                <c:pt idx="100" formatCode="0.00">
                  <c:v>41.224022971855064</c:v>
                </c:pt>
                <c:pt idx="101" formatCode="0.00">
                  <c:v>39.94452436610753</c:v>
                </c:pt>
                <c:pt idx="102" formatCode="0.00">
                  <c:v>38.304782912276217</c:v>
                </c:pt>
                <c:pt idx="103" formatCode="0.00">
                  <c:v>35.64796290541657</c:v>
                </c:pt>
                <c:pt idx="104" formatCode="0.00">
                  <c:v>35.406661707582586</c:v>
                </c:pt>
                <c:pt idx="105" formatCode="0.00">
                  <c:v>34.597018208554047</c:v>
                </c:pt>
                <c:pt idx="106" formatCode="0.00">
                  <c:v>32.174660465007236</c:v>
                </c:pt>
                <c:pt idx="107" formatCode="0.00">
                  <c:v>33.162779076450015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72-4A6C-8793-BB965130E2AB}"/>
            </c:ext>
          </c:extLst>
        </c:ser>
        <c:ser>
          <c:idx val="3"/>
          <c:order val="3"/>
          <c:tx>
            <c:strRef>
              <c:f>'1-EffDemand'!$E$1</c:f>
              <c:strCache>
                <c:ptCount val="1"/>
                <c:pt idx="0">
                  <c:v>Upper Confidence Bound(TNHS)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'1-EffDemand'!$A$2:$A$109</c:f>
              <c:numCache>
                <c:formatCode>d\-mmm\-yy</c:formatCode>
                <c:ptCount val="10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</c:numCache>
            </c:numRef>
          </c:cat>
          <c:val>
            <c:numRef>
              <c:f>'1-EffDemand'!$E$2:$E$109</c:f>
              <c:numCache>
                <c:formatCode>General</c:formatCode>
                <c:ptCount val="108"/>
                <c:pt idx="83" formatCode="0.00">
                  <c:v>38</c:v>
                </c:pt>
                <c:pt idx="84" formatCode="0.00">
                  <c:v>46.157719977301589</c:v>
                </c:pt>
                <c:pt idx="85" formatCode="0.00">
                  <c:v>50.789561959590152</c:v>
                </c:pt>
                <c:pt idx="86" formatCode="0.00">
                  <c:v>56.362270126415012</c:v>
                </c:pt>
                <c:pt idx="87" formatCode="0.00">
                  <c:v>58.137080132291544</c:v>
                </c:pt>
                <c:pt idx="88" formatCode="0.00">
                  <c:v>57.274667891437815</c:v>
                </c:pt>
                <c:pt idx="89" formatCode="0.00">
                  <c:v>56.759706866520226</c:v>
                </c:pt>
                <c:pt idx="90" formatCode="0.00">
                  <c:v>55.854618176528191</c:v>
                </c:pt>
                <c:pt idx="91" formatCode="0.00">
                  <c:v>53.906530906917837</c:v>
                </c:pt>
                <c:pt idx="92" formatCode="0.00">
                  <c:v>54.351171729238999</c:v>
                </c:pt>
                <c:pt idx="93" formatCode="0.00">
                  <c:v>54.207206441077808</c:v>
                </c:pt>
                <c:pt idx="94" formatCode="0.00">
                  <c:v>52.432342266637491</c:v>
                </c:pt>
                <c:pt idx="95" formatCode="0.00">
                  <c:v>54.051507673255749</c:v>
                </c:pt>
                <c:pt idx="96" formatCode="0.00">
                  <c:v>54.809391003337382</c:v>
                </c:pt>
                <c:pt idx="97" formatCode="0.00">
                  <c:v>59.154772251526573</c:v>
                </c:pt>
                <c:pt idx="98" formatCode="0.00">
                  <c:v>64.490229907943004</c:v>
                </c:pt>
                <c:pt idx="99" formatCode="0.00">
                  <c:v>66.063575257258805</c:v>
                </c:pt>
                <c:pt idx="100" formatCode="0.00">
                  <c:v>65.026904839511559</c:v>
                </c:pt>
                <c:pt idx="101" formatCode="0.00">
                  <c:v>64.359054791744555</c:v>
                </c:pt>
                <c:pt idx="102" formatCode="0.00">
                  <c:v>63.318286978453919</c:v>
                </c:pt>
                <c:pt idx="103" formatCode="0.00">
                  <c:v>61.248659660060348</c:v>
                </c:pt>
                <c:pt idx="104" formatCode="0.00">
                  <c:v>61.58356721019301</c:v>
                </c:pt>
                <c:pt idx="105" formatCode="0.00">
                  <c:v>61.339862627228186</c:v>
                </c:pt>
                <c:pt idx="106" formatCode="0.00">
                  <c:v>59.473816713402428</c:v>
                </c:pt>
                <c:pt idx="107" formatCode="0.00">
                  <c:v>61.009201007029638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72-4A6C-8793-BB965130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231743"/>
        <c:axId val="2064225087"/>
      </c:lineChart>
      <c:catAx>
        <c:axId val="206423174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25087"/>
        <c:crosses val="autoZero"/>
        <c:auto val="1"/>
        <c:lblAlgn val="ctr"/>
        <c:lblOffset val="100"/>
        <c:noMultiLvlLbl val="0"/>
      </c:catAx>
      <c:valAx>
        <c:axId val="20642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19050</xdr:rowOff>
    </xdr:from>
    <xdr:to>
      <xdr:col>18</xdr:col>
      <xdr:colOff>583793</xdr:colOff>
      <xdr:row>25</xdr:row>
      <xdr:rowOff>39205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5DAB7-7F30-4926-AE4D-2EC410D6D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390525"/>
          <a:ext cx="5889218" cy="4592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19050</xdr:rowOff>
    </xdr:from>
    <xdr:to>
      <xdr:col>19</xdr:col>
      <xdr:colOff>57150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BD72-A01B-4E88-B13A-331DA7681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9E1222-C9A9-426C-B081-07270D2CF339}" name="Table3" displayName="Table3" ref="A1:E109" totalsRowShown="0" headerRowDxfId="10" dataDxfId="9">
  <autoFilter ref="A1:E109" xr:uid="{649E1222-C9A9-426C-B081-07270D2CF339}"/>
  <tableColumns count="5">
    <tableColumn id="1" xr3:uid="{1D9A440C-5AFA-44E9-82E5-BC6A4A6E3F34}" name="Date" dataDxfId="8"/>
    <tableColumn id="2" xr3:uid="{B9100269-B182-4B29-AC65-2B089B5D93DB}" name="TNHS" dataDxfId="7"/>
    <tableColumn id="3" xr3:uid="{A52D3A3E-EAF2-4D6B-BF66-07F17D2A9081}" name="Forecast(TNHS)" dataDxfId="6">
      <calculatedColumnFormula>_xlfn.FORECAST.ETS(A2,$B$2:$B$85,$A$2:$A$85,1,1)</calculatedColumnFormula>
    </tableColumn>
    <tableColumn id="4" xr3:uid="{2CC2D8E1-37E5-4E11-A095-32EB60DF23C1}" name="Lower Confidence Bound(TNHS)" dataDxfId="5">
      <calculatedColumnFormula>C2-_xlfn.FORECAST.ETS.CONFINT(A2,$B$2:$B$85,$A$2:$A$85,0.95,1,1)</calculatedColumnFormula>
    </tableColumn>
    <tableColumn id="5" xr3:uid="{1EBADFD7-935F-4208-8F02-6D1640D03C2E}" name="Upper Confidence Bound(TNHS)" dataDxfId="4">
      <calculatedColumnFormula>C2+_xlfn.FORECAST.ETS.CONFINT(A2,$B$2:$B$85,$A$2:$A$85,0.95,1,1)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B60725-48C9-4238-A0E2-3DFC1A9749BF}" name="Table4" displayName="Table4" ref="G1:H8" totalsRowShown="0" headerRowDxfId="3" dataDxfId="2">
  <autoFilter ref="G1:H8" xr:uid="{B4B60725-48C9-4238-A0E2-3DFC1A9749BF}"/>
  <tableColumns count="2">
    <tableColumn id="1" xr3:uid="{5FDC695F-5163-400B-AF30-722EC49C46C5}" name="Statistic" dataDxfId="1"/>
    <tableColumn id="2" xr3:uid="{070D8334-1C32-4CAF-A193-82663DC56E4A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B8AF-3621-4FA9-98BC-2B3E082ACEF5}">
  <dimension ref="A1:K28"/>
  <sheetViews>
    <sheetView workbookViewId="0">
      <selection activeCell="B27" sqref="B27"/>
    </sheetView>
  </sheetViews>
  <sheetFormatPr defaultRowHeight="15" x14ac:dyDescent="0.25"/>
  <cols>
    <col min="1" max="1" width="7.7109375" style="2" customWidth="1"/>
    <col min="2" max="2" width="13.42578125" style="2" customWidth="1"/>
    <col min="3" max="3" width="8.5703125" style="2" customWidth="1"/>
    <col min="4" max="4" width="9.140625" style="2"/>
    <col min="5" max="11" width="15.7109375" style="2" customWidth="1"/>
    <col min="12" max="16384" width="9.140625" style="2"/>
  </cols>
  <sheetData>
    <row r="1" spans="1:11" s="6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10</v>
      </c>
      <c r="H1" s="5" t="s">
        <v>11</v>
      </c>
      <c r="I1" s="5" t="s">
        <v>13</v>
      </c>
    </row>
    <row r="2" spans="1:11" x14ac:dyDescent="0.25">
      <c r="A2" s="3">
        <v>1</v>
      </c>
      <c r="B2" s="3">
        <v>92</v>
      </c>
      <c r="C2" s="3">
        <v>88</v>
      </c>
      <c r="D2" s="2">
        <f>C2-B2</f>
        <v>-4</v>
      </c>
      <c r="E2" s="2">
        <f>ABS(D2)</f>
        <v>4</v>
      </c>
      <c r="F2" s="2">
        <f>D2^2</f>
        <v>16</v>
      </c>
      <c r="G2" s="8">
        <f>D2/C2</f>
        <v>-4.5454545454545456E-2</v>
      </c>
      <c r="H2" s="8">
        <f>E2/C2</f>
        <v>4.5454545454545456E-2</v>
      </c>
      <c r="I2" s="8">
        <f>E2/((ABS(C2)+ABS(B2))/2)</f>
        <v>4.4444444444444446E-2</v>
      </c>
    </row>
    <row r="3" spans="1:11" x14ac:dyDescent="0.25">
      <c r="A3" s="3">
        <v>2</v>
      </c>
      <c r="B3" s="3">
        <v>87</v>
      </c>
      <c r="C3" s="3">
        <v>88</v>
      </c>
      <c r="D3" s="2">
        <f t="shared" ref="D3:D7" si="0">C3-B3</f>
        <v>1</v>
      </c>
      <c r="E3" s="2">
        <f t="shared" ref="E3:E7" si="1">ABS(D3)</f>
        <v>1</v>
      </c>
      <c r="F3" s="2">
        <f t="shared" ref="F3:F7" si="2">D3^2</f>
        <v>1</v>
      </c>
      <c r="G3" s="8">
        <f t="shared" ref="G3:G7" si="3">D3/C3</f>
        <v>1.1363636363636364E-2</v>
      </c>
      <c r="H3" s="8">
        <f t="shared" ref="H3:H7" si="4">E3/C3</f>
        <v>1.1363636363636364E-2</v>
      </c>
      <c r="I3" s="8">
        <f t="shared" ref="I3:I7" si="5">E3/((ABS(C3)+ABS(B3))/2)</f>
        <v>1.1428571428571429E-2</v>
      </c>
    </row>
    <row r="4" spans="1:11" x14ac:dyDescent="0.25">
      <c r="A4" s="3">
        <v>3</v>
      </c>
      <c r="B4" s="3">
        <v>95</v>
      </c>
      <c r="C4" s="3">
        <v>97</v>
      </c>
      <c r="D4" s="2">
        <f t="shared" si="0"/>
        <v>2</v>
      </c>
      <c r="E4" s="2">
        <f t="shared" si="1"/>
        <v>2</v>
      </c>
      <c r="F4" s="2">
        <f t="shared" si="2"/>
        <v>4</v>
      </c>
      <c r="G4" s="8">
        <f t="shared" si="3"/>
        <v>2.0618556701030927E-2</v>
      </c>
      <c r="H4" s="8">
        <f t="shared" si="4"/>
        <v>2.0618556701030927E-2</v>
      </c>
      <c r="I4" s="8">
        <f t="shared" si="5"/>
        <v>2.0833333333333332E-2</v>
      </c>
    </row>
    <row r="5" spans="1:11" x14ac:dyDescent="0.25">
      <c r="A5" s="3">
        <v>4</v>
      </c>
      <c r="B5" s="3">
        <v>90</v>
      </c>
      <c r="C5" s="3">
        <v>83</v>
      </c>
      <c r="D5" s="2">
        <f t="shared" si="0"/>
        <v>-7</v>
      </c>
      <c r="E5" s="2">
        <f t="shared" si="1"/>
        <v>7</v>
      </c>
      <c r="F5" s="2">
        <f t="shared" si="2"/>
        <v>49</v>
      </c>
      <c r="G5" s="8">
        <f t="shared" si="3"/>
        <v>-8.4337349397590355E-2</v>
      </c>
      <c r="H5" s="8">
        <f t="shared" si="4"/>
        <v>8.4337349397590355E-2</v>
      </c>
      <c r="I5" s="8">
        <f t="shared" si="5"/>
        <v>8.0924855491329481E-2</v>
      </c>
    </row>
    <row r="6" spans="1:11" x14ac:dyDescent="0.25">
      <c r="A6" s="3">
        <v>5</v>
      </c>
      <c r="B6" s="3">
        <v>88</v>
      </c>
      <c r="C6" s="3">
        <v>91</v>
      </c>
      <c r="D6" s="2">
        <f t="shared" si="0"/>
        <v>3</v>
      </c>
      <c r="E6" s="2">
        <f t="shared" si="1"/>
        <v>3</v>
      </c>
      <c r="F6" s="2">
        <f t="shared" si="2"/>
        <v>9</v>
      </c>
      <c r="G6" s="8">
        <f t="shared" si="3"/>
        <v>3.2967032967032968E-2</v>
      </c>
      <c r="H6" s="8">
        <f t="shared" si="4"/>
        <v>3.2967032967032968E-2</v>
      </c>
      <c r="I6" s="8">
        <f t="shared" si="5"/>
        <v>3.3519553072625698E-2</v>
      </c>
    </row>
    <row r="7" spans="1:11" x14ac:dyDescent="0.25">
      <c r="A7" s="3">
        <v>6</v>
      </c>
      <c r="B7" s="3">
        <v>93</v>
      </c>
      <c r="C7" s="3">
        <v>93</v>
      </c>
      <c r="D7" s="2">
        <f t="shared" si="0"/>
        <v>0</v>
      </c>
      <c r="E7" s="2">
        <f t="shared" si="1"/>
        <v>0</v>
      </c>
      <c r="F7" s="2">
        <f t="shared" si="2"/>
        <v>0</v>
      </c>
      <c r="G7" s="8">
        <f t="shared" si="3"/>
        <v>0</v>
      </c>
      <c r="H7" s="8">
        <f t="shared" si="4"/>
        <v>0</v>
      </c>
      <c r="I7" s="8">
        <f t="shared" si="5"/>
        <v>0</v>
      </c>
    </row>
    <row r="8" spans="1:11" x14ac:dyDescent="0.25">
      <c r="A8" s="3"/>
      <c r="B8" s="3"/>
      <c r="C8" s="3"/>
      <c r="E8" s="8">
        <f>AVERAGE(E2:E7)</f>
        <v>2.8333333333333335</v>
      </c>
      <c r="F8" s="8">
        <f>AVERAGE(F2:F7)</f>
        <v>13.166666666666666</v>
      </c>
      <c r="G8" s="8">
        <f>AVERAGE(G2:G7)</f>
        <v>-1.0807111470072591E-2</v>
      </c>
      <c r="H8" s="8">
        <f>AVERAGE(H2:H7)</f>
        <v>3.2456853480639342E-2</v>
      </c>
      <c r="I8" s="8">
        <f>AVERAGE(I2:I7)</f>
        <v>3.1858459628384066E-2</v>
      </c>
    </row>
    <row r="9" spans="1:11" x14ac:dyDescent="0.25">
      <c r="E9" s="7" t="s">
        <v>6</v>
      </c>
      <c r="F9" s="7" t="s">
        <v>7</v>
      </c>
      <c r="G9" s="7" t="s">
        <v>9</v>
      </c>
      <c r="H9" s="7" t="s">
        <v>12</v>
      </c>
      <c r="I9" s="7" t="s">
        <v>13</v>
      </c>
      <c r="J9" s="7"/>
      <c r="K9" s="7"/>
    </row>
    <row r="10" spans="1:11" x14ac:dyDescent="0.25">
      <c r="F10" s="2">
        <f>SQRT(F8)</f>
        <v>3.6285901761795403</v>
      </c>
      <c r="H10" s="9">
        <f>H8</f>
        <v>3.2456853480639342E-2</v>
      </c>
    </row>
    <row r="11" spans="1:11" x14ac:dyDescent="0.25">
      <c r="F11" s="7" t="s">
        <v>8</v>
      </c>
    </row>
    <row r="14" spans="1:11" x14ac:dyDescent="0.25">
      <c r="D14" s="4" t="s">
        <v>6</v>
      </c>
      <c r="E14" s="8">
        <f t="array" ref="E14">AVERAGE(ABS(D2:D7))</f>
        <v>2.8333333333333335</v>
      </c>
    </row>
    <row r="15" spans="1:11" x14ac:dyDescent="0.25">
      <c r="D15" s="4" t="s">
        <v>6</v>
      </c>
      <c r="E15" s="8">
        <f t="array" ref="E15">AVERAGE(D2:D7^2)</f>
        <v>13.166666666666666</v>
      </c>
    </row>
    <row r="16" spans="1:11" x14ac:dyDescent="0.25">
      <c r="D16" s="4" t="s">
        <v>9</v>
      </c>
      <c r="E16" s="8">
        <f t="array" ref="E16">AVERAGE(D2:D7/C2:C7)</f>
        <v>-1.0807111470072591E-2</v>
      </c>
    </row>
    <row r="17" spans="2:5" x14ac:dyDescent="0.25">
      <c r="D17" s="4" t="s">
        <v>12</v>
      </c>
      <c r="E17" s="8">
        <f t="array" ref="E17">AVERAGE(ABS(D2:D7)/C2:C7)</f>
        <v>3.2456853480639342E-2</v>
      </c>
    </row>
    <row r="18" spans="2:5" x14ac:dyDescent="0.25">
      <c r="E18" s="8"/>
    </row>
    <row r="19" spans="2:5" x14ac:dyDescent="0.25">
      <c r="E19" s="8"/>
    </row>
    <row r="20" spans="2:5" x14ac:dyDescent="0.25">
      <c r="E20" s="8"/>
    </row>
    <row r="21" spans="2:5" x14ac:dyDescent="0.25">
      <c r="E21" s="8"/>
    </row>
    <row r="22" spans="2:5" x14ac:dyDescent="0.25">
      <c r="E22" s="8"/>
    </row>
    <row r="23" spans="2:5" x14ac:dyDescent="0.25">
      <c r="E23" s="8"/>
    </row>
    <row r="24" spans="2:5" x14ac:dyDescent="0.25">
      <c r="E24" s="8"/>
    </row>
    <row r="27" spans="2:5" x14ac:dyDescent="0.25">
      <c r="B27" s="2">
        <f>_xlfn.NORM.DIST(1,0,1,FALSE)</f>
        <v>0.24197072451914337</v>
      </c>
    </row>
    <row r="28" spans="2:5" x14ac:dyDescent="0.25">
      <c r="B28" s="2">
        <f>_xlfn.NORM.INV(B27,0,1)</f>
        <v>-0.69997735099785086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FEE2-A6F0-43F5-AD7A-D309D9DC05AE}">
  <dimension ref="A1:H120"/>
  <sheetViews>
    <sheetView tabSelected="1" topLeftCell="A79" workbookViewId="0">
      <selection activeCell="D119" sqref="D119"/>
    </sheetView>
  </sheetViews>
  <sheetFormatPr defaultRowHeight="12.75" x14ac:dyDescent="0.2"/>
  <cols>
    <col min="1" max="1" width="9.5703125" style="10" bestFit="1" customWidth="1"/>
    <col min="2" max="2" width="9.28515625" style="10" bestFit="1" customWidth="1"/>
    <col min="3" max="3" width="14.140625" style="10" customWidth="1"/>
    <col min="4" max="4" width="19.42578125" style="10" customWidth="1"/>
    <col min="5" max="5" width="17.140625" style="10" customWidth="1"/>
    <col min="6" max="6" width="9.140625" style="10"/>
    <col min="7" max="7" width="10.140625" style="10" customWidth="1"/>
    <col min="8" max="8" width="8.28515625" style="10" customWidth="1"/>
    <col min="9" max="16384" width="9.140625" style="10"/>
  </cols>
  <sheetData>
    <row r="1" spans="1:8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G1" s="10" t="s">
        <v>19</v>
      </c>
      <c r="H1" s="10" t="s">
        <v>20</v>
      </c>
    </row>
    <row r="2" spans="1:8" x14ac:dyDescent="0.2">
      <c r="A2" s="11">
        <v>40179</v>
      </c>
      <c r="B2" s="12">
        <v>24</v>
      </c>
      <c r="G2" s="10" t="s">
        <v>21</v>
      </c>
      <c r="H2" s="13">
        <f>_xlfn.FORECAST.ETS.STAT($B$2:$B$85,$A$2:$A$85,1,1,1)</f>
        <v>0.501</v>
      </c>
    </row>
    <row r="3" spans="1:8" x14ac:dyDescent="0.2">
      <c r="A3" s="11">
        <v>40210</v>
      </c>
      <c r="B3" s="12">
        <v>27</v>
      </c>
      <c r="G3" s="10" t="s">
        <v>22</v>
      </c>
      <c r="H3" s="13">
        <f>_xlfn.FORECAST.ETS.STAT($B$2:$B$85,$A$2:$A$85,2,1,1)</f>
        <v>1E-3</v>
      </c>
    </row>
    <row r="4" spans="1:8" x14ac:dyDescent="0.2">
      <c r="A4" s="11">
        <v>40238</v>
      </c>
      <c r="B4" s="12">
        <v>36</v>
      </c>
      <c r="G4" s="10" t="s">
        <v>23</v>
      </c>
      <c r="H4" s="13">
        <f>_xlfn.FORECAST.ETS.STAT($B$2:$B$85,$A$2:$A$85,3,1,1)</f>
        <v>1E-3</v>
      </c>
    </row>
    <row r="5" spans="1:8" x14ac:dyDescent="0.2">
      <c r="A5" s="11">
        <v>40269</v>
      </c>
      <c r="B5" s="12">
        <v>41</v>
      </c>
      <c r="G5" s="10" t="s">
        <v>24</v>
      </c>
      <c r="H5" s="13">
        <f>_xlfn.FORECAST.ETS.STAT($B$2:$B$85,$A$2:$A$85,4,1,1)</f>
        <v>0.79846361115986686</v>
      </c>
    </row>
    <row r="6" spans="1:8" x14ac:dyDescent="0.2">
      <c r="A6" s="11">
        <v>40299</v>
      </c>
      <c r="B6" s="12">
        <v>26</v>
      </c>
      <c r="G6" s="10" t="s">
        <v>13</v>
      </c>
      <c r="H6" s="13">
        <f>_xlfn.FORECAST.ETS.STAT($B$2:$B$85,$A$2:$A$85,5,1,1)</f>
        <v>5.171367616600888E-2</v>
      </c>
    </row>
    <row r="7" spans="1:8" x14ac:dyDescent="0.2">
      <c r="A7" s="11">
        <v>40330</v>
      </c>
      <c r="B7" s="12">
        <v>28</v>
      </c>
      <c r="G7" s="10" t="s">
        <v>6</v>
      </c>
      <c r="H7" s="13">
        <f>_xlfn.FORECAST.ETS.STAT($B$2:$B$85,$A$2:$A$85,6,1,1)</f>
        <v>2.2600580180287757</v>
      </c>
    </row>
    <row r="8" spans="1:8" x14ac:dyDescent="0.2">
      <c r="A8" s="11">
        <v>40360</v>
      </c>
      <c r="B8" s="12">
        <v>26</v>
      </c>
      <c r="G8" s="10" t="s">
        <v>8</v>
      </c>
      <c r="H8" s="13">
        <f>_xlfn.FORECAST.ETS.STAT($B$2:$B$85,$A$2:$A$85,7,1,1)</f>
        <v>2.8621367251299032</v>
      </c>
    </row>
    <row r="9" spans="1:8" x14ac:dyDescent="0.2">
      <c r="A9" s="11">
        <v>40391</v>
      </c>
      <c r="B9" s="12">
        <v>23</v>
      </c>
    </row>
    <row r="10" spans="1:8" x14ac:dyDescent="0.2">
      <c r="A10" s="11">
        <v>40422</v>
      </c>
      <c r="B10" s="12">
        <v>25</v>
      </c>
    </row>
    <row r="11" spans="1:8" x14ac:dyDescent="0.2">
      <c r="A11" s="11">
        <v>40452</v>
      </c>
      <c r="B11" s="12">
        <v>23</v>
      </c>
    </row>
    <row r="12" spans="1:8" x14ac:dyDescent="0.2">
      <c r="A12" s="11">
        <v>40483</v>
      </c>
      <c r="B12" s="12">
        <v>20</v>
      </c>
    </row>
    <row r="13" spans="1:8" x14ac:dyDescent="0.2">
      <c r="A13" s="11">
        <v>40513</v>
      </c>
      <c r="B13" s="12">
        <v>23</v>
      </c>
    </row>
    <row r="14" spans="1:8" x14ac:dyDescent="0.2">
      <c r="A14" s="11">
        <v>40544</v>
      </c>
      <c r="B14" s="12">
        <v>21</v>
      </c>
    </row>
    <row r="15" spans="1:8" x14ac:dyDescent="0.2">
      <c r="A15" s="11">
        <v>40575</v>
      </c>
      <c r="B15" s="12">
        <v>22</v>
      </c>
    </row>
    <row r="16" spans="1:8" x14ac:dyDescent="0.2">
      <c r="A16" s="11">
        <v>40603</v>
      </c>
      <c r="B16" s="12">
        <v>28</v>
      </c>
    </row>
    <row r="17" spans="1:2" x14ac:dyDescent="0.2">
      <c r="A17" s="11">
        <v>40634</v>
      </c>
      <c r="B17" s="12">
        <v>30</v>
      </c>
    </row>
    <row r="18" spans="1:2" x14ac:dyDescent="0.2">
      <c r="A18" s="11">
        <v>40664</v>
      </c>
      <c r="B18" s="12">
        <v>28</v>
      </c>
    </row>
    <row r="19" spans="1:2" x14ac:dyDescent="0.2">
      <c r="A19" s="11">
        <v>40695</v>
      </c>
      <c r="B19" s="12">
        <v>28</v>
      </c>
    </row>
    <row r="20" spans="1:2" x14ac:dyDescent="0.2">
      <c r="A20" s="11">
        <v>40725</v>
      </c>
      <c r="B20" s="12">
        <v>27</v>
      </c>
    </row>
    <row r="21" spans="1:2" x14ac:dyDescent="0.2">
      <c r="A21" s="11">
        <v>40756</v>
      </c>
      <c r="B21" s="12">
        <v>25</v>
      </c>
    </row>
    <row r="22" spans="1:2" x14ac:dyDescent="0.2">
      <c r="A22" s="11">
        <v>40787</v>
      </c>
      <c r="B22" s="12">
        <v>24</v>
      </c>
    </row>
    <row r="23" spans="1:2" x14ac:dyDescent="0.2">
      <c r="A23" s="11">
        <v>40817</v>
      </c>
      <c r="B23" s="12">
        <v>25</v>
      </c>
    </row>
    <row r="24" spans="1:2" x14ac:dyDescent="0.2">
      <c r="A24" s="11">
        <v>40848</v>
      </c>
      <c r="B24" s="12">
        <v>23</v>
      </c>
    </row>
    <row r="25" spans="1:2" x14ac:dyDescent="0.2">
      <c r="A25" s="11">
        <v>40878</v>
      </c>
      <c r="B25" s="12">
        <v>24</v>
      </c>
    </row>
    <row r="26" spans="1:2" x14ac:dyDescent="0.2">
      <c r="A26" s="11">
        <v>40909</v>
      </c>
      <c r="B26" s="12">
        <v>23</v>
      </c>
    </row>
    <row r="27" spans="1:2" x14ac:dyDescent="0.2">
      <c r="A27" s="11">
        <v>40940</v>
      </c>
      <c r="B27" s="12">
        <v>30</v>
      </c>
    </row>
    <row r="28" spans="1:2" x14ac:dyDescent="0.2">
      <c r="A28" s="11">
        <v>40969</v>
      </c>
      <c r="B28" s="12">
        <v>34</v>
      </c>
    </row>
    <row r="29" spans="1:2" x14ac:dyDescent="0.2">
      <c r="A29" s="11">
        <v>41000</v>
      </c>
      <c r="B29" s="12">
        <v>34</v>
      </c>
    </row>
    <row r="30" spans="1:2" x14ac:dyDescent="0.2">
      <c r="A30" s="11">
        <v>41030</v>
      </c>
      <c r="B30" s="12">
        <v>35</v>
      </c>
    </row>
    <row r="31" spans="1:2" x14ac:dyDescent="0.2">
      <c r="A31" s="11">
        <v>41061</v>
      </c>
      <c r="B31" s="12">
        <v>34</v>
      </c>
    </row>
    <row r="32" spans="1:2" x14ac:dyDescent="0.2">
      <c r="A32" s="11">
        <v>41091</v>
      </c>
      <c r="B32" s="12">
        <v>33</v>
      </c>
    </row>
    <row r="33" spans="1:2" x14ac:dyDescent="0.2">
      <c r="A33" s="11">
        <v>41122</v>
      </c>
      <c r="B33" s="12">
        <v>31</v>
      </c>
    </row>
    <row r="34" spans="1:2" x14ac:dyDescent="0.2">
      <c r="A34" s="11">
        <v>41153</v>
      </c>
      <c r="B34" s="12">
        <v>30</v>
      </c>
    </row>
    <row r="35" spans="1:2" x14ac:dyDescent="0.2">
      <c r="A35" s="11">
        <v>41183</v>
      </c>
      <c r="B35" s="12">
        <v>29</v>
      </c>
    </row>
    <row r="36" spans="1:2" x14ac:dyDescent="0.2">
      <c r="A36" s="11">
        <v>41214</v>
      </c>
      <c r="B36" s="12">
        <v>28</v>
      </c>
    </row>
    <row r="37" spans="1:2" x14ac:dyDescent="0.2">
      <c r="A37" s="11">
        <v>41244</v>
      </c>
      <c r="B37" s="12">
        <v>28</v>
      </c>
    </row>
    <row r="38" spans="1:2" x14ac:dyDescent="0.2">
      <c r="A38" s="11">
        <v>41275</v>
      </c>
      <c r="B38" s="12">
        <v>32</v>
      </c>
    </row>
    <row r="39" spans="1:2" x14ac:dyDescent="0.2">
      <c r="A39" s="11">
        <v>41306</v>
      </c>
      <c r="B39" s="12">
        <v>36</v>
      </c>
    </row>
    <row r="40" spans="1:2" x14ac:dyDescent="0.2">
      <c r="A40" s="11">
        <v>41334</v>
      </c>
      <c r="B40" s="12">
        <v>41</v>
      </c>
    </row>
    <row r="41" spans="1:2" x14ac:dyDescent="0.2">
      <c r="A41" s="11">
        <v>41365</v>
      </c>
      <c r="B41" s="12">
        <v>43</v>
      </c>
    </row>
    <row r="42" spans="1:2" x14ac:dyDescent="0.2">
      <c r="A42" s="11">
        <v>41395</v>
      </c>
      <c r="B42" s="12">
        <v>40</v>
      </c>
    </row>
    <row r="43" spans="1:2" x14ac:dyDescent="0.2">
      <c r="A43" s="11">
        <v>41426</v>
      </c>
      <c r="B43" s="12">
        <v>43</v>
      </c>
    </row>
    <row r="44" spans="1:2" x14ac:dyDescent="0.2">
      <c r="A44" s="11">
        <v>41456</v>
      </c>
      <c r="B44" s="12">
        <v>33</v>
      </c>
    </row>
    <row r="45" spans="1:2" x14ac:dyDescent="0.2">
      <c r="A45" s="11">
        <v>41487</v>
      </c>
      <c r="B45" s="12">
        <v>31</v>
      </c>
    </row>
    <row r="46" spans="1:2" x14ac:dyDescent="0.2">
      <c r="A46" s="11">
        <v>41518</v>
      </c>
      <c r="B46" s="12">
        <v>31</v>
      </c>
    </row>
    <row r="47" spans="1:2" x14ac:dyDescent="0.2">
      <c r="A47" s="11">
        <v>41548</v>
      </c>
      <c r="B47" s="12">
        <v>36</v>
      </c>
    </row>
    <row r="48" spans="1:2" x14ac:dyDescent="0.2">
      <c r="A48" s="11">
        <v>41579</v>
      </c>
      <c r="B48" s="12">
        <v>32</v>
      </c>
    </row>
    <row r="49" spans="1:2" x14ac:dyDescent="0.2">
      <c r="A49" s="11">
        <v>41609</v>
      </c>
      <c r="B49" s="12">
        <v>31</v>
      </c>
    </row>
    <row r="50" spans="1:2" x14ac:dyDescent="0.2">
      <c r="A50" s="11">
        <v>41640</v>
      </c>
      <c r="B50" s="12">
        <v>33</v>
      </c>
    </row>
    <row r="51" spans="1:2" x14ac:dyDescent="0.2">
      <c r="A51" s="11">
        <v>41671</v>
      </c>
      <c r="B51" s="12">
        <v>35</v>
      </c>
    </row>
    <row r="52" spans="1:2" x14ac:dyDescent="0.2">
      <c r="A52" s="11">
        <v>41699</v>
      </c>
      <c r="B52" s="12">
        <v>39</v>
      </c>
    </row>
    <row r="53" spans="1:2" x14ac:dyDescent="0.2">
      <c r="A53" s="11">
        <v>41730</v>
      </c>
      <c r="B53" s="12">
        <v>39</v>
      </c>
    </row>
    <row r="54" spans="1:2" x14ac:dyDescent="0.2">
      <c r="A54" s="11">
        <v>41760</v>
      </c>
      <c r="B54" s="12">
        <v>43</v>
      </c>
    </row>
    <row r="55" spans="1:2" x14ac:dyDescent="0.2">
      <c r="A55" s="11">
        <v>41791</v>
      </c>
      <c r="B55" s="12">
        <v>38</v>
      </c>
    </row>
    <row r="56" spans="1:2" x14ac:dyDescent="0.2">
      <c r="A56" s="11">
        <v>41821</v>
      </c>
      <c r="B56" s="12">
        <v>35</v>
      </c>
    </row>
    <row r="57" spans="1:2" x14ac:dyDescent="0.2">
      <c r="A57" s="11">
        <v>41852</v>
      </c>
      <c r="B57" s="12">
        <v>36</v>
      </c>
    </row>
    <row r="58" spans="1:2" x14ac:dyDescent="0.2">
      <c r="A58" s="11">
        <v>41883</v>
      </c>
      <c r="B58" s="12">
        <v>37</v>
      </c>
    </row>
    <row r="59" spans="1:2" x14ac:dyDescent="0.2">
      <c r="A59" s="11">
        <v>41913</v>
      </c>
      <c r="B59" s="12">
        <v>38</v>
      </c>
    </row>
    <row r="60" spans="1:2" x14ac:dyDescent="0.2">
      <c r="A60" s="11">
        <v>41944</v>
      </c>
      <c r="B60" s="12">
        <v>31</v>
      </c>
    </row>
    <row r="61" spans="1:2" x14ac:dyDescent="0.2">
      <c r="A61" s="11">
        <v>41974</v>
      </c>
      <c r="B61" s="12">
        <v>35</v>
      </c>
    </row>
    <row r="62" spans="1:2" x14ac:dyDescent="0.2">
      <c r="A62" s="11">
        <v>42005</v>
      </c>
      <c r="B62" s="12">
        <v>39</v>
      </c>
    </row>
    <row r="63" spans="1:2" x14ac:dyDescent="0.2">
      <c r="A63" s="11">
        <v>42036</v>
      </c>
      <c r="B63" s="12">
        <v>45</v>
      </c>
    </row>
    <row r="64" spans="1:2" x14ac:dyDescent="0.2">
      <c r="A64" s="11">
        <v>42064</v>
      </c>
      <c r="B64" s="12">
        <v>46</v>
      </c>
    </row>
    <row r="65" spans="1:2" x14ac:dyDescent="0.2">
      <c r="A65" s="11">
        <v>42095</v>
      </c>
      <c r="B65" s="12">
        <v>48</v>
      </c>
    </row>
    <row r="66" spans="1:2" x14ac:dyDescent="0.2">
      <c r="A66" s="11">
        <v>42125</v>
      </c>
      <c r="B66" s="12">
        <v>47</v>
      </c>
    </row>
    <row r="67" spans="1:2" x14ac:dyDescent="0.2">
      <c r="A67" s="11">
        <v>42156</v>
      </c>
      <c r="B67" s="12">
        <v>44</v>
      </c>
    </row>
    <row r="68" spans="1:2" x14ac:dyDescent="0.2">
      <c r="A68" s="11">
        <v>42186</v>
      </c>
      <c r="B68" s="12">
        <v>43</v>
      </c>
    </row>
    <row r="69" spans="1:2" x14ac:dyDescent="0.2">
      <c r="A69" s="11">
        <v>42217</v>
      </c>
      <c r="B69" s="12">
        <v>41</v>
      </c>
    </row>
    <row r="70" spans="1:2" x14ac:dyDescent="0.2">
      <c r="A70" s="11">
        <v>42248</v>
      </c>
      <c r="B70" s="12">
        <v>35</v>
      </c>
    </row>
    <row r="71" spans="1:2" x14ac:dyDescent="0.2">
      <c r="A71" s="11">
        <v>42278</v>
      </c>
      <c r="B71" s="12">
        <v>39</v>
      </c>
    </row>
    <row r="72" spans="1:2" x14ac:dyDescent="0.2">
      <c r="A72" s="11">
        <v>42309</v>
      </c>
      <c r="B72" s="12">
        <v>36</v>
      </c>
    </row>
    <row r="73" spans="1:2" x14ac:dyDescent="0.2">
      <c r="A73" s="11">
        <v>42339</v>
      </c>
      <c r="B73" s="12">
        <v>38</v>
      </c>
    </row>
    <row r="74" spans="1:2" x14ac:dyDescent="0.2">
      <c r="A74" s="11">
        <v>42370</v>
      </c>
      <c r="B74" s="12">
        <v>39</v>
      </c>
    </row>
    <row r="75" spans="1:2" x14ac:dyDescent="0.2">
      <c r="A75" s="11">
        <v>42401</v>
      </c>
      <c r="B75" s="12">
        <v>45</v>
      </c>
    </row>
    <row r="76" spans="1:2" x14ac:dyDescent="0.2">
      <c r="A76" s="11">
        <v>42430</v>
      </c>
      <c r="B76" s="12">
        <v>50</v>
      </c>
    </row>
    <row r="77" spans="1:2" x14ac:dyDescent="0.2">
      <c r="A77" s="11">
        <v>42461</v>
      </c>
      <c r="B77" s="12">
        <v>55</v>
      </c>
    </row>
    <row r="78" spans="1:2" x14ac:dyDescent="0.2">
      <c r="A78" s="11">
        <v>42491</v>
      </c>
      <c r="B78" s="12">
        <v>53</v>
      </c>
    </row>
    <row r="79" spans="1:2" x14ac:dyDescent="0.2">
      <c r="A79" s="11">
        <v>42522</v>
      </c>
      <c r="B79" s="12">
        <v>50</v>
      </c>
    </row>
    <row r="80" spans="1:2" x14ac:dyDescent="0.2">
      <c r="A80" s="11">
        <v>42552</v>
      </c>
      <c r="B80" s="12">
        <v>54</v>
      </c>
    </row>
    <row r="81" spans="1:5" x14ac:dyDescent="0.2">
      <c r="A81" s="11">
        <v>42583</v>
      </c>
      <c r="B81" s="12">
        <v>46</v>
      </c>
    </row>
    <row r="82" spans="1:5" x14ac:dyDescent="0.2">
      <c r="A82" s="11">
        <v>42614</v>
      </c>
      <c r="B82" s="12">
        <v>44</v>
      </c>
    </row>
    <row r="83" spans="1:5" x14ac:dyDescent="0.2">
      <c r="A83" s="11">
        <v>42644</v>
      </c>
      <c r="B83" s="12">
        <v>46</v>
      </c>
    </row>
    <row r="84" spans="1:5" x14ac:dyDescent="0.2">
      <c r="A84" s="11">
        <v>42675</v>
      </c>
      <c r="B84" s="12">
        <v>40</v>
      </c>
    </row>
    <row r="85" spans="1:5" x14ac:dyDescent="0.2">
      <c r="A85" s="11">
        <v>42705</v>
      </c>
      <c r="B85" s="12">
        <v>38</v>
      </c>
      <c r="C85" s="12">
        <v>38</v>
      </c>
      <c r="D85" s="14">
        <v>38</v>
      </c>
      <c r="E85" s="14">
        <v>38</v>
      </c>
    </row>
    <row r="86" spans="1:5" x14ac:dyDescent="0.2">
      <c r="A86" s="11">
        <v>42736</v>
      </c>
      <c r="C86" s="19">
        <f t="shared" ref="C86:C109" si="0">_xlfn.FORECAST.ETS(A86,$B$2:$B$85,$A$2:$A$85,1,1)</f>
        <v>40.915766378857988</v>
      </c>
      <c r="D86" s="14">
        <f t="shared" ref="D86:D109" si="1">C86-_xlfn.FORECAST.ETS.CONFINT(A86,$B$2:$B$85,$A$2:$A$85,0.95,1,1)</f>
        <v>35.673812780414387</v>
      </c>
      <c r="E86" s="14">
        <f t="shared" ref="E86:E109" si="2">C86+_xlfn.FORECAST.ETS.CONFINT(A86,$B$2:$B$85,$A$2:$A$85,0.95,1,1)</f>
        <v>46.157719977301589</v>
      </c>
    </row>
    <row r="87" spans="1:5" x14ac:dyDescent="0.2">
      <c r="A87" s="11">
        <v>42767</v>
      </c>
      <c r="C87" s="19">
        <f t="shared" si="0"/>
        <v>44.924183627575985</v>
      </c>
      <c r="D87" s="14">
        <f t="shared" si="1"/>
        <v>39.058805295561818</v>
      </c>
      <c r="E87" s="14">
        <f t="shared" si="2"/>
        <v>50.789561959590152</v>
      </c>
    </row>
    <row r="88" spans="1:5" x14ac:dyDescent="0.2">
      <c r="A88" s="11">
        <v>42795</v>
      </c>
      <c r="C88" s="19">
        <f t="shared" si="0"/>
        <v>49.931495375655757</v>
      </c>
      <c r="D88" s="14">
        <f t="shared" si="1"/>
        <v>43.500720624896502</v>
      </c>
      <c r="E88" s="14">
        <f t="shared" si="2"/>
        <v>56.362270126415012</v>
      </c>
    </row>
    <row r="89" spans="1:5" x14ac:dyDescent="0.2">
      <c r="A89" s="11">
        <v>42826</v>
      </c>
      <c r="C89" s="19">
        <f t="shared" si="0"/>
        <v>51.184761437322571</v>
      </c>
      <c r="D89" s="14">
        <f t="shared" si="1"/>
        <v>44.232442742353598</v>
      </c>
      <c r="E89" s="14">
        <f t="shared" si="2"/>
        <v>58.137080132291544</v>
      </c>
    </row>
    <row r="90" spans="1:5" x14ac:dyDescent="0.2">
      <c r="A90" s="11">
        <v>42856</v>
      </c>
      <c r="C90" s="12">
        <f t="shared" si="0"/>
        <v>49.835425190863155</v>
      </c>
      <c r="D90" s="14">
        <f t="shared" si="1"/>
        <v>42.396182490288496</v>
      </c>
      <c r="E90" s="14">
        <f t="shared" si="2"/>
        <v>57.274667891437815</v>
      </c>
    </row>
    <row r="91" spans="1:5" x14ac:dyDescent="0.2">
      <c r="A91" s="11">
        <v>42887</v>
      </c>
      <c r="C91" s="12">
        <f t="shared" si="0"/>
        <v>48.861750864105879</v>
      </c>
      <c r="D91" s="14">
        <f t="shared" si="1"/>
        <v>40.963794861691532</v>
      </c>
      <c r="E91" s="14">
        <f t="shared" si="2"/>
        <v>56.759706866520226</v>
      </c>
    </row>
    <row r="92" spans="1:5" x14ac:dyDescent="0.2">
      <c r="A92" s="11">
        <v>42917</v>
      </c>
      <c r="C92" s="12">
        <f t="shared" si="0"/>
        <v>47.521496230544905</v>
      </c>
      <c r="D92" s="14">
        <f t="shared" si="1"/>
        <v>39.188374284561618</v>
      </c>
      <c r="E92" s="14">
        <f t="shared" si="2"/>
        <v>55.854618176528191</v>
      </c>
    </row>
    <row r="93" spans="1:5" x14ac:dyDescent="0.2">
      <c r="A93" s="11">
        <v>42948</v>
      </c>
      <c r="C93" s="12">
        <f t="shared" si="0"/>
        <v>45.158272567918303</v>
      </c>
      <c r="D93" s="14">
        <f t="shared" si="1"/>
        <v>36.410014228918769</v>
      </c>
      <c r="E93" s="14">
        <f t="shared" si="2"/>
        <v>53.906530906917837</v>
      </c>
    </row>
    <row r="94" spans="1:5" x14ac:dyDescent="0.2">
      <c r="A94" s="11">
        <v>42979</v>
      </c>
      <c r="C94" s="12">
        <f t="shared" si="0"/>
        <v>45.205075744067635</v>
      </c>
      <c r="D94" s="14">
        <f t="shared" si="1"/>
        <v>36.058979758896271</v>
      </c>
      <c r="E94" s="14">
        <f t="shared" si="2"/>
        <v>54.351171729238999</v>
      </c>
    </row>
    <row r="95" spans="1:5" x14ac:dyDescent="0.2">
      <c r="A95" s="11">
        <v>43009</v>
      </c>
      <c r="C95" s="12">
        <f t="shared" si="0"/>
        <v>44.678401703070953</v>
      </c>
      <c r="D95" s="14">
        <f t="shared" si="1"/>
        <v>35.149596965064099</v>
      </c>
      <c r="E95" s="14">
        <f t="shared" si="2"/>
        <v>54.207206441077808</v>
      </c>
    </row>
    <row r="96" spans="1:5" x14ac:dyDescent="0.2">
      <c r="A96" s="11">
        <v>43040</v>
      </c>
      <c r="C96" s="12">
        <f t="shared" si="0"/>
        <v>42.534199874384676</v>
      </c>
      <c r="D96" s="14">
        <f t="shared" si="1"/>
        <v>32.636057482131861</v>
      </c>
      <c r="E96" s="14">
        <f t="shared" si="2"/>
        <v>52.432342266637491</v>
      </c>
    </row>
    <row r="97" spans="1:5" x14ac:dyDescent="0.2">
      <c r="A97" s="11">
        <v>43070</v>
      </c>
      <c r="C97" s="12">
        <f t="shared" si="0"/>
        <v>43.795951326919671</v>
      </c>
      <c r="D97" s="14">
        <f t="shared" si="1"/>
        <v>33.540394980583592</v>
      </c>
      <c r="E97" s="14">
        <f t="shared" si="2"/>
        <v>54.051507673255749</v>
      </c>
    </row>
    <row r="98" spans="1:5" x14ac:dyDescent="0.2">
      <c r="A98" s="11">
        <v>43101</v>
      </c>
      <c r="C98" s="12">
        <f t="shared" si="0"/>
        <v>44.205805093678144</v>
      </c>
      <c r="D98" s="14">
        <f t="shared" si="1"/>
        <v>33.602219184018907</v>
      </c>
      <c r="E98" s="14">
        <f t="shared" si="2"/>
        <v>54.809391003337382</v>
      </c>
    </row>
    <row r="99" spans="1:5" x14ac:dyDescent="0.2">
      <c r="A99" s="11">
        <v>43132</v>
      </c>
      <c r="C99" s="12">
        <f t="shared" si="0"/>
        <v>48.214222342396148</v>
      </c>
      <c r="D99" s="14">
        <f t="shared" si="1"/>
        <v>37.273672433265723</v>
      </c>
      <c r="E99" s="14">
        <f t="shared" si="2"/>
        <v>59.154772251526573</v>
      </c>
    </row>
    <row r="100" spans="1:5" x14ac:dyDescent="0.2">
      <c r="A100" s="11">
        <v>43160</v>
      </c>
      <c r="C100" s="12">
        <f t="shared" si="0"/>
        <v>53.22153409047592</v>
      </c>
      <c r="D100" s="14">
        <f t="shared" si="1"/>
        <v>41.952838273008837</v>
      </c>
      <c r="E100" s="14">
        <f t="shared" si="2"/>
        <v>64.490229907943004</v>
      </c>
    </row>
    <row r="101" spans="1:5" x14ac:dyDescent="0.2">
      <c r="A101" s="11">
        <v>43191</v>
      </c>
      <c r="C101" s="12">
        <f t="shared" si="0"/>
        <v>54.474800152142727</v>
      </c>
      <c r="D101" s="14">
        <f t="shared" si="1"/>
        <v>42.886025047026656</v>
      </c>
      <c r="E101" s="14">
        <f t="shared" si="2"/>
        <v>66.063575257258805</v>
      </c>
    </row>
    <row r="102" spans="1:5" x14ac:dyDescent="0.2">
      <c r="A102" s="11">
        <v>43221</v>
      </c>
      <c r="C102" s="12">
        <f t="shared" si="0"/>
        <v>53.125463905683311</v>
      </c>
      <c r="D102" s="14">
        <f t="shared" si="1"/>
        <v>41.224022971855064</v>
      </c>
      <c r="E102" s="14">
        <f t="shared" si="2"/>
        <v>65.026904839511559</v>
      </c>
    </row>
    <row r="103" spans="1:5" x14ac:dyDescent="0.2">
      <c r="A103" s="11">
        <v>43252</v>
      </c>
      <c r="C103" s="12">
        <f t="shared" si="0"/>
        <v>52.151789578926042</v>
      </c>
      <c r="D103" s="14">
        <f t="shared" si="1"/>
        <v>39.94452436610753</v>
      </c>
      <c r="E103" s="14">
        <f t="shared" si="2"/>
        <v>64.359054791744555</v>
      </c>
    </row>
    <row r="104" spans="1:5" x14ac:dyDescent="0.2">
      <c r="A104" s="11">
        <v>43282</v>
      </c>
      <c r="C104" s="12">
        <f t="shared" si="0"/>
        <v>50.811534945365068</v>
      </c>
      <c r="D104" s="14">
        <f t="shared" si="1"/>
        <v>38.304782912276217</v>
      </c>
      <c r="E104" s="14">
        <f t="shared" si="2"/>
        <v>63.318286978453919</v>
      </c>
    </row>
    <row r="105" spans="1:5" x14ac:dyDescent="0.2">
      <c r="A105" s="11">
        <v>43313</v>
      </c>
      <c r="C105" s="12">
        <f t="shared" si="0"/>
        <v>48.448311282738459</v>
      </c>
      <c r="D105" s="14">
        <f t="shared" si="1"/>
        <v>35.64796290541657</v>
      </c>
      <c r="E105" s="14">
        <f t="shared" si="2"/>
        <v>61.248659660060348</v>
      </c>
    </row>
    <row r="106" spans="1:5" x14ac:dyDescent="0.2">
      <c r="A106" s="11">
        <v>43344</v>
      </c>
      <c r="C106" s="12">
        <f t="shared" si="0"/>
        <v>48.495114458887798</v>
      </c>
      <c r="D106" s="14">
        <f t="shared" si="1"/>
        <v>35.406661707582586</v>
      </c>
      <c r="E106" s="14">
        <f t="shared" si="2"/>
        <v>61.58356721019301</v>
      </c>
    </row>
    <row r="107" spans="1:5" x14ac:dyDescent="0.2">
      <c r="A107" s="11">
        <v>43374</v>
      </c>
      <c r="C107" s="12">
        <f t="shared" si="0"/>
        <v>47.968440417891117</v>
      </c>
      <c r="D107" s="14">
        <f t="shared" si="1"/>
        <v>34.597018208554047</v>
      </c>
      <c r="E107" s="14">
        <f t="shared" si="2"/>
        <v>61.339862627228186</v>
      </c>
    </row>
    <row r="108" spans="1:5" x14ac:dyDescent="0.2">
      <c r="A108" s="11">
        <v>43405</v>
      </c>
      <c r="C108" s="12">
        <f t="shared" si="0"/>
        <v>45.824238589204832</v>
      </c>
      <c r="D108" s="14">
        <f t="shared" si="1"/>
        <v>32.174660465007236</v>
      </c>
      <c r="E108" s="14">
        <f t="shared" si="2"/>
        <v>59.473816713402428</v>
      </c>
    </row>
    <row r="109" spans="1:5" x14ac:dyDescent="0.2">
      <c r="A109" s="11">
        <v>43435</v>
      </c>
      <c r="C109" s="12">
        <f t="shared" si="0"/>
        <v>47.085990041739826</v>
      </c>
      <c r="D109" s="14">
        <f t="shared" si="1"/>
        <v>33.162779076450015</v>
      </c>
      <c r="E109" s="14">
        <f t="shared" si="2"/>
        <v>61.009201007029638</v>
      </c>
    </row>
    <row r="111" spans="1:5" x14ac:dyDescent="0.2">
      <c r="A111" s="10" t="s">
        <v>32</v>
      </c>
      <c r="D111" s="10">
        <v>0.9</v>
      </c>
    </row>
    <row r="112" spans="1:5" x14ac:dyDescent="0.2">
      <c r="A112" s="10" t="s">
        <v>25</v>
      </c>
      <c r="D112" s="10">
        <v>3</v>
      </c>
    </row>
    <row r="113" spans="1:4" x14ac:dyDescent="0.2">
      <c r="A113" s="10" t="s">
        <v>26</v>
      </c>
      <c r="D113" s="10">
        <v>1</v>
      </c>
    </row>
    <row r="114" spans="1:4" x14ac:dyDescent="0.2">
      <c r="A114" s="16" t="s">
        <v>28</v>
      </c>
      <c r="D114" s="15">
        <f>H8</f>
        <v>2.8621367251299032</v>
      </c>
    </row>
    <row r="115" spans="1:4" x14ac:dyDescent="0.2">
      <c r="A115" s="17" t="s">
        <v>29</v>
      </c>
      <c r="D115" s="18">
        <f>D114*SQRT(D112+D113)</f>
        <v>5.7242734502598065</v>
      </c>
    </row>
    <row r="116" spans="1:4" x14ac:dyDescent="0.2">
      <c r="A116" s="10" t="s">
        <v>30</v>
      </c>
      <c r="D116" s="18">
        <f>_xlfn.NORM.INV(D111,0,D115)</f>
        <v>7.3359516017858475</v>
      </c>
    </row>
    <row r="118" spans="1:4" x14ac:dyDescent="0.2">
      <c r="A118" s="10" t="s">
        <v>31</v>
      </c>
      <c r="D118" s="18">
        <f>SUM(C87:C90)</f>
        <v>195.87586563141747</v>
      </c>
    </row>
    <row r="119" spans="1:4" x14ac:dyDescent="0.2">
      <c r="A119" s="10" t="s">
        <v>27</v>
      </c>
      <c r="D119" s="18">
        <f>D118+D116</f>
        <v>203.21181723320331</v>
      </c>
    </row>
    <row r="120" spans="1:4" x14ac:dyDescent="0.2">
      <c r="D120" s="18">
        <f>_xlfn.NORM.INV(D111,D118,D115)</f>
        <v>203.21181723320331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1-ErrorMeasures</vt:lpstr>
      <vt:lpstr>1-EffDemand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Tanat Iempreedee</cp:lastModifiedBy>
  <dcterms:created xsi:type="dcterms:W3CDTF">2021-06-27T06:27:12Z</dcterms:created>
  <dcterms:modified xsi:type="dcterms:W3CDTF">2021-06-27T19:05:21Z</dcterms:modified>
</cp:coreProperties>
</file>