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401" documentId="11_A036919BCEDCCEE3E979BAFA8980FCDE016F55DE" xr6:coauthVersionLast="47" xr6:coauthVersionMax="47" xr10:uidLastSave="{5B339AED-8886-4C6B-9B41-B73CDFD077CB}"/>
  <bookViews>
    <workbookView xWindow="240" yWindow="105" windowWidth="14805" windowHeight="8010" firstSheet="6" activeTab="6" xr2:uid="{00000000-000D-0000-FFFF-FFFF00000000}"/>
  </bookViews>
  <sheets>
    <sheet name="Main" sheetId="3" r:id="rId1"/>
    <sheet name="April 2024 - June 2024" sheetId="1" r:id="rId2"/>
    <sheet name="July 2024 - September 2024" sheetId="2" r:id="rId3"/>
    <sheet name="October 2024 - December 2024" sheetId="4" r:id="rId4"/>
    <sheet name="January 2025 - March 2025" sheetId="5" r:id="rId5"/>
    <sheet name="April 2025 - June 2025" sheetId="6" r:id="rId6"/>
    <sheet name="July 2025 - September 2025" sheetId="7" r:id="rId7"/>
    <sheet name="October 2025 - December 2025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7" l="1"/>
  <c r="E163" i="6"/>
  <c r="C116" i="1"/>
  <c r="C105" i="2"/>
  <c r="C114" i="2"/>
  <c r="C113" i="2"/>
  <c r="C112" i="2"/>
  <c r="C111" i="2"/>
  <c r="C110" i="2"/>
  <c r="C108" i="2"/>
  <c r="C107" i="2"/>
  <c r="C115" i="1"/>
  <c r="C106" i="2" s="1"/>
  <c r="C109" i="2"/>
  <c r="C118" i="4"/>
  <c r="C112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17" i="4"/>
  <c r="C111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16" i="4"/>
  <c r="C110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15" i="4"/>
  <c r="C109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14" i="4"/>
  <c r="C108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13" i="4"/>
  <c r="C107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12" i="4"/>
  <c r="C106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11" i="4"/>
  <c r="C105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110" i="4"/>
  <c r="C104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109" i="4"/>
  <c r="C103" i="5" s="1"/>
  <c r="C98" i="6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2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5" i="5"/>
  <c r="A148" i="5"/>
  <c r="A121" i="5"/>
  <c r="A181" i="4"/>
  <c r="A154" i="4"/>
  <c r="A127" i="4"/>
  <c r="A123" i="2"/>
  <c r="A173" i="5"/>
  <c r="A146" i="5"/>
  <c r="A119" i="5"/>
  <c r="A49" i="5"/>
  <c r="A37" i="5"/>
  <c r="A25" i="5"/>
  <c r="A8" i="5"/>
  <c r="A179" i="4"/>
  <c r="A152" i="4"/>
  <c r="A125" i="4"/>
  <c r="A55" i="4"/>
  <c r="A37" i="4"/>
  <c r="A20" i="4"/>
  <c r="A8" i="4"/>
  <c r="C100" i="5"/>
  <c r="C90" i="5"/>
  <c r="C80" i="5"/>
  <c r="C71" i="5"/>
  <c r="C60" i="5"/>
  <c r="C101" i="5" s="1"/>
  <c r="F45" i="5"/>
  <c r="F33" i="5"/>
  <c r="F21" i="5"/>
  <c r="C2" i="5" a="1"/>
  <c r="C2" i="5" s="1"/>
  <c r="C2" i="4" a="1"/>
  <c r="C2" i="4"/>
  <c r="C106" i="4"/>
  <c r="C96" i="4"/>
  <c r="C86" i="4"/>
  <c r="C77" i="4"/>
  <c r="C66" i="4"/>
  <c r="C107" i="4" s="1"/>
  <c r="F51" i="4"/>
  <c r="F33" i="4"/>
  <c r="F16" i="4"/>
  <c r="A51" i="2"/>
  <c r="A181" i="2"/>
  <c r="A154" i="2"/>
  <c r="A179" i="2"/>
  <c r="A152" i="2"/>
  <c r="A121" i="2"/>
  <c r="A35" i="2"/>
  <c r="A20" i="2"/>
  <c r="A8" i="2"/>
  <c r="A60" i="1"/>
  <c r="A185" i="1"/>
  <c r="A158" i="1"/>
  <c r="A183" i="1"/>
  <c r="A156" i="1"/>
  <c r="A130" i="1"/>
  <c r="A47" i="1"/>
  <c r="A35" i="1"/>
  <c r="A23" i="1"/>
  <c r="A17" i="3"/>
  <c r="A16" i="3"/>
  <c r="A15" i="3"/>
  <c r="A14" i="3"/>
  <c r="A13" i="3"/>
  <c r="A12" i="3"/>
  <c r="A11" i="3"/>
  <c r="A10" i="3"/>
  <c r="A9" i="3"/>
  <c r="C124" i="1"/>
  <c r="N4" i="1" s="1"/>
  <c r="C102" i="2"/>
  <c r="C92" i="2"/>
  <c r="C82" i="2"/>
  <c r="C73" i="2"/>
  <c r="C62" i="2"/>
  <c r="C103" i="2" s="1"/>
  <c r="F47" i="2"/>
  <c r="F31" i="2"/>
  <c r="F16" i="2"/>
  <c r="F56" i="1"/>
  <c r="F43" i="1"/>
  <c r="C111" i="1"/>
  <c r="C101" i="1"/>
  <c r="C91" i="1"/>
  <c r="C82" i="1"/>
  <c r="C71" i="1"/>
  <c r="F31" i="1"/>
  <c r="F17" i="1"/>
  <c r="C17" i="1"/>
  <c r="C2" i="2" l="1" a="1"/>
  <c r="C2" i="2" s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15" i="2"/>
  <c r="E194" i="5"/>
  <c r="E167" i="5"/>
  <c r="E140" i="5"/>
  <c r="E200" i="4"/>
  <c r="E173" i="4"/>
  <c r="E146" i="4"/>
  <c r="C5" i="2"/>
  <c r="N5" i="1" s="1"/>
  <c r="E201" i="2"/>
  <c r="E173" i="2"/>
  <c r="E146" i="2"/>
  <c r="C116" i="2"/>
  <c r="C112" i="1"/>
  <c r="C108" i="17" l="1"/>
  <c r="C5" i="17"/>
  <c r="N19" i="1" s="1"/>
  <c r="C109" i="17"/>
  <c r="C108" i="15"/>
  <c r="C5" i="15"/>
  <c r="N17" i="1" s="1"/>
  <c r="C109" i="15"/>
  <c r="C108" i="13"/>
  <c r="C5" i="13"/>
  <c r="N15" i="1" s="1"/>
  <c r="C109" i="13"/>
  <c r="C108" i="11"/>
  <c r="C5" i="11"/>
  <c r="N13" i="1" s="1"/>
  <c r="C109" i="11"/>
  <c r="C108" i="9"/>
  <c r="C5" i="9"/>
  <c r="N11" i="1" s="1"/>
  <c r="C109" i="9"/>
  <c r="C108" i="7"/>
  <c r="C5" i="7"/>
  <c r="N9" i="1" s="1"/>
  <c r="C109" i="7"/>
  <c r="C108" i="16"/>
  <c r="C108" i="14"/>
  <c r="C108" i="12"/>
  <c r="C108" i="10"/>
  <c r="C108" i="8"/>
  <c r="C108" i="6"/>
  <c r="C113" i="5"/>
  <c r="C119" i="4"/>
  <c r="C125" i="1"/>
  <c r="E209" i="1"/>
  <c r="E177" i="1"/>
  <c r="E150" i="1"/>
  <c r="C5" i="16" l="1"/>
  <c r="N18" i="1" s="1"/>
  <c r="C109" i="16"/>
  <c r="C5" i="14"/>
  <c r="N16" i="1" s="1"/>
  <c r="C109" i="14"/>
  <c r="C5" i="12"/>
  <c r="N14" i="1" s="1"/>
  <c r="C109" i="12"/>
  <c r="C5" i="10"/>
  <c r="N12" i="1" s="1"/>
  <c r="C109" i="10"/>
  <c r="C5" i="8"/>
  <c r="N10" i="1" s="1"/>
  <c r="C109" i="8"/>
  <c r="C5" i="6"/>
  <c r="N8" i="1" s="1"/>
  <c r="C109" i="6"/>
  <c r="C5" i="5"/>
  <c r="N7" i="1" s="1"/>
  <c r="C114" i="5"/>
  <c r="C5" i="4"/>
  <c r="N6" i="1" s="1"/>
  <c r="C120" i="4"/>
  <c r="E158" i="1" l="1"/>
  <c r="E178" i="1" s="1"/>
  <c r="J4" i="1"/>
  <c r="E185" i="1" l="1"/>
  <c r="J5" i="1"/>
  <c r="E210" i="1" l="1"/>
  <c r="E123" i="2" s="1"/>
  <c r="E147" i="2"/>
  <c r="J7" i="1" s="1"/>
  <c r="J6" i="1"/>
  <c r="E154" i="2" l="1"/>
  <c r="E174" i="2" s="1"/>
  <c r="J8" i="1" s="1"/>
  <c r="E181" i="2" l="1"/>
  <c r="E202" i="2" s="1"/>
  <c r="E127" i="4" l="1"/>
  <c r="J9" i="1"/>
  <c r="E147" i="4"/>
  <c r="J10" i="1" s="1"/>
  <c r="C3" i="2"/>
  <c r="C4" i="2" s="1"/>
  <c r="E154" i="4" l="1"/>
  <c r="E174" i="4" l="1"/>
  <c r="J11" i="1" s="1"/>
  <c r="E181" i="4"/>
  <c r="E201" i="4" s="1"/>
  <c r="J12" i="1" l="1"/>
  <c r="E121" i="5"/>
  <c r="E141" i="5"/>
  <c r="J13" i="1" s="1"/>
  <c r="C3" i="4"/>
  <c r="C4" i="4" s="1"/>
  <c r="E148" i="5" l="1"/>
  <c r="E168" i="5" s="1"/>
  <c r="J14" i="1" s="1"/>
  <c r="E175" i="5" l="1"/>
  <c r="E195" i="5" s="1"/>
  <c r="J15" i="1" l="1"/>
  <c r="E116" i="6"/>
  <c r="E136" i="6"/>
  <c r="J16" i="1" s="1"/>
  <c r="C3" i="5"/>
  <c r="C4" i="5" s="1"/>
  <c r="E143" i="6" l="1"/>
  <c r="J17" i="1" s="1"/>
  <c r="E170" i="6" l="1"/>
  <c r="E190" i="6" s="1"/>
  <c r="J18" i="1" l="1"/>
  <c r="E116" i="7"/>
  <c r="C3" i="6"/>
  <c r="C4" i="6" s="1"/>
  <c r="E136" i="7"/>
  <c r="J19" i="1" s="1"/>
  <c r="E143" i="7" l="1"/>
  <c r="E163" i="7" s="1"/>
  <c r="J20" i="1" s="1"/>
  <c r="E170" i="7" l="1"/>
  <c r="E190" i="7" s="1"/>
  <c r="J21" i="1" l="1"/>
  <c r="E116" i="8"/>
  <c r="C3" i="7"/>
  <c r="C4" i="7" s="1"/>
  <c r="E136" i="8"/>
  <c r="J22" i="1" s="1"/>
  <c r="E143" i="8" l="1"/>
  <c r="E163" i="8" s="1"/>
  <c r="J23" i="1" s="1"/>
  <c r="E170" i="8" l="1"/>
  <c r="E190" i="8" s="1"/>
  <c r="J24" i="1" l="1"/>
  <c r="E116" i="9"/>
  <c r="C3" i="8"/>
  <c r="C4" i="8" s="1"/>
  <c r="E136" i="9"/>
  <c r="J25" i="1" s="1"/>
  <c r="E143" i="9" l="1"/>
  <c r="E163" i="9" s="1"/>
  <c r="J26" i="1" s="1"/>
  <c r="E170" i="9" l="1"/>
  <c r="E190" i="9" s="1"/>
  <c r="J27" i="1" l="1"/>
  <c r="E116" i="10"/>
  <c r="C3" i="9"/>
  <c r="C4" i="9" s="1"/>
  <c r="E136" i="10"/>
  <c r="J28" i="1" s="1"/>
  <c r="E143" i="10" l="1"/>
  <c r="E163" i="10" s="1"/>
  <c r="J29" i="1" s="1"/>
  <c r="E170" i="10" l="1"/>
  <c r="E190" i="10" s="1"/>
  <c r="J30" i="1" l="1"/>
  <c r="E116" i="11"/>
  <c r="C3" i="10"/>
  <c r="C4" i="10" s="1"/>
  <c r="E136" i="11"/>
  <c r="J31" i="1" s="1"/>
  <c r="E143" i="11" l="1"/>
  <c r="E163" i="11" s="1"/>
  <c r="J32" i="1" s="1"/>
  <c r="E170" i="11" l="1"/>
  <c r="E190" i="11" s="1"/>
  <c r="J33" i="1" l="1"/>
  <c r="E116" i="12"/>
  <c r="C3" i="11"/>
  <c r="C4" i="11" s="1"/>
  <c r="E136" i="12"/>
  <c r="J34" i="1" s="1"/>
  <c r="E143" i="12" l="1"/>
  <c r="E163" i="12" s="1"/>
  <c r="J35" i="1" s="1"/>
  <c r="E170" i="12" l="1"/>
  <c r="E190" i="12" s="1"/>
  <c r="J36" i="1" l="1"/>
  <c r="E116" i="13"/>
  <c r="C3" i="12"/>
  <c r="C4" i="12" s="1"/>
  <c r="E136" i="13"/>
  <c r="J37" i="1" s="1"/>
  <c r="E143" i="13" l="1"/>
  <c r="E163" i="13" s="1"/>
  <c r="J38" i="1" s="1"/>
  <c r="E170" i="13" l="1"/>
  <c r="E190" i="13" s="1"/>
  <c r="J39" i="1" l="1"/>
  <c r="E116" i="14"/>
  <c r="C3" i="13"/>
  <c r="C4" i="13" s="1"/>
  <c r="E136" i="14"/>
  <c r="J40" i="1" s="1"/>
  <c r="E143" i="14" l="1"/>
  <c r="E163" i="14" s="1"/>
  <c r="J41" i="1" s="1"/>
  <c r="E170" i="14" l="1"/>
  <c r="E190" i="14" s="1"/>
  <c r="J42" i="1" l="1"/>
  <c r="E116" i="15"/>
  <c r="C3" i="14"/>
  <c r="C4" i="14" s="1"/>
  <c r="E136" i="15"/>
  <c r="J43" i="1" s="1"/>
  <c r="E143" i="15" l="1"/>
  <c r="E163" i="15" s="1"/>
  <c r="J44" i="1" s="1"/>
  <c r="E170" i="15" l="1"/>
  <c r="E190" i="15" s="1"/>
  <c r="J45" i="1" l="1"/>
  <c r="E116" i="16"/>
  <c r="C3" i="15"/>
  <c r="C4" i="15" s="1"/>
  <c r="E136" i="16"/>
  <c r="J46" i="1" s="1"/>
  <c r="E143" i="16" l="1"/>
  <c r="E163" i="16" s="1"/>
  <c r="J47" i="1" s="1"/>
  <c r="E170" i="16" l="1"/>
  <c r="E190" i="16" s="1"/>
  <c r="J48" i="1" l="1"/>
  <c r="E116" i="17"/>
  <c r="C3" i="16"/>
  <c r="C4" i="16" s="1"/>
  <c r="E136" i="17"/>
  <c r="J49" i="1" s="1"/>
  <c r="E143" i="17" l="1"/>
  <c r="E163" i="17" s="1"/>
  <c r="J50" i="1" s="1"/>
  <c r="E170" i="17" l="1"/>
  <c r="E190" i="17" s="1"/>
  <c r="J51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<sst xmlns="http://schemas.openxmlformats.org/spreadsheetml/2006/main" count="3256" uniqueCount="363">
  <si>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</si>
  <si>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</si>
  <si>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</si>
  <si>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</si>
  <si>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</si>
  <si>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</si>
  <si>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</si>
  <si>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</si>
  <si>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</si>
  <si>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</si>
  <si>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</si>
  <si>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</si>
  <si>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</si>
  <si>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</si>
  <si>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</si>
  <si>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</si>
  <si>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</si>
  <si>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</si>
  <si>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</si>
  <si>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</si>
  <si>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</si>
  <si>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</si>
  <si>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</si>
  <si>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</si>
  <si>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</si>
  <si>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</si>
  <si>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</si>
  <si>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</si>
  <si>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</si>
  <si>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</si>
  <si>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</si>
  <si>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</si>
  <si>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</si>
  <si>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</si>
  <si>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</si>
  <si>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</si>
  <si>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</si>
  <si>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</si>
  <si>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</si>
  <si>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</si>
  <si>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</si>
  <si>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</si>
  <si>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</si>
  <si>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</si>
  <si>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</si>
  <si>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</si>
  <si>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</si>
  <si>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</si>
  <si>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</si>
  <si>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</si>
  <si>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</si>
  <si>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</si>
  <si>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Other 1</t>
  </si>
  <si>
    <t>Other 2</t>
  </si>
  <si>
    <t>Other 3</t>
  </si>
  <si>
    <t>Other 4</t>
  </si>
  <si>
    <t>Forecast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</si>
  <si>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</si>
  <si>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</si>
  <si>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</si>
  <si>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</si>
  <si>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</si>
  <si>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</si>
  <si>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</si>
  <si>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</si>
  <si>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</si>
  <si>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</si>
  <si>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</si>
  <si>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</si>
  <si>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</si>
  <si>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</si>
  <si>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</si>
  <si>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</si>
  <si>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</si>
  <si>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</si>
  <si>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Operating Expenses</t>
  </si>
  <si>
    <t>Broadband</t>
  </si>
  <si>
    <t>China 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</si>
  <si>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</si>
  <si>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</si>
  <si>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</si>
  <si>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</si>
  <si>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</si>
  <si>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</si>
  <si>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</si>
  <si>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</si>
  <si>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</si>
  <si>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</si>
  <si>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</si>
  <si>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</si>
  <si>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</si>
  <si>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</si>
  <si>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</si>
  <si>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</si>
  <si>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</si>
  <si>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</si>
  <si>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</si>
  <si>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</si>
  <si>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</si>
  <si>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>Total Government Expenses</t>
  </si>
  <si>
    <t>Properties/House/Comercial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</si>
  <si>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</si>
  <si>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</si>
  <si>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</si>
  <si>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</si>
  <si>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</si>
  <si>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</si>
  <si>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</si>
  <si>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</si>
  <si>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Total Other Expense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</si>
  <si>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</si>
  <si>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</si>
  <si>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</si>
  <si>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</si>
  <si>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</si>
  <si>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</si>
  <si>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</si>
  <si>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</si>
  <si>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</si>
  <si>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</si>
  <si>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</si>
  <si>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</si>
  <si>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</si>
  <si>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</si>
  <si>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</si>
  <si>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</si>
  <si>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</si>
  <si>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</si>
  <si>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</si>
  <si>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</si>
  <si>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</si>
  <si>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</si>
  <si>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</si>
  <si>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</si>
  <si>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</si>
  <si>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</si>
  <si>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</si>
  <si>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</si>
  <si>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</si>
  <si>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</si>
  <si>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</si>
  <si>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 xml:space="preserve"> 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</si>
  <si>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</si>
  <si>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</si>
  <si>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</si>
  <si>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</si>
  <si>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</si>
  <si>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</si>
  <si>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</si>
  <si>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</si>
  <si>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</si>
  <si>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</si>
  <si>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</si>
  <si>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</si>
  <si>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</si>
  <si>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</si>
  <si>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</si>
  <si>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</si>
  <si>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</si>
  <si>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</si>
  <si>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</si>
  <si>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</si>
  <si>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</si>
  <si>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</si>
  <si>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</si>
  <si>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</si>
  <si>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</si>
  <si>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</si>
  <si>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</si>
  <si>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</si>
  <si>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</si>
  <si>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</si>
  <si>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</si>
  <si>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</si>
  <si>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</si>
  <si>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</si>
  <si>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</si>
  <si>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</si>
  <si>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</si>
  <si>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</si>
  <si>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</si>
  <si>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</si>
  <si>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</si>
  <si>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</si>
  <si>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</si>
  <si>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</si>
  <si>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</si>
  <si>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</si>
  <si>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</si>
  <si>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</si>
  <si>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</si>
  <si>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</si>
  <si>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</si>
  <si>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</si>
  <si>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</si>
  <si>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</si>
  <si>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</si>
  <si>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</si>
  <si>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</si>
  <si>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</si>
  <si>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</si>
  <si>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</si>
  <si>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</si>
  <si>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</si>
  <si>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</si>
  <si>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</si>
  <si>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</si>
  <si>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</si>
  <si>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</si>
  <si>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</si>
  <si>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</si>
  <si>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</si>
  <si>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</si>
  <si>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</si>
  <si>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</si>
  <si>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</si>
  <si>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</si>
  <si>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</si>
  <si>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</si>
  <si>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</si>
  <si>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</si>
  <si>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t>21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November 2024</t>
    </r>
  </si>
  <si>
    <t>Deduct 10 packet of Cigarette</t>
  </si>
  <si>
    <r>
      <t>23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</si>
  <si>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WingOn Travel</t>
  </si>
  <si>
    <t>Bangkok Air ticket refund – Money is refund to Mother’s HSBC credit card account.</t>
  </si>
  <si>
    <r>
      <t>29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</si>
  <si>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</si>
  <si>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</si>
  <si>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</si>
  <si>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</si>
  <si>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</si>
  <si>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</si>
  <si>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</si>
  <si>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</si>
  <si>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</si>
  <si>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</si>
  <si>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</si>
  <si>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</si>
  <si>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</si>
  <si>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</si>
  <si>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</si>
  <si>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</si>
  <si>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</si>
  <si>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</si>
  <si>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</si>
  <si>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</si>
  <si>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</si>
  <si>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t>25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</si>
  <si>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Lawrence give $100 For Christmas</t>
  </si>
  <si>
    <r>
      <t>27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</si>
  <si>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Mother give $900 For Car License Renewal.</t>
  </si>
  <si>
    <r>
      <t>28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</si>
  <si>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 xml:space="preserve">Mother borrow $50 </t>
  </si>
  <si>
    <t>28th December 2024</t>
  </si>
  <si>
    <t>Mother give $16.14 coins</t>
  </si>
  <si>
    <r>
      <t>31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</si>
  <si>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 xml:space="preserve">Lawrence give $50 For Octopus Add In Value </t>
  </si>
  <si>
    <r>
      <t>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</si>
  <si>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</si>
  <si>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</si>
  <si>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</si>
  <si>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</si>
  <si>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 xml:space="preserve">$52 for Hair Cut (One month per cut) </t>
  </si>
  <si>
    <t>Payback $0 to Mom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</si>
  <si>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</si>
  <si>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</si>
  <si>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</si>
  <si>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</si>
  <si>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</si>
  <si>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</si>
  <si>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</rPr>
      <t xml:space="preserve">$78.4
</t>
    </r>
    <r>
      <rPr>
        <sz val="11"/>
        <color rgb="FF000000"/>
        <rFont val="Arial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</si>
  <si>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</si>
  <si>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</si>
  <si>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</si>
  <si>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</si>
  <si>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</si>
  <si>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</si>
  <si>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</si>
  <si>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</si>
  <si>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</si>
  <si>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</si>
  <si>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</si>
  <si>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</si>
  <si>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</si>
  <si>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</si>
  <si>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</si>
  <si>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</si>
  <si>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</si>
  <si>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</si>
  <si>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</si>
  <si>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</si>
  <si>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</si>
  <si>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</si>
  <si>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</si>
  <si>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</si>
  <si>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</si>
  <si>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</si>
  <si>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</si>
  <si>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</si>
  <si>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</si>
  <si>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</si>
  <si>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</si>
  <si>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</si>
  <si>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</si>
  <si>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</si>
  <si>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</si>
  <si>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</si>
  <si>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</si>
  <si>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</si>
  <si>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</si>
  <si>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</si>
  <si>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</si>
  <si>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</si>
  <si>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</rPr>
      <t>Food And Transport Expenses
- Potatoes For Curry Chicken ~</t>
    </r>
    <r>
      <rPr>
        <sz val="11"/>
        <color rgb="FFFF0000"/>
        <rFont val="Arial"/>
      </rPr>
      <t xml:space="preserve"> </t>
    </r>
    <r>
      <rPr>
        <sz val="11"/>
        <color rgb="FF000000"/>
        <rFont val="Arial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</si>
  <si>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</si>
  <si>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</si>
  <si>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</si>
  <si>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</t>
  </si>
  <si>
    <t>- Brought Electronic Cigarettes Buds ~ $800</t>
  </si>
  <si>
    <t>Payback $800 to Lawrence</t>
  </si>
  <si>
    <t>Additional Expense
    - Cigarette Egg - $325</t>
  </si>
  <si>
    <t>Food And Transport Expenses
- Oats 1.5kg  ~ $27
- Chicken 15 piecies ~ $165
- Marie Biscuit 3 Packets ~ $49.7
- Vegetables 6kg ~ $48
- Apples 30 ones ~ $60
- Rice 5kg ~ $49
- Milk 1 Litre 7 ~ $118.3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</si>
  <si>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</si>
  <si>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</si>
  <si>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</si>
  <si>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</si>
  <si>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</si>
  <si>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</si>
  <si>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</si>
  <si>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</si>
  <si>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</si>
  <si>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</si>
  <si>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</si>
  <si>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31st July 2025</t>
  </si>
  <si>
    <t>Mother Salary</t>
  </si>
  <si>
    <t>Deferred Salary to next Month</t>
  </si>
  <si>
    <t>31st August 2025</t>
  </si>
  <si>
    <t>30th September 2025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</si>
  <si>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</si>
  <si>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</si>
  <si>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</si>
  <si>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</si>
  <si>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</si>
  <si>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</si>
  <si>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</si>
  <si>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Additional Expense
    - Cigarette Egg - $650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</si>
  <si>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</si>
  <si>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</si>
  <si>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</si>
  <si>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Additional Expense
    - Cigarette Egg - $325
    - See the psycharitic Doctor ~ $125</t>
  </si>
  <si>
    <t>Additional Expense
    - Cigarette Egg - $325
    - Add In value for Google Play ~ $150 (don't need to
   include.)
    - See the psycharitic Doctor For Injection ~ $19
    - See the high blood pressure Doctor ~ $50</t>
  </si>
  <si>
    <t>17th April 2025</t>
  </si>
  <si>
    <t>- Sale Property Wan Chai ~ $100
- Sale Property Tsuen Wai ~ $50</t>
  </si>
  <si>
    <t>Properties Sale</t>
  </si>
  <si>
    <t>03th May 2025</t>
  </si>
  <si>
    <t>Salary / Income / Received Debts / Received Dividends</t>
  </si>
  <si>
    <t>28th June 2025</t>
  </si>
  <si>
    <t>Mobile</t>
  </si>
  <si>
    <t>Comercial Building Rent</t>
  </si>
  <si>
    <t>Office Rent</t>
  </si>
  <si>
    <t>Store Rent</t>
  </si>
  <si>
    <t>- Lost of Selling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</si>
</sst>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4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000000"/>
      <name val="Arial"/>
      <charset val="1"/>
    </font>
    <font>
      <sz val="11"/>
      <color rgb="FFFF0000"/>
      <name val="Arial"/>
    </font>
    <font>
      <b/>
      <vertAlign val="superscript"/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  <xf numFmtId="177" fontId="7" fillId="0" borderId="0" applyBorder="0" applyProtection="0">
      <alignment horizontal="center" vertical="center"/>
    </xf>
  </cellStyleXfs>
  <cellXfs count="296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49" fontId="4" fillId="0" borderId="9" xfId="2" applyFont="1" applyBorder="1" applyAlignment="1" applyProtection="1">
      <alignment horizontal="center" vertical="center" wrapText="1"/>
    </xf>
    <xf numFmtId="49" fontId="16" fillId="0" borderId="3" xfId="6" applyFont="1" applyBorder="1" applyProtection="1">
      <alignment horizontal="left" vertical="center"/>
    </xf>
    <xf numFmtId="49" fontId="4" fillId="0" borderId="28" xfId="2" applyFont="1" applyBorder="1" applyAlignment="1" applyProtection="1">
      <alignment horizontal="center" vertical="center" wrapText="1"/>
    </xf>
    <xf numFmtId="176" fontId="8" fillId="0" borderId="3" xfId="0" applyNumberFormat="1" applyFont="1" applyBorder="1"/>
    <xf numFmtId="49" fontId="16" fillId="0" borderId="1" xfId="6" applyFont="1" applyBorder="1" applyProtection="1">
      <alignment horizontal="left" vertical="center"/>
    </xf>
    <xf numFmtId="177" fontId="8" fillId="0" borderId="1" xfId="7" applyFont="1" applyBorder="1" applyAlignment="1" applyProtection="1">
      <alignment horizontal="right" vertical="center"/>
    </xf>
    <xf numFmtId="49" fontId="4" fillId="0" borderId="1" xfId="2" applyFont="1" applyBorder="1" applyAlignment="1" applyProtection="1">
      <alignment horizontal="left" vertical="center"/>
    </xf>
    <xf numFmtId="177" fontId="6" fillId="3" borderId="1" xfId="3" applyFont="1" applyBorder="1" applyAlignment="1">
      <alignment horizontal="right" vertical="center"/>
    </xf>
    <xf numFmtId="49" fontId="4" fillId="0" borderId="1" xfId="2" applyFont="1" applyBorder="1" applyAlignment="1" applyProtection="1">
      <alignment horizontal="left" vertical="center" wrapText="1"/>
    </xf>
    <xf numFmtId="49" fontId="4" fillId="0" borderId="1" xfId="2" applyFont="1" applyBorder="1" applyAlignment="1" applyProtection="1">
      <alignment horizontal="center" vertical="center" wrapText="1"/>
    </xf>
    <xf numFmtId="0" fontId="16" fillId="0" borderId="1" xfId="0" applyFont="1" applyBorder="1" applyAlignment="1">
      <alignment vertical="center"/>
    </xf>
    <xf numFmtId="49" fontId="4" fillId="3" borderId="1" xfId="2" applyFont="1" applyFill="1" applyBorder="1" applyAlignment="1" applyProtection="1">
      <alignment horizontal="left" vertical="center" wrapText="1"/>
    </xf>
    <xf numFmtId="49" fontId="16" fillId="3" borderId="1" xfId="6" applyFont="1" applyFill="1" applyBorder="1" applyProtection="1">
      <alignment horizontal="left" vertical="center"/>
    </xf>
    <xf numFmtId="177" fontId="8" fillId="0" borderId="1" xfId="7" applyFont="1" applyBorder="1" applyProtection="1">
      <alignment horizontal="center" vertical="center"/>
    </xf>
    <xf numFmtId="179" fontId="11" fillId="0" borderId="5" xfId="0" applyNumberFormat="1" applyFon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176" fontId="8" fillId="0" borderId="3" xfId="0" applyNumberFormat="1" applyFont="1" applyBorder="1" applyAlignment="1">
      <alignment horizontal="right" vertical="center"/>
    </xf>
    <xf numFmtId="176" fontId="8" fillId="0" borderId="11" xfId="0" applyNumberFormat="1" applyFont="1" applyBorder="1" applyAlignment="1">
      <alignment horizontal="right" vertical="center"/>
    </xf>
    <xf numFmtId="179" fontId="13" fillId="0" borderId="5" xfId="0" applyNumberFormat="1" applyFont="1" applyBorder="1" applyAlignment="1">
      <alignment horizontal="right" vertical="center"/>
    </xf>
    <xf numFmtId="0" fontId="8" fillId="0" borderId="20" xfId="0" applyNumberFormat="1" applyFont="1" applyBorder="1" applyAlignment="1">
      <alignment horizontal="right" vertical="center"/>
    </xf>
    <xf numFmtId="177" fontId="8" fillId="0" borderId="1" xfId="7" applyFont="1" applyBorder="1" applyAlignment="1" applyProtection="1">
      <alignment vertical="center"/>
    </xf>
    <xf numFmtId="49" fontId="12" fillId="4" borderId="4" xfId="5" applyFont="1" applyBorder="1" applyAlignment="1" applyProtection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177" fontId="6" fillId="3" borderId="41" xfId="3" applyFont="1" applyBorder="1" applyAlignment="1">
      <alignment horizontal="right" vertical="center"/>
    </xf>
    <xf numFmtId="177" fontId="6" fillId="3" borderId="3" xfId="3" applyFont="1" applyBorder="1" applyAlignment="1">
      <alignment horizontal="right" vertical="center"/>
    </xf>
    <xf numFmtId="14" fontId="11" fillId="0" borderId="0" xfId="0" applyNumberFormat="1" applyFont="1"/>
    <xf numFmtId="49" fontId="8" fillId="0" borderId="3" xfId="4" applyFont="1" applyBorder="1" applyAlignment="1" applyProtection="1">
      <alignment horizontal="right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left" wrapText="1"/>
    </xf>
    <xf numFmtId="0" fontId="15" fillId="8" borderId="26" xfId="0" applyFont="1" applyFill="1" applyBorder="1" applyAlignment="1">
      <alignment horizontal="left" wrapText="1"/>
    </xf>
    <xf numFmtId="0" fontId="15" fillId="8" borderId="36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6" fillId="0" borderId="3" xfId="6" applyFont="1" applyBorder="1" applyAlignment="1" applyProtection="1">
      <alignment horizontal="left" vertical="center" wrapText="1"/>
    </xf>
    <xf numFmtId="49" fontId="16" fillId="0" borderId="3" xfId="6" applyFont="1" applyBorder="1" applyAlignment="1" applyProtection="1">
      <alignment horizontal="left" vertical="center"/>
    </xf>
    <xf numFmtId="177" fontId="6" fillId="3" borderId="15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/>
    </xf>
    <xf numFmtId="49" fontId="4" fillId="0" borderId="3" xfId="2" applyFont="1" applyBorder="1" applyAlignment="1" applyProtection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77" fontId="6" fillId="3" borderId="4" xfId="3" applyFont="1" applyBorder="1" applyAlignment="1">
      <alignment horizontal="center" vertical="center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49" fontId="16" fillId="0" borderId="9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 wrapText="1"/>
    </xf>
    <xf numFmtId="49" fontId="16" fillId="0" borderId="9" xfId="6" applyFont="1" applyBorder="1" applyAlignment="1" applyProtection="1">
      <alignment horizontal="left" vertical="center"/>
    </xf>
    <xf numFmtId="49" fontId="16" fillId="0" borderId="31" xfId="6" applyFont="1" applyBorder="1" applyAlignment="1" applyProtection="1">
      <alignment horizontal="left" vertical="center"/>
    </xf>
    <xf numFmtId="49" fontId="16" fillId="0" borderId="32" xfId="6" applyFont="1" applyBorder="1" applyAlignment="1" applyProtection="1">
      <alignment horizontal="left" vertical="center" wrapText="1"/>
    </xf>
    <xf numFmtId="49" fontId="16" fillId="0" borderId="33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 wrapText="1"/>
    </xf>
    <xf numFmtId="49" fontId="16" fillId="0" borderId="7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/>
    </xf>
    <xf numFmtId="49" fontId="16" fillId="0" borderId="30" xfId="6" applyFont="1" applyBorder="1" applyAlignment="1" applyProtection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6" fillId="0" borderId="34" xfId="6" applyFont="1" applyBorder="1" applyAlignment="1" applyProtection="1">
      <alignment horizontal="center" vertical="center"/>
    </xf>
    <xf numFmtId="49" fontId="16" fillId="0" borderId="35" xfId="6" applyFont="1" applyBorder="1" applyAlignment="1" applyProtection="1">
      <alignment horizontal="center" vertical="center"/>
    </xf>
    <xf numFmtId="177" fontId="6" fillId="3" borderId="18" xfId="3" applyFont="1" applyBorder="1" applyAlignment="1">
      <alignment horizontal="center" vertical="center"/>
    </xf>
    <xf numFmtId="177" fontId="6" fillId="3" borderId="37" xfId="3" applyFont="1" applyBorder="1" applyAlignment="1">
      <alignment horizontal="center" vertical="center"/>
    </xf>
    <xf numFmtId="177" fontId="6" fillId="3" borderId="16" xfId="3" applyFont="1" applyBorder="1" applyAlignment="1">
      <alignment horizontal="center" vertical="center"/>
    </xf>
    <xf numFmtId="177" fontId="6" fillId="3" borderId="36" xfId="3" applyFont="1" applyBorder="1" applyAlignment="1">
      <alignment horizontal="center" vertical="center"/>
    </xf>
    <xf numFmtId="49" fontId="22" fillId="0" borderId="9" xfId="6" applyFont="1" applyBorder="1" applyAlignment="1" applyProtection="1">
      <alignment horizontal="left" vertical="center"/>
    </xf>
    <xf numFmtId="49" fontId="22" fillId="0" borderId="27" xfId="6" applyFont="1" applyBorder="1" applyAlignment="1" applyProtection="1">
      <alignment horizontal="left" vertical="center"/>
    </xf>
    <xf numFmtId="49" fontId="16" fillId="0" borderId="27" xfId="6" applyFont="1" applyBorder="1" applyAlignment="1" applyProtection="1">
      <alignment horizontal="left" vertical="center" wrapText="1"/>
    </xf>
    <xf numFmtId="49" fontId="16" fillId="0" borderId="27" xfId="6" applyFont="1" applyBorder="1" applyAlignment="1" applyProtection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49" fontId="16" fillId="0" borderId="32" xfId="6" applyFont="1" applyBorder="1" applyAlignment="1" applyProtection="1">
      <alignment horizontal="left" vertical="center"/>
    </xf>
    <xf numFmtId="49" fontId="16" fillId="0" borderId="35" xfId="6" applyFont="1" applyBorder="1" applyAlignment="1" applyProtection="1">
      <alignment horizontal="left" vertical="center"/>
    </xf>
    <xf numFmtId="0" fontId="15" fillId="8" borderId="16" xfId="0" applyFont="1" applyFill="1" applyBorder="1" applyAlignment="1">
      <alignment vertical="center" wrapText="1"/>
    </xf>
    <xf numFmtId="0" fontId="15" fillId="8" borderId="26" xfId="0" applyFont="1" applyFill="1" applyBorder="1" applyAlignment="1">
      <alignment vertical="center" wrapText="1"/>
    </xf>
    <xf numFmtId="0" fontId="15" fillId="8" borderId="17" xfId="0" applyFont="1" applyFill="1" applyBorder="1" applyAlignment="1">
      <alignment vertical="center" wrapText="1"/>
    </xf>
    <xf numFmtId="49" fontId="4" fillId="0" borderId="1" xfId="6" applyFont="1" applyBorder="1" applyAlignment="1" applyProtection="1">
      <alignment horizontal="left"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49" fontId="4" fillId="0" borderId="34" xfId="6" applyFont="1" applyBorder="1" applyAlignment="1" applyProtection="1">
      <alignment horizontal="left" vertical="center" wrapText="1"/>
    </xf>
    <xf numFmtId="49" fontId="4" fillId="0" borderId="35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/>
    </xf>
    <xf numFmtId="177" fontId="6" fillId="3" borderId="38" xfId="3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16" fillId="0" borderId="1" xfId="6" applyFont="1" applyBorder="1" applyAlignment="1" applyProtection="1">
      <alignment vertical="center" wrapText="1"/>
    </xf>
    <xf numFmtId="49" fontId="16" fillId="0" borderId="4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vertical="center" wrapText="1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horizontal="left" vertical="center" wrapText="1"/>
    </xf>
    <xf numFmtId="177" fontId="6" fillId="3" borderId="39" xfId="3" applyFont="1" applyBorder="1" applyAlignment="1">
      <alignment horizontal="center" vertical="center"/>
    </xf>
    <xf numFmtId="177" fontId="6" fillId="3" borderId="40" xfId="3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8" fillId="0" borderId="18" xfId="4" applyFont="1" applyBorder="1" applyAlignment="1" applyProtection="1">
      <alignment horizontal="right" vertical="center" wrapText="1"/>
    </xf>
    <xf numFmtId="49" fontId="8" fillId="0" borderId="19" xfId="4" applyFont="1" applyBorder="1" applyAlignment="1" applyProtection="1">
      <alignment horizontal="right" vertical="center" wrapText="1"/>
    </xf>
    <xf numFmtId="49" fontId="12" fillId="4" borderId="11" xfId="5" applyFont="1" applyBorder="1" applyAlignment="1" applyProtection="1">
      <alignment horizontal="center" vertical="center" wrapText="1"/>
    </xf>
    <xf numFmtId="49" fontId="12" fillId="4" borderId="11" xfId="5" applyFont="1" applyBorder="1" applyAlignment="1" applyProtection="1">
      <alignment horizontal="center" vertical="center"/>
    </xf>
    <xf numFmtId="49" fontId="16" fillId="0" borderId="3" xfId="6" applyFont="1" applyBorder="1" applyAlignment="1" applyProtection="1">
      <alignment horizontal="center" vertical="center" wrapText="1"/>
    </xf>
    <xf numFmtId="49" fontId="16" fillId="0" borderId="4" xfId="6" applyFont="1" applyBorder="1" applyAlignment="1" applyProtection="1">
      <alignment horizontal="center" vertical="center" wrapText="1"/>
    </xf>
    <xf numFmtId="49" fontId="16" fillId="0" borderId="3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left" vertical="center" wrapText="1"/>
    </xf>
    <xf numFmtId="49" fontId="16" fillId="0" borderId="4" xfId="6" applyFont="1" applyBorder="1" applyAlignment="1" applyProtection="1">
      <alignment horizontal="left" vertical="center"/>
    </xf>
    <xf numFmtId="49" fontId="4" fillId="0" borderId="3" xfId="6" applyFont="1" applyBorder="1" applyAlignment="1" applyProtection="1">
      <alignment horizontal="center" vertical="center" wrapText="1"/>
    </xf>
    <xf numFmtId="49" fontId="4" fillId="0" borderId="4" xfId="6" applyFont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6" fillId="0" borderId="5" xfId="6" applyFont="1" applyBorder="1" applyAlignment="1" applyProtection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49" fontId="16" fillId="0" borderId="20" xfId="6" applyFont="1" applyBorder="1" applyAlignment="1" applyProtection="1">
      <alignment horizontal="left" vertical="center" wrapText="1"/>
    </xf>
    <xf numFmtId="49" fontId="16" fillId="0" borderId="20" xfId="6" applyFont="1" applyBorder="1" applyAlignment="1" applyProtection="1">
      <alignment horizontal="left" vertical="center"/>
    </xf>
    <xf numFmtId="177" fontId="6" fillId="3" borderId="20" xfId="3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177" fontId="14" fillId="6" borderId="0" xfId="3" applyFont="1" applyFill="1" applyBorder="1" applyAlignment="1">
      <alignment horizontal="center" vertical="center"/>
    </xf>
  </cellXfs>
  <cellStyles count="8">
    <cellStyle name="Currency Value" xfId="3" xr:uid="{B5D1F3E0-F05F-4848-B984-3E96F31B33D9}"/>
    <cellStyle name="Expense Value" xfId="7" xr:uid="{CFF97E23-EF19-40DD-A7F2-748571DA9388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59"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workbookViewId="0">
      <selection activeCell="C13" sqref="C13"/>
    </sheetView>
  </sheetViews>
  <sheetFormatPr defaultRowHeight="14.25"/>
  <cols>
    <col min="1" max="1" width="43.25" style="67" customWidth="1"/>
    <col min="2" max="2" width="34.125" style="67" customWidth="1"/>
    <col min="3" max="16384" width="9" style="67"/>
  </cols>
  <sheetData>
    <row r="1" spans="1:2" ht="45" customHeight="1">
      <c r="A1" s="10" t="s">
        <v>0</v>
      </c>
      <c r="B1" s="110" t="s">
        <v>1</v>
      </c>
    </row>
    <row r="2" spans="1:2" ht="45" customHeight="1">
      <c r="A2" s="109" t="s">
        <v>2</v>
      </c>
      <c r="B2" s="11" t="b">
        <v>1</v>
      </c>
    </row>
    <row r="3" spans="1:2" ht="36" customHeight="1">
      <c r="A3" s="12" t="s">
        <v>3</v>
      </c>
      <c r="B3" s="13">
        <v>45402</v>
      </c>
    </row>
    <row r="4" spans="1:2" ht="45" customHeight="1">
      <c r="A4" s="10" t="s">
        <v>4</v>
      </c>
      <c r="B4" s="14" t="str">
        <f>IF(B2,TEXT(EDATE(B3,1)-1,"dd-mmm-yyyy"),B4)</f>
        <v>19-May-2024</v>
      </c>
    </row>
    <row r="5" spans="1:2" ht="45" customHeight="1">
      <c r="A5" s="121" t="s">
        <v>5</v>
      </c>
      <c r="B5" s="122">
        <v>45761</v>
      </c>
    </row>
    <row r="6" spans="1:2" ht="45" customHeight="1">
      <c r="A6" s="121"/>
      <c r="B6" s="122"/>
    </row>
    <row r="7" spans="1:2" ht="24.75" customHeight="1">
      <c r="A7" s="68"/>
      <c r="B7" s="69"/>
    </row>
    <row r="8" spans="1:2" ht="20.25" customHeight="1">
      <c r="A8" s="123" t="s">
        <v>6</v>
      </c>
      <c r="B8" s="123"/>
    </row>
    <row r="9" spans="1:2" ht="20.25" customHeight="1">
      <c r="A9" s="70" t="str">
        <f>TEXT(B3,"dd mmmm yyyy") &amp; " - " &amp; IF(B2,TEXT(EDATE(B3,1)-1,"dd mmmm yyyy"),TEXT(B3+B5-B3,"dd mmmm yyyy"))</f>
        <v>20 April 2024 - 19 May 2024</v>
      </c>
      <c r="B9" s="124" t="s">
        <v>7</v>
      </c>
    </row>
    <row r="10" spans="1:2" ht="20.25" customHeight="1">
      <c r="A10" s="111" t="str">
        <f>IF(B2,TEXT(EDATE(B3,1),"dd mmmm yyyy"),TEXT(B3+(B5-B3)+1,"dd mmmm yyyy")) &amp; " - " &amp; IF(B2,TEXT(EDATE(B3,2) - 1,"dd mmmm yyyy"),TEXT(B3+(B5-B3)*2+1,"dd mmmm yyyy"))</f>
        <v>20 May 2024 - 19 June 2024</v>
      </c>
      <c r="B10" s="124"/>
    </row>
    <row r="11" spans="1:2" ht="20.25" customHeight="1">
      <c r="A11" s="111" t="str">
        <f>IF(B2,TEXT(EDATE(B3,2),"dd mmmm yyyy"),TEXT(B3+((B5-B3)*2)+2,"dd mmmm yyyy")) &amp; " - " &amp; IF(B2,TEXT(EDATE(B3,3) - 1,"dd mmmm yyyy"),TEXT(B3+((B5-B3)*3+2),"dd mmmm yyyy"))</f>
        <v>20 June 2024 - 19 July 2024</v>
      </c>
      <c r="B11" s="125"/>
    </row>
    <row r="12" spans="1:2" ht="20.25" customHeight="1">
      <c r="A12" s="71" t="str">
        <f>IF(B2,TEXT(EDATE(B3,3),"dd mmmm yyyy"),TEXT(B3+((B5-B3)*3)+3,"dd mmmm yyyy")) &amp; " - " &amp; IF(B2,TEXT(EDATE(B3,4)-1,"dd mmmm yyyy"),TEXT(B3+(((B5-B3)*4)+3),"dd mmmm yyyy"))</f>
        <v>20 July 2024 - 19 August 2024</v>
      </c>
      <c r="B12" s="118" t="s">
        <v>8</v>
      </c>
    </row>
    <row r="13" spans="1:2" ht="20.25" customHeight="1">
      <c r="A13" s="71" t="str">
        <f>IF(B2,TEXT(EDATE(B3,4),"dd mmmm yyyy"),TEXT(B3+((B5-B3)*4)+4,"dd mmmm yyyy")) &amp; " - " &amp; IF(B2,TEXT(EDATE(B3,5)-1,"dd mmmm yyyy"),TEXT(B3+(((B5-B3)*5)+4),"dd mmmm yyyy"))</f>
        <v>20 August 2024 - 19 September 2024</v>
      </c>
      <c r="B13" s="119"/>
    </row>
    <row r="14" spans="1:2" ht="20.25" customHeight="1">
      <c r="A14" s="111" t="str">
        <f>IF(B2,TEXT(EDATE(B3,5),"dd mmmm yyyy"),TEXT(B3+((B5-B3)*5)+5,"dd mmmm yyyy")) &amp; " - " &amp; IF(B2,TEXT(EDATE(B3,6)-1,"dd mmmm yyyy"),TEXT(B3+(((B5-B3)*6)+5),"dd mmmm yyyy"))</f>
        <v>20 September 2024 - 19 October 2024</v>
      </c>
      <c r="B14" s="120"/>
    </row>
    <row r="15" spans="1:2" ht="20.25" customHeight="1">
      <c r="A15" s="111" t="str">
        <f>IF(B2,TEXT(EDATE(B3,6),"dd mmmm yyyy"),TEXT(B3+((B5-B3)*6)+6,"dd mmmm yyyy")) &amp; " - " &amp; IF(B2,TEXT(EDATE(B3,7)-1,"dd mmmm yyyy"),TEXT(B3+(((B5-B3)*7)+6),"dd mmmm yyyy"))</f>
        <v>20 October 2024 - 19 November 2024</v>
      </c>
      <c r="B15" s="118" t="s">
        <v>9</v>
      </c>
    </row>
    <row r="16" spans="1:2" ht="20.25" customHeight="1">
      <c r="A16" s="111" t="str">
        <f>IF(B2,TEXT(EDATE(B3,7),"dd mmmm yyyy"),TEXT(B3+((B5-B3)*7)+7,"dd mmmm yyyy")) &amp; " - " &amp; IF(B2,TEXT(EDATE(B3,8)-1,"dd mmmm yyyy"),TEXT(B3+(((B5-B3)*8)+7),"dd mmmm yyyy"))</f>
        <v>20 November 2024 - 19 December 2024</v>
      </c>
      <c r="B16" s="119"/>
    </row>
    <row r="17" spans="1:2" ht="20.25" customHeight="1">
      <c r="A17" s="111" t="str">
        <f>IF(B2,TEXT(EDATE(B3,8),"dd mmmm yyyy"),TEXT(B3+((B5-B3)*8)+8,"dd mmmm yyyy")) &amp; " - " &amp; IF(B2,TEXT(EDATE(B3,9)-1,"dd mmmm yyyy"),TEXT(B3+(((B5-B3)*9)+8),"dd mmmm yyyy"))</f>
        <v>20 December 2024 - 19 January 2025</v>
      </c>
      <c r="B17" s="120"/>
    </row>
    <row r="18" spans="1:2" ht="20.25" customHeight="1">
      <c r="A18" s="111" t="str">
        <f>IF(B2,TEXT(EDATE(B3,9),"dd mmmm yyyy"),TEXT(B3+((B5-B3)*9)+9,"dd mmmm yyyy")) &amp; " - " &amp; IF(B2,TEXT(EDATE(B3,10)-1,"dd mmmm yyyy"),TEXT(B3+(((B5-B3)*10)+9),"dd mmmm yyyy"))</f>
        <v>20 January 2025 - 19 February 2025</v>
      </c>
      <c r="B18" s="118" t="s">
        <v>10</v>
      </c>
    </row>
    <row r="19" spans="1:2" ht="20.25" customHeight="1">
      <c r="A19" s="111" t="str">
        <f>IF(B2,TEXT(EDATE(B3,10),"dd mmmm yyyy"),TEXT(B3+((B5-B3)*10)+10,"dd mmmm yyyy")) &amp; " - " &amp; IF(B2,TEXT(EDATE(B3,11)-1,"dd mmmm yyyy"),TEXT(B3+(((B5-B3)*11)+10),"dd mmmm yyyy"))</f>
        <v>20 February 2025 - 19 March 2025</v>
      </c>
      <c r="B19" s="119"/>
    </row>
    <row r="20" spans="1:2" ht="20.25" customHeight="1">
      <c r="A20" s="72" t="str">
        <f>IF(B2,TEXT(EDATE(B3,11),"dd mmmm yyyy"),TEXT(B3+((B5-B3)*11)+11,"dd mmmm yyyy")) &amp; " - " &amp; IF(B2,TEXT(EDATE(B3,12)-1,"dd mmmm yyyy"),TEXT(B3+(((B5-B3)*12)+11),"dd mmmm yyyy"))</f>
        <v>20 March 2025 - 19 April 2025</v>
      </c>
      <c r="B20" s="120"/>
    </row>
    <row r="21" spans="1:2" ht="20.25" customHeight="1">
      <c r="A21" s="73" t="str">
        <f>IF(B2,TEXT(EDATE(B3,12),"dd mmmm yyyy"),TEXT(B3+((B5-B3)*12)+12,"dd mmmm yyyy")) &amp; " - " &amp; IF(B2,TEXT(EDATE(B3,13)-1,"dd mmmm yyyy"),TEXT(B3+(((B5-B3)*13)+12),"dd mmmm yyyy"))</f>
        <v>20 April 2025 - 19 May 2025</v>
      </c>
      <c r="B21" s="117" t="s">
        <v>11</v>
      </c>
    </row>
    <row r="22" spans="1:2" ht="20.25" customHeight="1">
      <c r="A22" s="73" t="str">
        <f>IF(B2,TEXT(EDATE(B3,13),"dd mmmm yyyy"),TEXT(B3+((B5-B3)*13)+13,"dd mmmm yyyy")) &amp; " - " &amp; IF(B2,TEXT(EDATE(B3,14)-1,"dd mmmm yyyy"),TEXT(B3+(((B5-B3)*14)+13),"dd mmmm yyyy"))</f>
        <v>20 May 2025 - 19 June 2025</v>
      </c>
      <c r="B22" s="117"/>
    </row>
    <row r="23" spans="1:2" ht="20.25" customHeight="1">
      <c r="A23" s="72" t="str">
        <f>IF(B2,TEXT(EDATE(B3,14),"dd mmmm yyyy"),TEXT(B3+((B5-B3)*14)+14,"dd mmmm yyyy")) &amp; " - " &amp; IF(B2,TEXT(EDATE(B3,15)-1,"dd mmmm yyyy"),TEXT(B3+(((B5-B3)*15)+14),"dd mmmm yyyy"))</f>
        <v>20 June 2025 - 19 July 2025</v>
      </c>
      <c r="B23" s="118"/>
    </row>
    <row r="24" spans="1:2" ht="20.25" customHeight="1">
      <c r="A24" s="111" t="str">
        <f>IF(B2,TEXT(EDATE(B3,15),"dd mmmm yyyy"),TEXT(B3+((B5-B3)*15)+15,"dd mmmm yyyy")) &amp; " - " &amp; IF(B2,TEXT(EDATE(B3,16)-1,"dd mmmm yyyy"),TEXT(B3+(((B5-B3)*16)+15),"dd mmmm yyyy"))</f>
        <v>20 July 2025 - 19 August 2025</v>
      </c>
      <c r="B24" s="117" t="s">
        <v>12</v>
      </c>
    </row>
    <row r="25" spans="1:2" ht="20.25" customHeight="1">
      <c r="A25" s="111" t="str">
        <f>IF(B2,TEXT(EDATE(B3,16),"dd mmmm yyyy"),TEXT(B3+((B5-B3)*16)+16,"dd mmmm yyyy")) &amp; " - " &amp; IF(B2,TEXT(EDATE(B3,17)-1,"dd mmmm yyyy"),TEXT(B3+(((B5-B3)*17)+16),"dd mmmm yyyy"))</f>
        <v>20 August 2025 - 19 September 2025</v>
      </c>
      <c r="B25" s="117"/>
    </row>
    <row r="26" spans="1:2" ht="20.25" customHeight="1">
      <c r="A26" s="110" t="str">
        <f>IF(B2,TEXT(EDATE(B3,17),"dd mmmm yyyy"),TEXT(B3+((B5-B3)*17)+17,"dd mmmm yyyy")) &amp; " - " &amp; IF(B2,TEXT(EDATE(B3,18)-1,"dd mmmm yyyy"),TEXT(B3+(((B5-B3)*18)+17),"dd mmmm yyyy"))</f>
        <v>20 September 2025 - 19 October 2025</v>
      </c>
      <c r="B26" s="118"/>
    </row>
    <row r="27" spans="1:2" ht="20.25" customHeight="1">
      <c r="A27" s="111" t="str">
        <f>IF(B2,TEXT(EDATE(B3,18),"dd mmmm yyyy"),TEXT(B3+((B5-B3)*18)+18,"dd mmmm yyyy")) &amp; " - " &amp; IF(B2,TEXT(EDATE(B3,19)-1,"dd mmmm yyyy"),TEXT(B3+(((B5-B3)*19)+18),"dd mmmm yyyy"))</f>
        <v>20 October 2025 - 19 November 2025</v>
      </c>
      <c r="B27" s="117" t="s">
        <v>13</v>
      </c>
    </row>
    <row r="28" spans="1:2" ht="20.25" customHeight="1">
      <c r="A28" s="111" t="str">
        <f>IF(B2,TEXT(EDATE(B3,19),"dd mmmm yyyy"),TEXT(B3+((B5-B3)*19)+19,"dd mmmm yyyy")) &amp; " - " &amp; IF(B2,TEXT(EDATE(B3,20)-1,"dd mmmm yyyy"),TEXT(B3+(((B5-B3)*20)+19),"dd mmmm yyyy"))</f>
        <v>20 November 2025 - 19 December 2025</v>
      </c>
      <c r="B28" s="117"/>
    </row>
    <row r="29" spans="1:2" ht="20.25" customHeight="1">
      <c r="A29" s="110" t="str">
        <f>IF(B2,TEXT(EDATE(B3,20),"dd mmmm yyyy"),TEXT(B3+((B5-B3)*20)+20,"dd mmmm yyyy")) &amp; " - " &amp; IF(B2,TEXT(EDATE(B3,21)-1,"dd mmmm yyyy"),TEXT(B3+(((B5-B3)*21)+20),"dd mmmm yyyy"))</f>
        <v>20 December 2025 - 19 January 2026</v>
      </c>
      <c r="B29" s="118"/>
    </row>
    <row r="30" spans="1:2" ht="20.25" customHeight="1">
      <c r="A30" s="111" t="str">
        <f>IF(B2,TEXT(EDATE(B3,21),"dd mmmm yyyy"),TEXT(B3+((B5-B3)*21)+21,"dd mmmm yyyy")) &amp; " - " &amp; IF(B2,TEXT(EDATE(B3,22)-1,"dd mmmm yyyy"),TEXT(B3+(((B5-B3)*22)+21),"dd mmmm yyyy"))</f>
        <v>20 January 2026 - 19 February 2026</v>
      </c>
      <c r="B30" s="117" t="s">
        <v>14</v>
      </c>
    </row>
    <row r="31" spans="1:2" ht="20.25" customHeight="1">
      <c r="A31" s="111" t="str">
        <f>IF(B2,TEXT(EDATE(B3,22),"dd mmmm yyyy"),TEXT(B3+((B5-B3)*22)+22,"dd mmmm yyyy")) &amp; " - " &amp; IF(B2,TEXT(EDATE(B3,23)-1,"dd mmmm yyyy"),TEXT(B3+(((B5-B3)*23)+22),"dd mmmm yyyy"))</f>
        <v>20 February 2026 - 19 March 2026</v>
      </c>
      <c r="B31" s="117"/>
    </row>
    <row r="32" spans="1:2" ht="20.25" customHeight="1">
      <c r="A32" s="110" t="str">
        <f>IF(B2,TEXT(EDATE(B3,23),"dd mmmm yyyy"),TEXT(B3+((B5-B3)*23)+23,"dd mmmm yyyy")) &amp; " - " &amp; IF(B2,TEXT(EDATE(B3,24)-1,"dd mmmm yyyy"),TEXT(B3+(((B5-B3)*24)+23),"dd mmmm yyyy"))</f>
        <v>20 March 2026 - 19 April 2026</v>
      </c>
      <c r="B32" s="118"/>
    </row>
    <row r="33" spans="1:2" ht="20.25" customHeight="1">
      <c r="A33" s="111" t="str">
        <f>IF(B2,TEXT(EDATE(B3,24),"dd mmmm yyyy"),TEXT(B3+((B5-B3)*24)+24,"dd mmmm yyyy")) &amp; " - " &amp; IF(B2,TEXT(EDATE(B3,25)-1,"dd mmmm yyyy"),TEXT(B3+(((B5-B3)*25)+24),"dd mmmm yyyy"))</f>
        <v>20 April 2026 - 19 May 2026</v>
      </c>
      <c r="B33" s="117" t="s">
        <v>15</v>
      </c>
    </row>
    <row r="34" spans="1:2" ht="20.25" customHeight="1">
      <c r="A34" s="111" t="str">
        <f>IF(B2,TEXT(EDATE(B3,25),"dd mmmm yyyy"),TEXT(B3+((B5-B3)*25)+25,"dd mmmm yyyy")) &amp; " - " &amp; IF(B2,TEXT(EDATE(B3,26)-1,"dd mmmm yyyy"),TEXT(B3+(((B5-B3)*26)+25),"dd mmmm yyyy"))</f>
        <v>20 May 2026 - 19 June 2026</v>
      </c>
      <c r="B34" s="117"/>
    </row>
    <row r="35" spans="1:2" ht="20.25" customHeight="1">
      <c r="A35" s="110" t="str">
        <f>IF(B2,TEXT(EDATE(B3,26),"dd mmmm yyyy"),TEXT(B3+((B5-B3)*26)+26,"dd mmmm yyyy")) &amp; " - " &amp; IF(B2,TEXT(EDATE(B3,27)-1,"dd mmmm yyyy"),TEXT(B3+(((B5-B3)*27)+26),"dd mmmm yyyy"))</f>
        <v>20 June 2026 - 19 July 2026</v>
      </c>
      <c r="B35" s="118"/>
    </row>
    <row r="36" spans="1:2" ht="20.25" customHeight="1">
      <c r="A36" s="111" t="str">
        <f>IF(B2,TEXT(EDATE(B3,27),"dd mmmm yyyy"),TEXT(B3+((B5-B3)*27)+27,"dd mmmm yyyy")) &amp; " - " &amp; IF(B2,TEXT(EDATE(B3,28)-1,"dd mmmm yyyy"),TEXT(B3+(((B5-B3)*28)+27),"dd mmmm yyyy"))</f>
        <v>20 July 2026 - 19 August 2026</v>
      </c>
      <c r="B36" s="117" t="s">
        <v>16</v>
      </c>
    </row>
    <row r="37" spans="1:2" ht="20.25" customHeight="1">
      <c r="A37" s="111" t="str">
        <f>IF(B2,TEXT(EDATE(B3,28),"dd mmmm yyyy"),TEXT(B3+((B5-B3)*28)+28,"dd mmmm yyyy")) &amp; " - " &amp; IF(B2,TEXT(EDATE(B3,29)-1,"dd mmmm yyyy"),TEXT(B3+(((B5-B3)*29)+28),"dd mmmm yyyy"))</f>
        <v>20 August 2026 - 19 September 2026</v>
      </c>
      <c r="B37" s="117"/>
    </row>
    <row r="38" spans="1:2" ht="20.25" customHeight="1">
      <c r="A38" s="110" t="str">
        <f>IF(B2,TEXT(EDATE(B3,29),"dd mmmm yyyy"),TEXT(B3+((B5-B3)*29)+29,"dd mmmm yyyy")) &amp; " - " &amp; IF(B2,TEXT(EDATE(B3,30)-1,"dd mmmm yyyy"),TEXT(B3+(((B5-B3)*30)+29),"dd mmmm yyyy"))</f>
        <v>20 September 2026 - 19 October 2026</v>
      </c>
      <c r="B38" s="118"/>
    </row>
    <row r="39" spans="1:2" ht="20.25" customHeight="1">
      <c r="A39" s="111" t="str">
        <f>IF(B2,TEXT(EDATE(B3,30),"dd mmmm yyyy"),TEXT(B3+((B5-B3)*30)+30,"dd mmmm yyyy")) &amp; " - " &amp; IF(B2,TEXT(EDATE(B3,31)-1,"dd mmmm yyyy"),TEXT(B3+(((B5-B3)*31)+30),"dd mmmm yyyy"))</f>
        <v>20 October 2026 - 19 November 2026</v>
      </c>
      <c r="B39" s="117" t="s">
        <v>17</v>
      </c>
    </row>
    <row r="40" spans="1:2" ht="20.25" customHeight="1">
      <c r="A40" s="111" t="str">
        <f>IF(B2,TEXT(EDATE(B3,31),"dd mmmm yyyy"),TEXT(B3+((B5-B3)*31)+31,"dd mmmm yyyy")) &amp; " - " &amp; IF(B2,TEXT(EDATE(B3,32)-1,"dd mmmm yyyy"),TEXT(B3+(((B5-B3)*32)+31),"dd mmmm yyyy"))</f>
        <v>20 November 2026 - 19 December 2026</v>
      </c>
      <c r="B40" s="117"/>
    </row>
    <row r="41" spans="1:2" ht="20.25" customHeight="1">
      <c r="A41" s="110" t="str">
        <f>IF(B2,TEXT(EDATE(B3,32),"dd mmmm yyyy"),TEXT(B3+((B5-B3)*32)+32,"dd mmmm yyyy")) &amp; " - " &amp; IF(B2,TEXT(EDATE(B3,33)-1,"dd mmmm yyyy"),TEXT(B3+(((B5-B3)*33)+32),"dd mmmm yyyy"))</f>
        <v>20 December 2026 - 19 January 2027</v>
      </c>
      <c r="B41" s="118"/>
    </row>
    <row r="42" spans="1:2" ht="20.25" customHeight="1">
      <c r="A42" s="111" t="str">
        <f>IF(B2,TEXT(EDATE(B3,33),"dd mmmm yyyy"),TEXT(B3+((B5-B3)*33)+33,"dd mmmm yyyy")) &amp; " - " &amp; IF(B2,TEXT(EDATE(B3,34)-1,"dd mmmm yyyy"),TEXT(B3+(((B5-B3)*34)+33),"dd mmmm yyyy"))</f>
        <v>20 January 2027 - 19 February 2027</v>
      </c>
      <c r="B42" s="117" t="s">
        <v>18</v>
      </c>
    </row>
    <row r="43" spans="1:2" ht="20.25" customHeight="1">
      <c r="A43" s="111" t="str">
        <f>IF(B2,TEXT(EDATE(B3,34),"dd mmmm yyyy"),TEXT(B3+((B5-B3)*34)+34,"dd mmmm yyyy")) &amp; " - " &amp; IF(B2,TEXT(EDATE(B3,35)-1,"dd mmmm yyyy"),TEXT(B3+(((B5-B3)*35)+34),"dd mmmm yyyy"))</f>
        <v>20 February 2027 - 19 March 2027</v>
      </c>
      <c r="B43" s="117"/>
    </row>
    <row r="44" spans="1:2" ht="20.25" customHeight="1">
      <c r="A44" s="110" t="str">
        <f>IF(B2,TEXT(EDATE(B3,35),"dd mmmm yyyy"),TEXT(B3+((B5-B3)*35)+35,"dd mmmm yyyy")) &amp; " - " &amp; IF(B2,TEXT(EDATE(B3,36)-1,"dd mmmm yyyy"),TEXT(B3+(((B5-B3)*36)+35),"dd mmmm yyyy"))</f>
        <v>20 March 2027 - 19 April 2027</v>
      </c>
      <c r="B44" s="118"/>
    </row>
    <row r="45" spans="1:2" ht="20.25" customHeight="1">
      <c r="A45" s="111" t="str">
        <f>IF(B2,TEXT(EDATE(B3,36),"dd mmmm yyyy"),TEXT(B3+((B5-B3)*36)+36,"dd mmmm yyyy")) &amp; " - " &amp; IF(B2,TEXT(EDATE(B3,37)-1,"dd mmmm yyyy"),TEXT(B3+(((B5-B3)*37)+36),"dd mmmm yyyy"))</f>
        <v>20 April 2027 - 19 May 2027</v>
      </c>
      <c r="B45" s="117" t="s">
        <v>19</v>
      </c>
    </row>
    <row r="46" spans="1:2" ht="20.25" customHeight="1">
      <c r="A46" s="111" t="str">
        <f>IF(B2,TEXT(EDATE(B3,37),"dd mmmm yyyy"),TEXT(B3+((B5-B3)*37)+37,"dd mmmm yyyy")) &amp; " - " &amp; IF(B2,TEXT(EDATE(B3,38)-1,"dd mmmm yyyy"),TEXT(B3+(((B5-B3)*38)+37),"dd mmmm yyyy"))</f>
        <v>20 May 2027 - 19 June 2027</v>
      </c>
      <c r="B46" s="117"/>
    </row>
    <row r="47" spans="1:2" ht="20.25" customHeight="1">
      <c r="A47" s="110" t="str">
        <f>IF(B2,TEXT(EDATE(B3,38),"dd mmmm yyyy"),TEXT(B3+((B5-B3)*38)+38,"dd mmmm yyyy")) &amp; " - " &amp; IF(B2,TEXT(EDATE(B3,39)-1,"dd mmmm yyyy"),TEXT(B3+(((B5-B3)*39)+38),"dd mmmm yyyy"))</f>
        <v>20 June 2027 - 19 July 2027</v>
      </c>
      <c r="B47" s="118"/>
    </row>
    <row r="48" spans="1:2" ht="20.25" customHeight="1">
      <c r="A48" s="111" t="str">
        <f>IF(B2,TEXT(EDATE(B3,39),"dd mmmm yyyy"),TEXT(B3+((B5-B3)*39)+39,"dd mmmm yyyy")) &amp; " - " &amp; IF(B2,TEXT(EDATE(B3,40)-1,"dd mmmm yyyy"),TEXT(B3+(((B5-B3)*40)+39),"dd mmmm yyyy"))</f>
        <v>20 July 2027 - 19 August 2027</v>
      </c>
      <c r="B48" s="117" t="s">
        <v>20</v>
      </c>
    </row>
    <row r="49" spans="1:2" ht="20.25" customHeight="1">
      <c r="A49" s="111" t="str">
        <f>IF(B2,TEXT(EDATE(B3,40),"dd mmmm yyyy"),TEXT(B3+((B5-B3)*40)+40,"dd mmmm yyyy")) &amp; " - " &amp; IF(B2,TEXT(EDATE(B3,41)-1,"dd mmmm yyyy"),TEXT(B3+(((B5-B3)*41)+40),"dd mmmm yyyy"))</f>
        <v>20 August 2027 - 19 September 2027</v>
      </c>
      <c r="B49" s="117"/>
    </row>
    <row r="50" spans="1:2" ht="20.25" customHeight="1">
      <c r="A50" s="110" t="str">
        <f>IF(B2,TEXT(EDATE(B3,41),"dd mmmm yyyy"),TEXT(B3+((B5-B3)*41)+41,"dd mmmm yyyy")) &amp; " - " &amp; IF(B2,TEXT(EDATE(B3,42)-1,"dd mmmm yyyy"),TEXT(B3+(((B5-B3)*42)+41),"dd mmmm yyyy"))</f>
        <v>20 September 2027 - 19 October 2027</v>
      </c>
      <c r="B50" s="118"/>
    </row>
    <row r="51" spans="1:2" ht="20.25" customHeight="1">
      <c r="A51" s="111" t="str">
        <f>IF(B2,TEXT(EDATE(B3,42),"dd mmmm yyyy"),TEXT(B3+((B5-B3)*42)+42,"dd mmmm yyyy")) &amp; " - " &amp; IF(B2,TEXT(EDATE(B3,43)-1,"dd mmmm yyyy"),TEXT(B3+(((B5-B3)*43)+42),"dd mmmm yyyy"))</f>
        <v>20 October 2027 - 19 November 2027</v>
      </c>
      <c r="B51" s="117" t="s">
        <v>21</v>
      </c>
    </row>
    <row r="52" spans="1:2" ht="20.25" customHeight="1">
      <c r="A52" s="111" t="str">
        <f>IF(B2,TEXT(EDATE(B3,43),"dd mmmm yyyy"),TEXT(B3+((B5-B3)*43)+43,"dd mmmm yyyy")) &amp; " - " &amp; IF(B2,TEXT(EDATE(B3,44)-1,"dd mmmm yyyy"),TEXT(B3+(((B5-B3)*44)+43),"dd mmmm yyyy"))</f>
        <v>20 November 2027 - 19 December 2027</v>
      </c>
      <c r="B52" s="117"/>
    </row>
    <row r="53" spans="1:2" ht="20.25" customHeight="1">
      <c r="A53" s="110" t="str">
        <f>IF(B2,TEXT(EDATE(B3,44),"dd mmmm yyyy"),TEXT(B3+((B5-B3)*44)+44,"dd mmmm yyyy")) &amp; " - " &amp; IF(B2,TEXT(EDATE(B3,45)-1,"dd mmmm yyyy"),TEXT(B3+(((B5-B3)*45)+44),"dd mmmm yyyy"))</f>
        <v>20 December 2027 - 19 January 2028</v>
      </c>
      <c r="B53" s="118"/>
    </row>
    <row r="54" spans="1:2" ht="20.25" customHeight="1">
      <c r="A54" s="111" t="str">
        <f>IF(B2,TEXT(EDATE(B3,45),"dd mmmm yyyy"),TEXT(B3+((B5-B3)*45)+45,"dd mmmm yyyy")) &amp; " - " &amp; IF(B2,TEXT(EDATE(B3,46)-1,"dd mmmm yyyy"),TEXT(B3+(((B5-B3)*46)+45),"dd mmmm yyyy"))</f>
        <v>20 January 2028 - 19 February 2028</v>
      </c>
      <c r="B54" s="117" t="s">
        <v>22</v>
      </c>
    </row>
    <row r="55" spans="1:2" ht="20.25" customHeight="1">
      <c r="A55" s="111" t="str">
        <f>IF(B2,TEXT(EDATE(B3,46),"dd mmmm yyyy"),TEXT(B3+((B5-B3)*46)+46,"dd mmmm yyyy")) &amp; " - " &amp; IF(B2,TEXT(EDATE(B3,47)-1,"dd mmmm yyyy"),TEXT(B3+(((B5-B3)*47)+46),"dd mmmm yyyy"))</f>
        <v>20 February 2028 - 19 March 2028</v>
      </c>
      <c r="B55" s="117"/>
    </row>
    <row r="56" spans="1:2" ht="20.25" customHeight="1">
      <c r="A56" s="111" t="str">
        <f>IF(B2,TEXT(EDATE(B3,47),"dd mmmm yyyy"),TEXT(B3+((B5-B3)*47)+47,"dd mmmm yyyy")) &amp; " - " &amp; IF(B2,TEXT(EDATE(B3,48)-1,"dd mmmm yyyy"),TEXT(B3+(((B5-B3)*48)+47),"dd mmmm yyyy"))</f>
        <v>20 March 2028 - 19 April 2028</v>
      </c>
      <c r="B56" s="117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7" customFormat="1" ht="20.25" customHeight="1"/>
    <row r="66" s="67" customFormat="1" ht="20.25" customHeight="1"/>
    <row r="67" s="67" customFormat="1" ht="20.25" customHeight="1"/>
    <row r="68" s="67" customFormat="1" ht="20.25" customHeight="1"/>
    <row r="69" s="67" customFormat="1" ht="20.25" customHeight="1"/>
    <row r="70" s="67" customFormat="1" ht="20.25" customHeight="1"/>
    <row r="71" s="67" customFormat="1" ht="20.25" customHeight="1"/>
    <row r="72" s="67" customFormat="1" ht="20.25" customHeight="1"/>
    <row r="73" s="67" customFormat="1" ht="20.25" customHeight="1"/>
    <row r="74" s="67" customFormat="1" ht="20.25" customHeight="1"/>
    <row r="75" s="67" customFormat="1" ht="20.25" customHeight="1"/>
    <row r="76" s="67" customFormat="1" ht="20.25" customHeight="1"/>
    <row r="77" s="67" customFormat="1" ht="20.25" customHeight="1"/>
    <row r="78" s="67" customFormat="1" ht="20.25" customHeight="1"/>
    <row r="79" s="67" customFormat="1" ht="20.25" customHeight="1"/>
    <row r="80" s="67" customFormat="1" ht="20.25" customHeight="1"/>
    <row r="81" s="67" customFormat="1" ht="20.25" customHeight="1"/>
    <row r="82" s="67" customFormat="1" ht="20.25" customHeight="1"/>
    <row r="83" s="67" customFormat="1" ht="20.25" customHeight="1"/>
    <row r="84" s="67" customFormat="1" ht="20.25" customHeight="1"/>
    <row r="85" s="67" customFormat="1" ht="20.25" customHeight="1"/>
    <row r="86" s="67" customFormat="1" ht="20.25" customHeight="1"/>
    <row r="87" s="67" customFormat="1" ht="20.25" customHeight="1"/>
    <row r="88" s="67" customFormat="1" ht="20.25" customHeight="1"/>
    <row r="89" s="67" customFormat="1" ht="20.25" customHeight="1"/>
    <row r="90" s="67" customFormat="1" ht="20.25" customHeight="1"/>
    <row r="91" s="67" customFormat="1" ht="20.25" customHeight="1"/>
    <row r="92" s="67" customFormat="1" ht="20.25" customHeight="1"/>
    <row r="93" s="67" customFormat="1" ht="20.25" customHeight="1"/>
    <row r="94" s="67" customFormat="1" ht="20.25" customHeight="1"/>
    <row r="95" s="67" customFormat="1" ht="20.25" customHeight="1"/>
    <row r="96" s="67" customFormat="1" ht="20.25" customHeight="1"/>
    <row r="97" s="67" customFormat="1" ht="20.25" customHeight="1"/>
    <row r="98" s="67" customFormat="1" ht="20.25" customHeight="1"/>
    <row r="99" s="67" customFormat="1" ht="20.25" customHeight="1"/>
    <row r="100" s="67" customFormat="1" ht="20.25" customHeight="1"/>
    <row r="101" s="67" customFormat="1" ht="20.25" customHeight="1"/>
    <row r="102" s="67" customFormat="1" ht="20.25" customHeight="1"/>
    <row r="103" s="67" customFormat="1" ht="20.25" customHeight="1"/>
    <row r="104" s="67" customFormat="1" ht="20.25" customHeight="1"/>
    <row r="105" s="67" customFormat="1" ht="20.25" customHeight="1"/>
    <row r="106" s="67" customFormat="1" ht="20.25" customHeight="1"/>
    <row r="107" s="67" customFormat="1" ht="20.25" customHeight="1"/>
    <row r="108" s="67" customFormat="1" ht="20.25" customHeight="1"/>
    <row r="109" s="67" customFormat="1" ht="20.25" customHeight="1"/>
    <row r="110" s="67" customFormat="1" ht="20.25" customHeight="1"/>
    <row r="111" s="67" customFormat="1" ht="20.25" customHeight="1"/>
    <row r="112" s="67" customFormat="1" ht="20.25" customHeight="1"/>
    <row r="113" s="67" customFormat="1" ht="20.25" customHeight="1"/>
    <row r="114" s="67" customFormat="1" ht="20.25" customHeight="1"/>
    <row r="115" s="67" customFormat="1" ht="20.25" customHeight="1"/>
    <row r="116" s="67" customFormat="1" ht="20.25" customHeight="1"/>
    <row r="117" s="67" customFormat="1" ht="20.25" customHeight="1"/>
    <row r="118" s="67" customFormat="1" ht="20.25" customHeight="1"/>
    <row r="119" s="67" customFormat="1" ht="20.25" customHeight="1"/>
    <row r="120" s="67" customFormat="1" ht="20.25" customHeight="1"/>
    <row r="121" s="67" customFormat="1" ht="20.25" customHeight="1"/>
    <row r="122" s="67" customFormat="1" ht="20.25" customHeight="1"/>
    <row r="123" s="67" customFormat="1" ht="20.25" customHeight="1"/>
    <row r="124" s="67" customFormat="1" ht="20.25" customHeight="1"/>
    <row r="125" s="67" customFormat="1" ht="20.25" customHeight="1"/>
    <row r="126" s="67" customFormat="1" ht="20.25" customHeight="1"/>
    <row r="127" s="67" customFormat="1" ht="20.25" customHeight="1"/>
    <row r="129" s="67" customFormat="1" ht="20.25" customHeight="1"/>
    <row r="130" s="67" customFormat="1" ht="20.25" customHeight="1"/>
    <row r="131" s="67" customFormat="1" ht="20.25" customHeight="1"/>
    <row r="132" s="67" customFormat="1" ht="20.25" customHeight="1"/>
    <row r="133" s="67" customFormat="1" ht="20.25" customHeight="1"/>
    <row r="134" s="67" customFormat="1" ht="20.25" customHeight="1"/>
  </sheetData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1"/>
  <sheetViews>
    <sheetView topLeftCell="A52" workbookViewId="0">
      <selection activeCell="H10" sqref="H10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8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5" width="9" style="3"/>
    <col min="16" max="16" width="36" style="3" bestFit="1" customWidth="1"/>
    <col min="17" max="16384" width="9" style="3"/>
  </cols>
  <sheetData>
    <row r="2" spans="1:16" ht="36.75" customHeight="1">
      <c r="A2" s="201" t="str">
        <f>"Forecasts For the Year " &amp; TEXT(Main!B3,"mmmm yyyy") &amp; " to " &amp; IF(Main!B2,TEXT(EDATE(Main!B3,3)-1,"mmmm yyyy"),TEXT(Main!B3+((Main!B5-Main!B3)*3+2),"mmmm yyyy"))</f>
        <v>Forecasts For the Year April 2024 to July 2024</v>
      </c>
      <c r="B2" s="201"/>
      <c r="C2" s="201"/>
      <c r="D2" s="201"/>
      <c r="E2" s="201"/>
      <c r="F2" s="201"/>
      <c r="I2" s="199" t="s">
        <v>23</v>
      </c>
      <c r="J2" s="199"/>
      <c r="M2" s="199" t="s">
        <v>24</v>
      </c>
      <c r="N2" s="199"/>
    </row>
    <row r="3" spans="1:16" ht="36" customHeight="1">
      <c r="A3" s="176" t="s">
        <v>25</v>
      </c>
      <c r="B3" s="177"/>
      <c r="C3" s="177"/>
      <c r="D3" s="178" t="s">
        <v>26</v>
      </c>
      <c r="E3" s="178"/>
      <c r="F3" s="178"/>
      <c r="I3" s="58" t="s">
        <v>27</v>
      </c>
      <c r="J3" s="59" t="s">
        <v>28</v>
      </c>
      <c r="M3" s="65" t="s">
        <v>29</v>
      </c>
      <c r="N3" s="59" t="s">
        <v>30</v>
      </c>
      <c r="P3" s="9"/>
    </row>
    <row r="4" spans="1:16" ht="35.25" customHeight="1">
      <c r="A4" s="179" t="s">
        <v>31</v>
      </c>
      <c r="B4" s="37" t="s">
        <v>32</v>
      </c>
      <c r="C4" s="5">
        <v>329.6</v>
      </c>
      <c r="D4" s="181" t="s">
        <v>31</v>
      </c>
      <c r="E4" s="116" t="s">
        <v>32</v>
      </c>
      <c r="F4" s="7">
        <v>1129.5999999999999</v>
      </c>
      <c r="I4" s="60" t="str">
        <f>TEXT(Main!B3,"dd mmmm yyyy") &amp; " - " &amp; IF(Main!B2,TEXT(EDATE(Main!B3,1) - 1,"dd mmmm yyyy"),TEXT(Main!B3+(Main!B5-Main!B3)*1,"dd mmmm yyyy"))</f>
        <v>20 April 2024 - 19 May 2024</v>
      </c>
      <c r="J4" s="64">
        <f>E151</f>
        <v>0</v>
      </c>
      <c r="M4" s="66" t="str">
        <f>TEXT(Main!B3,"dd mmmm yyyy") &amp; " - " &amp; IF(Main!B2,TEXT(EDATE(Main!B3,3) - 1,"dd mmmm yyyy"),TEXT(Main!B3+((Main!B5-Main!B3)*3+2),"dd mmmm yyyy"))</f>
        <v>20 April 2024 - 19 July 2024</v>
      </c>
      <c r="N4" s="64">
        <f>-C124</f>
        <v>-24333</v>
      </c>
    </row>
    <row r="5" spans="1:16" ht="35.25" customHeight="1">
      <c r="A5" s="179"/>
      <c r="B5" s="37" t="s">
        <v>33</v>
      </c>
      <c r="C5" s="5">
        <v>60</v>
      </c>
      <c r="D5" s="182"/>
      <c r="E5" s="116" t="s">
        <v>33</v>
      </c>
      <c r="F5" s="7">
        <v>60</v>
      </c>
      <c r="I5" s="61" t="str">
        <f>IF(Main!B2,TEXT(EDATE(Main!B3,1),"dd mmmm yyyy"),TEXT(Main!B3+(Main!B5-Main!B3)+1,"dd mmmm yyyy")) &amp; " - " &amp; IF(Main!B2,TEXT(EDATE(Main!B3,2) - 1,"dd mmmm yyyy"),TEXT(Main!B3+(Main!B5-Main!B3)*2+1,"dd mmmm yyyy"))</f>
        <v>20 May 2024 - 19 June 2024</v>
      </c>
      <c r="J5" s="64">
        <f>E178</f>
        <v>-416.67999999999984</v>
      </c>
      <c r="M5" s="66" t="str">
        <f>IF(Main!B2,TEXT(EDATE(Main!B3,3),"dd mmmm yyyy"),TEXT(Main!B3+((Main!B5-Main!B3)*3+3),"dd mmmm yyyy")) &amp; " - " &amp; IF(Main!B2,TEXT(EDATE(Main!B3,6) - 1,"dd mmmm yyyy"),TEXT(Main!B3+((Main!B5-Main!B3)*6+5),"dd mmmm yyyy"))</f>
        <v>20 July 2024 - 19 October 2024</v>
      </c>
      <c r="N5" s="64">
        <f>'July 2024 - September 2024'!C5</f>
        <v>-11683</v>
      </c>
    </row>
    <row r="6" spans="1:16" ht="35.25" customHeight="1">
      <c r="A6" s="179"/>
      <c r="B6" s="37" t="s">
        <v>34</v>
      </c>
      <c r="C6" s="5">
        <v>0</v>
      </c>
      <c r="D6" s="182"/>
      <c r="E6" s="116" t="s">
        <v>34</v>
      </c>
      <c r="F6" s="7">
        <v>0</v>
      </c>
      <c r="I6" s="61" t="str">
        <f>IF(Main!B2,TEXT(EDATE(Main!B3,2),"dd mmmm yyyy"),TEXT(Main!B3+((Main!B5-Main!B3)*2)+2,"dd mmmm yyyy")) &amp; " - " &amp; IF(Main!B2,TEXT(EDATE(Main!B3,3) - 1,"dd mmmm yyyy"),TEXT(Main!B3+((Main!B5-Main!B3)*3+2),"dd mmmm yyyy"))</f>
        <v>20 June 2024 - 19 July 2024</v>
      </c>
      <c r="J6" s="64">
        <f>E210</f>
        <v>3260.119999999999</v>
      </c>
      <c r="M6" s="66" t="str">
        <f>IF(Main!B2,TEXT(EDATE(Main!B3,6),"dd mmmm yyyy"),TEXT(Main!B3+((Main!B5-Main!B3)*6+6),"dd mmmm yyyy")) &amp; " - " &amp; IF(Main!B2,TEXT(EDATE(Main!B3,9) - 1,"dd mmmm yyyy"),TEXT(Main!B3+((Main!B5-Main!B3)*9+8),"dd mmmm yyyy"))</f>
        <v>20 October 2024 - 19 January 2025</v>
      </c>
      <c r="N6" s="64">
        <f>'October 2024 - December 2024'!C5</f>
        <v>-10683</v>
      </c>
      <c r="P6" s="105"/>
    </row>
    <row r="7" spans="1:16" ht="35.25" customHeight="1">
      <c r="A7" s="179"/>
      <c r="B7" s="37" t="s">
        <v>35</v>
      </c>
      <c r="C7" s="5">
        <v>0</v>
      </c>
      <c r="D7" s="182"/>
      <c r="E7" s="116" t="s">
        <v>35</v>
      </c>
      <c r="F7" s="7">
        <v>0</v>
      </c>
      <c r="I7" s="62" t="str">
        <f>IF(Main!B2,TEXT(EDATE(Main!B3,3),"dd mmmm yyyy"),TEXT(Main!B3+((Main!B5-Main!B3)*3)+3,"dd mmmm yyyy")) &amp; " - "  &amp; IF(Main!B2,TEXT(EDATE(Main!B3,4) - 1,"dd mmmm yyyy"),TEXT(Main!B3+((Main!B5-Main!B3)*4+3),"dd mmmm yyyy"))</f>
        <v>20 July 2024 - 19 August 2024</v>
      </c>
      <c r="J7" s="64">
        <f>'July 2024 - September 2024'!E147</f>
        <v>699.83999999999833</v>
      </c>
      <c r="M7" s="66" t="str">
        <f>IF(Main!B2,TEXT(EDATE(Main!B3,9),"dd mmmm yyyy"),TEXT(Main!B3+((Main!B5-Main!B3)*9+9),"dd mmmm yyyy")) &amp; " - " &amp; IF(Main!B2,TEXT(EDATE(Main!B3,12) - 1,"dd mmmm yyyy"),TEXT(Main!B3+((Main!B5-Main!B3)*12+11),"dd mmmm yyyy"))</f>
        <v>20 January 2025 - 19 April 2025</v>
      </c>
      <c r="N7" s="64">
        <f>'January 2025 - March 2025'!C5</f>
        <v>-6983</v>
      </c>
    </row>
    <row r="8" spans="1:16" ht="35.25" customHeight="1">
      <c r="A8" s="179"/>
      <c r="B8" s="37" t="s">
        <v>36</v>
      </c>
      <c r="C8" s="5">
        <v>0</v>
      </c>
      <c r="D8" s="182"/>
      <c r="E8" s="116" t="s">
        <v>36</v>
      </c>
      <c r="F8" s="7">
        <v>0</v>
      </c>
      <c r="I8" s="62" t="str">
        <f>IF(Main!B2,TEXT(EDATE(Main!B3,4),"dd mmmm yyyy"),TEXT(Main!B3+((Main!B5-Main!B3)*4)+4,"dd mmmm yyyy")) &amp; " - "  &amp; IF(Main!B2,TEXT(EDATE(Main!B3,5) - 1,"dd mmmm yyyy"),TEXT(Main!B3+((Main!B5-Main!B3)*5+4),"dd mmmm yyyy"))</f>
        <v>20 August 2024 - 19 September 2024</v>
      </c>
      <c r="J8" s="64">
        <f>'July 2024 - September 2024'!E174</f>
        <v>625.06999999999834</v>
      </c>
      <c r="M8" s="66" t="str">
        <f>IF(Main!B2,TEXT(EDATE(Main!B3,12),"dd mmmm yyyy"),TEXT(Main!B3+((Main!B5-Main!B3)*12+12),"dd mmmm yyyy")) &amp; " - " &amp; IF(Main!B2,TEXT(EDATE(Main!B3,15) - 1,"dd mmmm yyyy"),TEXT(Main!B3+((Main!B5-Main!B3)*15+14),"dd mmmm yyyy"))</f>
        <v>20 April 2025 - 19 July 2025</v>
      </c>
      <c r="N8" s="64">
        <f>'April 2025 - June 2025'!C5</f>
        <v>-3083</v>
      </c>
    </row>
    <row r="9" spans="1:16" ht="45" customHeight="1">
      <c r="A9" s="179"/>
      <c r="B9" s="37" t="s">
        <v>37</v>
      </c>
      <c r="C9" s="5">
        <v>0</v>
      </c>
      <c r="D9" s="182"/>
      <c r="E9" s="116" t="s">
        <v>37</v>
      </c>
      <c r="F9" s="7">
        <v>0</v>
      </c>
      <c r="H9" s="9"/>
      <c r="I9" s="61" t="str">
        <f>IF(Main!B2,TEXT(EDATE(Main!B3,5),"dd mmmm yyyy"),TEXT(Main!B3+((Main!B5-Main!B3)*5)+5,"dd mmmm yyyy")) &amp; " - " &amp; IF(Main!B2,TEXT(EDATE(Main!B3,6) - 1,"dd mmmm yyyy"),TEXT(Main!B3+((Main!B5-Main!B3)*6+5),"dd mmmm yyyy"))</f>
        <v>20 September 2024 - 19 October 2024</v>
      </c>
      <c r="J9" s="64">
        <f>'July 2024 - September 2024'!E202</f>
        <v>502.70999999999822</v>
      </c>
      <c r="M9" s="76" t="str">
        <f>IF(Main!B2,TEXT(EDATE(Main!B3,15),"dd mmmm yyyy"),TEXT(Main!B3+((Main!B5-Main!B3)*15+15),"dd mmmm yyyy")) &amp; " - " &amp; IF(Main!B2,TEXT(EDATE(Main!B3,18) - 1,"dd mmmm yyyy"),TEXT(Main!B3+((Main!B5-Main!B3)*18+17),"dd mmmm yyyy"))</f>
        <v>20 July 2025 - 19 October 2025</v>
      </c>
      <c r="N9" s="64">
        <f>'July 2025 - September 2025'!C5</f>
        <v>0</v>
      </c>
    </row>
    <row r="10" spans="1:16" ht="39.75" customHeight="1">
      <c r="A10" s="179"/>
      <c r="B10" s="37" t="s">
        <v>38</v>
      </c>
      <c r="C10" s="5">
        <v>0</v>
      </c>
      <c r="D10" s="182"/>
      <c r="E10" s="116" t="s">
        <v>38</v>
      </c>
      <c r="F10" s="7">
        <v>0</v>
      </c>
      <c r="I10" s="61" t="str">
        <f>IF(Main!B2,TEXT(EDATE(Main!B3,6),"dd mmmm yyyy"),TEXT(Main!B3+((Main!B5-Main!B3)*6)+6,"dd mmmm yyyy")) &amp; " - "  &amp; IF(Main!B2,TEXT(EDATE(Main!B3,7) - 1,"dd mmmm yyyy"),TEXT(Main!B3+((Main!B5-Main!B3)*7+6),"dd mmmm yyyy"))</f>
        <v>20 October 2024 - 19 November 2024</v>
      </c>
      <c r="J10" s="64">
        <f>'October 2024 - December 2024'!E147</f>
        <v>125.15999999999804</v>
      </c>
      <c r="M10" s="66" t="str">
        <f>IF(Main!B2,TEXT(EDATE(Main!B3,18),"dd mmmm yyyy"),TEXT(Main!B3+((Main!B5-Main!B3)*18+18),"dd mmmm yyyy")) &amp; " - " &amp; IF(Main!B2,TEXT(EDATE(Main!B3,21) - 1,"dd mmmm yyyy"),TEXT(Main!B3+((Main!B5-Main!B3)*21+20),"dd mmmm yyyy"))</f>
        <v>20 October 2025 - 19 January 2026</v>
      </c>
      <c r="N10" s="75">
        <f>'October 2025 - December 2025'!C5</f>
        <v>0</v>
      </c>
    </row>
    <row r="11" spans="1:16" ht="35.25" customHeight="1">
      <c r="A11" s="179"/>
      <c r="B11" s="37" t="s">
        <v>39</v>
      </c>
      <c r="C11" s="5">
        <v>0</v>
      </c>
      <c r="D11" s="182"/>
      <c r="E11" s="116" t="s">
        <v>39</v>
      </c>
      <c r="F11" s="7">
        <v>0</v>
      </c>
      <c r="I11" s="61" t="str">
        <f>IF(Main!B2,TEXT(EDATE(Main!B3,7),"dd mmmm yyyy"),TEXT(Main!B3+((Main!B5-Main!B3)*7)+7,"dd mmmm yyyy"))  &amp; " - " &amp; IF(Main!B2,TEXT(EDATE(Main!B3,8) - 1,"dd mmmm yyyy"),TEXT(Main!B3+((Main!B5-Main!B3)*8+7),"dd mmmm yyyy"))</f>
        <v>20 November 2024 - 19 December 2024</v>
      </c>
      <c r="J11" s="64">
        <f>'October 2024 - December 2024'!E174</f>
        <v>229.39999999999782</v>
      </c>
      <c r="M11" s="77" t="str">
        <f>IF(Main!B2,TEXT(EDATE(Main!B3,21),"dd mmmm yyyy"),TEXT(Main!B3+((Main!B5-Main!B3)*21+21),"dd mmmm yyyy")) &amp; " - " &amp; IF(Main!B2,TEXT(EDATE(Main!B3,24) - 1,"dd mmmm yyyy"),TEXT(Main!B3+((Main!B5-Main!B3)*24+23),"dd mmmm yyyy"))</f>
        <v>20 January 2026 - 19 April 2026</v>
      </c>
      <c r="N11" s="64">
        <f>Forecast_8!C5</f>
        <v>0</v>
      </c>
    </row>
    <row r="12" spans="1:16" ht="35.25" customHeight="1">
      <c r="A12" s="179"/>
      <c r="B12" s="37" t="s">
        <v>40</v>
      </c>
      <c r="C12" s="5">
        <v>41.3</v>
      </c>
      <c r="D12" s="182"/>
      <c r="E12" s="116" t="s">
        <v>40</v>
      </c>
      <c r="F12" s="7">
        <v>41.3</v>
      </c>
      <c r="H12" s="9"/>
      <c r="I12" s="61" t="str">
        <f>IF(Main!B2,TEXT(EDATE(Main!B3,8),"dd mmmm yyyy"),TEXT(Main!B3+((Main!B5-Main!B3)*8)+8,"dd mmmm yyyy")) &amp; " - "  &amp; IF(Main!B2,TEXT(EDATE(Main!B3,9) - 1,"dd mmmm yyyy"),TEXT(Main!B3+((Main!B5-Main!B3)*9+8),"dd mmmm yyyy"))</f>
        <v>20 December 2024 - 19 January 2025</v>
      </c>
      <c r="J12" s="64">
        <f>'October 2024 - December 2024'!E201</f>
        <v>173.33999999999833</v>
      </c>
      <c r="M12" s="66" t="str">
        <f>IF(Main!B2,TEXT(EDATE(Main!B3,24),"dd mmmm yyyy"),TEXT(Main!B3+((Main!B5-Main!B3)*24+24),"dd mmmm yyyy")) &amp; " - " &amp; IF(Main!B2,TEXT(EDATE(Main!B3,27) - 1,"dd mmmm yyyy"),TEXT(Main!B3+((Main!B5-Main!B3)*27+26),"dd mmmm yyyy"))</f>
        <v>20 April 2026 - 19 July 2026</v>
      </c>
      <c r="N12" s="74">
        <f>Forecast_9!C5</f>
        <v>0</v>
      </c>
    </row>
    <row r="13" spans="1:16" ht="35.25" customHeight="1">
      <c r="A13" s="179"/>
      <c r="B13" s="37" t="s">
        <v>41</v>
      </c>
      <c r="C13" s="5">
        <v>138</v>
      </c>
      <c r="D13" s="182"/>
      <c r="E13" s="1" t="s">
        <v>41</v>
      </c>
      <c r="F13" s="7">
        <v>138</v>
      </c>
      <c r="I13" s="61" t="str">
        <f>IF(Main!B2,TEXT(EDATE(Main!B3,9),"dd mmmm yyyy"),TEXT(Main!B3+((Main!B5-Main!B3)*9)+9,"dd mmmm yyyy")) &amp; " - "  &amp; IF(Main!B2,TEXT(EDATE(Main!B3,10) - 1,"dd mmmm yyyy"),TEXT(Main!B3+((Main!B5-Main!B3)*10+9),"dd mmmm yyyy"))</f>
        <v>20 January 2025 - 19 February 2025</v>
      </c>
      <c r="J13" s="64">
        <f>'January 2025 - March 2025'!E141</f>
        <v>111.99999999999818</v>
      </c>
      <c r="M13" s="61" t="str">
        <f>IF(Main!B2,TEXT(EDATE(Main!B3,27),"dd mmmm yyyy"),TEXT(Main!B3+((Main!B5-Main!B3)*27+27),"dd mmmm yyyy")) &amp; " - " &amp; IF(Main!B2,TEXT(EDATE(Main!B3,30) - 1,"dd mmmm yyyy"),TEXT(Main!B3+((Main!B5-Main!B3)*30+29),"dd mmmm yyyy"))</f>
        <v>20 July 2026 - 19 October 2026</v>
      </c>
      <c r="N13" s="74">
        <f>Forecast_10!C5</f>
        <v>0</v>
      </c>
    </row>
    <row r="14" spans="1:16" ht="35.25" customHeight="1">
      <c r="A14" s="179"/>
      <c r="B14" s="37" t="s">
        <v>42</v>
      </c>
      <c r="C14" s="5">
        <v>7</v>
      </c>
      <c r="D14" s="182"/>
      <c r="E14" s="1" t="s">
        <v>42</v>
      </c>
      <c r="F14" s="7">
        <v>7</v>
      </c>
      <c r="I14" s="63" t="str">
        <f>IF(Main!B2,TEXT(EDATE(Main!B3,10),"dd mmmm yyyy"),TEXT(Main!B3+((Main!B5-Main!B3)*10)+10,"dd mmmm yyyy")) &amp; " - "   &amp; IF(Main!B2,TEXT(EDATE(Main!B3,11) - 1,"dd mmmm yyyy"),TEXT(Main!B3+((Main!B5-Main!B3)*11+10),"dd mmmm yyyy"))</f>
        <v>20 February 2025 - 19 March 2025</v>
      </c>
      <c r="J14" s="64">
        <f>'January 2025 - March 2025'!E168</f>
        <v>598.79999999999836</v>
      </c>
      <c r="M14" s="61" t="str">
        <f>IF(Main!B2,TEXT(EDATE(Main!B3,30),"dd mmmm yyyy"),TEXT(Main!B3+((Main!B5-Main!B3)*30+30),"dd mmmm yyyy")) &amp; " - " &amp; IF(Main!B2,TEXT(EDATE(Main!B3,33) - 1,"dd mmmm yyyy"),TEXT(Main!B3+((Main!B5-Main!B3)*33+32),"dd mmmm yyyy"))</f>
        <v>20 October 2026 - 19 January 2027</v>
      </c>
      <c r="N14" s="74">
        <f>Forecast_11!C5</f>
        <v>0</v>
      </c>
    </row>
    <row r="15" spans="1:16" ht="35.25" customHeight="1">
      <c r="A15" s="179"/>
      <c r="B15" s="37" t="s">
        <v>43</v>
      </c>
      <c r="C15" s="5">
        <v>22.9</v>
      </c>
      <c r="D15" s="182"/>
      <c r="E15" s="1" t="s">
        <v>43</v>
      </c>
      <c r="F15" s="7">
        <v>22.9</v>
      </c>
      <c r="I15" s="63" t="str">
        <f>IF(Main!B2,TEXT(EDATE(Main!B3,11),"dd mmmm yyyy"),TEXT(Main!B3+((Main!B5-Main!B3)*11)+11,"dd mmmm yyyy")) &amp; " - "  &amp; IF(Main!B2,TEXT(EDATE(Main!B3,12) - 1,"dd mmmm yyyy"),TEXT(Main!B3+((Main!B5-Main!B3)*12+11),"dd mmmm yyyy"))</f>
        <v>20 March 2025 - 19 April 2025</v>
      </c>
      <c r="J15" s="74">
        <f>'January 2025 - March 2025'!E195</f>
        <v>544.79999999999836</v>
      </c>
      <c r="M15" s="61" t="str">
        <f>IF(Main!B2,TEXT(EDATE(Main!B3,33),"dd mmmm yyyy"),TEXT(Main!B3+((Main!B5-Main!B3)*33+33),"dd mmmm yyyy")) &amp; " - " &amp; IF(Main!B2,TEXT(EDATE(Main!B3,36) - 1,"dd mmmm yyyy"),TEXT(Main!B3+((Main!B5-Main!B3)*36+35),"dd mmmm yyyy"))</f>
        <v>20 January 2027 - 19 April 2027</v>
      </c>
      <c r="N15" s="74">
        <f>Forecast_12!C5</f>
        <v>0</v>
      </c>
    </row>
    <row r="16" spans="1:16" ht="35.25" customHeight="1">
      <c r="A16" s="179"/>
      <c r="B16" s="108" t="s">
        <v>44</v>
      </c>
      <c r="C16" s="5">
        <v>0</v>
      </c>
      <c r="D16" s="182"/>
      <c r="E16" s="1" t="s">
        <v>44</v>
      </c>
      <c r="F16" s="7">
        <v>0</v>
      </c>
      <c r="I16" s="66" t="str">
        <f>IF(Main!B2,TEXT(EDATE(Main!B3,12),"dd mmmm yyyy"),TEXT(Main!B3+((Main!B5-Main!B3)*12)+12,"dd mmmm yyyy")) &amp; " - "  &amp; IF(Main!B2,TEXT(EDATE(Main!B3,13) - 1,"dd mmmm yyyy"),TEXT(Main!B3+((Main!B5-Main!B3)*13+12),"dd mmmm yyyy"))</f>
        <v>20 April 2025 - 19 May 2025</v>
      </c>
      <c r="J16" s="74">
        <f>'April 2025 - June 2025'!E136</f>
        <v>490.79999999999836</v>
      </c>
      <c r="M16" s="61" t="str">
        <f>IF(Main!B2,TEXT(EDATE(Main!B3,36),"dd mmmm yyyy"),TEXT(Main!B3+((Main!B5-Main!B3)*36+36),"dd mmmm yyyy")) &amp; " - " &amp; IF(Main!B2,TEXT(EDATE(Main!B3,39) - 1,"dd mmmm yyyy"),TEXT(Main!B3+((Main!B5-Main!B3)*39+38),"dd mmmm yyyy"))</f>
        <v>20 April 2027 - 19 July 2027</v>
      </c>
      <c r="N16" s="74">
        <f>Forecast_13!C5</f>
        <v>0</v>
      </c>
    </row>
    <row r="17" spans="1:14" ht="35.25" customHeight="1">
      <c r="A17" s="180"/>
      <c r="B17" s="106" t="s">
        <v>45</v>
      </c>
      <c r="C17" s="107">
        <f>SUM(C4:C16)</f>
        <v>598.80000000000007</v>
      </c>
      <c r="D17" s="183"/>
      <c r="E17" s="106" t="s">
        <v>45</v>
      </c>
      <c r="F17" s="6">
        <f>SUM(F4:F16)</f>
        <v>1398.8</v>
      </c>
      <c r="I17" s="66" t="str">
        <f>IF(Main!B2,TEXT(EDATE(Main!B3,13),"dd mmmm yyyy"),TEXT(Main!B3+((Main!B5-Main!B3)*13)+13,"dd mmmm yyyy")) &amp; " - "  &amp; IF(Main!B2,TEXT(EDATE(Main!B3,14) - 1,"dd mmmm yyyy"),TEXT(Main!B3+((Main!B5-Main!B3)*14+13),"dd mmmm yyyy"))</f>
        <v>20 May 2025 - 19 June 2025</v>
      </c>
      <c r="J17" s="74">
        <f>'April 2025 - June 2025'!E163</f>
        <v>427.79999999999836</v>
      </c>
      <c r="M17" s="61" t="str">
        <f>IF(Main!B2,TEXT(EDATE(Main!B3,39),"dd mmmm yyyy"),TEXT(Main!B3+((Main!B5-Main!B3)*39+39),"dd mmmm yyyy")) &amp; " - " &amp; IF(Main!B2,TEXT(EDATE(Main!B3,42) - 1,"dd mmmm yyyy"),TEXT(Main!B3+((Main!B5-Main!B3)*42+41),"dd mmmm yyyy"))</f>
        <v>20 July 2027 - 19 October 2027</v>
      </c>
      <c r="N17" s="74">
        <f>Forecast_14!C5</f>
        <v>0</v>
      </c>
    </row>
    <row r="18" spans="1:14" ht="35.25" customHeight="1">
      <c r="I18" s="66" t="str">
        <f>IF(Main!B2,TEXT(EDATE(Main!B3,14),"dd mmmm yyyy"),TEXT(Main!B3+((Main!B5-Main!B3)*14)+14,"dd mmmm yyyy")) &amp; " - "  &amp; IF(Main!B2,TEXT(EDATE(Main!B3,15) - 1,"dd mmmm yyyy"),TEXT(Main!B3+((Main!B5-Main!B3)*15+14),"dd mmmm yyyy"))</f>
        <v>20 June 2025 - 19 July 2025</v>
      </c>
      <c r="J18" s="74">
        <f>'April 2025 - June 2025'!E190</f>
        <v>473.79999999999836</v>
      </c>
      <c r="M18" s="61" t="str">
        <f>IF(Main!B2,TEXT(EDATE(Main!B3,42),"dd mmmm yyyy"),TEXT(Main!B3+((Main!B5-Main!B3)*42+42),"dd mmmm yyyy")) &amp; " - " &amp; IF(Main!B2,TEXT(EDATE(Main!B3,45) - 1,"dd mmmm yyyy"),TEXT(Main!B3+((Main!B5-Main!B3)*45+44),"dd mmmm yyyy"))</f>
        <v>20 October 2027 - 19 January 2028</v>
      </c>
      <c r="N18" s="74">
        <f>Forecast_15!C5</f>
        <v>0</v>
      </c>
    </row>
    <row r="19" spans="1:14" ht="35.25" customHeight="1">
      <c r="I19" s="66" t="str">
        <f>IF(Main!B2,TEXT(EDATE(Main!B3,15),"dd mmmm yyyy"),TEXT(Main!B3+((Main!B5-Main!B3)*15)+15,"dd mmmm yyyy")) &amp; " - "  &amp; IF(Main!B2,TEXT(EDATE(Main!B3,16) - 1,"dd mmmm yyyy"),TEXT(Main!B3+((Main!B5-Main!B3)*16+15),"dd mmmm yyyy"))</f>
        <v>20 July 2025 - 19 August 2025</v>
      </c>
      <c r="J19" s="74">
        <f>'July 2025 - September 2025'!E136</f>
        <v>425.79999999999836</v>
      </c>
      <c r="M19" s="61" t="str">
        <f>IF(Main!B2,TEXT(EDATE(Main!B3,45),"dd mmmm yyyy"),TEXT(Main!B3+((Main!B5-Main!B3)*45+45),"dd mmmm yyyy")) &amp; " - " &amp; IF(Main!B2,TEXT(EDATE(Main!B3,48) - 1,"dd mmmm yyyy"),TEXT(Main!B3+((Main!B5-Main!B3)*48+47),"dd mmmm yyyy"))</f>
        <v>20 January 2028 - 19 April 2028</v>
      </c>
      <c r="N19" s="64">
        <f>Forecast_16!C5</f>
        <v>0</v>
      </c>
    </row>
    <row r="20" spans="1:14" ht="33" customHeight="1">
      <c r="I20" s="66" t="str">
        <f>IF(Main!B2,TEXT(EDATE(Main!B3,16),"dd mmmm yyyy"),TEXT(Main!B3+((Main!B5-Main!B3)*16)+16,"dd mmmm yyyy")) &amp; " - "  &amp; IF(Main!B2,TEXT(EDATE(Main!B3,17) - 1,"dd mmmm yyyy"),TEXT(Main!B3+((Main!B5-Main!B3)*17+16),"dd mmmm yyyy"))</f>
        <v>20 August 2025 - 19 September 2025</v>
      </c>
      <c r="J20" s="74">
        <f>'July 2025 - September 2025'!E163</f>
        <v>421.79999999999836</v>
      </c>
    </row>
    <row r="21" spans="1:14" ht="35.25" customHeight="1">
      <c r="I21" s="66" t="str">
        <f>IF(Main!B2,TEXT(EDATE(Main!B3,17),"dd mmmm yyyy"),TEXT(Main!B3+((Main!B5-Main!B3)*17)+17,"dd mmmm yyyy")) &amp; " - "  &amp; IF(Main!B2,TEXT(EDATE(Main!B3,18) - 1,"dd mmmm yyyy"),TEXT(Main!B3+((Main!B5-Main!B3)*18+17),"dd mmmm yyyy"))</f>
        <v>20 September 2025 - 19 October 2025</v>
      </c>
      <c r="J21" s="74">
        <f>'July 2025 - September 2025'!E190</f>
        <v>440.79999999999836</v>
      </c>
    </row>
    <row r="22" spans="1:14" ht="35.25" customHeight="1">
      <c r="I22" s="66" t="str">
        <f>IF(Main!B2,TEXT(EDATE(Main!B3,18),"dd mmmm yyyy"),TEXT(Main!B3+((Main!B5-Main!B3)*18)+18,"dd mmmm yyyy")) &amp; " - "  &amp; IF(Main!B2,TEXT(EDATE(Main!B3,19) - 1,"dd mmmm yyyy"),TEXT(Main!B3+((Main!B5-Main!B3)*19+18),"dd mmmm yyyy"))</f>
        <v>20 October 2025 - 19 November 2025</v>
      </c>
      <c r="J22" s="74">
        <f>'October 2025 - December 2025'!E136</f>
        <v>1561.7999999999984</v>
      </c>
    </row>
    <row r="23" spans="1:14" ht="24.75" customHeight="1">
      <c r="A23" s="172" t="str">
        <f>TEXT(Main!B3,"dd mmmm yyyy") &amp; " - " &amp; IF(Main!B2,TEXT(EDATE(Main!B3,1)-1,"dd mmmm yyyy"),TEXT(Main!B3+Main!B5-Main!B3,"dd mmmm yyyy")) &amp; " / " &amp; " (Revenue / Deferred Debts Or Expenses)"</f>
        <v>20 April 2024 - 19 May 2024 /  (Revenue / Deferred Debts Or Expenses)</v>
      </c>
      <c r="B23" s="173"/>
      <c r="C23" s="173"/>
      <c r="D23" s="173"/>
      <c r="E23" s="173"/>
      <c r="F23" s="173"/>
      <c r="G23" s="173"/>
      <c r="I23" s="66" t="str">
        <f>IF(Main!B2,TEXT(EDATE(Main!B3,19),"dd mmmm yyyy"),TEXT(Main!B3+((Main!B5-Main!B3)*19)+19,"dd mmmm yyyy")) &amp; " - "  &amp; IF(Main!B2,TEXT(EDATE(Main!B3,20) - 1,"dd mmmm yyyy"),TEXT(Main!B3+((Main!B5-Main!B3)*20+19),"dd mmmm yyyy"))</f>
        <v>20 November 2025 - 19 December 2025</v>
      </c>
      <c r="J23" s="74">
        <f>'October 2025 - December 2025'!E163</f>
        <v>2738.7999999999984</v>
      </c>
    </row>
    <row r="24" spans="1:14" ht="24.75" customHeight="1">
      <c r="A24" s="114" t="s">
        <v>27</v>
      </c>
      <c r="B24" s="149" t="s">
        <v>46</v>
      </c>
      <c r="C24" s="149"/>
      <c r="D24" s="164" t="s">
        <v>47</v>
      </c>
      <c r="E24" s="164"/>
      <c r="F24" s="164" t="s">
        <v>48</v>
      </c>
      <c r="G24" s="164"/>
      <c r="I24" s="66" t="str">
        <f>IF(Main!B2,TEXT(EDATE(Main!B3,20),"dd mmmm yyyy"),TEXT(Main!B3+((Main!B5-Main!B3)*20)+20,"dd mmmm yyyy")) &amp; " - "  &amp; IF(Main!B2,TEXT(EDATE(Main!B3,21) - 1,"dd mmmm yyyy"),TEXT(Main!B3+((Main!B5-Main!B3)*21+20),"dd mmmm yyyy"))</f>
        <v>20 December 2025 - 19 January 2026</v>
      </c>
      <c r="J24" s="74">
        <f>'October 2025 - December 2025'!E190</f>
        <v>3859.7999999999984</v>
      </c>
    </row>
    <row r="25" spans="1:14" ht="34.5" customHeight="1">
      <c r="A25" s="2" t="s">
        <v>49</v>
      </c>
      <c r="B25" s="166" t="s">
        <v>50</v>
      </c>
      <c r="C25" s="167"/>
      <c r="D25" s="167" t="s">
        <v>51</v>
      </c>
      <c r="E25" s="167"/>
      <c r="F25" s="168">
        <v>2405</v>
      </c>
      <c r="G25" s="157"/>
      <c r="I25" s="66" t="str">
        <f>IF(Main!B2,TEXT(EDATE(Main!B3,21),"dd mmmm yyyy"),TEXT(Main!B3+((Main!B5-Main!B3)*21)+21,"dd mmmm yyyy")) &amp; " - "  &amp; IF(Main!B2,TEXT(EDATE(Main!B3,22) - 1,"dd mmmm yyyy"),TEXT(Main!B3+((Main!B5-Main!B3)*22+21),"dd mmmm yyyy"))</f>
        <v>20 January 2026 - 19 February 2026</v>
      </c>
      <c r="J25" s="74">
        <f>Forecast_8!E136</f>
        <v>3859.7999999999984</v>
      </c>
    </row>
    <row r="26" spans="1:14" ht="30" customHeight="1">
      <c r="A26" s="2"/>
      <c r="B26" s="150" t="s">
        <v>52</v>
      </c>
      <c r="C26" s="151"/>
      <c r="D26" s="152"/>
      <c r="E26" s="153"/>
      <c r="F26" s="168">
        <v>0</v>
      </c>
      <c r="G26" s="157"/>
      <c r="I26" s="66" t="str">
        <f>IF(Main!B2,TEXT(EDATE(Main!B3,22),"dd mmmm yyyy"),TEXT(Main!B3+((Main!B5-Main!B3)*22)+22,"dd mmmm yyyy")) &amp; " - "  &amp; IF(Main!B2,TEXT(EDATE(Main!B3,23) - 1,"dd mmmm yyyy"),TEXT(Main!B3+((Main!B5-Main!B3)*23+22),"dd mmmm yyyy"))</f>
        <v>20 February 2026 - 19 March 2026</v>
      </c>
      <c r="J26" s="74">
        <f>Forecast_8!E163</f>
        <v>3859.7999999999984</v>
      </c>
    </row>
    <row r="27" spans="1:14" ht="30" customHeight="1">
      <c r="A27" s="2"/>
      <c r="B27" s="150" t="s">
        <v>53</v>
      </c>
      <c r="C27" s="151"/>
      <c r="D27" s="152"/>
      <c r="E27" s="153"/>
      <c r="F27" s="168">
        <v>0</v>
      </c>
      <c r="G27" s="157"/>
      <c r="I27" s="63" t="str">
        <f>IF(Main!B2,TEXT(EDATE(Main!B3,23),"dd mmmm yyyy"),TEXT(Main!B3+((Main!B5-Main!B3)*23)+23,"dd mmmm yyyy")) &amp; " - "  &amp; IF(Main!B2,TEXT(EDATE(Main!B3,24) - 1,"dd mmmm yyyy"),TEXT(Main!B3+((Main!B5-Main!B3)*24+23),"dd mmmm yyyy"))</f>
        <v>20 March 2026 - 19 April 2026</v>
      </c>
      <c r="J27" s="74">
        <f>Forecast_8!E190</f>
        <v>3859.7999999999984</v>
      </c>
    </row>
    <row r="28" spans="1:14" ht="30" customHeight="1">
      <c r="A28" s="2"/>
      <c r="B28" s="150" t="s">
        <v>54</v>
      </c>
      <c r="C28" s="151"/>
      <c r="D28" s="152"/>
      <c r="E28" s="153"/>
      <c r="F28" s="168">
        <v>0</v>
      </c>
      <c r="G28" s="157"/>
      <c r="I28" s="66" t="str">
        <f>IF(Main!B2,TEXT(EDATE(Main!B3,24),"dd mmmm yyyy"),TEXT(Main!B3+((Main!B5-Main!B3)*24)+24,"dd mmmm yyyy")) &amp; " - "  &amp; IF(Main!B2,TEXT(EDATE(Main!B3,25) - 1,"dd mmmm yyyy"),TEXT(Main!B3+((Main!B5-Main!B3)*25+24),"dd mmmm yyyy"))</f>
        <v>20 April 2026 - 19 May 2026</v>
      </c>
      <c r="J28" s="74">
        <f>Forecast_9!E136</f>
        <v>3859.7999999999984</v>
      </c>
    </row>
    <row r="29" spans="1:14" ht="30" customHeight="1">
      <c r="A29" s="2"/>
      <c r="B29" s="150" t="s">
        <v>55</v>
      </c>
      <c r="C29" s="151"/>
      <c r="D29" s="152"/>
      <c r="E29" s="153"/>
      <c r="F29" s="168">
        <v>0</v>
      </c>
      <c r="G29" s="157"/>
      <c r="I29" s="66" t="str">
        <f>IF(Main!B2,TEXT(EDATE(Main!B3,25),"dd mmmm yyyy"),TEXT(Main!B3+((Main!B5-Main!B3)*25)+25,"dd mmmm yyyy")) &amp; " - "  &amp; IF(Main!B2,TEXT(EDATE(Main!B3,26) - 1,"dd mmmm yyyy"),TEXT(Main!B3+((Main!B5-Main!B3)*26+25),"dd mmmm yyyy"))</f>
        <v>20 May 2026 - 19 June 2026</v>
      </c>
      <c r="J29" s="74">
        <f>Forecast_9!E163</f>
        <v>3859.7999999999984</v>
      </c>
    </row>
    <row r="30" spans="1:14" ht="30" customHeight="1">
      <c r="A30" s="2"/>
      <c r="B30" s="150" t="s">
        <v>44</v>
      </c>
      <c r="C30" s="151"/>
      <c r="D30" s="152"/>
      <c r="E30" s="153"/>
      <c r="F30" s="168">
        <v>0</v>
      </c>
      <c r="G30" s="157"/>
      <c r="I30" s="61" t="str">
        <f>IF(Main!B2,TEXT(EDATE(Main!B3,26),"dd mmmm yyyy"),TEXT(Main!B3+((Main!B5-Main!B3)*26)+26,"dd mmmm yyyy")) &amp; " - "  &amp; IF(Main!B2,TEXT(EDATE(Main!B3,27) - 1,"dd mmmm yyyy"),TEXT(Main!B3+((Main!B5-Main!B3)*27+26),"dd mmmm yyyy"))</f>
        <v>20 June 2026 - 19 July 2026</v>
      </c>
      <c r="J30" s="64">
        <f>Forecast_9!E190</f>
        <v>3859.7999999999984</v>
      </c>
    </row>
    <row r="31" spans="1:14" ht="30" customHeight="1">
      <c r="A31" s="4"/>
      <c r="B31" s="158"/>
      <c r="C31" s="159"/>
      <c r="D31" s="160" t="s">
        <v>56</v>
      </c>
      <c r="E31" s="161"/>
      <c r="F31" s="162">
        <f>SUM(F25:G30)</f>
        <v>2405</v>
      </c>
      <c r="G31" s="163"/>
      <c r="I31" s="66" t="str">
        <f>IF(Main!B2,TEXT(EDATE(Main!B3,27),"dd mmmm yyyy"),TEXT(Main!B3+((Main!B5-Main!B3)*27)+27,"dd mmmm yyyy")) &amp; " - "  &amp; IF(Main!B2,TEXT(EDATE(Main!B3,28) - 1,"dd mmmm yyyy"),TEXT(Main!B3+((Main!B5-Main!B3)*28+27),"dd mmmm yyyy"))</f>
        <v>20 July 2026 - 19 August 2026</v>
      </c>
      <c r="J31" s="78">
        <f>Forecast_10!E136</f>
        <v>3859.7999999999984</v>
      </c>
    </row>
    <row r="32" spans="1:14" ht="30" customHeight="1">
      <c r="I32" s="66" t="str">
        <f>IF(Main!B2,TEXT(EDATE(Main!B3,28),"dd mmmm yyyy"),TEXT(Main!B3+((Main!B5-Main!B3)*28)+28,"dd mmmm yyyy")) &amp; " - "  &amp; IF(Main!B2,TEXT(EDATE(Main!B3,29) - 1,"dd mmmm yyyy"),TEXT(Main!B3+((Main!B5-Main!B3)*29+28),"dd mmmm yyyy"))</f>
        <v>20 August 2026 - 19 September 2026</v>
      </c>
      <c r="J32" s="74">
        <f>Forecast_10!E163</f>
        <v>3859.7999999999984</v>
      </c>
    </row>
    <row r="33" spans="1:10" ht="27.75" customHeight="1">
      <c r="I33" s="66" t="str">
        <f>IF(Main!B2,TEXT(EDATE(Main!B3,29),"dd mmmm yyyy"),TEXT(Main!B3+((Main!B5-Main!B3)*29)+29,"dd mmmm yyyy")) &amp; " - "  &amp; IF(Main!B2,TEXT(EDATE(Main!B3,30) - 1,"dd mmmm yyyy"),TEXT(Main!B3+((Main!B5-Main!B3)*30+29),"dd mmmm yyyy"))</f>
        <v>20 September 2026 - 19 October 2026</v>
      </c>
      <c r="J33" s="74">
        <f>Forecast_10!E190</f>
        <v>3859.7999999999984</v>
      </c>
    </row>
    <row r="34" spans="1:10" ht="30" customHeight="1">
      <c r="I34" s="66" t="str">
        <f>IF(Main!B2,TEXT(EDATE(Main!B3,30),"dd mmmm yyyy"),TEXT(Main!B3+((Main!B5-Main!B3)*30)+30,"dd mmmm yyyy")) &amp; " - "  &amp; IF(Main!B2,TEXT(EDATE(Main!B3,31) - 1,"dd mmmm yyyy"),TEXT(Main!B3+((Main!B5-Main!B3)*31+30),"dd mmmm yyyy"))</f>
        <v>20 October 2026 - 19 November 2026</v>
      </c>
      <c r="J34" s="74">
        <f>Forecast_11!E136</f>
        <v>3859.7999999999984</v>
      </c>
    </row>
    <row r="35" spans="1:10" ht="30" customHeight="1">
      <c r="A35" s="17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20 May 2024 - 19 June 2024 (Revenue / Deferred Debts Or Expenses)</v>
      </c>
      <c r="B35" s="173"/>
      <c r="C35" s="173"/>
      <c r="D35" s="173"/>
      <c r="E35" s="173"/>
      <c r="F35" s="173"/>
      <c r="G35" s="173"/>
      <c r="I35" s="66" t="str">
        <f>IF(Main!B2,TEXT(EDATE(Main!B3,31),"dd mmmm yyyy"),TEXT(Main!B3+((Main!B5-Main!B3)*31)+31,"dd mmmm yyyy")) &amp; " - "  &amp; IF(Main!B2,TEXT(EDATE(Main!B3,32) - 1,"dd mmmm yyyy"),TEXT(Main!B3+((Main!B5-Main!B3)*32+31),"dd mmmm yyyy"))</f>
        <v>20 November 2026 - 19 December 2026</v>
      </c>
      <c r="J35" s="74">
        <f>Forecast_11!E163</f>
        <v>3859.7999999999984</v>
      </c>
    </row>
    <row r="36" spans="1:10" ht="24.75" customHeight="1">
      <c r="A36" s="114" t="s">
        <v>27</v>
      </c>
      <c r="B36" s="149" t="s">
        <v>46</v>
      </c>
      <c r="C36" s="149"/>
      <c r="D36" s="164" t="s">
        <v>47</v>
      </c>
      <c r="E36" s="164"/>
      <c r="F36" s="164" t="s">
        <v>48</v>
      </c>
      <c r="G36" s="164"/>
      <c r="I36" s="66" t="str">
        <f>IF(Main!B2,TEXT(EDATE(Main!B3,32),"dd mmmm yyyy"),TEXT(Main!B3+((Main!B5-Main!B3)*32)+32,"dd mmmm yyyy")) &amp; " - "  &amp; IF(Main!B2,TEXT(EDATE(Main!B3,33) - 1,"dd mmmm yyyy"),TEXT(Main!B3+((Main!B5-Main!B3)*33+32),"dd mmmm yyyy"))</f>
        <v>20 December 2026 - 19 January 2027</v>
      </c>
      <c r="J36" s="74">
        <f>Forecast_11!E190</f>
        <v>3859.7999999999984</v>
      </c>
    </row>
    <row r="37" spans="1:10" ht="24.75" customHeight="1">
      <c r="A37" s="2" t="s">
        <v>57</v>
      </c>
      <c r="B37" s="150" t="s">
        <v>50</v>
      </c>
      <c r="C37" s="151"/>
      <c r="D37" s="150" t="s">
        <v>51</v>
      </c>
      <c r="E37" s="151"/>
      <c r="F37" s="168">
        <v>2405</v>
      </c>
      <c r="G37" s="157"/>
      <c r="I37" s="66" t="str">
        <f>IF(Main!B2,TEXT(EDATE(Main!B3,33),"dd mmmm yyyy"),TEXT(Main!B3+((Main!B5-Main!B3)*33)+33,"dd mmmm yyyy")) &amp; " - "  &amp; IF(Main!B2,TEXT(EDATE(Main!B3,34) - 1,"dd mmmm yyyy"),TEXT(Main!B3+((Main!B5-Main!B3)*34+33),"dd mmmm yyyy"))</f>
        <v>20 January 2027 - 19 February 2027</v>
      </c>
      <c r="J37" s="74">
        <f>Forecast_12!E136</f>
        <v>3859.7999999999984</v>
      </c>
    </row>
    <row r="38" spans="1:10" ht="24.75" customHeight="1">
      <c r="A38" s="2" t="s">
        <v>58</v>
      </c>
      <c r="B38" s="150" t="s">
        <v>50</v>
      </c>
      <c r="C38" s="151"/>
      <c r="D38" s="174" t="s">
        <v>59</v>
      </c>
      <c r="E38" s="174"/>
      <c r="F38" s="168">
        <v>1035</v>
      </c>
      <c r="G38" s="157"/>
      <c r="I38" s="66" t="str">
        <f>IF(Main!B2,TEXT(EDATE(Main!B3,34),"dd mmmm yyyy"),TEXT(Main!B3+((Main!B5-Main!B3)*34)+34,"dd mmmm yyyy")) &amp; " - "  &amp; IF(Main!B2,TEXT(EDATE(Main!B3,35) - 1,"dd mmmm yyyy"),TEXT(Main!B3+((Main!B5-Main!B3)*35+34),"dd mmmm yyyy"))</f>
        <v>20 February 2027 - 19 March 2027</v>
      </c>
      <c r="J38" s="74">
        <f>Forecast_12!E163</f>
        <v>3859.7999999999984</v>
      </c>
    </row>
    <row r="39" spans="1:10" ht="20.25" customHeight="1">
      <c r="A39" s="2" t="s">
        <v>60</v>
      </c>
      <c r="B39" s="175" t="s">
        <v>61</v>
      </c>
      <c r="C39" s="151"/>
      <c r="D39" s="150" t="s">
        <v>62</v>
      </c>
      <c r="E39" s="151"/>
      <c r="F39" s="168">
        <v>50</v>
      </c>
      <c r="G39" s="157"/>
      <c r="I39" s="66" t="str">
        <f>IF(Main!B2,TEXT(EDATE(Main!B3,35),"dd mmmm yyyy"),TEXT(Main!B3+((Main!B5-Main!B3)*35)+35,"dd mmmm yyyy")) &amp; " - "  &amp; IF(Main!B2,TEXT(EDATE(Main!B3,36) - 1,"dd mmmm yyyy"),TEXT(Main!B3+((Main!B5-Main!B3)*36+35),"dd mmmm yyyy"))</f>
        <v>20 March 2027 - 19 April 2027</v>
      </c>
      <c r="J39" s="74">
        <f>Forecast_12!E190</f>
        <v>3859.7999999999984</v>
      </c>
    </row>
    <row r="40" spans="1:10" ht="24.75" customHeight="1">
      <c r="A40" s="2"/>
      <c r="B40" s="150" t="s">
        <v>54</v>
      </c>
      <c r="C40" s="151"/>
      <c r="D40" s="152"/>
      <c r="E40" s="153"/>
      <c r="F40" s="168">
        <v>0</v>
      </c>
      <c r="G40" s="157"/>
      <c r="I40" s="66" t="str">
        <f>IF(Main!B2,TEXT(EDATE(Main!B3,36),"dd mmmm yyyy"),TEXT(Main!B3+((Main!B5-Main!B3)*36)+36,"dd mmmm yyyy")) &amp; " - "  &amp; IF(Main!B2,TEXT(EDATE(Main!B3,37) - 1,"dd mmmm yyyy"),TEXT(Main!B3+((Main!B5-Main!B3)*37+36),"dd mmmm yyyy"))</f>
        <v>20 April 2027 - 19 May 2027</v>
      </c>
      <c r="J40" s="74">
        <f>Forecast_13!E136</f>
        <v>3859.7999999999984</v>
      </c>
    </row>
    <row r="41" spans="1:10" ht="24.75" customHeight="1">
      <c r="A41" s="2"/>
      <c r="B41" s="150" t="s">
        <v>55</v>
      </c>
      <c r="C41" s="151"/>
      <c r="D41" s="152"/>
      <c r="E41" s="153"/>
      <c r="F41" s="168">
        <v>0</v>
      </c>
      <c r="G41" s="157"/>
      <c r="I41" s="66" t="str">
        <f>IF(Main!B2,TEXT(EDATE(Main!B3,37),"dd mmmm yyyy"),TEXT(Main!B3+((Main!B5-Main!B3)*37)+37,"dd mmmm yyyy")) &amp; " - "  &amp; IF(Main!B2,TEXT(EDATE(Main!B3,38) - 1,"dd mmmm yyyy"),TEXT(Main!B3+((Main!B5-Main!B3)*38+37),"dd mmmm yyyy"))</f>
        <v>20 May 2027 - 19 June 2027</v>
      </c>
      <c r="J41" s="74">
        <f>Forecast_13!E163</f>
        <v>3859.7999999999984</v>
      </c>
    </row>
    <row r="42" spans="1:10" ht="24.75" customHeight="1">
      <c r="A42" s="2"/>
      <c r="B42" s="150" t="s">
        <v>44</v>
      </c>
      <c r="C42" s="151"/>
      <c r="D42" s="152"/>
      <c r="E42" s="153"/>
      <c r="F42" s="168">
        <v>0</v>
      </c>
      <c r="G42" s="157"/>
      <c r="I42" s="61" t="str">
        <f>IF(Main!B2,TEXT(EDATE(Main!B3,38),"dd mmmm yyyy"),TEXT(Main!B3+((Main!B5-Main!B3)*38)+38,"dd mmmm yyyy")) &amp; " - "  &amp; IF(Main!B2,TEXT(EDATE(Main!B3,39) - 1,"dd mmmm yyyy"),TEXT(Main!B3+((Main!B5-Main!B3)*39+38),"dd mmmm yyyy"))</f>
        <v>20 June 2027 - 19 July 2027</v>
      </c>
      <c r="J42" s="74">
        <f>Forecast_13!E190</f>
        <v>3859.7999999999984</v>
      </c>
    </row>
    <row r="43" spans="1:10" ht="24.75" customHeight="1">
      <c r="A43" s="4"/>
      <c r="B43" s="158"/>
      <c r="C43" s="159"/>
      <c r="D43" s="160" t="s">
        <v>56</v>
      </c>
      <c r="E43" s="161"/>
      <c r="F43" s="162">
        <f>SUM(F37:G42)</f>
        <v>3490</v>
      </c>
      <c r="G43" s="163"/>
      <c r="I43" s="61" t="str">
        <f>IF(Main!B2,TEXT(EDATE(Main!B3,39),"dd mmmm yyyy"),TEXT(Main!B3+((Main!B5-Main!B3)*39)+39,"dd mmmm yyyy")) &amp; " - "  &amp; IF(Main!B2,TEXT(EDATE(Main!B3,40) - 1,"dd mmmm yyyy"),TEXT(Main!B3+((Main!B5-Main!B3)*40+39),"dd mmmm yyyy"))</f>
        <v>20 July 2027 - 19 August 2027</v>
      </c>
      <c r="J43" s="74">
        <f>Forecast_14!E136</f>
        <v>3859.7999999999984</v>
      </c>
    </row>
    <row r="44" spans="1:10" ht="24.75" customHeight="1">
      <c r="I44" s="61" t="str">
        <f>IF(Main!B2,TEXT(EDATE(Main!B3,40),"dd mmmm yyyy"),TEXT(Main!B3+((Main!B5-Main!B3)*40)+40,"dd mmmm yyyy")) &amp; " - "  &amp; IF(Main!B2,TEXT(EDATE(Main!B3,41) - 1,"dd mmmm yyyy"),TEXT(Main!B3+((Main!B5-Main!B3)*41+40),"dd mmmm yyyy"))</f>
        <v>20 August 2027 - 19 September 2027</v>
      </c>
      <c r="J44" s="74">
        <f>Forecast_14!E163</f>
        <v>3859.7999999999984</v>
      </c>
    </row>
    <row r="45" spans="1:10" ht="24.75" customHeight="1">
      <c r="I45" s="61" t="str">
        <f>IF(Main!B2,TEXT(EDATE(Main!B3,41),"dd mmmm yyyy"),TEXT(Main!B3+((Main!B5-Main!B3)*41)+41,"dd mmmm yyyy")) &amp; " - "  &amp; IF(Main!B2,TEXT(EDATE(Main!B3,42) - 1,"dd mmmm yyyy"),TEXT(Main!B3+((Main!B5-Main!B3)*42+41),"dd mmmm yyyy"))</f>
        <v>20 September 2027 - 19 October 2027</v>
      </c>
      <c r="J45" s="74">
        <f>Forecast_14!E190</f>
        <v>3859.7999999999984</v>
      </c>
    </row>
    <row r="46" spans="1:10" ht="24.75" customHeight="1">
      <c r="I46" s="61" t="str">
        <f>IF(Main!B2,TEXT(EDATE(Main!B3,42),"dd mmmm yyyy"),TEXT(Main!B3+((Main!B5-Main!B3)*42)+42,"dd mmmm yyyy")) &amp; " - "  &amp; IF(Main!B2,TEXT(EDATE(Main!B3,43) - 1,"dd mmmm yyyy"),TEXT(Main!B3+((Main!B5-Main!B3)*43+42),"dd mmmm yyyy"))</f>
        <v>20 October 2027 - 19 November 2027</v>
      </c>
      <c r="J46" s="74">
        <f>Forecast_15!E136</f>
        <v>3859.7999999999984</v>
      </c>
    </row>
    <row r="47" spans="1:10" ht="24.75" customHeight="1">
      <c r="A47" s="17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20 June 2024 - 19 July 2024 (Revenue / Deferred Debts Or Expenses)</v>
      </c>
      <c r="B47" s="173"/>
      <c r="C47" s="173"/>
      <c r="D47" s="173"/>
      <c r="E47" s="173"/>
      <c r="F47" s="173"/>
      <c r="G47" s="173"/>
      <c r="I47" s="61" t="str">
        <f>IF(Main!B2,TEXT(EDATE(Main!B3,43),"dd mmmm yyyy"),TEXT(Main!B3+((Main!B5-Main!B3)*43)+43,"dd mmmm yyyy")) &amp; " - "  &amp; IF(Main!B2,TEXT(EDATE(Main!B3,44) - 1,"dd mmmm yyyy"),TEXT(Main!B3+((Main!B5-Main!B3)*44+43),"dd mmmm yyyy"))</f>
        <v>20 November 2027 - 19 December 2027</v>
      </c>
      <c r="J47" s="74">
        <f>Forecast_15!E163</f>
        <v>3859.7999999999984</v>
      </c>
    </row>
    <row r="48" spans="1:10" ht="24.75" customHeight="1">
      <c r="A48" s="114" t="s">
        <v>27</v>
      </c>
      <c r="B48" s="149" t="s">
        <v>46</v>
      </c>
      <c r="C48" s="149"/>
      <c r="D48" s="164" t="s">
        <v>47</v>
      </c>
      <c r="E48" s="164"/>
      <c r="F48" s="164" t="s">
        <v>48</v>
      </c>
      <c r="G48" s="164"/>
      <c r="I48" s="61" t="str">
        <f>IF(Main!B2,TEXT(EDATE(Main!B3,44),"dd mmmm yyyy"),TEXT(Main!B3+((Main!B5-Main!B3)*44)+44,"dd mmmm yyyy")) &amp; " - "  &amp; IF(Main!B2,TEXT(EDATE(Main!B3,45) - 1,"dd mmmm yyyy"),TEXT(Main!B3+((Main!B5-Main!B3)*45+44),"dd mmmm yyyy"))</f>
        <v>20 December 2027 - 19 January 2028</v>
      </c>
      <c r="J48" s="74">
        <f>Forecast_15!E190</f>
        <v>3859.7999999999984</v>
      </c>
    </row>
    <row r="49" spans="1:10" ht="24.75" customHeight="1">
      <c r="A49" s="80" t="s">
        <v>63</v>
      </c>
      <c r="B49" s="154" t="s">
        <v>64</v>
      </c>
      <c r="C49" s="154"/>
      <c r="D49" s="81" t="s">
        <v>65</v>
      </c>
      <c r="E49" s="81"/>
      <c r="F49" s="156">
        <v>150</v>
      </c>
      <c r="G49" s="157"/>
      <c r="I49" s="61" t="str">
        <f>IF(Main!B2,TEXT(EDATE(Main!B3,45),"dd mmmm yyyy"),TEXT(Main!B3+((Main!B5-Main!B3)*45)+45,"dd mmmm yyyy")) &amp; " - "  &amp; IF(Main!B2,TEXT(EDATE(Main!B3,46) - 1,"dd mmmm yyyy"),TEXT(Main!B3+((Main!B5-Main!B3)*46+45),"dd mmmm yyyy"))</f>
        <v>20 January 2028 - 19 February 2028</v>
      </c>
      <c r="J49" s="74">
        <f>Forecast_16!E136</f>
        <v>3859.7999999999984</v>
      </c>
    </row>
    <row r="50" spans="1:10" ht="24.75" customHeight="1">
      <c r="A50" s="80" t="s">
        <v>66</v>
      </c>
      <c r="B50" s="154" t="s">
        <v>50</v>
      </c>
      <c r="C50" s="154"/>
      <c r="D50" s="155" t="s">
        <v>51</v>
      </c>
      <c r="E50" s="155"/>
      <c r="F50" s="156">
        <v>2405</v>
      </c>
      <c r="G50" s="157"/>
      <c r="I50" s="61" t="str">
        <f>IF(Main!B2,TEXT(EDATE(Main!B3,46),"dd mmmm yyyy"),TEXT(Main!B3+((Main!B5-Main!B3)*46)+46,"dd mmmm yyyy")) &amp; " - "  &amp; IF(Main!B2,TEXT(EDATE(Main!B3,47) - 1,"dd mmmm yyyy"),TEXT(Main!B3+((Main!B5-Main!B3)*47+46),"dd mmmm yyyy"))</f>
        <v>20 February 2028 - 19 March 2028</v>
      </c>
      <c r="J50" s="74">
        <f>Forecast_16!E163</f>
        <v>3859.7999999999984</v>
      </c>
    </row>
    <row r="51" spans="1:10" ht="24.75" customHeight="1">
      <c r="A51" s="80" t="s">
        <v>67</v>
      </c>
      <c r="B51" s="154" t="s">
        <v>68</v>
      </c>
      <c r="C51" s="154"/>
      <c r="D51" s="154" t="s">
        <v>69</v>
      </c>
      <c r="E51" s="154"/>
      <c r="F51" s="156">
        <v>7700</v>
      </c>
      <c r="G51" s="157"/>
      <c r="I51" s="61" t="str">
        <f>IF(Main!B2,TEXT(EDATE(Main!B3,47),"dd mmmm yyyy"),TEXT(Main!B3+((Main!B5-Main!B3)*47)+47,"dd mmmm yyyy")) &amp; " - "  &amp; IF(Main!B2,TEXT(EDATE(Main!B3,48) - 1,"dd mmmm yyyy"),TEXT(Main!B3+((Main!B5-Main!B3)*48+47),"dd mmmm yyyy"))</f>
        <v>20 March 2028 - 19 April 2028</v>
      </c>
      <c r="J51" s="64">
        <f>Forecast_16!E190</f>
        <v>3859.7999999999984</v>
      </c>
    </row>
    <row r="52" spans="1:10" ht="24.75" customHeight="1">
      <c r="A52" s="80"/>
      <c r="B52" s="165"/>
      <c r="C52" s="165"/>
      <c r="D52" s="154"/>
      <c r="E52" s="154"/>
      <c r="F52" s="156">
        <v>0</v>
      </c>
      <c r="G52" s="157"/>
    </row>
    <row r="53" spans="1:10" ht="24.75" customHeight="1">
      <c r="A53" s="80" t="s">
        <v>70</v>
      </c>
      <c r="B53" s="154" t="s">
        <v>71</v>
      </c>
      <c r="C53" s="154"/>
      <c r="D53" s="155"/>
      <c r="E53" s="155"/>
      <c r="F53" s="156">
        <v>204</v>
      </c>
      <c r="G53" s="157"/>
    </row>
    <row r="54" spans="1:10" ht="24.75" customHeight="1">
      <c r="A54" s="80" t="s">
        <v>70</v>
      </c>
      <c r="B54" s="154" t="s">
        <v>72</v>
      </c>
      <c r="C54" s="154"/>
      <c r="D54" s="155"/>
      <c r="E54" s="155"/>
      <c r="F54" s="156">
        <v>207.5</v>
      </c>
      <c r="G54" s="157"/>
    </row>
    <row r="55" spans="1:10" ht="24.75" customHeight="1">
      <c r="A55" s="82" t="s">
        <v>70</v>
      </c>
      <c r="B55" s="154" t="s">
        <v>73</v>
      </c>
      <c r="C55" s="154"/>
      <c r="D55" s="154" t="s">
        <v>74</v>
      </c>
      <c r="E55" s="154"/>
      <c r="F55" s="156">
        <v>9350</v>
      </c>
      <c r="G55" s="157"/>
    </row>
    <row r="56" spans="1:10" ht="24.75" customHeight="1">
      <c r="A56" s="4"/>
      <c r="B56" s="158"/>
      <c r="C56" s="159"/>
      <c r="D56" s="160" t="s">
        <v>56</v>
      </c>
      <c r="E56" s="161"/>
      <c r="F56" s="162">
        <f>SUM(F49:G55)</f>
        <v>20016.5</v>
      </c>
      <c r="G56" s="163"/>
    </row>
    <row r="57" spans="1:10" ht="24.75" customHeight="1"/>
    <row r="60" spans="1:10" ht="18">
      <c r="A60" s="184" t="str">
        <f>"Fixed Expense For the Year " &amp; TEXT(Main!B3,"mmmm yyyy") &amp; " - " &amp; IF(Main!B2,TEXT(EDATE(Main!B3,3) - 1,"mmmm yyyy"),TEXT(Main!B3+((Main!B5-Main!B3)*3+2),"mmmm yyyy"))</f>
        <v>Fixed Expense For the Year April 2024 - July 2024</v>
      </c>
      <c r="B60" s="185"/>
      <c r="C60" s="186"/>
    </row>
    <row r="61" spans="1:10" ht="18">
      <c r="A61" s="15" t="s">
        <v>46</v>
      </c>
      <c r="B61" s="15" t="s">
        <v>47</v>
      </c>
      <c r="C61" s="16" t="s">
        <v>48</v>
      </c>
    </row>
    <row r="62" spans="1:10" ht="15.75">
      <c r="A62" s="169" t="s">
        <v>75</v>
      </c>
      <c r="B62" s="170"/>
      <c r="C62" s="171"/>
    </row>
    <row r="63" spans="1:10" ht="15.75">
      <c r="A63" s="17" t="s">
        <v>76</v>
      </c>
      <c r="B63" s="18"/>
      <c r="C63" s="83">
        <v>204</v>
      </c>
    </row>
    <row r="64" spans="1:10" ht="15.75">
      <c r="A64" s="17" t="s">
        <v>77</v>
      </c>
      <c r="B64" s="18"/>
      <c r="C64" s="83">
        <v>197</v>
      </c>
    </row>
    <row r="65" spans="1:3" ht="21" customHeight="1">
      <c r="A65" s="32" t="s">
        <v>78</v>
      </c>
      <c r="B65" s="18"/>
      <c r="C65" s="83">
        <v>0</v>
      </c>
    </row>
    <row r="66" spans="1:3" ht="15.75">
      <c r="A66" s="17" t="s">
        <v>61</v>
      </c>
      <c r="B66" s="31"/>
      <c r="C66" s="83">
        <v>42</v>
      </c>
    </row>
    <row r="67" spans="1:3" ht="15.75">
      <c r="A67" s="34" t="s">
        <v>53</v>
      </c>
      <c r="B67" s="31"/>
      <c r="C67" s="83">
        <v>0</v>
      </c>
    </row>
    <row r="68" spans="1:3" ht="15.75">
      <c r="A68" s="34" t="s">
        <v>54</v>
      </c>
      <c r="B68" s="31"/>
      <c r="C68" s="83">
        <v>0</v>
      </c>
    </row>
    <row r="69" spans="1:3" ht="15.75">
      <c r="A69" s="34" t="s">
        <v>55</v>
      </c>
      <c r="B69" s="31"/>
      <c r="C69" s="83">
        <v>0</v>
      </c>
    </row>
    <row r="70" spans="1:3" ht="15.75">
      <c r="A70" s="34" t="s">
        <v>44</v>
      </c>
      <c r="B70" s="31"/>
      <c r="C70" s="83">
        <v>0</v>
      </c>
    </row>
    <row r="71" spans="1:3" ht="15.75">
      <c r="A71" s="33"/>
      <c r="B71" s="25" t="s">
        <v>79</v>
      </c>
      <c r="C71" s="19">
        <f>SUM(C63:C70)</f>
        <v>443</v>
      </c>
    </row>
    <row r="72" spans="1:3" ht="15.75">
      <c r="A72" s="169" t="s">
        <v>80</v>
      </c>
      <c r="B72" s="170"/>
      <c r="C72" s="171"/>
    </row>
    <row r="73" spans="1:3" ht="15.75">
      <c r="A73" s="17" t="s">
        <v>81</v>
      </c>
      <c r="B73" s="18"/>
      <c r="C73" s="19">
        <v>0</v>
      </c>
    </row>
    <row r="74" spans="1:3" ht="15.75">
      <c r="A74" s="17" t="s">
        <v>82</v>
      </c>
      <c r="B74" s="18"/>
      <c r="C74" s="19">
        <v>0</v>
      </c>
    </row>
    <row r="75" spans="1:3" ht="15.75">
      <c r="A75" s="17" t="s">
        <v>83</v>
      </c>
      <c r="B75" s="18"/>
      <c r="C75" s="19">
        <v>0</v>
      </c>
    </row>
    <row r="76" spans="1:3" ht="15.75">
      <c r="A76" s="17" t="s">
        <v>84</v>
      </c>
      <c r="B76" s="18"/>
      <c r="C76" s="19">
        <v>0</v>
      </c>
    </row>
    <row r="77" spans="1:3" ht="15.75">
      <c r="A77" s="17" t="s">
        <v>52</v>
      </c>
      <c r="B77" s="18"/>
      <c r="C77" s="19">
        <v>0</v>
      </c>
    </row>
    <row r="78" spans="1:3" ht="15.75">
      <c r="A78" s="17" t="s">
        <v>53</v>
      </c>
      <c r="B78" s="18"/>
      <c r="C78" s="19">
        <v>0</v>
      </c>
    </row>
    <row r="79" spans="1:3" ht="15.75">
      <c r="A79" s="17" t="s">
        <v>54</v>
      </c>
      <c r="B79" s="18"/>
      <c r="C79" s="19">
        <v>0</v>
      </c>
    </row>
    <row r="80" spans="1:3" ht="15.75">
      <c r="A80" s="17" t="s">
        <v>55</v>
      </c>
      <c r="B80" s="18"/>
      <c r="C80" s="19">
        <v>0</v>
      </c>
    </row>
    <row r="81" spans="1:3" ht="15.75">
      <c r="A81" s="17" t="s">
        <v>44</v>
      </c>
      <c r="B81" s="18"/>
      <c r="C81" s="19">
        <v>0</v>
      </c>
    </row>
    <row r="82" spans="1:3" ht="15.75">
      <c r="A82" s="20"/>
      <c r="B82" s="21" t="s">
        <v>85</v>
      </c>
      <c r="C82" s="19">
        <f>SUM(C73:C81)</f>
        <v>0</v>
      </c>
    </row>
    <row r="83" spans="1:3" ht="15.75">
      <c r="A83" s="169" t="s">
        <v>86</v>
      </c>
      <c r="B83" s="170"/>
      <c r="C83" s="171"/>
    </row>
    <row r="84" spans="1:3" ht="28.5">
      <c r="A84" s="17" t="s">
        <v>87</v>
      </c>
      <c r="B84" s="18" t="s">
        <v>88</v>
      </c>
      <c r="C84" s="27">
        <v>0</v>
      </c>
    </row>
    <row r="85" spans="1:3">
      <c r="A85" s="17" t="s">
        <v>89</v>
      </c>
      <c r="B85" s="18" t="s">
        <v>90</v>
      </c>
      <c r="C85" s="27">
        <v>0</v>
      </c>
    </row>
    <row r="86" spans="1:3">
      <c r="A86" s="17" t="s">
        <v>52</v>
      </c>
      <c r="B86" s="18"/>
      <c r="C86" s="27">
        <v>0</v>
      </c>
    </row>
    <row r="87" spans="1:3">
      <c r="A87" s="17" t="s">
        <v>53</v>
      </c>
      <c r="B87" s="18"/>
      <c r="C87" s="27">
        <v>0</v>
      </c>
    </row>
    <row r="88" spans="1:3">
      <c r="A88" s="17" t="s">
        <v>54</v>
      </c>
      <c r="B88" s="18"/>
      <c r="C88" s="27">
        <v>0</v>
      </c>
    </row>
    <row r="89" spans="1:3">
      <c r="A89" s="17" t="s">
        <v>55</v>
      </c>
      <c r="B89" s="18"/>
      <c r="C89" s="27">
        <v>0</v>
      </c>
    </row>
    <row r="90" spans="1:3">
      <c r="A90" s="17" t="s">
        <v>44</v>
      </c>
      <c r="B90" s="18"/>
      <c r="C90" s="27">
        <v>0</v>
      </c>
    </row>
    <row r="91" spans="1:3">
      <c r="A91" s="20"/>
      <c r="B91" s="21" t="s">
        <v>91</v>
      </c>
      <c r="C91" s="27">
        <f>SUM(C84:C90)</f>
        <v>0</v>
      </c>
    </row>
    <row r="92" spans="1:3" ht="15.75">
      <c r="A92" s="169" t="s">
        <v>92</v>
      </c>
      <c r="B92" s="170"/>
      <c r="C92" s="171"/>
    </row>
    <row r="93" spans="1:3" ht="15.75">
      <c r="A93" s="23" t="s">
        <v>93</v>
      </c>
      <c r="B93" s="24" t="s">
        <v>94</v>
      </c>
      <c r="C93" s="19">
        <v>0</v>
      </c>
    </row>
    <row r="94" spans="1:3" ht="28.5">
      <c r="A94" s="17" t="s">
        <v>95</v>
      </c>
      <c r="B94" s="18" t="s">
        <v>96</v>
      </c>
      <c r="C94" s="19">
        <v>0</v>
      </c>
    </row>
    <row r="95" spans="1:3" ht="28.5">
      <c r="A95" s="17" t="s">
        <v>97</v>
      </c>
      <c r="B95" s="18" t="s">
        <v>98</v>
      </c>
      <c r="C95" s="19">
        <v>0</v>
      </c>
    </row>
    <row r="96" spans="1:3" ht="15.75" customHeight="1">
      <c r="A96" s="17" t="s">
        <v>52</v>
      </c>
      <c r="B96" s="18"/>
      <c r="C96" s="19">
        <v>0</v>
      </c>
    </row>
    <row r="97" spans="1:3" ht="15.75">
      <c r="A97" s="17" t="s">
        <v>53</v>
      </c>
      <c r="B97" s="18"/>
      <c r="C97" s="19">
        <v>0</v>
      </c>
    </row>
    <row r="98" spans="1:3" ht="15.75">
      <c r="A98" s="17" t="s">
        <v>54</v>
      </c>
      <c r="B98" s="18"/>
      <c r="C98" s="19">
        <v>0</v>
      </c>
    </row>
    <row r="99" spans="1:3" ht="15.75">
      <c r="A99" s="17" t="s">
        <v>55</v>
      </c>
      <c r="B99" s="18"/>
      <c r="C99" s="19">
        <v>0</v>
      </c>
    </row>
    <row r="100" spans="1:3" ht="15.75">
      <c r="A100" s="17" t="s">
        <v>44</v>
      </c>
      <c r="B100" s="18"/>
      <c r="C100" s="19">
        <v>0</v>
      </c>
    </row>
    <row r="101" spans="1:3" ht="28.5">
      <c r="A101" s="22"/>
      <c r="B101" s="25" t="s">
        <v>99</v>
      </c>
      <c r="C101" s="27">
        <f>SUM(C93:C100)</f>
        <v>0</v>
      </c>
    </row>
    <row r="102" spans="1:3" ht="15.75">
      <c r="A102" s="169" t="s">
        <v>100</v>
      </c>
      <c r="B102" s="170"/>
      <c r="C102" s="171"/>
    </row>
    <row r="103" spans="1:3">
      <c r="A103" s="17" t="s">
        <v>101</v>
      </c>
      <c r="B103" s="84" t="s">
        <v>102</v>
      </c>
      <c r="C103" s="85">
        <v>300</v>
      </c>
    </row>
    <row r="104" spans="1:3">
      <c r="A104" s="26" t="s">
        <v>103</v>
      </c>
      <c r="B104" s="84" t="s">
        <v>104</v>
      </c>
      <c r="C104" s="85">
        <v>0</v>
      </c>
    </row>
    <row r="105" spans="1:3" ht="28.5">
      <c r="A105" s="17" t="s">
        <v>105</v>
      </c>
      <c r="B105" s="113" t="s">
        <v>106</v>
      </c>
      <c r="C105" s="85">
        <v>0</v>
      </c>
    </row>
    <row r="106" spans="1:3">
      <c r="A106" s="17" t="s">
        <v>107</v>
      </c>
      <c r="B106" s="113" t="s">
        <v>108</v>
      </c>
      <c r="C106" s="85">
        <v>760</v>
      </c>
    </row>
    <row r="107" spans="1:3" ht="15.75">
      <c r="A107" s="17" t="s">
        <v>53</v>
      </c>
      <c r="B107" s="18"/>
      <c r="C107" s="83">
        <v>0</v>
      </c>
    </row>
    <row r="108" spans="1:3" ht="15.75">
      <c r="A108" s="17" t="s">
        <v>54</v>
      </c>
      <c r="B108" s="18"/>
      <c r="C108" s="83">
        <v>0</v>
      </c>
    </row>
    <row r="109" spans="1:3" ht="15.75">
      <c r="A109" s="17" t="s">
        <v>55</v>
      </c>
      <c r="B109" s="18"/>
      <c r="C109" s="83">
        <v>0</v>
      </c>
    </row>
    <row r="110" spans="1:3" ht="15.75">
      <c r="A110" s="17" t="s">
        <v>44</v>
      </c>
      <c r="B110" s="18"/>
      <c r="C110" s="83">
        <v>0</v>
      </c>
    </row>
    <row r="111" spans="1:3" ht="15.75">
      <c r="A111" s="26"/>
      <c r="B111" s="25" t="s">
        <v>109</v>
      </c>
      <c r="C111" s="19">
        <f>SUM(C103:C110)</f>
        <v>1060</v>
      </c>
    </row>
    <row r="112" spans="1:3" ht="15.75">
      <c r="A112" s="22"/>
      <c r="B112" s="25" t="s">
        <v>110</v>
      </c>
      <c r="C112" s="19">
        <f>C71+C82+C91+C101+C111</f>
        <v>1503</v>
      </c>
    </row>
    <row r="113" spans="1:8" ht="15.75">
      <c r="A113" s="126" t="s">
        <v>111</v>
      </c>
      <c r="B113" s="127"/>
      <c r="C113" s="128"/>
    </row>
    <row r="114" spans="1:8">
      <c r="A114" s="86" t="s">
        <v>112</v>
      </c>
      <c r="B114" s="102"/>
      <c r="C114" s="104">
        <v>16033</v>
      </c>
      <c r="D114" s="43"/>
      <c r="E114" s="54"/>
      <c r="F114" s="43"/>
      <c r="G114" s="43"/>
      <c r="H114" s="43"/>
    </row>
    <row r="115" spans="1:8">
      <c r="A115" s="86" t="s">
        <v>113</v>
      </c>
      <c r="B115" s="18"/>
      <c r="C115" s="103">
        <f>5000</f>
        <v>5000</v>
      </c>
      <c r="D115" s="43"/>
      <c r="E115" s="43"/>
      <c r="F115" s="43"/>
      <c r="G115" s="43"/>
      <c r="H115" s="43"/>
    </row>
    <row r="116" spans="1:8">
      <c r="A116" s="86" t="s">
        <v>114</v>
      </c>
      <c r="B116" s="18"/>
      <c r="C116" s="87">
        <f>3300</f>
        <v>3300</v>
      </c>
      <c r="D116" s="43"/>
      <c r="E116" s="43"/>
      <c r="F116" s="43"/>
      <c r="G116" s="43"/>
      <c r="H116" s="43"/>
    </row>
    <row r="117" spans="1:8" ht="42">
      <c r="A117" s="88" t="s">
        <v>115</v>
      </c>
      <c r="B117" s="18"/>
      <c r="C117" s="87">
        <v>0</v>
      </c>
      <c r="D117" s="43"/>
      <c r="E117" s="43"/>
      <c r="F117" s="43"/>
      <c r="G117" s="43"/>
      <c r="H117" s="43"/>
    </row>
    <row r="118" spans="1:8" ht="28.5">
      <c r="A118" s="88" t="s">
        <v>116</v>
      </c>
      <c r="B118" s="18"/>
      <c r="C118" s="87">
        <v>0</v>
      </c>
      <c r="D118" s="43"/>
      <c r="E118" s="43"/>
      <c r="F118" s="43"/>
      <c r="G118" s="43"/>
      <c r="H118" s="43"/>
    </row>
    <row r="119" spans="1:8">
      <c r="A119" s="17" t="s">
        <v>117</v>
      </c>
      <c r="B119" s="18"/>
      <c r="C119" s="27">
        <v>0</v>
      </c>
      <c r="D119" s="43"/>
      <c r="E119" s="43"/>
      <c r="F119" s="43"/>
      <c r="G119" s="43"/>
      <c r="H119" s="43"/>
    </row>
    <row r="120" spans="1:8">
      <c r="A120" s="17" t="s">
        <v>118</v>
      </c>
      <c r="B120" s="18"/>
      <c r="C120" s="27">
        <v>0</v>
      </c>
      <c r="D120" s="43"/>
      <c r="E120" s="43"/>
      <c r="F120" s="43"/>
      <c r="G120" s="43"/>
      <c r="H120" s="43"/>
    </row>
    <row r="121" spans="1:8">
      <c r="A121" s="17" t="s">
        <v>119</v>
      </c>
      <c r="B121" s="18"/>
      <c r="C121" s="27">
        <v>0</v>
      </c>
      <c r="D121" s="43"/>
      <c r="E121" s="43"/>
      <c r="F121" s="43"/>
      <c r="G121" s="43"/>
      <c r="H121" s="43"/>
    </row>
    <row r="122" spans="1:8">
      <c r="A122" s="17" t="s">
        <v>120</v>
      </c>
      <c r="B122" s="18"/>
      <c r="C122" s="27">
        <v>0</v>
      </c>
      <c r="D122" s="43"/>
      <c r="E122" s="43"/>
      <c r="F122" s="43"/>
      <c r="G122" s="43"/>
      <c r="H122" s="43"/>
    </row>
    <row r="123" spans="1:8">
      <c r="A123" s="17" t="s">
        <v>121</v>
      </c>
      <c r="B123" s="18"/>
      <c r="C123" s="27">
        <v>0</v>
      </c>
      <c r="D123" s="43"/>
      <c r="E123" s="43"/>
      <c r="F123" s="43"/>
      <c r="G123" s="43"/>
      <c r="H123" s="43"/>
    </row>
    <row r="124" spans="1:8" ht="15.75">
      <c r="A124" s="20"/>
      <c r="B124" s="21" t="s">
        <v>122</v>
      </c>
      <c r="C124" s="19">
        <f>SUM(C113:C123)</f>
        <v>24333</v>
      </c>
    </row>
    <row r="125" spans="1:8" ht="15.75">
      <c r="A125" s="20"/>
      <c r="B125" s="21" t="s">
        <v>123</v>
      </c>
      <c r="C125" s="19">
        <f>ABS(C112+ABS(C124))</f>
        <v>25836</v>
      </c>
    </row>
    <row r="126" spans="1:8">
      <c r="E126" s="35"/>
    </row>
    <row r="127" spans="1:8">
      <c r="E127" s="35"/>
    </row>
    <row r="129" spans="1:8" ht="45" customHeight="1"/>
    <row r="130" spans="1:8" ht="45" customHeight="1">
      <c r="A130" s="132" t="str">
        <f>"Debts Or Credits For the Comming " &amp; TEXT(Main!B3,"mmmm dd yyyy") &amp; " to " &amp; IF(Main!B2,TEXT(EDATE(Main!B3,1)-1,"mmmm dd yyyy"),TEXT(Main!B3+Main!B5-Main!B3,"dd mmmm yyyy"))</f>
        <v>Debts Or Credits For the Comming April 20 2024 to May 19 2024</v>
      </c>
      <c r="B130" s="133"/>
      <c r="C130" s="133"/>
      <c r="D130" s="133"/>
      <c r="E130" s="134"/>
    </row>
    <row r="131" spans="1:8" ht="45" customHeight="1">
      <c r="A131" s="132" t="s">
        <v>124</v>
      </c>
      <c r="B131" s="134"/>
      <c r="C131" s="132" t="s">
        <v>47</v>
      </c>
      <c r="D131" s="134"/>
      <c r="E131" s="28" t="s">
        <v>48</v>
      </c>
    </row>
    <row r="132" spans="1:8" ht="24.75" customHeight="1">
      <c r="A132" s="139" t="s">
        <v>125</v>
      </c>
      <c r="B132" s="140"/>
      <c r="C132" s="200" t="s">
        <v>126</v>
      </c>
      <c r="D132" s="191"/>
      <c r="E132" s="41"/>
    </row>
    <row r="133" spans="1:8" ht="24.75" customHeight="1">
      <c r="A133" s="141"/>
      <c r="B133" s="142"/>
      <c r="C133" s="137" t="s">
        <v>127</v>
      </c>
      <c r="D133" s="138"/>
      <c r="E133" s="27">
        <v>0</v>
      </c>
      <c r="F133" s="43"/>
      <c r="G133" s="43"/>
      <c r="H133" s="43"/>
    </row>
    <row r="134" spans="1:8" ht="24.75" customHeight="1">
      <c r="A134" s="141"/>
      <c r="B134" s="142"/>
      <c r="C134" s="137" t="s">
        <v>128</v>
      </c>
      <c r="D134" s="138"/>
      <c r="E134" s="27">
        <v>0</v>
      </c>
      <c r="F134" s="43"/>
      <c r="G134" s="43"/>
      <c r="H134" s="43"/>
    </row>
    <row r="135" spans="1:8" ht="24.75" customHeight="1">
      <c r="A135" s="141"/>
      <c r="B135" s="142"/>
      <c r="C135" s="137" t="s">
        <v>129</v>
      </c>
      <c r="D135" s="138"/>
      <c r="E135" s="27">
        <v>0</v>
      </c>
      <c r="F135" s="43"/>
      <c r="G135" s="43"/>
      <c r="H135" s="43"/>
    </row>
    <row r="136" spans="1:8" ht="24.75" customHeight="1">
      <c r="A136" s="141"/>
      <c r="B136" s="142"/>
      <c r="C136" s="137" t="s">
        <v>130</v>
      </c>
      <c r="D136" s="138"/>
      <c r="E136" s="27">
        <v>0</v>
      </c>
      <c r="F136" s="43"/>
      <c r="G136" s="43"/>
      <c r="H136" s="43"/>
    </row>
    <row r="137" spans="1:8" ht="24.75" customHeight="1">
      <c r="A137" s="141"/>
      <c r="B137" s="142"/>
      <c r="C137" s="137" t="s">
        <v>131</v>
      </c>
      <c r="D137" s="138"/>
      <c r="E137" s="27">
        <v>0</v>
      </c>
      <c r="F137" s="43"/>
      <c r="G137" s="43"/>
      <c r="H137" s="43"/>
    </row>
    <row r="138" spans="1:8" ht="24.75" customHeight="1">
      <c r="A138" s="141"/>
      <c r="B138" s="142"/>
      <c r="C138" s="137" t="s">
        <v>132</v>
      </c>
      <c r="D138" s="138"/>
      <c r="E138" s="27">
        <v>0</v>
      </c>
      <c r="F138" s="43"/>
      <c r="G138" s="43"/>
      <c r="H138" s="43"/>
    </row>
    <row r="139" spans="1:8" ht="24.75" customHeight="1">
      <c r="A139" s="141"/>
      <c r="B139" s="142"/>
      <c r="C139" s="137" t="s">
        <v>133</v>
      </c>
      <c r="D139" s="138"/>
      <c r="E139" s="27">
        <v>0</v>
      </c>
      <c r="F139" s="43"/>
      <c r="G139" s="43"/>
      <c r="H139" s="43"/>
    </row>
    <row r="140" spans="1:8" ht="24.75" customHeight="1">
      <c r="A140" s="141"/>
      <c r="B140" s="142"/>
      <c r="C140" s="137" t="s">
        <v>134</v>
      </c>
      <c r="D140" s="138"/>
      <c r="E140" s="27">
        <v>0</v>
      </c>
      <c r="F140" s="43"/>
      <c r="G140" s="43"/>
      <c r="H140" s="43"/>
    </row>
    <row r="141" spans="1:8" ht="24.75" customHeight="1">
      <c r="A141" s="141"/>
      <c r="B141" s="142"/>
      <c r="C141" s="137" t="s">
        <v>135</v>
      </c>
      <c r="D141" s="138"/>
      <c r="E141" s="27">
        <v>0</v>
      </c>
      <c r="F141" s="43"/>
      <c r="G141" s="43"/>
      <c r="H141" s="43"/>
    </row>
    <row r="142" spans="1:8" ht="24.75" customHeight="1">
      <c r="A142" s="141"/>
      <c r="B142" s="142"/>
      <c r="C142" s="137" t="s">
        <v>136</v>
      </c>
      <c r="D142" s="138"/>
      <c r="E142" s="27">
        <v>0</v>
      </c>
      <c r="F142" s="43"/>
      <c r="G142" s="43"/>
      <c r="H142" s="43"/>
    </row>
    <row r="143" spans="1:8" ht="24.75" customHeight="1">
      <c r="A143" s="141"/>
      <c r="B143" s="142"/>
      <c r="C143" s="190" t="s">
        <v>137</v>
      </c>
      <c r="D143" s="191"/>
      <c r="E143" s="41"/>
    </row>
    <row r="144" spans="1:8" ht="45" customHeight="1">
      <c r="A144" s="141"/>
      <c r="B144" s="142"/>
      <c r="C144" s="147" t="s">
        <v>138</v>
      </c>
      <c r="D144" s="148"/>
      <c r="E144" s="29">
        <v>40</v>
      </c>
    </row>
    <row r="145" spans="1:8" ht="24.75" customHeight="1">
      <c r="A145" s="141"/>
      <c r="B145" s="142"/>
      <c r="C145" s="137" t="s">
        <v>127</v>
      </c>
      <c r="D145" s="138"/>
      <c r="E145" s="29">
        <v>0</v>
      </c>
    </row>
    <row r="146" spans="1:8" ht="24.75" customHeight="1">
      <c r="A146" s="141"/>
      <c r="B146" s="142"/>
      <c r="C146" s="137" t="s">
        <v>128</v>
      </c>
      <c r="D146" s="138"/>
      <c r="E146" s="29">
        <v>0</v>
      </c>
    </row>
    <row r="147" spans="1:8" ht="24" customHeight="1">
      <c r="A147" s="141"/>
      <c r="B147" s="142"/>
      <c r="C147" s="137" t="s">
        <v>129</v>
      </c>
      <c r="D147" s="138"/>
      <c r="E147" s="29">
        <v>0</v>
      </c>
    </row>
    <row r="148" spans="1:8" ht="24.75" customHeight="1">
      <c r="A148" s="141"/>
      <c r="B148" s="142"/>
      <c r="C148" s="137" t="s">
        <v>130</v>
      </c>
      <c r="D148" s="138"/>
      <c r="E148" s="29">
        <v>0</v>
      </c>
    </row>
    <row r="149" spans="1:8" ht="24.75" customHeight="1">
      <c r="A149" s="143"/>
      <c r="B149" s="144"/>
      <c r="C149" s="137" t="s">
        <v>131</v>
      </c>
      <c r="D149" s="138"/>
      <c r="E149" s="29">
        <v>0</v>
      </c>
    </row>
    <row r="150" spans="1:8" ht="24.75" customHeight="1">
      <c r="A150" s="129" t="s">
        <v>139</v>
      </c>
      <c r="B150" s="193"/>
      <c r="C150" s="194"/>
      <c r="D150" s="195"/>
      <c r="E150" s="29">
        <f>C112</f>
        <v>1503</v>
      </c>
    </row>
    <row r="151" spans="1:8" ht="45" customHeight="1">
      <c r="A151" s="187"/>
      <c r="B151" s="188"/>
      <c r="C151" s="189" t="s">
        <v>140</v>
      </c>
      <c r="D151" s="189"/>
      <c r="E151" s="30">
        <v>0</v>
      </c>
    </row>
    <row r="152" spans="1:8" ht="21.75" customHeight="1"/>
    <row r="156" spans="1:8" ht="24.75" customHeight="1">
      <c r="A156" s="132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20 2024 to 19 June 2024</v>
      </c>
      <c r="B156" s="133"/>
      <c r="C156" s="133"/>
      <c r="D156" s="133"/>
      <c r="E156" s="134"/>
    </row>
    <row r="157" spans="1:8" ht="24.75" customHeight="1">
      <c r="A157" s="132" t="s">
        <v>124</v>
      </c>
      <c r="B157" s="134"/>
      <c r="C157" s="135" t="s">
        <v>47</v>
      </c>
      <c r="D157" s="136"/>
      <c r="E157" s="38" t="s">
        <v>48</v>
      </c>
    </row>
    <row r="158" spans="1:8" ht="24.75" customHeight="1">
      <c r="A158" s="129" t="str">
        <f>"Balance Brought Forward From " &amp; IF(Main!B2,TEXT(EDATE(Main!B3,1)-1,"mmmm yyyy"),TEXT(Main!B3+Main!B5-Main!B3,"mmmm yyyy"))</f>
        <v>Balance Brought Forward From May 2024</v>
      </c>
      <c r="B158" s="130"/>
      <c r="C158" s="131"/>
      <c r="D158" s="131"/>
      <c r="E158" s="30">
        <f>E151</f>
        <v>0</v>
      </c>
    </row>
    <row r="159" spans="1:8" ht="24.75" customHeight="1">
      <c r="A159" s="139" t="s">
        <v>125</v>
      </c>
      <c r="B159" s="140"/>
      <c r="C159" s="145" t="s">
        <v>126</v>
      </c>
      <c r="D159" s="146"/>
      <c r="E159" s="42"/>
    </row>
    <row r="160" spans="1:8" ht="24.75" customHeight="1">
      <c r="A160" s="141"/>
      <c r="B160" s="142"/>
      <c r="C160" s="137" t="s">
        <v>141</v>
      </c>
      <c r="D160" s="138"/>
      <c r="E160" s="85">
        <v>0</v>
      </c>
      <c r="F160" s="43"/>
      <c r="G160" s="43"/>
      <c r="H160" s="43"/>
    </row>
    <row r="161" spans="1:8" ht="24.75" customHeight="1">
      <c r="A161" s="141"/>
      <c r="B161" s="142"/>
      <c r="C161" s="147" t="s">
        <v>142</v>
      </c>
      <c r="D161" s="148"/>
      <c r="E161" s="85">
        <v>1000</v>
      </c>
      <c r="F161" s="43"/>
      <c r="G161" s="43"/>
      <c r="H161" s="43"/>
    </row>
    <row r="162" spans="1:8" ht="24.75" customHeight="1">
      <c r="A162" s="141"/>
      <c r="B162" s="142"/>
      <c r="C162" s="137" t="s">
        <v>129</v>
      </c>
      <c r="D162" s="138"/>
      <c r="E162" s="27">
        <v>0</v>
      </c>
      <c r="F162" s="43"/>
      <c r="G162" s="43"/>
      <c r="H162" s="43"/>
    </row>
    <row r="163" spans="1:8" ht="24.75" customHeight="1">
      <c r="A163" s="141"/>
      <c r="B163" s="142"/>
      <c r="C163" s="137" t="s">
        <v>130</v>
      </c>
      <c r="D163" s="138"/>
      <c r="E163" s="27">
        <v>0</v>
      </c>
      <c r="F163" s="43"/>
      <c r="G163" s="43"/>
      <c r="H163" s="43"/>
    </row>
    <row r="164" spans="1:8" ht="24.75" customHeight="1">
      <c r="A164" s="141"/>
      <c r="B164" s="142"/>
      <c r="C164" s="137" t="s">
        <v>131</v>
      </c>
      <c r="D164" s="138"/>
      <c r="E164" s="27">
        <v>0</v>
      </c>
      <c r="F164" s="43"/>
      <c r="G164" s="43"/>
      <c r="H164" s="43"/>
    </row>
    <row r="165" spans="1:8" ht="24.75" customHeight="1">
      <c r="A165" s="141"/>
      <c r="B165" s="142"/>
      <c r="C165" s="137" t="s">
        <v>132</v>
      </c>
      <c r="D165" s="138"/>
      <c r="E165" s="27">
        <v>0</v>
      </c>
      <c r="F165" s="43"/>
      <c r="G165" s="43"/>
      <c r="H165" s="43"/>
    </row>
    <row r="166" spans="1:8" ht="22.5" customHeight="1">
      <c r="A166" s="141"/>
      <c r="B166" s="142"/>
      <c r="C166" s="137" t="s">
        <v>133</v>
      </c>
      <c r="D166" s="138"/>
      <c r="E166" s="27">
        <v>0</v>
      </c>
      <c r="F166" s="43"/>
      <c r="G166" s="43"/>
      <c r="H166" s="43"/>
    </row>
    <row r="167" spans="1:8" ht="24.75" customHeight="1">
      <c r="A167" s="141"/>
      <c r="B167" s="142"/>
      <c r="C167" s="137" t="s">
        <v>134</v>
      </c>
      <c r="D167" s="138"/>
      <c r="E167" s="27">
        <v>0</v>
      </c>
      <c r="F167" s="43"/>
      <c r="G167" s="43"/>
      <c r="H167" s="43"/>
    </row>
    <row r="168" spans="1:8" ht="24.75" customHeight="1">
      <c r="A168" s="141"/>
      <c r="B168" s="142"/>
      <c r="C168" s="137" t="s">
        <v>135</v>
      </c>
      <c r="D168" s="138"/>
      <c r="E168" s="27">
        <v>0</v>
      </c>
      <c r="F168" s="43"/>
      <c r="G168" s="43"/>
      <c r="H168" s="43"/>
    </row>
    <row r="169" spans="1:8" ht="24.75" customHeight="1">
      <c r="A169" s="141"/>
      <c r="B169" s="142"/>
      <c r="C169" s="137" t="s">
        <v>136</v>
      </c>
      <c r="D169" s="138"/>
      <c r="E169" s="27">
        <v>0</v>
      </c>
      <c r="F169" s="43"/>
      <c r="G169" s="43"/>
      <c r="H169" s="43"/>
    </row>
    <row r="170" spans="1:8" ht="24.75" customHeight="1">
      <c r="A170" s="141"/>
      <c r="B170" s="142"/>
      <c r="C170" s="190" t="s">
        <v>137</v>
      </c>
      <c r="D170" s="191"/>
      <c r="E170" s="41"/>
    </row>
    <row r="171" spans="1:8" ht="24.75" customHeight="1">
      <c r="A171" s="141"/>
      <c r="B171" s="142"/>
      <c r="C171" s="174" t="s">
        <v>143</v>
      </c>
      <c r="D171" s="174"/>
      <c r="E171" s="85">
        <v>140</v>
      </c>
    </row>
    <row r="172" spans="1:8" ht="24.75" customHeight="1">
      <c r="A172" s="141"/>
      <c r="B172" s="142"/>
      <c r="C172" s="174" t="s">
        <v>144</v>
      </c>
      <c r="D172" s="174"/>
      <c r="E172" s="85">
        <v>68</v>
      </c>
    </row>
    <row r="173" spans="1:8" ht="24.75" customHeight="1">
      <c r="A173" s="141"/>
      <c r="B173" s="142"/>
      <c r="C173" s="174" t="s">
        <v>145</v>
      </c>
      <c r="D173" s="174"/>
      <c r="E173" s="85">
        <v>420</v>
      </c>
    </row>
    <row r="174" spans="1:8" ht="24.75" customHeight="1">
      <c r="A174" s="141"/>
      <c r="B174" s="142"/>
      <c r="C174" s="192" t="s">
        <v>146</v>
      </c>
      <c r="D174" s="192"/>
      <c r="E174" s="85">
        <v>775.68</v>
      </c>
    </row>
    <row r="175" spans="1:8" ht="24.75" customHeight="1">
      <c r="A175" s="141"/>
      <c r="B175" s="142"/>
      <c r="C175" s="137" t="s">
        <v>130</v>
      </c>
      <c r="D175" s="138"/>
      <c r="E175" s="29">
        <v>0</v>
      </c>
    </row>
    <row r="176" spans="1:8" ht="24.75" customHeight="1">
      <c r="A176" s="143"/>
      <c r="B176" s="144"/>
      <c r="C176" s="137" t="s">
        <v>131</v>
      </c>
      <c r="D176" s="138"/>
      <c r="E176" s="29">
        <v>0</v>
      </c>
    </row>
    <row r="177" spans="1:8" ht="24.75" customHeight="1">
      <c r="A177" s="129" t="s">
        <v>139</v>
      </c>
      <c r="B177" s="193"/>
      <c r="C177" s="194"/>
      <c r="D177" s="195"/>
      <c r="E177" s="29">
        <f>C112</f>
        <v>1503</v>
      </c>
    </row>
    <row r="178" spans="1:8" ht="24.75" customHeight="1">
      <c r="A178" s="187"/>
      <c r="B178" s="188"/>
      <c r="C178" s="189" t="s">
        <v>140</v>
      </c>
      <c r="D178" s="189"/>
      <c r="E178" s="39">
        <f>(F43+E158)-(SUM(E161:E169)+SUM(E171:E177))</f>
        <v>-416.67999999999984</v>
      </c>
    </row>
    <row r="182" spans="1:8" ht="24.75" customHeight="1"/>
    <row r="183" spans="1:8" ht="24.75" customHeight="1">
      <c r="A183" s="132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20 June 2024 to 19 July 2024</v>
      </c>
      <c r="B183" s="133"/>
      <c r="C183" s="133"/>
      <c r="D183" s="133"/>
      <c r="E183" s="134"/>
    </row>
    <row r="184" spans="1:8" ht="24.75" customHeight="1">
      <c r="A184" s="132" t="s">
        <v>124</v>
      </c>
      <c r="B184" s="134"/>
      <c r="C184" s="135" t="s">
        <v>47</v>
      </c>
      <c r="D184" s="136"/>
      <c r="E184" s="38" t="s">
        <v>48</v>
      </c>
    </row>
    <row r="185" spans="1:8" ht="24.75" customHeight="1">
      <c r="A185" s="129" t="str">
        <f>"Balance Brought Forward From " &amp;  IF(Main!B2,TEXT(EDATE(Main!B3,2) - 1,"mmmm yyyy"),TEXT(Main!B3+(Main!B5-Main!B3)*2+1,"mmmm yyyy"))</f>
        <v>Balance Brought Forward From June 2024</v>
      </c>
      <c r="B185" s="130"/>
      <c r="C185" s="131"/>
      <c r="D185" s="131"/>
      <c r="E185" s="39">
        <f>E178</f>
        <v>-416.67999999999984</v>
      </c>
    </row>
    <row r="186" spans="1:8" ht="24.75" customHeight="1">
      <c r="A186" s="139" t="s">
        <v>125</v>
      </c>
      <c r="B186" s="196"/>
      <c r="C186" s="145" t="s">
        <v>126</v>
      </c>
      <c r="D186" s="146"/>
      <c r="E186" s="42"/>
    </row>
    <row r="187" spans="1:8" ht="24.75" customHeight="1">
      <c r="A187" s="141"/>
      <c r="B187" s="197"/>
      <c r="C187" s="174" t="s">
        <v>147</v>
      </c>
      <c r="D187" s="174"/>
      <c r="E187" s="27">
        <v>4500</v>
      </c>
      <c r="F187" s="43"/>
      <c r="G187" s="43"/>
      <c r="H187" s="43"/>
    </row>
    <row r="188" spans="1:8" ht="24.75" customHeight="1">
      <c r="A188" s="141"/>
      <c r="B188" s="197"/>
      <c r="C188" s="137" t="s">
        <v>148</v>
      </c>
      <c r="D188" s="138"/>
      <c r="E188" s="27">
        <v>4000</v>
      </c>
      <c r="F188" s="43"/>
      <c r="G188" s="43"/>
      <c r="H188" s="43"/>
    </row>
    <row r="189" spans="1:8" ht="24.75" customHeight="1">
      <c r="A189" s="141"/>
      <c r="B189" s="197"/>
      <c r="C189" s="137" t="s">
        <v>129</v>
      </c>
      <c r="D189" s="138"/>
      <c r="E189" s="27">
        <v>0</v>
      </c>
      <c r="F189" s="43"/>
      <c r="G189" s="43"/>
      <c r="H189" s="43"/>
    </row>
    <row r="190" spans="1:8" ht="24.75" customHeight="1">
      <c r="A190" s="141"/>
      <c r="B190" s="197"/>
      <c r="C190" s="137" t="s">
        <v>130</v>
      </c>
      <c r="D190" s="138"/>
      <c r="E190" s="27">
        <v>0</v>
      </c>
      <c r="F190" s="43"/>
      <c r="G190" s="43"/>
      <c r="H190" s="43"/>
    </row>
    <row r="191" spans="1:8" ht="24.75" customHeight="1">
      <c r="A191" s="141"/>
      <c r="B191" s="197"/>
      <c r="C191" s="137" t="s">
        <v>131</v>
      </c>
      <c r="D191" s="138"/>
      <c r="E191" s="27">
        <v>0</v>
      </c>
      <c r="F191" s="43"/>
      <c r="G191" s="43"/>
      <c r="H191" s="43"/>
    </row>
    <row r="192" spans="1:8" ht="24.75" customHeight="1">
      <c r="A192" s="141"/>
      <c r="B192" s="197"/>
      <c r="C192" s="137" t="s">
        <v>132</v>
      </c>
      <c r="D192" s="138"/>
      <c r="E192" s="27">
        <v>0</v>
      </c>
      <c r="F192" s="43"/>
      <c r="G192" s="43"/>
      <c r="H192" s="43"/>
    </row>
    <row r="193" spans="1:8" ht="24.75" customHeight="1">
      <c r="A193" s="141"/>
      <c r="B193" s="197"/>
      <c r="C193" s="137" t="s">
        <v>133</v>
      </c>
      <c r="D193" s="138"/>
      <c r="E193" s="27">
        <v>0</v>
      </c>
      <c r="F193" s="43"/>
      <c r="G193" s="43"/>
      <c r="H193" s="43"/>
    </row>
    <row r="194" spans="1:8" ht="24.75" customHeight="1">
      <c r="A194" s="141"/>
      <c r="B194" s="197"/>
      <c r="C194" s="137" t="s">
        <v>134</v>
      </c>
      <c r="D194" s="138"/>
      <c r="E194" s="27">
        <v>0</v>
      </c>
      <c r="F194" s="43"/>
      <c r="G194" s="43"/>
      <c r="H194" s="43"/>
    </row>
    <row r="195" spans="1:8" ht="24.75" customHeight="1">
      <c r="A195" s="141"/>
      <c r="B195" s="197"/>
      <c r="C195" s="137" t="s">
        <v>135</v>
      </c>
      <c r="D195" s="138"/>
      <c r="E195" s="27">
        <v>0</v>
      </c>
      <c r="F195" s="43"/>
      <c r="G195" s="43"/>
      <c r="H195" s="43"/>
    </row>
    <row r="196" spans="1:8" ht="24.75" customHeight="1">
      <c r="A196" s="141"/>
      <c r="B196" s="197"/>
      <c r="C196" s="137" t="s">
        <v>136</v>
      </c>
      <c r="D196" s="138"/>
      <c r="E196" s="27">
        <v>0</v>
      </c>
      <c r="F196" s="43"/>
      <c r="G196" s="43"/>
      <c r="H196" s="43"/>
    </row>
    <row r="197" spans="1:8" ht="24.75" customHeight="1">
      <c r="A197" s="141"/>
      <c r="B197" s="197"/>
      <c r="C197" s="190" t="s">
        <v>137</v>
      </c>
      <c r="D197" s="191"/>
      <c r="E197" s="41"/>
    </row>
    <row r="198" spans="1:8" ht="24.75" customHeight="1">
      <c r="A198" s="141"/>
      <c r="B198" s="197"/>
      <c r="C198" s="174" t="s">
        <v>149</v>
      </c>
      <c r="D198" s="174"/>
      <c r="E198" s="85">
        <v>2254</v>
      </c>
    </row>
    <row r="199" spans="1:8" ht="24.75" customHeight="1">
      <c r="A199" s="141"/>
      <c r="B199" s="197"/>
      <c r="C199" s="192" t="s">
        <v>150</v>
      </c>
      <c r="D199" s="192"/>
      <c r="E199" s="85">
        <v>560</v>
      </c>
    </row>
    <row r="200" spans="1:8" ht="24.75" customHeight="1">
      <c r="A200" s="141"/>
      <c r="B200" s="197"/>
      <c r="C200" s="174" t="s">
        <v>151</v>
      </c>
      <c r="D200" s="174"/>
      <c r="E200" s="85">
        <v>0</v>
      </c>
    </row>
    <row r="201" spans="1:8" ht="24.75" customHeight="1">
      <c r="A201" s="141"/>
      <c r="B201" s="197"/>
      <c r="C201" s="192" t="s">
        <v>152</v>
      </c>
      <c r="D201" s="192"/>
      <c r="E201" s="85">
        <v>700</v>
      </c>
    </row>
    <row r="202" spans="1:8" ht="24.75" customHeight="1">
      <c r="A202" s="141"/>
      <c r="B202" s="197"/>
      <c r="C202" s="192" t="s">
        <v>153</v>
      </c>
      <c r="D202" s="192"/>
      <c r="E202" s="85">
        <v>498</v>
      </c>
    </row>
    <row r="203" spans="1:8" ht="24.75" customHeight="1">
      <c r="A203" s="141"/>
      <c r="B203" s="197"/>
      <c r="C203" s="174" t="s">
        <v>154</v>
      </c>
      <c r="D203" s="174"/>
      <c r="E203" s="85">
        <v>368</v>
      </c>
    </row>
    <row r="204" spans="1:8" ht="24.75" customHeight="1">
      <c r="A204" s="141"/>
      <c r="B204" s="197"/>
      <c r="C204" s="174" t="s">
        <v>71</v>
      </c>
      <c r="D204" s="174"/>
      <c r="E204" s="85">
        <v>204</v>
      </c>
    </row>
    <row r="205" spans="1:8" ht="24.75" customHeight="1">
      <c r="A205" s="141"/>
      <c r="B205" s="197"/>
      <c r="C205" s="174" t="s">
        <v>72</v>
      </c>
      <c r="D205" s="174"/>
      <c r="E205" s="85">
        <v>207.5</v>
      </c>
    </row>
    <row r="206" spans="1:8" ht="24.75" customHeight="1">
      <c r="A206" s="141"/>
      <c r="B206" s="197"/>
      <c r="C206" s="174" t="s">
        <v>155</v>
      </c>
      <c r="D206" s="174"/>
      <c r="E206" s="85">
        <v>187</v>
      </c>
    </row>
    <row r="207" spans="1:8" ht="24.75" customHeight="1">
      <c r="A207" s="141"/>
      <c r="B207" s="197"/>
      <c r="C207" s="174" t="s">
        <v>156</v>
      </c>
      <c r="D207" s="174"/>
      <c r="E207" s="85">
        <v>391.5</v>
      </c>
    </row>
    <row r="208" spans="1:8" ht="24.75" customHeight="1">
      <c r="A208" s="143"/>
      <c r="B208" s="198"/>
      <c r="C208" s="174" t="s">
        <v>157</v>
      </c>
      <c r="D208" s="174"/>
      <c r="E208" s="85">
        <v>966.7</v>
      </c>
    </row>
    <row r="209" spans="1:5" ht="24.75" customHeight="1">
      <c r="A209" s="129" t="s">
        <v>139</v>
      </c>
      <c r="B209" s="193"/>
      <c r="C209" s="194"/>
      <c r="D209" s="195"/>
      <c r="E209" s="29">
        <f>C112</f>
        <v>1503</v>
      </c>
    </row>
    <row r="210" spans="1:5" ht="24.75" customHeight="1">
      <c r="A210" s="187"/>
      <c r="B210" s="188"/>
      <c r="C210" s="189" t="s">
        <v>140</v>
      </c>
      <c r="D210" s="189"/>
      <c r="E210" s="39">
        <f>(F56+E185)-(SUM(E187:E196)+SUM(E198:E209))</f>
        <v>3260.119999999999</v>
      </c>
    </row>
    <row r="211" spans="1:5" ht="24.75" customHeight="1"/>
  </sheetData>
  <mergeCells count="178">
    <mergeCell ref="A178:B178"/>
    <mergeCell ref="C167:D167"/>
    <mergeCell ref="C168:D168"/>
    <mergeCell ref="A177:B177"/>
    <mergeCell ref="C177:D177"/>
    <mergeCell ref="C169:D169"/>
    <mergeCell ref="C170:D170"/>
    <mergeCell ref="C171:D171"/>
    <mergeCell ref="A2:F2"/>
    <mergeCell ref="C149:D149"/>
    <mergeCell ref="C148:D148"/>
    <mergeCell ref="C133:D133"/>
    <mergeCell ref="C136:D136"/>
    <mergeCell ref="C147:D147"/>
    <mergeCell ref="C137:D137"/>
    <mergeCell ref="C139:D139"/>
    <mergeCell ref="C134:D134"/>
    <mergeCell ref="D41:E41"/>
    <mergeCell ref="B42:C42"/>
    <mergeCell ref="D42:E42"/>
    <mergeCell ref="F42:G42"/>
    <mergeCell ref="A23:G23"/>
    <mergeCell ref="B26:C26"/>
    <mergeCell ref="B27:C27"/>
    <mergeCell ref="I2:J2"/>
    <mergeCell ref="M2:N2"/>
    <mergeCell ref="C173:D173"/>
    <mergeCell ref="C174:D174"/>
    <mergeCell ref="C175:D175"/>
    <mergeCell ref="C176:D176"/>
    <mergeCell ref="A185:B185"/>
    <mergeCell ref="C185:D185"/>
    <mergeCell ref="A83:C83"/>
    <mergeCell ref="A92:C92"/>
    <mergeCell ref="A102:C102"/>
    <mergeCell ref="A130:E130"/>
    <mergeCell ref="A131:B131"/>
    <mergeCell ref="C131:D131"/>
    <mergeCell ref="C132:D132"/>
    <mergeCell ref="A151:B151"/>
    <mergeCell ref="C151:D151"/>
    <mergeCell ref="A150:B150"/>
    <mergeCell ref="C150:D150"/>
    <mergeCell ref="C143:D143"/>
    <mergeCell ref="C144:D144"/>
    <mergeCell ref="C145:D145"/>
    <mergeCell ref="C172:D172"/>
    <mergeCell ref="C178:D178"/>
    <mergeCell ref="A210:B210"/>
    <mergeCell ref="C210:D210"/>
    <mergeCell ref="C197:D197"/>
    <mergeCell ref="C200:D200"/>
    <mergeCell ref="C202:D202"/>
    <mergeCell ref="C205:D205"/>
    <mergeCell ref="C206:D206"/>
    <mergeCell ref="C207:D207"/>
    <mergeCell ref="C208:D208"/>
    <mergeCell ref="A209:B209"/>
    <mergeCell ref="C209:D209"/>
    <mergeCell ref="C198:D198"/>
    <mergeCell ref="C199:D199"/>
    <mergeCell ref="C201:D201"/>
    <mergeCell ref="C203:D203"/>
    <mergeCell ref="C204:D204"/>
    <mergeCell ref="A186:B208"/>
    <mergeCell ref="C186:D186"/>
    <mergeCell ref="C191:D191"/>
    <mergeCell ref="C192:D192"/>
    <mergeCell ref="C187:D187"/>
    <mergeCell ref="C188:D188"/>
    <mergeCell ref="C189:D189"/>
    <mergeCell ref="C190:D190"/>
    <mergeCell ref="C193:D193"/>
    <mergeCell ref="C194:D194"/>
    <mergeCell ref="C195:D195"/>
    <mergeCell ref="C196:D196"/>
    <mergeCell ref="A3:C3"/>
    <mergeCell ref="D3:F3"/>
    <mergeCell ref="A4:A17"/>
    <mergeCell ref="D4:D17"/>
    <mergeCell ref="D31:E31"/>
    <mergeCell ref="A60:C60"/>
    <mergeCell ref="D36:E36"/>
    <mergeCell ref="F36:G36"/>
    <mergeCell ref="F31:G31"/>
    <mergeCell ref="B31:C31"/>
    <mergeCell ref="B55:C55"/>
    <mergeCell ref="D55:E55"/>
    <mergeCell ref="F55:G55"/>
    <mergeCell ref="B51:C51"/>
    <mergeCell ref="D51:E51"/>
    <mergeCell ref="F51:G51"/>
    <mergeCell ref="D30:E30"/>
    <mergeCell ref="B41:C41"/>
    <mergeCell ref="B28:C28"/>
    <mergeCell ref="B29:C29"/>
    <mergeCell ref="B30:C30"/>
    <mergeCell ref="D26:E26"/>
    <mergeCell ref="D27:E27"/>
    <mergeCell ref="D28:E28"/>
    <mergeCell ref="D29:E29"/>
    <mergeCell ref="F26:G26"/>
    <mergeCell ref="F27:G27"/>
    <mergeCell ref="F28:G28"/>
    <mergeCell ref="F29:G29"/>
    <mergeCell ref="F30:G30"/>
    <mergeCell ref="B24:C24"/>
    <mergeCell ref="D24:E24"/>
    <mergeCell ref="F24:G24"/>
    <mergeCell ref="B25:C25"/>
    <mergeCell ref="D25:E25"/>
    <mergeCell ref="F25:G25"/>
    <mergeCell ref="A62:C62"/>
    <mergeCell ref="A72:C72"/>
    <mergeCell ref="A35:G35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F40:G40"/>
    <mergeCell ref="B43:C43"/>
    <mergeCell ref="D43:E43"/>
    <mergeCell ref="F43:G43"/>
    <mergeCell ref="A47:G47"/>
    <mergeCell ref="F41:G41"/>
    <mergeCell ref="C146:D146"/>
    <mergeCell ref="B36:C36"/>
    <mergeCell ref="B40:C40"/>
    <mergeCell ref="D40:E40"/>
    <mergeCell ref="B50:C50"/>
    <mergeCell ref="D50:E50"/>
    <mergeCell ref="F50:G50"/>
    <mergeCell ref="B56:C56"/>
    <mergeCell ref="D56:E56"/>
    <mergeCell ref="F56:G56"/>
    <mergeCell ref="B48:C48"/>
    <mergeCell ref="D48:E48"/>
    <mergeCell ref="F48:G48"/>
    <mergeCell ref="B49:C49"/>
    <mergeCell ref="F49:G49"/>
    <mergeCell ref="F53:G53"/>
    <mergeCell ref="F52:G52"/>
    <mergeCell ref="B53:C53"/>
    <mergeCell ref="D53:E53"/>
    <mergeCell ref="B52:C52"/>
    <mergeCell ref="D52:E52"/>
    <mergeCell ref="B54:C54"/>
    <mergeCell ref="D54:E54"/>
    <mergeCell ref="F54:G54"/>
    <mergeCell ref="A113:C113"/>
    <mergeCell ref="A158:B158"/>
    <mergeCell ref="C158:D158"/>
    <mergeCell ref="A183:E183"/>
    <mergeCell ref="A184:B184"/>
    <mergeCell ref="C184:D184"/>
    <mergeCell ref="C135:D135"/>
    <mergeCell ref="C138:D138"/>
    <mergeCell ref="C140:D140"/>
    <mergeCell ref="C160:D160"/>
    <mergeCell ref="C163:D163"/>
    <mergeCell ref="C164:D164"/>
    <mergeCell ref="C165:D165"/>
    <mergeCell ref="A132:B149"/>
    <mergeCell ref="A159:B176"/>
    <mergeCell ref="C142:D142"/>
    <mergeCell ref="C141:D141"/>
    <mergeCell ref="A156:E156"/>
    <mergeCell ref="A157:B157"/>
    <mergeCell ref="C157:D157"/>
    <mergeCell ref="C159:D159"/>
    <mergeCell ref="C161:D161"/>
    <mergeCell ref="C162:D162"/>
    <mergeCell ref="C166:D166"/>
  </mergeCells>
  <conditionalFormatting sqref="C71 C101 C94:C95 C111:C112 C114:C123">
    <cfRule type="cellIs" dxfId="858" priority="76" operator="equal">
      <formula>0</formula>
    </cfRule>
  </conditionalFormatting>
  <conditionalFormatting sqref="C71 C101 C94:C95 C111:C112 C114:C123">
    <cfRule type="cellIs" dxfId="857" priority="75" operator="greaterThan">
      <formula>0</formula>
    </cfRule>
  </conditionalFormatting>
  <conditionalFormatting sqref="C73:C82">
    <cfRule type="cellIs" dxfId="856" priority="74" operator="equal">
      <formula>0</formula>
    </cfRule>
  </conditionalFormatting>
  <conditionalFormatting sqref="C73:C82">
    <cfRule type="cellIs" dxfId="855" priority="73" operator="greaterThan">
      <formula>0</formula>
    </cfRule>
  </conditionalFormatting>
  <conditionalFormatting sqref="C84:C85">
    <cfRule type="cellIs" dxfId="854" priority="72" operator="equal">
      <formula>0</formula>
    </cfRule>
  </conditionalFormatting>
  <conditionalFormatting sqref="C84:C85">
    <cfRule type="cellIs" dxfId="853" priority="71" operator="greaterThan">
      <formula>0</formula>
    </cfRule>
  </conditionalFormatting>
  <conditionalFormatting sqref="C91">
    <cfRule type="cellIs" dxfId="852" priority="70" operator="equal">
      <formula>0</formula>
    </cfRule>
  </conditionalFormatting>
  <conditionalFormatting sqref="C91">
    <cfRule type="cellIs" dxfId="851" priority="69" operator="greaterThan">
      <formula>0</formula>
    </cfRule>
  </conditionalFormatting>
  <conditionalFormatting sqref="C93">
    <cfRule type="cellIs" dxfId="850" priority="68" operator="equal">
      <formula>0</formula>
    </cfRule>
  </conditionalFormatting>
  <conditionalFormatting sqref="C93">
    <cfRule type="cellIs" dxfId="849" priority="67" operator="greaterThan">
      <formula>0</formula>
    </cfRule>
  </conditionalFormatting>
  <conditionalFormatting sqref="E132 E143:E150">
    <cfRule type="cellIs" dxfId="848" priority="56" operator="equal">
      <formula>0</formula>
    </cfRule>
  </conditionalFormatting>
  <conditionalFormatting sqref="E132 E143:E150">
    <cfRule type="cellIs" dxfId="847" priority="55" operator="greaterThan">
      <formula>0</formula>
    </cfRule>
  </conditionalFormatting>
  <conditionalFormatting sqref="E151">
    <cfRule type="cellIs" dxfId="846" priority="54" operator="greaterThanOrEqual">
      <formula>0</formula>
    </cfRule>
  </conditionalFormatting>
  <conditionalFormatting sqref="E151">
    <cfRule type="cellIs" dxfId="845" priority="53" operator="lessThan">
      <formula>0</formula>
    </cfRule>
  </conditionalFormatting>
  <conditionalFormatting sqref="C86:C90">
    <cfRule type="cellIs" dxfId="844" priority="52" operator="equal">
      <formula>0</formula>
    </cfRule>
  </conditionalFormatting>
  <conditionalFormatting sqref="C86:C90">
    <cfRule type="cellIs" dxfId="843" priority="51" operator="greaterThan">
      <formula>0</formula>
    </cfRule>
  </conditionalFormatting>
  <conditionalFormatting sqref="C96:C100">
    <cfRule type="cellIs" dxfId="842" priority="50" operator="equal">
      <formula>0</formula>
    </cfRule>
  </conditionalFormatting>
  <conditionalFormatting sqref="C96:C100">
    <cfRule type="cellIs" dxfId="841" priority="49" operator="greaterThan">
      <formula>0</formula>
    </cfRule>
  </conditionalFormatting>
  <conditionalFormatting sqref="C124:C125">
    <cfRule type="cellIs" dxfId="840" priority="44" operator="equal">
      <formula>0</formula>
    </cfRule>
  </conditionalFormatting>
  <conditionalFormatting sqref="C124:C125">
    <cfRule type="cellIs" dxfId="839" priority="43" operator="greaterThan">
      <formula>0</formula>
    </cfRule>
  </conditionalFormatting>
  <conditionalFormatting sqref="E159 E170 E177">
    <cfRule type="cellIs" dxfId="838" priority="39" operator="equal">
      <formula>0</formula>
    </cfRule>
  </conditionalFormatting>
  <conditionalFormatting sqref="E159 E170 E177">
    <cfRule type="cellIs" dxfId="837" priority="38" operator="greaterThan">
      <formula>0</formula>
    </cfRule>
  </conditionalFormatting>
  <conditionalFormatting sqref="E178">
    <cfRule type="cellIs" dxfId="836" priority="37" operator="greaterThanOrEqual">
      <formula>0</formula>
    </cfRule>
  </conditionalFormatting>
  <conditionalFormatting sqref="E178">
    <cfRule type="cellIs" dxfId="835" priority="36" operator="lessThan">
      <formula>0</formula>
    </cfRule>
  </conditionalFormatting>
  <conditionalFormatting sqref="E158">
    <cfRule type="cellIs" dxfId="834" priority="33" operator="greaterThanOrEqual">
      <formula>0</formula>
    </cfRule>
  </conditionalFormatting>
  <conditionalFormatting sqref="E158">
    <cfRule type="cellIs" dxfId="833" priority="32" operator="lessThan">
      <formula>0</formula>
    </cfRule>
  </conditionalFormatting>
  <conditionalFormatting sqref="E186 E197 E209">
    <cfRule type="cellIs" dxfId="832" priority="31" operator="equal">
      <formula>0</formula>
    </cfRule>
  </conditionalFormatting>
  <conditionalFormatting sqref="E186 E197 E209">
    <cfRule type="cellIs" dxfId="831" priority="30" operator="greaterThan">
      <formula>0</formula>
    </cfRule>
  </conditionalFormatting>
  <conditionalFormatting sqref="E210">
    <cfRule type="cellIs" dxfId="830" priority="29" operator="greaterThanOrEqual">
      <formula>0</formula>
    </cfRule>
  </conditionalFormatting>
  <conditionalFormatting sqref="E210">
    <cfRule type="cellIs" dxfId="829" priority="28" operator="lessThan">
      <formula>0</formula>
    </cfRule>
  </conditionalFormatting>
  <conditionalFormatting sqref="E185">
    <cfRule type="cellIs" dxfId="828" priority="27" operator="greaterThanOrEqual">
      <formula>0</formula>
    </cfRule>
  </conditionalFormatting>
  <conditionalFormatting sqref="E185">
    <cfRule type="cellIs" dxfId="827" priority="26" operator="lessThan">
      <formula>0</formula>
    </cfRule>
  </conditionalFormatting>
  <conditionalFormatting sqref="E133:E142">
    <cfRule type="cellIs" dxfId="826" priority="23" operator="equal">
      <formula>0</formula>
    </cfRule>
  </conditionalFormatting>
  <conditionalFormatting sqref="E133:E142">
    <cfRule type="cellIs" dxfId="825" priority="22" operator="greaterThan">
      <formula>0</formula>
    </cfRule>
  </conditionalFormatting>
  <conditionalFormatting sqref="E162:E169">
    <cfRule type="cellIs" dxfId="824" priority="21" operator="equal">
      <formula>0</formula>
    </cfRule>
  </conditionalFormatting>
  <conditionalFormatting sqref="E162:E169">
    <cfRule type="cellIs" dxfId="823" priority="20" operator="greaterThan">
      <formula>0</formula>
    </cfRule>
  </conditionalFormatting>
  <conditionalFormatting sqref="E189:E196">
    <cfRule type="cellIs" dxfId="822" priority="19" operator="equal">
      <formula>0</formula>
    </cfRule>
  </conditionalFormatting>
  <conditionalFormatting sqref="E189:E196">
    <cfRule type="cellIs" dxfId="821" priority="18" operator="greaterThan">
      <formula>0</formula>
    </cfRule>
  </conditionalFormatting>
  <conditionalFormatting sqref="J4:J51">
    <cfRule type="cellIs" dxfId="820" priority="17" operator="greaterThanOrEqual">
      <formula>0</formula>
    </cfRule>
  </conditionalFormatting>
  <conditionalFormatting sqref="N4:N19">
    <cfRule type="cellIs" dxfId="819" priority="16" operator="greaterThanOrEqual">
      <formula>0</formula>
    </cfRule>
  </conditionalFormatting>
  <conditionalFormatting sqref="C63:C70">
    <cfRule type="cellIs" dxfId="818" priority="15" operator="equal">
      <formula>0</formula>
    </cfRule>
  </conditionalFormatting>
  <conditionalFormatting sqref="C63:C70">
    <cfRule type="cellIs" dxfId="817" priority="14" operator="greaterThan">
      <formula>0</formula>
    </cfRule>
  </conditionalFormatting>
  <conditionalFormatting sqref="C103:C105">
    <cfRule type="cellIs" dxfId="816" priority="13" operator="equal">
      <formula>0</formula>
    </cfRule>
  </conditionalFormatting>
  <conditionalFormatting sqref="C103:C105">
    <cfRule type="cellIs" dxfId="815" priority="12" operator="greaterThan">
      <formula>0</formula>
    </cfRule>
  </conditionalFormatting>
  <conditionalFormatting sqref="C106:C110">
    <cfRule type="cellIs" dxfId="814" priority="11" operator="equal">
      <formula>0</formula>
    </cfRule>
  </conditionalFormatting>
  <conditionalFormatting sqref="C106:C110">
    <cfRule type="cellIs" dxfId="813" priority="10" operator="greaterThan">
      <formula>0</formula>
    </cfRule>
  </conditionalFormatting>
  <conditionalFormatting sqref="E160">
    <cfRule type="cellIs" dxfId="812" priority="7" operator="equal">
      <formula>0</formula>
    </cfRule>
  </conditionalFormatting>
  <conditionalFormatting sqref="E171:E176">
    <cfRule type="cellIs" dxfId="811" priority="6" operator="equal">
      <formula>0</formula>
    </cfRule>
  </conditionalFormatting>
  <conditionalFormatting sqref="E171:E176">
    <cfRule type="cellIs" dxfId="810" priority="5" operator="greaterThan">
      <formula>0</formula>
    </cfRule>
  </conditionalFormatting>
  <conditionalFormatting sqref="E187:E188">
    <cfRule type="cellIs" dxfId="809" priority="4" operator="equal">
      <formula>0</formula>
    </cfRule>
  </conditionalFormatting>
  <conditionalFormatting sqref="E187:E188">
    <cfRule type="cellIs" dxfId="808" priority="3" operator="greaterThan">
      <formula>0</formula>
    </cfRule>
  </conditionalFormatting>
  <conditionalFormatting sqref="E198:E208">
    <cfRule type="cellIs" dxfId="807" priority="2" operator="equal">
      <formula>0</formula>
    </cfRule>
  </conditionalFormatting>
  <conditionalFormatting sqref="E198:E208">
    <cfRule type="cellIs" dxfId="806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205"/>
  <sheetViews>
    <sheetView topLeftCell="A140" workbookViewId="0">
      <selection activeCell="C145" sqref="C145:D145"/>
    </sheetView>
  </sheetViews>
  <sheetFormatPr defaultRowHeight="15"/>
  <cols>
    <col min="1" max="1" width="25" style="46" customWidth="1"/>
    <col min="2" max="2" width="20.625" style="46" customWidth="1"/>
    <col min="3" max="3" width="24.875" style="46" customWidth="1"/>
    <col min="4" max="6" width="20.625" style="46" customWidth="1"/>
    <col min="7" max="7" width="9" style="46"/>
    <col min="8" max="9" width="20.625" style="46" customWidth="1"/>
    <col min="10" max="16384" width="9" style="46"/>
  </cols>
  <sheetData>
    <row r="1" spans="1:9" ht="28.5" customHeight="1">
      <c r="A1" s="247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2024 to October 2024</v>
      </c>
      <c r="B1" s="247"/>
      <c r="C1" s="247"/>
      <c r="D1" s="247"/>
      <c r="E1" s="247"/>
      <c r="F1" s="247"/>
      <c r="G1" s="247"/>
    </row>
    <row r="2" spans="1:9" ht="28.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</row>
    <row r="3" spans="1:9" ht="42" customHeight="1">
      <c r="A3" s="204"/>
      <c r="B3" s="40" t="s">
        <v>159</v>
      </c>
      <c r="C3" s="206">
        <f>E202</f>
        <v>502.70999999999822</v>
      </c>
      <c r="D3" s="206"/>
      <c r="E3" s="206"/>
      <c r="F3" s="206"/>
      <c r="G3" s="206"/>
    </row>
    <row r="4" spans="1:9">
      <c r="A4" s="244" t="s">
        <v>45</v>
      </c>
      <c r="B4" s="245"/>
      <c r="C4" s="207">
        <f ca="1">SUM(C2:G3)</f>
        <v>525.60999999999819</v>
      </c>
      <c r="D4" s="207"/>
      <c r="E4" s="207"/>
      <c r="F4" s="207"/>
      <c r="G4" s="207"/>
      <c r="H4" s="43"/>
      <c r="I4" s="8"/>
    </row>
    <row r="5" spans="1:9">
      <c r="A5" s="246" t="s">
        <v>160</v>
      </c>
      <c r="B5" s="246"/>
      <c r="C5" s="208">
        <f>C115</f>
        <v>-11683</v>
      </c>
      <c r="D5" s="209"/>
      <c r="E5" s="209"/>
      <c r="F5" s="209"/>
      <c r="G5" s="209"/>
      <c r="H5" s="43"/>
      <c r="I5" s="8"/>
    </row>
    <row r="6" spans="1:9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20 July 2024 - 19 August 2024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89" t="s">
        <v>161</v>
      </c>
      <c r="B10" s="216" t="s">
        <v>50</v>
      </c>
      <c r="C10" s="217"/>
      <c r="D10" s="218" t="s">
        <v>51</v>
      </c>
      <c r="E10" s="219"/>
      <c r="F10" s="168">
        <v>2405</v>
      </c>
      <c r="G10" s="157"/>
      <c r="H10" s="43"/>
      <c r="I10" s="8"/>
    </row>
    <row r="11" spans="1:9" ht="24.75" customHeight="1">
      <c r="A11" s="89"/>
      <c r="B11" s="210" t="s">
        <v>162</v>
      </c>
      <c r="C11" s="211"/>
      <c r="D11" s="212"/>
      <c r="E11" s="213"/>
      <c r="F11" s="168">
        <v>27</v>
      </c>
      <c r="G11" s="157"/>
      <c r="H11" s="43"/>
      <c r="I11" s="8"/>
    </row>
    <row r="12" spans="1:9" ht="37.5" customHeight="1">
      <c r="A12" s="89"/>
      <c r="B12" s="210" t="s">
        <v>163</v>
      </c>
      <c r="C12" s="211"/>
      <c r="D12" s="212"/>
      <c r="E12" s="213"/>
      <c r="F12" s="168">
        <v>17</v>
      </c>
      <c r="G12" s="157"/>
      <c r="H12" s="43"/>
      <c r="I12" s="8"/>
    </row>
    <row r="13" spans="1:9" ht="24.75" customHeight="1">
      <c r="A13" s="89" t="s">
        <v>164</v>
      </c>
      <c r="B13" s="214" t="s">
        <v>165</v>
      </c>
      <c r="C13" s="215"/>
      <c r="D13" s="212"/>
      <c r="E13" s="213"/>
      <c r="F13" s="168">
        <v>1500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222"/>
      <c r="E14" s="22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3949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20 August 2024 - 19 September 2024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89" t="s">
        <v>166</v>
      </c>
      <c r="B22" s="216" t="s">
        <v>167</v>
      </c>
      <c r="C22" s="217"/>
      <c r="D22" s="218" t="s">
        <v>168</v>
      </c>
      <c r="E22" s="219"/>
      <c r="F22" s="226">
        <v>204</v>
      </c>
      <c r="G22" s="227"/>
      <c r="H22" s="43"/>
      <c r="I22" s="8"/>
    </row>
    <row r="23" spans="1:9" ht="24.75" customHeight="1">
      <c r="A23" s="89" t="s">
        <v>166</v>
      </c>
      <c r="B23" s="210" t="s">
        <v>169</v>
      </c>
      <c r="C23" s="211"/>
      <c r="D23" s="228" t="s">
        <v>170</v>
      </c>
      <c r="E23" s="229"/>
      <c r="F23" s="206">
        <v>207.5</v>
      </c>
      <c r="G23" s="206"/>
      <c r="H23" s="43"/>
      <c r="I23" s="8"/>
    </row>
    <row r="24" spans="1:9" ht="24.75" customHeight="1">
      <c r="A24" s="89" t="s">
        <v>171</v>
      </c>
      <c r="B24" s="210" t="s">
        <v>172</v>
      </c>
      <c r="C24" s="211"/>
      <c r="D24" s="228" t="s">
        <v>173</v>
      </c>
      <c r="E24" s="229"/>
      <c r="F24" s="206">
        <v>900</v>
      </c>
      <c r="G24" s="206"/>
      <c r="H24" s="43"/>
      <c r="I24" s="8"/>
    </row>
    <row r="25" spans="1:9" ht="24.75" customHeight="1">
      <c r="A25" s="89" t="s">
        <v>174</v>
      </c>
      <c r="B25" s="210" t="s">
        <v>50</v>
      </c>
      <c r="C25" s="211"/>
      <c r="D25" s="212" t="s">
        <v>51</v>
      </c>
      <c r="E25" s="213"/>
      <c r="F25" s="224">
        <v>2405</v>
      </c>
      <c r="G25" s="225"/>
      <c r="H25" s="43"/>
      <c r="I25" s="8"/>
    </row>
    <row r="26" spans="1:9" ht="24.75" customHeight="1">
      <c r="A26" s="89" t="s">
        <v>175</v>
      </c>
      <c r="B26" s="210" t="s">
        <v>76</v>
      </c>
      <c r="C26" s="211"/>
      <c r="D26" s="212" t="s">
        <v>176</v>
      </c>
      <c r="E26" s="213"/>
      <c r="F26" s="168">
        <v>0</v>
      </c>
      <c r="G26" s="157"/>
      <c r="H26" s="43"/>
      <c r="I26" s="8"/>
    </row>
    <row r="27" spans="1:9" ht="41.25" customHeight="1">
      <c r="A27" s="89"/>
      <c r="B27" s="210" t="s">
        <v>163</v>
      </c>
      <c r="C27" s="211"/>
      <c r="D27" s="212"/>
      <c r="E27" s="213"/>
      <c r="F27" s="168">
        <v>17</v>
      </c>
      <c r="G27" s="157"/>
      <c r="H27" s="43"/>
      <c r="I27" s="8"/>
    </row>
    <row r="28" spans="1:9" ht="24.75" customHeight="1">
      <c r="A28" s="89"/>
      <c r="B28" s="210" t="s">
        <v>162</v>
      </c>
      <c r="C28" s="211"/>
      <c r="D28" s="212"/>
      <c r="E28" s="250"/>
      <c r="F28" s="251">
        <v>27</v>
      </c>
      <c r="G28" s="157"/>
      <c r="H28" s="43"/>
      <c r="I28" s="8"/>
    </row>
    <row r="29" spans="1:9" ht="24.75" customHeight="1">
      <c r="A29" s="89" t="s">
        <v>177</v>
      </c>
      <c r="B29" s="214" t="s">
        <v>68</v>
      </c>
      <c r="C29" s="215"/>
      <c r="D29" s="238" t="s">
        <v>178</v>
      </c>
      <c r="E29" s="239"/>
      <c r="F29" s="168">
        <v>0</v>
      </c>
      <c r="G29" s="157"/>
      <c r="H29" s="43"/>
      <c r="I29" s="8"/>
    </row>
    <row r="30" spans="1:9" ht="24.75" customHeight="1">
      <c r="A30" s="2"/>
      <c r="B30" s="252" t="s">
        <v>44</v>
      </c>
      <c r="C30" s="253"/>
      <c r="D30" s="152"/>
      <c r="E30" s="153"/>
      <c r="F30" s="168">
        <v>0</v>
      </c>
      <c r="G30" s="157"/>
      <c r="H30" s="43"/>
      <c r="I30" s="8"/>
    </row>
    <row r="31" spans="1:9" ht="24.75" customHeight="1">
      <c r="A31" s="44"/>
      <c r="B31" s="220"/>
      <c r="C31" s="221"/>
      <c r="D31" s="160" t="s">
        <v>56</v>
      </c>
      <c r="E31" s="161"/>
      <c r="F31" s="162">
        <f>SUM(F22:G30)</f>
        <v>3760.5</v>
      </c>
      <c r="G31" s="163"/>
      <c r="H31" s="43"/>
      <c r="I31" s="8"/>
    </row>
    <row r="32" spans="1:9" ht="24.75" customHeight="1">
      <c r="A32" s="43"/>
      <c r="B32" s="43"/>
      <c r="C32" s="43"/>
      <c r="D32" s="43"/>
      <c r="E32" s="43"/>
      <c r="F32" s="43"/>
      <c r="G32" s="43"/>
      <c r="H32" s="43"/>
      <c r="I32" s="8"/>
    </row>
    <row r="33" spans="1:9" ht="24.75" customHeight="1">
      <c r="A33" s="43"/>
      <c r="B33" s="43"/>
      <c r="C33" s="43"/>
      <c r="D33" s="43"/>
      <c r="E33" s="43"/>
      <c r="F33" s="43"/>
      <c r="G33" s="43"/>
      <c r="H33" s="43"/>
      <c r="I33" s="8"/>
    </row>
    <row r="34" spans="1:9" ht="24.75" customHeight="1">
      <c r="A34" s="43"/>
      <c r="B34" s="43"/>
      <c r="C34" s="43"/>
      <c r="D34" s="43"/>
      <c r="E34" s="43"/>
      <c r="F34" s="43"/>
      <c r="G34" s="43"/>
      <c r="H34" s="43"/>
      <c r="I34" s="8"/>
    </row>
    <row r="35" spans="1:9" ht="24.75" customHeight="1">
      <c r="A35" s="17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20 September 2024 - 19 October 2024 /  (Revenue / Deferred Debts Or Expenses)</v>
      </c>
      <c r="B35" s="173"/>
      <c r="C35" s="173"/>
      <c r="D35" s="173"/>
      <c r="E35" s="173"/>
      <c r="F35" s="173"/>
      <c r="G35" s="173"/>
      <c r="H35" s="43"/>
      <c r="I35" s="8"/>
    </row>
    <row r="36" spans="1:9" ht="24.75" customHeight="1">
      <c r="A36" s="114" t="s">
        <v>27</v>
      </c>
      <c r="B36" s="149" t="s">
        <v>46</v>
      </c>
      <c r="C36" s="149"/>
      <c r="D36" s="164" t="s">
        <v>47</v>
      </c>
      <c r="E36" s="164"/>
      <c r="F36" s="164" t="s">
        <v>48</v>
      </c>
      <c r="G36" s="164"/>
      <c r="H36" s="43"/>
      <c r="I36" s="8"/>
    </row>
    <row r="37" spans="1:9" ht="24.75" customHeight="1">
      <c r="A37" s="89" t="s">
        <v>179</v>
      </c>
      <c r="B37" s="216" t="s">
        <v>68</v>
      </c>
      <c r="C37" s="217"/>
      <c r="D37" s="218" t="s">
        <v>178</v>
      </c>
      <c r="E37" s="219"/>
      <c r="F37" s="226">
        <v>0</v>
      </c>
      <c r="G37" s="227"/>
      <c r="H37" s="43"/>
      <c r="I37" s="8"/>
    </row>
    <row r="38" spans="1:9" ht="24.75" customHeight="1">
      <c r="A38" s="89"/>
      <c r="B38" s="210" t="s">
        <v>180</v>
      </c>
      <c r="C38" s="211"/>
      <c r="D38" s="212"/>
      <c r="E38" s="231"/>
      <c r="F38" s="206">
        <v>270</v>
      </c>
      <c r="G38" s="206"/>
      <c r="H38" s="43"/>
      <c r="I38" s="8"/>
    </row>
    <row r="39" spans="1:9" ht="24.75" customHeight="1">
      <c r="A39" s="89" t="s">
        <v>179</v>
      </c>
      <c r="B39" s="210" t="s">
        <v>50</v>
      </c>
      <c r="C39" s="211"/>
      <c r="D39" s="212" t="s">
        <v>51</v>
      </c>
      <c r="E39" s="231"/>
      <c r="F39" s="206">
        <v>2405</v>
      </c>
      <c r="G39" s="206"/>
      <c r="H39" s="43"/>
      <c r="I39" s="8"/>
    </row>
    <row r="40" spans="1:9" ht="24.75" customHeight="1">
      <c r="A40" s="89"/>
      <c r="B40" s="210" t="s">
        <v>181</v>
      </c>
      <c r="C40" s="211"/>
      <c r="D40" s="212"/>
      <c r="E40" s="231"/>
      <c r="F40" s="206">
        <v>204</v>
      </c>
      <c r="G40" s="206"/>
      <c r="H40" s="43"/>
      <c r="I40" s="8"/>
    </row>
    <row r="41" spans="1:9" ht="24.75" customHeight="1">
      <c r="A41" s="89" t="s">
        <v>179</v>
      </c>
      <c r="B41" s="210" t="s">
        <v>182</v>
      </c>
      <c r="C41" s="211"/>
      <c r="D41" s="212"/>
      <c r="E41" s="213"/>
      <c r="F41" s="224">
        <v>27</v>
      </c>
      <c r="G41" s="225"/>
      <c r="H41" s="43"/>
      <c r="I41" s="8"/>
    </row>
    <row r="42" spans="1:9" ht="24.75" customHeight="1">
      <c r="A42" s="89" t="s">
        <v>183</v>
      </c>
      <c r="B42" s="210" t="s">
        <v>184</v>
      </c>
      <c r="C42" s="211"/>
      <c r="D42" s="212"/>
      <c r="E42" s="213"/>
      <c r="F42" s="226">
        <v>1000</v>
      </c>
      <c r="G42" s="227"/>
      <c r="H42" s="43"/>
      <c r="I42" s="36"/>
    </row>
    <row r="43" spans="1:9" ht="39" customHeight="1">
      <c r="A43" s="89" t="s">
        <v>185</v>
      </c>
      <c r="B43" s="210" t="s">
        <v>186</v>
      </c>
      <c r="C43" s="211"/>
      <c r="D43" s="210" t="s">
        <v>187</v>
      </c>
      <c r="E43" s="230"/>
      <c r="F43" s="206">
        <v>100</v>
      </c>
      <c r="G43" s="206"/>
      <c r="H43" s="43"/>
      <c r="I43" s="8"/>
    </row>
    <row r="44" spans="1:9" ht="41.25" customHeight="1">
      <c r="A44" s="89" t="s">
        <v>188</v>
      </c>
      <c r="B44" s="210" t="s">
        <v>189</v>
      </c>
      <c r="C44" s="211"/>
      <c r="D44" s="210" t="s">
        <v>190</v>
      </c>
      <c r="E44" s="230"/>
      <c r="F44" s="206">
        <v>500</v>
      </c>
      <c r="G44" s="206"/>
      <c r="H44" s="43"/>
      <c r="I44" s="8"/>
    </row>
    <row r="45" spans="1:9" ht="24.75" customHeight="1">
      <c r="A45" s="90"/>
      <c r="B45" s="214" t="s">
        <v>191</v>
      </c>
      <c r="C45" s="215"/>
      <c r="D45" s="238" t="s">
        <v>192</v>
      </c>
      <c r="E45" s="239"/>
      <c r="F45" s="224">
        <v>800</v>
      </c>
      <c r="G45" s="225"/>
      <c r="H45" s="43"/>
      <c r="I45" s="8"/>
    </row>
    <row r="46" spans="1:9" ht="24.75" customHeight="1">
      <c r="A46" s="2"/>
      <c r="B46" s="150" t="s">
        <v>44</v>
      </c>
      <c r="C46" s="151"/>
      <c r="D46" s="150"/>
      <c r="E46" s="151"/>
      <c r="F46" s="168">
        <v>0</v>
      </c>
      <c r="G46" s="157"/>
      <c r="H46" s="43"/>
      <c r="I46" s="8"/>
    </row>
    <row r="47" spans="1:9" ht="24.75" customHeight="1">
      <c r="A47" s="44"/>
      <c r="B47" s="220"/>
      <c r="C47" s="221"/>
      <c r="D47" s="160" t="s">
        <v>56</v>
      </c>
      <c r="E47" s="161"/>
      <c r="F47" s="162">
        <f>SUM(F37:G46)</f>
        <v>5306</v>
      </c>
      <c r="G47" s="163"/>
      <c r="H47" s="43"/>
      <c r="I47" s="8"/>
    </row>
    <row r="48" spans="1:9" ht="24.75" customHeight="1">
      <c r="A48" s="43"/>
      <c r="B48" s="43"/>
      <c r="C48" s="43"/>
      <c r="D48" s="43"/>
      <c r="E48" s="43"/>
      <c r="F48" s="43"/>
      <c r="G48" s="43"/>
      <c r="H48" s="43"/>
      <c r="I48" s="8"/>
    </row>
    <row r="49" spans="1:9" ht="24.75" customHeight="1">
      <c r="A49" s="43"/>
      <c r="B49" s="43"/>
      <c r="C49" s="43"/>
      <c r="D49" s="43"/>
      <c r="E49" s="43"/>
      <c r="F49" s="43"/>
      <c r="G49" s="43"/>
      <c r="H49" s="43"/>
      <c r="I49" s="8"/>
    </row>
    <row r="50" spans="1:9">
      <c r="A50" s="43"/>
      <c r="B50" s="43"/>
      <c r="C50" s="43"/>
      <c r="D50" s="43"/>
      <c r="E50" s="43"/>
      <c r="F50" s="43"/>
      <c r="G50" s="43"/>
      <c r="H50" s="43"/>
      <c r="I50" s="8"/>
    </row>
    <row r="51" spans="1:9" ht="18" customHeight="1">
      <c r="A51" s="232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2024 to October 2024</v>
      </c>
      <c r="B51" s="233"/>
      <c r="C51" s="234"/>
      <c r="D51" s="43"/>
      <c r="E51" s="43"/>
      <c r="F51" s="43"/>
      <c r="G51" s="43"/>
      <c r="H51" s="43"/>
      <c r="I51" s="8"/>
    </row>
    <row r="52" spans="1:9" ht="18">
      <c r="A52" s="45" t="s">
        <v>46</v>
      </c>
      <c r="B52" s="45" t="s">
        <v>47</v>
      </c>
      <c r="C52" s="115" t="s">
        <v>48</v>
      </c>
      <c r="D52" s="43"/>
      <c r="E52" s="43"/>
      <c r="F52" s="43"/>
      <c r="G52" s="43"/>
      <c r="H52" s="43"/>
      <c r="I52" s="8"/>
    </row>
    <row r="53" spans="1:9" ht="15.75">
      <c r="A53" s="235" t="s">
        <v>75</v>
      </c>
      <c r="B53" s="236"/>
      <c r="C53" s="237"/>
      <c r="D53" s="43"/>
      <c r="E53" s="43"/>
      <c r="F53" s="43"/>
      <c r="G53" s="43"/>
      <c r="H53" s="43"/>
      <c r="I53" s="8"/>
    </row>
    <row r="54" spans="1:9">
      <c r="A54" s="17" t="s">
        <v>76</v>
      </c>
      <c r="B54" s="18"/>
      <c r="C54" s="83">
        <v>204</v>
      </c>
      <c r="D54" s="43"/>
      <c r="E54" s="43"/>
      <c r="F54" s="43"/>
      <c r="G54" s="43"/>
      <c r="H54" s="43"/>
      <c r="I54" s="8"/>
    </row>
    <row r="55" spans="1:9">
      <c r="A55" s="17" t="s">
        <v>77</v>
      </c>
      <c r="B55" s="18"/>
      <c r="C55" s="83">
        <v>207.5</v>
      </c>
      <c r="D55" s="43"/>
      <c r="E55" s="43"/>
      <c r="F55" s="43"/>
      <c r="G55" s="43"/>
      <c r="H55" s="43"/>
      <c r="I55" s="8"/>
    </row>
    <row r="56" spans="1:9">
      <c r="A56" s="32" t="s">
        <v>78</v>
      </c>
      <c r="B56" s="18"/>
      <c r="C56" s="83">
        <v>0</v>
      </c>
      <c r="D56" s="43"/>
      <c r="E56" s="43"/>
      <c r="F56" s="43"/>
      <c r="G56" s="43"/>
      <c r="H56" s="43"/>
      <c r="I56" s="8"/>
    </row>
    <row r="57" spans="1:9">
      <c r="A57" s="17" t="s">
        <v>61</v>
      </c>
      <c r="B57" s="31"/>
      <c r="C57" s="83">
        <v>0</v>
      </c>
      <c r="D57" s="43"/>
      <c r="E57" s="43"/>
      <c r="F57" s="43"/>
      <c r="G57" s="43"/>
      <c r="H57" s="43"/>
      <c r="I57" s="8"/>
    </row>
    <row r="58" spans="1:9">
      <c r="A58" s="34" t="s">
        <v>53</v>
      </c>
      <c r="B58" s="31"/>
      <c r="C58" s="83">
        <v>0</v>
      </c>
      <c r="D58" s="43"/>
      <c r="E58" s="43"/>
      <c r="F58" s="43"/>
      <c r="G58" s="43"/>
      <c r="H58" s="43"/>
      <c r="I58" s="8"/>
    </row>
    <row r="59" spans="1:9">
      <c r="A59" s="34" t="s">
        <v>54</v>
      </c>
      <c r="B59" s="31"/>
      <c r="C59" s="83">
        <v>0</v>
      </c>
      <c r="D59" s="43"/>
      <c r="E59" s="43"/>
      <c r="F59" s="43"/>
      <c r="G59" s="43"/>
      <c r="H59" s="43"/>
      <c r="I59" s="8"/>
    </row>
    <row r="60" spans="1:9">
      <c r="A60" s="34" t="s">
        <v>55</v>
      </c>
      <c r="B60" s="31"/>
      <c r="C60" s="83">
        <v>0</v>
      </c>
      <c r="D60" s="43"/>
      <c r="E60" s="43"/>
      <c r="F60" s="43"/>
      <c r="G60" s="43"/>
      <c r="H60" s="43"/>
      <c r="I60" s="8"/>
    </row>
    <row r="61" spans="1:9">
      <c r="A61" s="34" t="s">
        <v>44</v>
      </c>
      <c r="B61" s="31"/>
      <c r="C61" s="83">
        <v>0</v>
      </c>
      <c r="D61" s="43"/>
      <c r="E61" s="43"/>
      <c r="F61" s="43"/>
      <c r="G61" s="43"/>
      <c r="H61" s="43"/>
      <c r="I61" s="8"/>
    </row>
    <row r="62" spans="1:9">
      <c r="A62" s="33"/>
      <c r="B62" s="25" t="s">
        <v>79</v>
      </c>
      <c r="C62" s="27">
        <f>SUM(C54:C61)</f>
        <v>411.5</v>
      </c>
      <c r="D62" s="43"/>
      <c r="E62" s="43"/>
      <c r="F62" s="43"/>
      <c r="G62" s="43"/>
      <c r="H62" s="43"/>
      <c r="I62" s="8"/>
    </row>
    <row r="63" spans="1:9" ht="15.75">
      <c r="A63" s="235" t="s">
        <v>80</v>
      </c>
      <c r="B63" s="236"/>
      <c r="C63" s="237"/>
      <c r="D63" s="43"/>
      <c r="E63" s="43"/>
      <c r="F63" s="43"/>
      <c r="G63" s="43"/>
      <c r="H63" s="43"/>
      <c r="I63" s="8"/>
    </row>
    <row r="64" spans="1:9">
      <c r="A64" s="17" t="s">
        <v>81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>
      <c r="A65" s="17" t="s">
        <v>82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>
      <c r="A66" s="17" t="s">
        <v>83</v>
      </c>
      <c r="B66" s="18"/>
      <c r="C66" s="27">
        <v>0</v>
      </c>
      <c r="D66" s="43"/>
      <c r="E66" s="43"/>
      <c r="F66" s="43"/>
      <c r="G66" s="43"/>
      <c r="H66" s="43"/>
      <c r="I66" s="8"/>
    </row>
    <row r="67" spans="1:9">
      <c r="A67" s="17" t="s">
        <v>84</v>
      </c>
      <c r="B67" s="18"/>
      <c r="C67" s="27">
        <v>0</v>
      </c>
      <c r="D67" s="43"/>
      <c r="E67" s="43"/>
      <c r="F67" s="43"/>
      <c r="G67" s="43"/>
      <c r="H67" s="43"/>
      <c r="I67" s="8"/>
    </row>
    <row r="68" spans="1:9">
      <c r="A68" s="17" t="s">
        <v>52</v>
      </c>
      <c r="B68" s="18"/>
      <c r="C68" s="27">
        <v>0</v>
      </c>
      <c r="D68" s="43"/>
      <c r="E68" s="43"/>
      <c r="F68" s="43"/>
      <c r="G68" s="43"/>
      <c r="H68" s="43"/>
      <c r="I68" s="8"/>
    </row>
    <row r="69" spans="1:9">
      <c r="A69" s="17" t="s">
        <v>53</v>
      </c>
      <c r="B69" s="18"/>
      <c r="C69" s="27">
        <v>0</v>
      </c>
      <c r="D69" s="43"/>
      <c r="E69" s="43"/>
      <c r="F69" s="43"/>
      <c r="G69" s="43"/>
      <c r="H69" s="43"/>
      <c r="I69" s="8"/>
    </row>
    <row r="70" spans="1:9">
      <c r="A70" s="17" t="s">
        <v>54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>
      <c r="A71" s="17" t="s">
        <v>55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>
      <c r="A72" s="17" t="s">
        <v>44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>
      <c r="A73" s="22"/>
      <c r="B73" s="25" t="s">
        <v>85</v>
      </c>
      <c r="C73" s="27">
        <f>SUM(C64:C72)</f>
        <v>0</v>
      </c>
      <c r="D73" s="43"/>
      <c r="E73" s="43"/>
      <c r="F73" s="43"/>
      <c r="G73" s="43"/>
      <c r="H73" s="43"/>
      <c r="I73" s="8"/>
    </row>
    <row r="74" spans="1:9" ht="15.75">
      <c r="A74" s="235" t="s">
        <v>86</v>
      </c>
      <c r="B74" s="236"/>
      <c r="C74" s="237"/>
      <c r="D74" s="43"/>
      <c r="E74" s="43"/>
      <c r="F74" s="43"/>
      <c r="G74" s="43"/>
      <c r="H74" s="43"/>
      <c r="I74" s="8"/>
    </row>
    <row r="75" spans="1:9" ht="42">
      <c r="A75" s="17" t="s">
        <v>87</v>
      </c>
      <c r="B75" s="18" t="s">
        <v>88</v>
      </c>
      <c r="C75" s="27">
        <v>0</v>
      </c>
      <c r="D75" s="43"/>
      <c r="E75" s="43"/>
      <c r="F75" s="43"/>
      <c r="G75" s="43"/>
      <c r="H75" s="43"/>
      <c r="I75" s="8"/>
    </row>
    <row r="76" spans="1:9">
      <c r="A76" s="17" t="s">
        <v>89</v>
      </c>
      <c r="B76" s="18" t="s">
        <v>90</v>
      </c>
      <c r="C76" s="27">
        <v>0</v>
      </c>
      <c r="D76" s="43"/>
      <c r="E76" s="43"/>
      <c r="F76" s="43"/>
      <c r="G76" s="43"/>
      <c r="H76" s="43"/>
      <c r="I76" s="8"/>
    </row>
    <row r="77" spans="1:9">
      <c r="A77" s="17" t="s">
        <v>52</v>
      </c>
      <c r="B77" s="18"/>
      <c r="C77" s="27">
        <v>0</v>
      </c>
      <c r="D77" s="43"/>
      <c r="E77" s="43"/>
      <c r="F77" s="43"/>
      <c r="G77" s="43"/>
      <c r="H77" s="43"/>
      <c r="I77" s="8"/>
    </row>
    <row r="78" spans="1:9">
      <c r="A78" s="17" t="s">
        <v>53</v>
      </c>
      <c r="B78" s="18"/>
      <c r="C78" s="27">
        <v>0</v>
      </c>
      <c r="D78" s="43"/>
      <c r="E78" s="43"/>
      <c r="F78" s="43"/>
      <c r="G78" s="43"/>
      <c r="H78" s="43"/>
      <c r="I78" s="8"/>
    </row>
    <row r="79" spans="1:9">
      <c r="A79" s="17" t="s">
        <v>54</v>
      </c>
      <c r="B79" s="18"/>
      <c r="C79" s="27">
        <v>0</v>
      </c>
      <c r="D79" s="43"/>
      <c r="E79" s="43"/>
      <c r="F79" s="43"/>
      <c r="G79" s="43"/>
      <c r="H79" s="43"/>
      <c r="I79" s="8"/>
    </row>
    <row r="80" spans="1:9">
      <c r="A80" s="17" t="s">
        <v>55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>
      <c r="A81" s="17" t="s">
        <v>44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>
      <c r="A82" s="22"/>
      <c r="B82" s="25" t="s">
        <v>91</v>
      </c>
      <c r="C82" s="27">
        <f>SUM(C75:C81)</f>
        <v>0</v>
      </c>
      <c r="D82" s="43"/>
      <c r="E82" s="43"/>
      <c r="F82" s="43"/>
      <c r="G82" s="43"/>
      <c r="H82" s="43"/>
      <c r="I82" s="8"/>
    </row>
    <row r="83" spans="1:9" ht="15.75">
      <c r="A83" s="235" t="s">
        <v>92</v>
      </c>
      <c r="B83" s="236"/>
      <c r="C83" s="237"/>
      <c r="D83" s="43"/>
      <c r="E83" s="43"/>
      <c r="F83" s="43"/>
      <c r="G83" s="43"/>
      <c r="H83" s="43"/>
      <c r="I83" s="8"/>
    </row>
    <row r="84" spans="1:9">
      <c r="A84" s="17" t="s">
        <v>93</v>
      </c>
      <c r="B84" s="18" t="s">
        <v>94</v>
      </c>
      <c r="C84" s="27">
        <v>0</v>
      </c>
      <c r="D84" s="43"/>
      <c r="E84" s="43"/>
      <c r="F84" s="43"/>
      <c r="G84" s="43"/>
      <c r="H84" s="43"/>
      <c r="I84" s="8"/>
    </row>
    <row r="85" spans="1:9" ht="28.5">
      <c r="A85" s="17" t="s">
        <v>95</v>
      </c>
      <c r="B85" s="18" t="s">
        <v>96</v>
      </c>
      <c r="C85" s="27">
        <v>0</v>
      </c>
      <c r="D85" s="43"/>
      <c r="E85" s="43"/>
      <c r="F85" s="43"/>
      <c r="G85" s="43"/>
      <c r="H85" s="43"/>
      <c r="I85" s="8"/>
    </row>
    <row r="86" spans="1:9" ht="28.5">
      <c r="A86" s="17" t="s">
        <v>97</v>
      </c>
      <c r="B86" s="18" t="s">
        <v>98</v>
      </c>
      <c r="C86" s="27">
        <v>0</v>
      </c>
      <c r="D86" s="43"/>
      <c r="E86" s="43"/>
      <c r="F86" s="43"/>
      <c r="G86" s="43"/>
      <c r="H86" s="43"/>
      <c r="I86" s="8"/>
    </row>
    <row r="87" spans="1:9">
      <c r="A87" s="17" t="s">
        <v>52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>
      <c r="A88" s="17" t="s">
        <v>53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>
      <c r="A89" s="17" t="s">
        <v>54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>
      <c r="A90" s="17" t="s">
        <v>55</v>
      </c>
      <c r="B90" s="18"/>
      <c r="C90" s="27">
        <v>0</v>
      </c>
      <c r="D90" s="43"/>
      <c r="E90" s="43"/>
      <c r="F90" s="43"/>
      <c r="G90" s="43"/>
      <c r="H90" s="43"/>
      <c r="I90" s="8"/>
    </row>
    <row r="91" spans="1:9">
      <c r="A91" s="17" t="s">
        <v>44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8.5">
      <c r="A92" s="22"/>
      <c r="B92" s="25" t="s">
        <v>99</v>
      </c>
      <c r="C92" s="27">
        <f>SUM(C84:C91)</f>
        <v>0</v>
      </c>
      <c r="D92" s="43"/>
      <c r="E92" s="43"/>
      <c r="F92" s="43"/>
      <c r="G92" s="43"/>
      <c r="H92" s="43"/>
      <c r="I92" s="8"/>
    </row>
    <row r="93" spans="1:9" ht="15.75">
      <c r="A93" s="235" t="s">
        <v>125</v>
      </c>
      <c r="B93" s="236"/>
      <c r="C93" s="237"/>
      <c r="D93" s="43"/>
      <c r="E93" s="43"/>
      <c r="F93" s="43"/>
      <c r="G93" s="43"/>
      <c r="H93" s="43"/>
      <c r="I93" s="8"/>
    </row>
    <row r="94" spans="1:9" ht="20.25" customHeight="1">
      <c r="A94" s="88" t="s">
        <v>101</v>
      </c>
      <c r="B94" s="84" t="s">
        <v>102</v>
      </c>
      <c r="C94" s="85">
        <v>600</v>
      </c>
      <c r="D94" s="43"/>
      <c r="E94" s="43"/>
      <c r="F94" s="43"/>
      <c r="G94" s="43"/>
      <c r="H94" s="43"/>
      <c r="I94" s="8"/>
    </row>
    <row r="95" spans="1:9" ht="20.25" customHeight="1">
      <c r="A95" s="91" t="s">
        <v>103</v>
      </c>
      <c r="B95" s="92" t="s">
        <v>104</v>
      </c>
      <c r="C95" s="85">
        <v>68</v>
      </c>
      <c r="D95" s="43"/>
      <c r="E95" s="43"/>
      <c r="F95" s="43"/>
      <c r="G95" s="43"/>
      <c r="H95" s="43"/>
      <c r="I95" s="8"/>
    </row>
    <row r="96" spans="1:9" ht="78.75" customHeight="1">
      <c r="A96" s="88" t="s">
        <v>105</v>
      </c>
      <c r="B96" s="113" t="s">
        <v>193</v>
      </c>
      <c r="C96" s="85">
        <v>79</v>
      </c>
      <c r="D96" s="43"/>
      <c r="E96" s="43"/>
      <c r="F96" s="43"/>
      <c r="G96" s="43"/>
      <c r="H96" s="43"/>
      <c r="I96" s="8"/>
    </row>
    <row r="97" spans="1:9" ht="24.75" customHeight="1">
      <c r="A97" s="88" t="s">
        <v>107</v>
      </c>
      <c r="B97" s="113" t="s">
        <v>194</v>
      </c>
      <c r="C97" s="85">
        <v>870</v>
      </c>
      <c r="D97" s="43"/>
      <c r="E97" s="55"/>
      <c r="F97" s="43"/>
      <c r="G97" s="43"/>
      <c r="H97" s="43"/>
      <c r="I97" s="8"/>
    </row>
    <row r="98" spans="1:9" ht="20.25" customHeight="1">
      <c r="A98" s="17" t="s">
        <v>53</v>
      </c>
      <c r="B98" s="18"/>
      <c r="C98" s="27">
        <v>0</v>
      </c>
      <c r="D98" s="43"/>
      <c r="E98" s="43"/>
      <c r="F98" s="43"/>
      <c r="G98" s="43"/>
      <c r="H98" s="43"/>
      <c r="I98" s="8"/>
    </row>
    <row r="99" spans="1:9" ht="20.25" customHeight="1">
      <c r="A99" s="17" t="s">
        <v>54</v>
      </c>
      <c r="B99" s="18"/>
      <c r="C99" s="27">
        <v>0</v>
      </c>
      <c r="D99" s="43"/>
      <c r="E99" s="43"/>
      <c r="F99" s="43"/>
      <c r="G99" s="43"/>
      <c r="H99" s="43"/>
      <c r="I99" s="8"/>
    </row>
    <row r="100" spans="1:9" ht="20.25" customHeight="1">
      <c r="A100" s="17" t="s">
        <v>55</v>
      </c>
      <c r="B100" s="18"/>
      <c r="C100" s="27">
        <v>0</v>
      </c>
      <c r="D100" s="43"/>
      <c r="E100" s="43"/>
      <c r="F100" s="43"/>
      <c r="G100" s="43"/>
      <c r="H100" s="43"/>
      <c r="I100" s="8"/>
    </row>
    <row r="101" spans="1:9" ht="20.25" customHeight="1">
      <c r="A101" s="17" t="s">
        <v>44</v>
      </c>
      <c r="B101" s="18"/>
      <c r="C101" s="27">
        <v>0</v>
      </c>
      <c r="D101" s="43"/>
      <c r="E101" s="43"/>
      <c r="F101" s="43"/>
      <c r="G101" s="43"/>
      <c r="H101" s="43"/>
      <c r="I101" s="8"/>
    </row>
    <row r="102" spans="1:9">
      <c r="A102" s="26"/>
      <c r="B102" s="25" t="s">
        <v>109</v>
      </c>
      <c r="C102" s="27">
        <f>SUM(C94:C101)</f>
        <v>1617</v>
      </c>
      <c r="D102" s="43"/>
      <c r="E102" s="43"/>
      <c r="F102" s="43"/>
      <c r="G102" s="43"/>
      <c r="H102" s="43"/>
      <c r="I102" s="8"/>
    </row>
    <row r="103" spans="1:9">
      <c r="A103" s="22"/>
      <c r="B103" s="25" t="s">
        <v>110</v>
      </c>
      <c r="C103" s="27">
        <f>C62+C73+C82+C92+C102</f>
        <v>2028.5</v>
      </c>
      <c r="D103" s="43"/>
      <c r="E103" s="43"/>
      <c r="F103" s="43"/>
      <c r="G103" s="43"/>
      <c r="H103" s="43"/>
      <c r="I103" s="8"/>
    </row>
    <row r="104" spans="1:9" ht="15.75">
      <c r="A104" s="240" t="s">
        <v>111</v>
      </c>
      <c r="B104" s="241"/>
      <c r="C104" s="242"/>
      <c r="D104" s="43"/>
      <c r="E104" s="43"/>
      <c r="F104" s="43"/>
      <c r="G104" s="43"/>
      <c r="H104" s="43"/>
      <c r="I104" s="8"/>
    </row>
    <row r="105" spans="1:9">
      <c r="A105" s="86" t="s">
        <v>112</v>
      </c>
      <c r="B105" s="18"/>
      <c r="C105" s="27">
        <f>((('April 2024 - June 2024'!E133+'April 2024 - June 2024'!E160+'April 2024 - June 2024'!E187))+SUM(E125+E156+E183))-'April 2024 - June 2024'!C114</f>
        <v>-9383</v>
      </c>
      <c r="D105" s="43"/>
      <c r="E105" s="54"/>
      <c r="F105" s="43"/>
      <c r="G105" s="43"/>
      <c r="H105" s="43"/>
      <c r="I105" s="8"/>
    </row>
    <row r="106" spans="1:9">
      <c r="A106" s="86" t="s">
        <v>113</v>
      </c>
      <c r="B106" s="18"/>
      <c r="C106" s="27">
        <f>((('April 2024 - June 2024'!E134+'April 2024 - June 2024'!E161+'April 2024 - June 2024'!E188))+SUM(E126+E157+E184))-'April 2024 - June 2024'!C115</f>
        <v>0</v>
      </c>
      <c r="D106" s="43"/>
      <c r="E106" s="43"/>
      <c r="F106" s="43"/>
      <c r="G106" s="43"/>
      <c r="H106" s="43"/>
      <c r="I106" s="8"/>
    </row>
    <row r="107" spans="1:9">
      <c r="A107" s="86" t="s">
        <v>114</v>
      </c>
      <c r="B107" s="18"/>
      <c r="C107" s="27">
        <f>(((('April 2024 - June 2024'!E135+'April 2024 - June 2024'!E162+'April 2024 - June 2024'!E189)))+SUM(E127+E158+E185))-'April 2024 - June 2024'!C116</f>
        <v>-2300</v>
      </c>
      <c r="D107" s="43"/>
      <c r="E107" s="43"/>
      <c r="F107" s="43"/>
      <c r="G107" s="43"/>
      <c r="H107" s="43"/>
      <c r="I107" s="8"/>
    </row>
    <row r="108" spans="1:9" ht="58.5" customHeight="1">
      <c r="A108" s="88" t="s">
        <v>115</v>
      </c>
      <c r="B108" s="18"/>
      <c r="C108" s="27">
        <f>(((('April 2024 - June 2024'!E136+'April 2024 - June 2024'!E163+'April 2024 - June 2024'!E190)))+SUM(E128+E159+E186))-'April 2024 - June 2024'!C117</f>
        <v>0</v>
      </c>
      <c r="D108" s="43"/>
      <c r="E108" s="43"/>
      <c r="F108" s="43"/>
      <c r="G108" s="43"/>
      <c r="H108" s="43"/>
      <c r="I108" s="8"/>
    </row>
    <row r="109" spans="1:9" ht="42" customHeight="1">
      <c r="A109" s="88" t="s">
        <v>116</v>
      </c>
      <c r="B109" s="18"/>
      <c r="C109" s="27">
        <f>(((('April 2024 - June 2024'!E137+'April 2024 - June 2024'!E164+'April 2024 - June 2024'!E191)))+SUM(E129+E160+E187))-'April 2024 - June 2024'!C118</f>
        <v>0</v>
      </c>
      <c r="D109" s="43"/>
      <c r="E109" s="57"/>
      <c r="F109" s="43"/>
      <c r="G109" s="43"/>
      <c r="H109" s="43"/>
      <c r="I109" s="8"/>
    </row>
    <row r="110" spans="1:9">
      <c r="A110" s="17" t="s">
        <v>117</v>
      </c>
      <c r="B110" s="18"/>
      <c r="C110" s="27">
        <f>(((('April 2024 - June 2024'!E138+'April 2024 - June 2024'!E165+'April 2024 - June 2024'!E192)))+SUM(E130+E161+E188))-'April 2024 - June 2024'!C119</f>
        <v>0</v>
      </c>
      <c r="D110" s="43"/>
      <c r="E110" s="43"/>
      <c r="F110" s="43"/>
      <c r="G110" s="43"/>
      <c r="H110" s="43"/>
      <c r="I110" s="8"/>
    </row>
    <row r="111" spans="1:9">
      <c r="A111" s="17" t="s">
        <v>118</v>
      </c>
      <c r="B111" s="18"/>
      <c r="C111" s="27">
        <f>(((('April 2024 - June 2024'!E139+'April 2024 - June 2024'!E166+'April 2024 - June 2024'!E192)))+SUM(E131+E162+E189))-'April 2024 - June 2024'!C120</f>
        <v>0</v>
      </c>
      <c r="D111" s="43"/>
      <c r="E111" s="43"/>
      <c r="F111" s="43"/>
      <c r="G111" s="43"/>
      <c r="H111" s="43"/>
      <c r="I111" s="8"/>
    </row>
    <row r="112" spans="1:9">
      <c r="A112" s="17" t="s">
        <v>119</v>
      </c>
      <c r="B112" s="18"/>
      <c r="C112" s="27">
        <f>(((('April 2024 - June 2024'!E140+'April 2024 - June 2024'!E167+'April 2024 - June 2024'!E194)))+SUM(E132+E163+E190))-'April 2024 - June 2024'!C121</f>
        <v>0</v>
      </c>
      <c r="D112" s="43"/>
      <c r="E112" s="43"/>
      <c r="F112" s="43"/>
      <c r="G112" s="43"/>
      <c r="H112" s="43"/>
      <c r="I112" s="8"/>
    </row>
    <row r="113" spans="1:9">
      <c r="A113" s="17" t="s">
        <v>120</v>
      </c>
      <c r="B113" s="18"/>
      <c r="C113" s="27">
        <f>(((('April 2024 - June 2024'!E141+'April 2024 - June 2024'!E168+'April 2024 - June 2024'!E195)))+SUM(E133+E164+E191))-'April 2024 - June 2024'!C122</f>
        <v>0</v>
      </c>
      <c r="D113" s="43"/>
      <c r="E113" s="43"/>
      <c r="F113" s="43"/>
      <c r="G113" s="43"/>
      <c r="H113" s="43"/>
      <c r="I113" s="8"/>
    </row>
    <row r="114" spans="1:9">
      <c r="A114" s="17" t="s">
        <v>121</v>
      </c>
      <c r="B114" s="18"/>
      <c r="C114" s="27">
        <f>(((('April 2024 - June 2024'!E142+'April 2024 - June 2024'!E169+'April 2024 - June 2024'!E196)))+SUM(E134+E165+E192))-'April 2024 - June 2024'!C123</f>
        <v>0</v>
      </c>
      <c r="D114" s="43"/>
      <c r="E114" s="43"/>
      <c r="F114" s="43"/>
      <c r="G114" s="43"/>
      <c r="H114" s="43"/>
      <c r="I114" s="8"/>
    </row>
    <row r="115" spans="1:9">
      <c r="A115" s="22"/>
      <c r="B115" s="25" t="s">
        <v>122</v>
      </c>
      <c r="C115" s="27">
        <f>SUM(C105:C114)</f>
        <v>-11683</v>
      </c>
      <c r="D115" s="43"/>
      <c r="E115" s="43"/>
      <c r="F115" s="43"/>
      <c r="G115" s="43"/>
      <c r="H115" s="43"/>
      <c r="I115" s="8"/>
    </row>
    <row r="116" spans="1:9">
      <c r="A116" s="22"/>
      <c r="B116" s="25" t="s">
        <v>123</v>
      </c>
      <c r="C116" s="27">
        <f>ABS(C103+ABS(C115))</f>
        <v>13711.5</v>
      </c>
      <c r="D116" s="43"/>
      <c r="E116" s="43"/>
      <c r="F116" s="43"/>
      <c r="G116" s="43"/>
      <c r="H116" s="43"/>
      <c r="I116" s="8"/>
    </row>
    <row r="117" spans="1:9">
      <c r="A117" s="43"/>
      <c r="B117" s="43"/>
      <c r="C117" s="43"/>
      <c r="D117" s="43"/>
      <c r="E117" s="43"/>
      <c r="F117" s="43"/>
      <c r="G117" s="43"/>
      <c r="H117" s="43"/>
      <c r="I117" s="8"/>
    </row>
    <row r="118" spans="1:9">
      <c r="A118" s="43"/>
      <c r="B118" s="43"/>
      <c r="C118" s="43"/>
      <c r="D118" s="43"/>
      <c r="E118" s="43"/>
      <c r="F118" s="43"/>
      <c r="G118" s="43"/>
      <c r="H118" s="43"/>
      <c r="I118" s="8"/>
    </row>
    <row r="119" spans="1:9" ht="24.75" customHeight="1">
      <c r="A119" s="43"/>
      <c r="B119" s="43"/>
      <c r="C119" s="43"/>
      <c r="D119" s="43"/>
      <c r="E119" s="43"/>
      <c r="F119" s="43"/>
      <c r="G119" s="43"/>
      <c r="H119" s="43"/>
      <c r="I119" s="8"/>
    </row>
    <row r="120" spans="1:9" ht="24.75" customHeight="1">
      <c r="A120" s="43"/>
      <c r="B120" s="43"/>
      <c r="C120" s="43"/>
      <c r="D120" s="43"/>
      <c r="E120" s="43"/>
      <c r="F120" s="43"/>
      <c r="G120" s="43"/>
      <c r="H120" s="43"/>
      <c r="I120" s="8"/>
    </row>
    <row r="121" spans="1:9" ht="24.75" customHeight="1">
      <c r="A121" s="132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20 2024 to August 19 2024</v>
      </c>
      <c r="B121" s="133"/>
      <c r="C121" s="133"/>
      <c r="D121" s="133"/>
      <c r="E121" s="134"/>
      <c r="F121" s="43"/>
      <c r="G121" s="43"/>
      <c r="H121" s="43"/>
      <c r="I121" s="8"/>
    </row>
    <row r="122" spans="1:9" ht="24.75" customHeight="1">
      <c r="A122" s="132" t="s">
        <v>124</v>
      </c>
      <c r="B122" s="134"/>
      <c r="C122" s="132" t="s">
        <v>47</v>
      </c>
      <c r="D122" s="134"/>
      <c r="E122" s="28" t="s">
        <v>48</v>
      </c>
      <c r="F122" s="43"/>
      <c r="G122" s="43"/>
      <c r="H122" s="43"/>
      <c r="I122" s="8"/>
    </row>
    <row r="123" spans="1:9" ht="24.75" customHeight="1">
      <c r="A123" s="129" t="str">
        <f>"Balance Brought Forward From " &amp; IF(Main!B2,TEXT(EDATE(Main!B3,3)-1,"mmmm yyyy"),TEXT(Main!B3+((Main!B5-Main!B3)*3+3),"mmmm yyyy"))</f>
        <v>Balance Brought Forward From July 2024</v>
      </c>
      <c r="B123" s="130"/>
      <c r="C123" s="202"/>
      <c r="D123" s="202"/>
      <c r="E123" s="30">
        <f>'April 2024 - June 2024'!E210</f>
        <v>3260.119999999999</v>
      </c>
      <c r="F123" s="43"/>
      <c r="G123" s="43"/>
      <c r="H123" s="55"/>
      <c r="I123" s="8"/>
    </row>
    <row r="124" spans="1:9" ht="24.75" customHeight="1">
      <c r="A124" s="139" t="s">
        <v>125</v>
      </c>
      <c r="B124" s="196"/>
      <c r="C124" s="200" t="s">
        <v>126</v>
      </c>
      <c r="D124" s="191"/>
      <c r="E124" s="41"/>
      <c r="F124" s="43"/>
      <c r="G124" s="43"/>
      <c r="H124" s="43"/>
      <c r="I124" s="8"/>
    </row>
    <row r="125" spans="1:9" ht="29.25" customHeight="1">
      <c r="A125" s="141"/>
      <c r="B125" s="197"/>
      <c r="C125" s="137" t="s">
        <v>195</v>
      </c>
      <c r="D125" s="138"/>
      <c r="E125" s="27">
        <v>1000</v>
      </c>
      <c r="F125" s="43"/>
      <c r="G125" s="43"/>
      <c r="H125" s="43"/>
      <c r="I125" s="8"/>
    </row>
    <row r="126" spans="1:9" ht="29.25" customHeight="1">
      <c r="A126" s="141"/>
      <c r="B126" s="197"/>
      <c r="C126" s="137" t="s">
        <v>128</v>
      </c>
      <c r="D126" s="138"/>
      <c r="E126" s="27">
        <v>0</v>
      </c>
      <c r="F126" s="43"/>
      <c r="G126" s="43"/>
      <c r="H126" s="43"/>
      <c r="I126" s="8"/>
    </row>
    <row r="127" spans="1:9" ht="29.25" customHeight="1">
      <c r="A127" s="141"/>
      <c r="B127" s="197"/>
      <c r="C127" s="137" t="s">
        <v>129</v>
      </c>
      <c r="D127" s="138"/>
      <c r="E127" s="27">
        <v>0</v>
      </c>
      <c r="F127" s="43"/>
      <c r="G127" s="43"/>
      <c r="H127" s="43"/>
      <c r="I127" s="8"/>
    </row>
    <row r="128" spans="1:9" ht="29.25" customHeight="1">
      <c r="A128" s="141"/>
      <c r="B128" s="197"/>
      <c r="C128" s="137" t="s">
        <v>130</v>
      </c>
      <c r="D128" s="138"/>
      <c r="E128" s="27">
        <v>0</v>
      </c>
      <c r="F128" s="43"/>
      <c r="G128" s="43"/>
      <c r="H128" s="43"/>
      <c r="I128" s="8"/>
    </row>
    <row r="129" spans="1:9" ht="24.75" customHeight="1">
      <c r="A129" s="141"/>
      <c r="B129" s="197"/>
      <c r="C129" s="137" t="s">
        <v>131</v>
      </c>
      <c r="D129" s="138"/>
      <c r="E129" s="27">
        <v>0</v>
      </c>
      <c r="F129" s="43"/>
      <c r="G129" s="43"/>
      <c r="H129" s="43"/>
      <c r="I129" s="8"/>
    </row>
    <row r="130" spans="1:9" ht="24.75" customHeight="1">
      <c r="A130" s="141"/>
      <c r="B130" s="197"/>
      <c r="C130" s="137" t="s">
        <v>132</v>
      </c>
      <c r="D130" s="138"/>
      <c r="E130" s="27">
        <v>0</v>
      </c>
      <c r="F130" s="43"/>
      <c r="G130" s="43"/>
      <c r="H130" s="43"/>
      <c r="I130" s="8"/>
    </row>
    <row r="131" spans="1:9" ht="24.75" customHeight="1">
      <c r="A131" s="141"/>
      <c r="B131" s="197"/>
      <c r="C131" s="137" t="s">
        <v>133</v>
      </c>
      <c r="D131" s="138"/>
      <c r="E131" s="27">
        <v>0</v>
      </c>
      <c r="F131" s="43"/>
      <c r="G131" s="43"/>
      <c r="H131" s="43"/>
      <c r="I131" s="8"/>
    </row>
    <row r="132" spans="1:9" ht="24.75" customHeight="1">
      <c r="A132" s="141"/>
      <c r="B132" s="197"/>
      <c r="C132" s="137" t="s">
        <v>134</v>
      </c>
      <c r="D132" s="138"/>
      <c r="E132" s="27">
        <v>0</v>
      </c>
      <c r="F132" s="43"/>
      <c r="G132" s="43"/>
      <c r="H132" s="43"/>
      <c r="I132" s="8"/>
    </row>
    <row r="133" spans="1:9" ht="24.75" customHeight="1">
      <c r="A133" s="141"/>
      <c r="B133" s="197"/>
      <c r="C133" s="137" t="s">
        <v>135</v>
      </c>
      <c r="D133" s="138"/>
      <c r="E133" s="27">
        <v>0</v>
      </c>
      <c r="F133" s="43"/>
      <c r="G133" s="43"/>
      <c r="H133" s="43"/>
      <c r="I133" s="8"/>
    </row>
    <row r="134" spans="1:9" ht="24.75" customHeight="1">
      <c r="A134" s="141"/>
      <c r="B134" s="197"/>
      <c r="C134" s="137" t="s">
        <v>136</v>
      </c>
      <c r="D134" s="138"/>
      <c r="E134" s="27">
        <v>0</v>
      </c>
      <c r="F134" s="43"/>
      <c r="G134" s="43"/>
      <c r="H134" s="43"/>
      <c r="I134" s="8"/>
    </row>
    <row r="135" spans="1:9" ht="24.75" customHeight="1">
      <c r="A135" s="141"/>
      <c r="B135" s="197"/>
      <c r="C135" s="190" t="s">
        <v>137</v>
      </c>
      <c r="D135" s="191"/>
      <c r="E135" s="41"/>
      <c r="F135" s="43"/>
      <c r="G135" s="43"/>
      <c r="H135" s="43"/>
      <c r="I135" s="8"/>
    </row>
    <row r="136" spans="1:9" ht="40.5" customHeight="1">
      <c r="A136" s="141"/>
      <c r="B136" s="197"/>
      <c r="C136" s="174" t="s">
        <v>196</v>
      </c>
      <c r="D136" s="174"/>
      <c r="E136" s="85">
        <v>0</v>
      </c>
      <c r="F136" s="43"/>
      <c r="G136" s="43"/>
      <c r="H136" s="43"/>
      <c r="I136" s="8"/>
    </row>
    <row r="137" spans="1:9" ht="40.5" customHeight="1">
      <c r="A137" s="141"/>
      <c r="B137" s="197"/>
      <c r="C137" s="174" t="s">
        <v>149</v>
      </c>
      <c r="D137" s="174"/>
      <c r="E137" s="85">
        <v>788</v>
      </c>
      <c r="F137" s="43"/>
      <c r="G137" s="43"/>
      <c r="H137" s="43"/>
      <c r="I137" s="8"/>
    </row>
    <row r="138" spans="1:9" ht="40.5" customHeight="1">
      <c r="A138" s="141"/>
      <c r="B138" s="197"/>
      <c r="C138" s="174" t="s">
        <v>197</v>
      </c>
      <c r="D138" s="174"/>
      <c r="E138" s="85">
        <v>318</v>
      </c>
      <c r="F138" s="43"/>
      <c r="G138" s="43"/>
      <c r="H138" s="43"/>
      <c r="I138" s="8"/>
    </row>
    <row r="139" spans="1:9" ht="40.5" customHeight="1">
      <c r="A139" s="141"/>
      <c r="B139" s="197"/>
      <c r="C139" s="174" t="s">
        <v>198</v>
      </c>
      <c r="D139" s="174"/>
      <c r="E139" s="85">
        <v>600</v>
      </c>
      <c r="F139" s="43"/>
      <c r="G139" s="43"/>
      <c r="H139" s="43"/>
      <c r="I139" s="8"/>
    </row>
    <row r="140" spans="1:9" ht="24.75" customHeight="1">
      <c r="A140" s="141"/>
      <c r="B140" s="197"/>
      <c r="C140" s="174" t="s">
        <v>199</v>
      </c>
      <c r="D140" s="174"/>
      <c r="E140" s="85">
        <v>264</v>
      </c>
      <c r="F140" s="43"/>
      <c r="G140" s="43"/>
      <c r="H140" s="43"/>
      <c r="I140" s="8"/>
    </row>
    <row r="141" spans="1:9" ht="24.75" customHeight="1">
      <c r="A141" s="141"/>
      <c r="B141" s="197"/>
      <c r="C141" s="174" t="s">
        <v>200</v>
      </c>
      <c r="D141" s="174"/>
      <c r="E141" s="85">
        <v>60</v>
      </c>
      <c r="F141" s="43"/>
      <c r="G141" s="43"/>
      <c r="H141" s="43"/>
      <c r="I141" s="8"/>
    </row>
    <row r="142" spans="1:9" ht="24.75" customHeight="1">
      <c r="A142" s="141"/>
      <c r="B142" s="197"/>
      <c r="C142" s="174" t="s">
        <v>172</v>
      </c>
      <c r="D142" s="174"/>
      <c r="E142" s="85">
        <v>900</v>
      </c>
      <c r="F142" s="43"/>
      <c r="G142" s="43"/>
      <c r="H142" s="43"/>
      <c r="I142" s="8"/>
    </row>
    <row r="143" spans="1:9" ht="24.75" customHeight="1">
      <c r="A143" s="141"/>
      <c r="B143" s="197"/>
      <c r="C143" s="174" t="s">
        <v>201</v>
      </c>
      <c r="D143" s="174"/>
      <c r="E143" s="85">
        <v>204</v>
      </c>
      <c r="F143" s="43"/>
      <c r="G143" s="43"/>
      <c r="H143" s="43"/>
      <c r="I143" s="8"/>
    </row>
    <row r="144" spans="1:9" ht="24.75" customHeight="1">
      <c r="A144" s="141"/>
      <c r="B144" s="197"/>
      <c r="C144" s="174" t="s">
        <v>170</v>
      </c>
      <c r="D144" s="174"/>
      <c r="E144" s="85">
        <v>207.5</v>
      </c>
      <c r="F144" s="43"/>
      <c r="G144" s="43"/>
      <c r="H144" s="43"/>
      <c r="I144" s="8"/>
    </row>
    <row r="145" spans="1:9" ht="24.75" customHeight="1">
      <c r="A145" s="143"/>
      <c r="B145" s="198"/>
      <c r="C145" s="243" t="s">
        <v>202</v>
      </c>
      <c r="D145" s="243"/>
      <c r="E145" s="85">
        <v>139.28</v>
      </c>
      <c r="F145" s="43"/>
      <c r="G145" s="43"/>
      <c r="H145" s="43"/>
      <c r="I145" s="8"/>
    </row>
    <row r="146" spans="1:9" ht="24.75" customHeight="1">
      <c r="A146" s="129" t="s">
        <v>139</v>
      </c>
      <c r="B146" s="193"/>
      <c r="C146" s="194"/>
      <c r="D146" s="195"/>
      <c r="E146" s="29">
        <f>C103</f>
        <v>2028.5</v>
      </c>
      <c r="F146" s="43"/>
      <c r="G146" s="43"/>
      <c r="H146" s="43"/>
      <c r="I146" s="8"/>
    </row>
    <row r="147" spans="1:9" ht="24.75" customHeight="1">
      <c r="A147" s="187"/>
      <c r="B147" s="188"/>
      <c r="C147" s="189" t="s">
        <v>140</v>
      </c>
      <c r="D147" s="189"/>
      <c r="E147" s="30">
        <f>(F16+E123)-(SUM(E125:E134)+SUM(E136:E146))</f>
        <v>699.83999999999833</v>
      </c>
      <c r="F147" s="43"/>
      <c r="G147" s="43"/>
      <c r="H147" s="43"/>
      <c r="I147" s="8"/>
    </row>
    <row r="148" spans="1:9" ht="24.75" customHeight="1">
      <c r="A148" s="43"/>
      <c r="B148" s="43"/>
      <c r="C148" s="43"/>
      <c r="D148" s="43"/>
      <c r="E148" s="43"/>
      <c r="F148" s="43"/>
      <c r="G148" s="43"/>
      <c r="H148" s="43"/>
      <c r="I148" s="8"/>
    </row>
    <row r="149" spans="1:9" ht="24.75" customHeight="1">
      <c r="A149" s="43"/>
      <c r="B149" s="43"/>
      <c r="C149" s="43"/>
      <c r="D149" s="43"/>
      <c r="E149" s="43"/>
      <c r="F149" s="43"/>
      <c r="G149" s="43"/>
      <c r="H149" s="43"/>
      <c r="I149" s="8"/>
    </row>
    <row r="150" spans="1:9" ht="24.75" customHeight="1">
      <c r="A150" s="43"/>
      <c r="B150" s="43"/>
      <c r="C150" s="43"/>
      <c r="D150" s="43"/>
      <c r="E150" s="43"/>
      <c r="F150" s="43"/>
      <c r="G150" s="43"/>
      <c r="H150" s="43"/>
      <c r="I150" s="8"/>
    </row>
    <row r="151" spans="1:9" ht="24.75" customHeight="1">
      <c r="A151" s="43"/>
      <c r="B151" s="43"/>
      <c r="C151" s="43"/>
      <c r="D151" s="43"/>
      <c r="E151" s="43"/>
      <c r="F151" s="43"/>
      <c r="G151" s="43"/>
      <c r="H151" s="43"/>
      <c r="I151" s="8"/>
    </row>
    <row r="152" spans="1:9" ht="24.75" customHeight="1">
      <c r="A152" s="132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20 2024 to September 19 2024</v>
      </c>
      <c r="B152" s="133"/>
      <c r="C152" s="133"/>
      <c r="D152" s="133"/>
      <c r="E152" s="134"/>
      <c r="F152" s="43"/>
      <c r="G152" s="43"/>
      <c r="H152" s="43"/>
      <c r="I152" s="8"/>
    </row>
    <row r="153" spans="1:9" ht="24.75" customHeight="1">
      <c r="A153" s="132" t="s">
        <v>124</v>
      </c>
      <c r="B153" s="134"/>
      <c r="C153" s="135" t="s">
        <v>47</v>
      </c>
      <c r="D153" s="136"/>
      <c r="E153" s="38" t="s">
        <v>48</v>
      </c>
      <c r="F153" s="43"/>
      <c r="G153" s="43"/>
      <c r="H153" s="43"/>
      <c r="I153" s="8"/>
    </row>
    <row r="154" spans="1:9" ht="24.75" customHeight="1">
      <c r="A154" s="129" t="str">
        <f>"Balance Brought Forward From " &amp; IF(Main!B2,TEXT(EDATE(Main!B3,4)-1,"mmmm yyyy"),TEXT(Main!B3+((Main!B5-Main!B3)*4+3),"mmmm yyyy"))</f>
        <v>Balance Brought Forward From August 2024</v>
      </c>
      <c r="B154" s="130"/>
      <c r="C154" s="202"/>
      <c r="D154" s="202"/>
      <c r="E154" s="30">
        <f>E147</f>
        <v>699.83999999999833</v>
      </c>
      <c r="F154" s="43"/>
      <c r="G154" s="43"/>
      <c r="H154" s="43"/>
      <c r="I154" s="8"/>
    </row>
    <row r="155" spans="1:9" ht="24.75" customHeight="1">
      <c r="A155" s="139" t="s">
        <v>125</v>
      </c>
      <c r="B155" s="140"/>
      <c r="C155" s="145" t="s">
        <v>126</v>
      </c>
      <c r="D155" s="146"/>
      <c r="E155" s="42"/>
      <c r="F155" s="43"/>
      <c r="G155" s="43"/>
      <c r="H155" s="43"/>
      <c r="I155" s="8"/>
    </row>
    <row r="156" spans="1:9" ht="24.75" customHeight="1">
      <c r="A156" s="141"/>
      <c r="B156" s="142"/>
      <c r="C156" s="137" t="s">
        <v>127</v>
      </c>
      <c r="D156" s="138"/>
      <c r="E156" s="27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128</v>
      </c>
      <c r="D157" s="138"/>
      <c r="E157" s="27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203</v>
      </c>
      <c r="D158" s="138"/>
      <c r="E158" s="27">
        <v>500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130</v>
      </c>
      <c r="D159" s="138"/>
      <c r="E159" s="27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131</v>
      </c>
      <c r="D160" s="138"/>
      <c r="E160" s="27">
        <v>0</v>
      </c>
      <c r="F160" s="43"/>
      <c r="G160" s="43"/>
      <c r="H160" s="43"/>
      <c r="I160" s="8"/>
    </row>
    <row r="161" spans="1:9" ht="24.75" customHeight="1">
      <c r="A161" s="141"/>
      <c r="B161" s="142"/>
      <c r="C161" s="137" t="s">
        <v>132</v>
      </c>
      <c r="D161" s="138"/>
      <c r="E161" s="27">
        <v>0</v>
      </c>
      <c r="F161" s="43"/>
      <c r="G161" s="43"/>
      <c r="H161" s="43"/>
      <c r="I161" s="8"/>
    </row>
    <row r="162" spans="1:9" ht="24.75" customHeight="1">
      <c r="A162" s="141"/>
      <c r="B162" s="142"/>
      <c r="C162" s="137" t="s">
        <v>133</v>
      </c>
      <c r="D162" s="138"/>
      <c r="E162" s="27">
        <v>0</v>
      </c>
      <c r="F162" s="43"/>
      <c r="G162" s="43"/>
      <c r="H162" s="43"/>
      <c r="I162" s="8"/>
    </row>
    <row r="163" spans="1:9" ht="24.75" customHeight="1">
      <c r="A163" s="141"/>
      <c r="B163" s="142"/>
      <c r="C163" s="137" t="s">
        <v>134</v>
      </c>
      <c r="D163" s="138"/>
      <c r="E163" s="27">
        <v>0</v>
      </c>
      <c r="F163" s="43"/>
      <c r="G163" s="43"/>
      <c r="H163" s="43"/>
      <c r="I163" s="8"/>
    </row>
    <row r="164" spans="1:9" ht="24.75" customHeight="1">
      <c r="A164" s="141"/>
      <c r="B164" s="142"/>
      <c r="C164" s="137" t="s">
        <v>135</v>
      </c>
      <c r="D164" s="138"/>
      <c r="E164" s="27">
        <v>0</v>
      </c>
      <c r="F164" s="43"/>
      <c r="G164" s="43"/>
      <c r="H164" s="43"/>
      <c r="I164" s="8"/>
    </row>
    <row r="165" spans="1:9" ht="24.75" customHeight="1">
      <c r="A165" s="141"/>
      <c r="B165" s="142"/>
      <c r="C165" s="137" t="s">
        <v>136</v>
      </c>
      <c r="D165" s="138"/>
      <c r="E165" s="27">
        <v>0</v>
      </c>
      <c r="F165" s="43"/>
      <c r="G165" s="43"/>
      <c r="H165" s="43"/>
      <c r="I165" s="8"/>
    </row>
    <row r="166" spans="1:9" ht="24.75" customHeight="1">
      <c r="A166" s="141"/>
      <c r="B166" s="142"/>
      <c r="C166" s="190" t="s">
        <v>137</v>
      </c>
      <c r="D166" s="191"/>
      <c r="E166" s="41"/>
      <c r="F166" s="43"/>
      <c r="G166" s="43"/>
      <c r="H166" s="43"/>
      <c r="I166" s="8"/>
    </row>
    <row r="167" spans="1:9" ht="24.75" customHeight="1">
      <c r="A167" s="141"/>
      <c r="B167" s="142"/>
      <c r="C167" s="174" t="s">
        <v>149</v>
      </c>
      <c r="D167" s="174"/>
      <c r="E167" s="85">
        <v>72</v>
      </c>
      <c r="F167" s="43"/>
      <c r="G167" s="43"/>
      <c r="H167" s="43"/>
      <c r="I167" s="8"/>
    </row>
    <row r="168" spans="1:9" ht="24.75" customHeight="1">
      <c r="A168" s="141"/>
      <c r="B168" s="142"/>
      <c r="C168" s="174" t="s">
        <v>204</v>
      </c>
      <c r="D168" s="174"/>
      <c r="E168" s="85">
        <v>55.3</v>
      </c>
      <c r="F168" s="43"/>
      <c r="G168" s="43"/>
      <c r="H168" s="43"/>
      <c r="I168" s="8"/>
    </row>
    <row r="169" spans="1:9" ht="24.75" customHeight="1">
      <c r="A169" s="141"/>
      <c r="B169" s="142"/>
      <c r="C169" s="174" t="s">
        <v>205</v>
      </c>
      <c r="D169" s="174"/>
      <c r="E169" s="85">
        <v>85</v>
      </c>
      <c r="F169" s="43"/>
      <c r="G169" s="43"/>
      <c r="H169" s="43"/>
      <c r="I169" s="8"/>
    </row>
    <row r="170" spans="1:9" ht="24.75" customHeight="1">
      <c r="A170" s="141"/>
      <c r="B170" s="142"/>
      <c r="C170" s="174" t="s">
        <v>200</v>
      </c>
      <c r="D170" s="174"/>
      <c r="E170" s="85">
        <v>630</v>
      </c>
      <c r="F170" s="43"/>
      <c r="G170" s="43"/>
      <c r="H170" s="43"/>
      <c r="I170" s="8"/>
    </row>
    <row r="171" spans="1:9" ht="24.75" customHeight="1">
      <c r="A171" s="141"/>
      <c r="B171" s="142"/>
      <c r="C171" s="243" t="s">
        <v>202</v>
      </c>
      <c r="D171" s="243"/>
      <c r="E171" s="85">
        <v>464.47</v>
      </c>
      <c r="F171" s="43"/>
      <c r="G171" s="43"/>
      <c r="H171" s="43"/>
      <c r="I171" s="8"/>
    </row>
    <row r="172" spans="1:9" ht="24.75" customHeight="1">
      <c r="A172" s="143"/>
      <c r="B172" s="144"/>
      <c r="C172" s="137" t="s">
        <v>131</v>
      </c>
      <c r="D172" s="138"/>
      <c r="E172" s="29">
        <v>0</v>
      </c>
      <c r="F172" s="43"/>
      <c r="G172" s="43"/>
      <c r="H172" s="43"/>
      <c r="I172" s="8"/>
    </row>
    <row r="173" spans="1:9" ht="24.75" customHeight="1">
      <c r="A173" s="129" t="s">
        <v>139</v>
      </c>
      <c r="B173" s="193"/>
      <c r="C173" s="194"/>
      <c r="D173" s="195"/>
      <c r="E173" s="29">
        <f>C103</f>
        <v>2028.5</v>
      </c>
      <c r="F173" s="43"/>
      <c r="G173" s="43"/>
      <c r="H173" s="43"/>
      <c r="I173" s="8"/>
    </row>
    <row r="174" spans="1:9" ht="24.75" customHeight="1">
      <c r="A174" s="187"/>
      <c r="B174" s="188"/>
      <c r="C174" s="189" t="s">
        <v>140</v>
      </c>
      <c r="D174" s="189"/>
      <c r="E174" s="39">
        <f>(F31+E154)-(SUM(E156:E165)+SUM(E167:E173))</f>
        <v>625.06999999999834</v>
      </c>
      <c r="F174" s="43"/>
      <c r="G174" s="43"/>
      <c r="H174" s="43"/>
      <c r="I174" s="8"/>
    </row>
    <row r="175" spans="1:9" ht="24.75" customHeight="1">
      <c r="A175" s="43"/>
      <c r="B175" s="43"/>
      <c r="C175" s="43"/>
      <c r="D175" s="43"/>
      <c r="E175" s="43"/>
      <c r="F175" s="43"/>
      <c r="G175" s="43"/>
      <c r="H175" s="43"/>
      <c r="I175" s="8"/>
    </row>
    <row r="176" spans="1:9" ht="24.75" customHeight="1">
      <c r="A176" s="43"/>
      <c r="B176" s="43"/>
      <c r="C176" s="43"/>
      <c r="D176" s="43"/>
      <c r="E176" s="43"/>
      <c r="F176" s="43"/>
      <c r="G176" s="43"/>
      <c r="H176" s="43"/>
      <c r="I176" s="8"/>
    </row>
    <row r="177" spans="1:9" ht="24.75" customHeight="1">
      <c r="A177" s="43"/>
      <c r="B177" s="43"/>
      <c r="C177" s="43"/>
      <c r="D177" s="43"/>
      <c r="E177" s="43"/>
      <c r="F177" s="43"/>
      <c r="G177" s="43"/>
      <c r="H177" s="43"/>
      <c r="I177" s="8"/>
    </row>
    <row r="178" spans="1:9" ht="24.75" customHeight="1">
      <c r="A178" s="43"/>
      <c r="B178" s="43"/>
      <c r="C178" s="43"/>
      <c r="D178" s="43"/>
      <c r="E178" s="43"/>
      <c r="F178" s="43"/>
      <c r="G178" s="43"/>
      <c r="H178" s="43"/>
      <c r="I178" s="8"/>
    </row>
    <row r="179" spans="1:9" ht="24.75" customHeight="1">
      <c r="A179" s="132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20 2024 to October 19 2024</v>
      </c>
      <c r="B179" s="133"/>
      <c r="C179" s="133"/>
      <c r="D179" s="133"/>
      <c r="E179" s="134"/>
      <c r="F179" s="43"/>
      <c r="G179" s="43"/>
      <c r="H179" s="43"/>
      <c r="I179" s="8"/>
    </row>
    <row r="180" spans="1:9" ht="24.75" customHeight="1">
      <c r="A180" s="132" t="s">
        <v>124</v>
      </c>
      <c r="B180" s="134"/>
      <c r="C180" s="135" t="s">
        <v>47</v>
      </c>
      <c r="D180" s="136"/>
      <c r="E180" s="38" t="s">
        <v>48</v>
      </c>
      <c r="F180" s="43"/>
      <c r="G180" s="43"/>
      <c r="H180" s="43"/>
      <c r="I180" s="8"/>
    </row>
    <row r="181" spans="1:9" ht="24.75" customHeight="1">
      <c r="A181" s="129" t="str">
        <f>"Balance Brought Forward From " &amp;  IF(Main!B2,TEXT(EDATE(Main!B3,5)-1,"mmmm yyyy"),TEXT(Main!B3+((Main!B5-Main!B3)*5+4),"mmmm yyyy"))</f>
        <v>Balance Brought Forward From September 2024</v>
      </c>
      <c r="B181" s="130"/>
      <c r="C181" s="202"/>
      <c r="D181" s="202"/>
      <c r="E181" s="39">
        <f>E174</f>
        <v>625.06999999999834</v>
      </c>
      <c r="F181" s="43"/>
      <c r="G181" s="43"/>
      <c r="H181" s="43"/>
      <c r="I181" s="8"/>
    </row>
    <row r="182" spans="1:9" ht="24.75" customHeight="1">
      <c r="A182" s="254" t="s">
        <v>125</v>
      </c>
      <c r="B182" s="255"/>
      <c r="C182" s="145" t="s">
        <v>126</v>
      </c>
      <c r="D182" s="146"/>
      <c r="E182" s="42"/>
      <c r="F182" s="43"/>
      <c r="G182" s="43"/>
      <c r="H182" s="43"/>
      <c r="I182" s="8"/>
    </row>
    <row r="183" spans="1:9" ht="24.75" customHeight="1">
      <c r="A183" s="256"/>
      <c r="B183" s="257"/>
      <c r="C183" s="174" t="s">
        <v>206</v>
      </c>
      <c r="D183" s="174"/>
      <c r="E183" s="27">
        <v>1150</v>
      </c>
      <c r="F183" s="43"/>
      <c r="G183" s="43"/>
      <c r="H183" s="43"/>
      <c r="I183" s="8"/>
    </row>
    <row r="184" spans="1:9" ht="24.75" customHeight="1">
      <c r="A184" s="256"/>
      <c r="B184" s="257"/>
      <c r="C184" s="137" t="s">
        <v>128</v>
      </c>
      <c r="D184" s="138"/>
      <c r="E184" s="27">
        <v>0</v>
      </c>
      <c r="F184" s="43"/>
      <c r="G184" s="43"/>
      <c r="H184" s="43"/>
      <c r="I184" s="8"/>
    </row>
    <row r="185" spans="1:9" ht="24.75" customHeight="1">
      <c r="A185" s="256"/>
      <c r="B185" s="257"/>
      <c r="C185" s="174" t="s">
        <v>203</v>
      </c>
      <c r="D185" s="174"/>
      <c r="E185" s="27">
        <v>500</v>
      </c>
      <c r="F185" s="43"/>
      <c r="G185" s="43"/>
      <c r="H185" s="43"/>
      <c r="I185" s="8"/>
    </row>
    <row r="186" spans="1:9" ht="24.75" customHeight="1">
      <c r="A186" s="256"/>
      <c r="B186" s="257"/>
      <c r="C186" s="137" t="s">
        <v>130</v>
      </c>
      <c r="D186" s="138"/>
      <c r="E186" s="27">
        <v>0</v>
      </c>
      <c r="F186" s="43"/>
      <c r="G186" s="43"/>
      <c r="H186" s="43"/>
      <c r="I186" s="8"/>
    </row>
    <row r="187" spans="1:9" ht="24.75" customHeight="1">
      <c r="A187" s="256"/>
      <c r="B187" s="257"/>
      <c r="C187" s="137" t="s">
        <v>131</v>
      </c>
      <c r="D187" s="138"/>
      <c r="E187" s="27">
        <v>0</v>
      </c>
      <c r="F187" s="43"/>
      <c r="G187" s="43"/>
      <c r="H187" s="43"/>
      <c r="I187" s="8"/>
    </row>
    <row r="188" spans="1:9" ht="24.75" customHeight="1">
      <c r="A188" s="256"/>
      <c r="B188" s="257"/>
      <c r="C188" s="137" t="s">
        <v>132</v>
      </c>
      <c r="D188" s="138"/>
      <c r="E188" s="27">
        <v>0</v>
      </c>
      <c r="F188" s="43"/>
      <c r="G188" s="43"/>
      <c r="H188" s="43"/>
      <c r="I188" s="8"/>
    </row>
    <row r="189" spans="1:9" ht="24.75" customHeight="1">
      <c r="A189" s="256"/>
      <c r="B189" s="257"/>
      <c r="C189" s="137" t="s">
        <v>133</v>
      </c>
      <c r="D189" s="138"/>
      <c r="E189" s="27">
        <v>0</v>
      </c>
      <c r="F189" s="43"/>
      <c r="G189" s="43"/>
      <c r="H189" s="43"/>
      <c r="I189" s="8"/>
    </row>
    <row r="190" spans="1:9" ht="24.75" customHeight="1">
      <c r="A190" s="256"/>
      <c r="B190" s="257"/>
      <c r="C190" s="137" t="s">
        <v>134</v>
      </c>
      <c r="D190" s="138"/>
      <c r="E190" s="27">
        <v>0</v>
      </c>
      <c r="F190" s="43"/>
      <c r="G190" s="43"/>
      <c r="H190" s="43"/>
      <c r="I190" s="8"/>
    </row>
    <row r="191" spans="1:9" ht="24.75" customHeight="1">
      <c r="A191" s="256"/>
      <c r="B191" s="257"/>
      <c r="C191" s="137" t="s">
        <v>135</v>
      </c>
      <c r="D191" s="138"/>
      <c r="E191" s="27">
        <v>0</v>
      </c>
      <c r="F191" s="43"/>
      <c r="G191" s="43"/>
      <c r="H191" s="43"/>
      <c r="I191" s="8"/>
    </row>
    <row r="192" spans="1:9" ht="24.75" customHeight="1">
      <c r="A192" s="256"/>
      <c r="B192" s="257"/>
      <c r="C192" s="137" t="s">
        <v>136</v>
      </c>
      <c r="D192" s="138"/>
      <c r="E192" s="27">
        <v>0</v>
      </c>
      <c r="F192" s="43"/>
      <c r="G192" s="43"/>
      <c r="H192" s="43"/>
      <c r="I192" s="8"/>
    </row>
    <row r="193" spans="1:9" ht="24.75" customHeight="1">
      <c r="A193" s="256"/>
      <c r="B193" s="257"/>
      <c r="C193" s="190" t="s">
        <v>137</v>
      </c>
      <c r="D193" s="191"/>
      <c r="E193" s="41"/>
      <c r="F193" s="43"/>
      <c r="G193" s="43"/>
      <c r="H193" s="43"/>
      <c r="I193" s="8"/>
    </row>
    <row r="194" spans="1:9" ht="24.75" customHeight="1">
      <c r="A194" s="256"/>
      <c r="B194" s="257"/>
      <c r="C194" s="174" t="s">
        <v>200</v>
      </c>
      <c r="D194" s="174"/>
      <c r="E194" s="85">
        <v>30</v>
      </c>
      <c r="F194" s="43"/>
      <c r="G194" s="43"/>
      <c r="H194" s="43"/>
      <c r="I194" s="8"/>
    </row>
    <row r="195" spans="1:9" ht="24.75" customHeight="1">
      <c r="A195" s="256"/>
      <c r="B195" s="257"/>
      <c r="C195" s="174" t="s">
        <v>207</v>
      </c>
      <c r="D195" s="174"/>
      <c r="E195" s="85">
        <v>130.84</v>
      </c>
      <c r="F195" s="43"/>
      <c r="G195" s="43"/>
      <c r="H195" s="43"/>
      <c r="I195" s="8"/>
    </row>
    <row r="196" spans="1:9" ht="24.75" customHeight="1">
      <c r="A196" s="256"/>
      <c r="B196" s="257"/>
      <c r="C196" s="174" t="s">
        <v>208</v>
      </c>
      <c r="D196" s="174"/>
      <c r="E196" s="85">
        <v>60</v>
      </c>
      <c r="F196" s="43"/>
      <c r="G196" s="43"/>
      <c r="H196" s="43"/>
      <c r="I196" s="8"/>
    </row>
    <row r="197" spans="1:9" ht="96" customHeight="1">
      <c r="A197" s="256"/>
      <c r="B197" s="257"/>
      <c r="C197" s="192" t="s">
        <v>209</v>
      </c>
      <c r="D197" s="192"/>
      <c r="E197" s="85">
        <v>919.52</v>
      </c>
      <c r="F197" s="43"/>
      <c r="G197" s="43"/>
      <c r="H197" s="43"/>
      <c r="I197" s="8"/>
    </row>
    <row r="198" spans="1:9" ht="24.75" customHeight="1">
      <c r="A198" s="256"/>
      <c r="B198" s="257"/>
      <c r="C198" s="192" t="s">
        <v>200</v>
      </c>
      <c r="D198" s="192"/>
      <c r="E198" s="85">
        <v>600</v>
      </c>
      <c r="F198" s="43"/>
      <c r="G198" s="43"/>
      <c r="H198" s="43"/>
      <c r="I198" s="8"/>
    </row>
    <row r="199" spans="1:9" ht="24.75" customHeight="1">
      <c r="A199" s="256"/>
      <c r="B199" s="257"/>
      <c r="C199" s="248" t="s">
        <v>202</v>
      </c>
      <c r="D199" s="249"/>
      <c r="E199" s="85">
        <v>9.5</v>
      </c>
      <c r="F199" s="43"/>
      <c r="G199" s="43"/>
      <c r="H199" s="43"/>
      <c r="I199" s="8"/>
    </row>
    <row r="200" spans="1:9" ht="24.75" customHeight="1">
      <c r="A200" s="258"/>
      <c r="B200" s="259"/>
      <c r="C200" s="137" t="s">
        <v>131</v>
      </c>
      <c r="D200" s="138"/>
      <c r="E200" s="29">
        <v>0</v>
      </c>
      <c r="F200" s="43"/>
      <c r="G200" s="43"/>
      <c r="H200" s="43"/>
      <c r="I200" s="8"/>
    </row>
    <row r="201" spans="1:9" ht="24.75" customHeight="1">
      <c r="A201" s="129" t="s">
        <v>139</v>
      </c>
      <c r="B201" s="193"/>
      <c r="C201" s="194"/>
      <c r="D201" s="195"/>
      <c r="E201" s="29">
        <f>C103</f>
        <v>2028.5</v>
      </c>
      <c r="F201" s="43"/>
      <c r="G201" s="43"/>
      <c r="H201" s="43"/>
      <c r="I201" s="8"/>
    </row>
    <row r="202" spans="1:9" ht="24.75" customHeight="1">
      <c r="A202" s="187"/>
      <c r="B202" s="188"/>
      <c r="C202" s="189" t="s">
        <v>140</v>
      </c>
      <c r="D202" s="189"/>
      <c r="E202" s="39">
        <f>(F47+E181)-(SUM(E183:E192)+SUM(E194:E201))</f>
        <v>502.70999999999822</v>
      </c>
      <c r="F202" s="43"/>
      <c r="G202" s="43"/>
      <c r="H202" s="43"/>
      <c r="I202" s="8"/>
    </row>
    <row r="203" spans="1:9" ht="24.75" customHeight="1">
      <c r="A203" s="43"/>
      <c r="B203" s="43"/>
      <c r="C203" s="43"/>
      <c r="D203" s="43"/>
      <c r="E203" s="43"/>
      <c r="F203" s="43"/>
      <c r="G203" s="43"/>
      <c r="H203" s="43"/>
      <c r="I203" s="8"/>
    </row>
    <row r="205" spans="1:9" ht="24.75" customHeight="1"/>
  </sheetData>
  <mergeCells count="200">
    <mergeCell ref="B44:C44"/>
    <mergeCell ref="D44:E44"/>
    <mergeCell ref="F44:G44"/>
    <mergeCell ref="C137:D137"/>
    <mergeCell ref="C138:D138"/>
    <mergeCell ref="C139:D139"/>
    <mergeCell ref="C143:D143"/>
    <mergeCell ref="C196:D196"/>
    <mergeCell ref="A182:B200"/>
    <mergeCell ref="A124:B145"/>
    <mergeCell ref="C123:D123"/>
    <mergeCell ref="C155:D155"/>
    <mergeCell ref="C156:D156"/>
    <mergeCell ref="C160:D160"/>
    <mergeCell ref="C161:D161"/>
    <mergeCell ref="C162:D162"/>
    <mergeCell ref="C165:D165"/>
    <mergeCell ref="C166:D166"/>
    <mergeCell ref="C167:D167"/>
    <mergeCell ref="C163:D163"/>
    <mergeCell ref="C164:D164"/>
    <mergeCell ref="C144:D144"/>
    <mergeCell ref="C145:D145"/>
    <mergeCell ref="A146:B146"/>
    <mergeCell ref="B27:C27"/>
    <mergeCell ref="D27:E27"/>
    <mergeCell ref="F27:G27"/>
    <mergeCell ref="B28:C28"/>
    <mergeCell ref="D28:E28"/>
    <mergeCell ref="F28:G28"/>
    <mergeCell ref="B38:C38"/>
    <mergeCell ref="D38:E38"/>
    <mergeCell ref="F38:G38"/>
    <mergeCell ref="B31:C31"/>
    <mergeCell ref="D31:E31"/>
    <mergeCell ref="F31:G31"/>
    <mergeCell ref="A35:G35"/>
    <mergeCell ref="B36:C36"/>
    <mergeCell ref="D36:E36"/>
    <mergeCell ref="F36:G36"/>
    <mergeCell ref="B29:C29"/>
    <mergeCell ref="D29:E29"/>
    <mergeCell ref="F29:G29"/>
    <mergeCell ref="B30:C30"/>
    <mergeCell ref="D30:E30"/>
    <mergeCell ref="F30:G30"/>
    <mergeCell ref="A202:B202"/>
    <mergeCell ref="C202:D202"/>
    <mergeCell ref="A4:B4"/>
    <mergeCell ref="A5:B5"/>
    <mergeCell ref="A1:G1"/>
    <mergeCell ref="C195:D195"/>
    <mergeCell ref="C197:D197"/>
    <mergeCell ref="C198:D198"/>
    <mergeCell ref="C199:D199"/>
    <mergeCell ref="C200:D200"/>
    <mergeCell ref="A201:B201"/>
    <mergeCell ref="C201:D201"/>
    <mergeCell ref="C182:D182"/>
    <mergeCell ref="C185:D185"/>
    <mergeCell ref="C187:D187"/>
    <mergeCell ref="C188:D188"/>
    <mergeCell ref="C190:D190"/>
    <mergeCell ref="C191:D191"/>
    <mergeCell ref="C192:D192"/>
    <mergeCell ref="C193:D193"/>
    <mergeCell ref="C194:D194"/>
    <mergeCell ref="A174:B174"/>
    <mergeCell ref="C174:D174"/>
    <mergeCell ref="A123:B123"/>
    <mergeCell ref="C146:D146"/>
    <mergeCell ref="C124:D124"/>
    <mergeCell ref="C125:D125"/>
    <mergeCell ref="C129:D129"/>
    <mergeCell ref="C130:D130"/>
    <mergeCell ref="C131:D131"/>
    <mergeCell ref="C133:D133"/>
    <mergeCell ref="C134:D134"/>
    <mergeCell ref="C135:D135"/>
    <mergeCell ref="C136:D136"/>
    <mergeCell ref="C180:D180"/>
    <mergeCell ref="A181:B181"/>
    <mergeCell ref="C181:D181"/>
    <mergeCell ref="C168:D168"/>
    <mergeCell ref="C169:D169"/>
    <mergeCell ref="C170:D170"/>
    <mergeCell ref="C171:D171"/>
    <mergeCell ref="C172:D172"/>
    <mergeCell ref="A173:B173"/>
    <mergeCell ref="C173:D173"/>
    <mergeCell ref="A74:C74"/>
    <mergeCell ref="A83:C83"/>
    <mergeCell ref="A93:C93"/>
    <mergeCell ref="A104:C104"/>
    <mergeCell ref="A121:E121"/>
    <mergeCell ref="A122:B122"/>
    <mergeCell ref="C122:D122"/>
    <mergeCell ref="B47:C47"/>
    <mergeCell ref="D47:E47"/>
    <mergeCell ref="F47:G47"/>
    <mergeCell ref="A51:C51"/>
    <mergeCell ref="A53:C53"/>
    <mergeCell ref="A63:C63"/>
    <mergeCell ref="B45:C45"/>
    <mergeCell ref="D45:E45"/>
    <mergeCell ref="F45:G45"/>
    <mergeCell ref="B46:C46"/>
    <mergeCell ref="D46:E46"/>
    <mergeCell ref="F46:G46"/>
    <mergeCell ref="B42:C42"/>
    <mergeCell ref="D42:E42"/>
    <mergeCell ref="F42:G42"/>
    <mergeCell ref="B43:C43"/>
    <mergeCell ref="D43:E43"/>
    <mergeCell ref="F43:G43"/>
    <mergeCell ref="B37:C37"/>
    <mergeCell ref="D37:E37"/>
    <mergeCell ref="F37:G37"/>
    <mergeCell ref="B41:C41"/>
    <mergeCell ref="D41:E41"/>
    <mergeCell ref="F41:G41"/>
    <mergeCell ref="B39:C39"/>
    <mergeCell ref="D39:E39"/>
    <mergeCell ref="F39:G39"/>
    <mergeCell ref="B40:C40"/>
    <mergeCell ref="D40:E40"/>
    <mergeCell ref="F40:G40"/>
    <mergeCell ref="B25:C25"/>
    <mergeCell ref="D25:E25"/>
    <mergeCell ref="F25:G25"/>
    <mergeCell ref="B26:C26"/>
    <mergeCell ref="D26:E26"/>
    <mergeCell ref="F26:G26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C183:D183"/>
    <mergeCell ref="C184:D184"/>
    <mergeCell ref="C186:D186"/>
    <mergeCell ref="C189:D189"/>
    <mergeCell ref="A155:B172"/>
    <mergeCell ref="C126:D126"/>
    <mergeCell ref="C127:D127"/>
    <mergeCell ref="C128:D128"/>
    <mergeCell ref="C132:D132"/>
    <mergeCell ref="C157:D157"/>
    <mergeCell ref="C158:D158"/>
    <mergeCell ref="C159:D159"/>
    <mergeCell ref="A147:B147"/>
    <mergeCell ref="C147:D147"/>
    <mergeCell ref="A152:E152"/>
    <mergeCell ref="A153:B153"/>
    <mergeCell ref="C153:D153"/>
    <mergeCell ref="A154:B154"/>
    <mergeCell ref="C154:D154"/>
    <mergeCell ref="C140:D140"/>
    <mergeCell ref="C141:D141"/>
    <mergeCell ref="C142:D142"/>
    <mergeCell ref="A179:E179"/>
    <mergeCell ref="A180:B180"/>
  </mergeCells>
  <conditionalFormatting sqref="C62 C92 C85:C86 C102:C103">
    <cfRule type="cellIs" dxfId="805" priority="69" operator="equal">
      <formula>0</formula>
    </cfRule>
  </conditionalFormatting>
  <conditionalFormatting sqref="C62 C92 C85:C86 C102:C103 E155 E166 E172:E173">
    <cfRule type="cellIs" dxfId="804" priority="68" operator="greaterThan">
      <formula>0</formula>
    </cfRule>
  </conditionalFormatting>
  <conditionalFormatting sqref="C64:C73">
    <cfRule type="cellIs" dxfId="803" priority="67" operator="equal">
      <formula>0</formula>
    </cfRule>
  </conditionalFormatting>
  <conditionalFormatting sqref="C64:C73">
    <cfRule type="cellIs" dxfId="802" priority="66" operator="greaterThan">
      <formula>0</formula>
    </cfRule>
  </conditionalFormatting>
  <conditionalFormatting sqref="C75:C76">
    <cfRule type="cellIs" dxfId="801" priority="65" operator="equal">
      <formula>0</formula>
    </cfRule>
  </conditionalFormatting>
  <conditionalFormatting sqref="C75:C76">
    <cfRule type="cellIs" dxfId="800" priority="64" operator="greaterThan">
      <formula>0</formula>
    </cfRule>
  </conditionalFormatting>
  <conditionalFormatting sqref="C82">
    <cfRule type="cellIs" dxfId="799" priority="63" operator="equal">
      <formula>0</formula>
    </cfRule>
  </conditionalFormatting>
  <conditionalFormatting sqref="C82">
    <cfRule type="cellIs" dxfId="798" priority="62" operator="greaterThan">
      <formula>0</formula>
    </cfRule>
  </conditionalFormatting>
  <conditionalFormatting sqref="C84">
    <cfRule type="cellIs" dxfId="797" priority="61" operator="equal">
      <formula>0</formula>
    </cfRule>
  </conditionalFormatting>
  <conditionalFormatting sqref="C84">
    <cfRule type="cellIs" dxfId="796" priority="60" operator="greaterThan">
      <formula>0</formula>
    </cfRule>
  </conditionalFormatting>
  <conditionalFormatting sqref="E124 E135 E146">
    <cfRule type="cellIs" dxfId="795" priority="57" operator="equal">
      <formula>0</formula>
    </cfRule>
  </conditionalFormatting>
  <conditionalFormatting sqref="E124 E135 E146">
    <cfRule type="cellIs" dxfId="794" priority="56" operator="greaterThan">
      <formula>0</formula>
    </cfRule>
  </conditionalFormatting>
  <conditionalFormatting sqref="E147">
    <cfRule type="cellIs" dxfId="793" priority="55" operator="greaterThanOrEqual">
      <formula>0</formula>
    </cfRule>
  </conditionalFormatting>
  <conditionalFormatting sqref="E147">
    <cfRule type="cellIs" dxfId="792" priority="54" operator="lessThan">
      <formula>0</formula>
    </cfRule>
  </conditionalFormatting>
  <conditionalFormatting sqref="C77:C81">
    <cfRule type="cellIs" dxfId="791" priority="53" operator="equal">
      <formula>0</formula>
    </cfRule>
  </conditionalFormatting>
  <conditionalFormatting sqref="C77:C81">
    <cfRule type="cellIs" dxfId="790" priority="52" operator="greaterThan">
      <formula>0</formula>
    </cfRule>
  </conditionalFormatting>
  <conditionalFormatting sqref="C87:C91">
    <cfRule type="cellIs" dxfId="789" priority="51" operator="equal">
      <formula>0</formula>
    </cfRule>
  </conditionalFormatting>
  <conditionalFormatting sqref="C87:C91">
    <cfRule type="cellIs" dxfId="788" priority="50" operator="greaterThan">
      <formula>0</formula>
    </cfRule>
  </conditionalFormatting>
  <conditionalFormatting sqref="C115:C116">
    <cfRule type="cellIs" dxfId="787" priority="47" operator="equal">
      <formula>0</formula>
    </cfRule>
  </conditionalFormatting>
  <conditionalFormatting sqref="C115:C116">
    <cfRule type="cellIs" dxfId="786" priority="46" operator="greaterThan">
      <formula>0</formula>
    </cfRule>
  </conditionalFormatting>
  <conditionalFormatting sqref="E155 E166 E172:E173">
    <cfRule type="cellIs" dxfId="785" priority="43" operator="equal">
      <formula>0</formula>
    </cfRule>
  </conditionalFormatting>
  <conditionalFormatting sqref="E174">
    <cfRule type="cellIs" dxfId="784" priority="41" operator="greaterThanOrEqual">
      <formula>0</formula>
    </cfRule>
  </conditionalFormatting>
  <conditionalFormatting sqref="E174">
    <cfRule type="cellIs" dxfId="783" priority="40" operator="lessThan">
      <formula>0</formula>
    </cfRule>
  </conditionalFormatting>
  <conditionalFormatting sqref="E154">
    <cfRule type="cellIs" dxfId="782" priority="39" operator="greaterThanOrEqual">
      <formula>0</formula>
    </cfRule>
  </conditionalFormatting>
  <conditionalFormatting sqref="E154">
    <cfRule type="cellIs" dxfId="781" priority="38" operator="lessThan">
      <formula>0</formula>
    </cfRule>
  </conditionalFormatting>
  <conditionalFormatting sqref="E182 E193 E201">
    <cfRule type="cellIs" dxfId="780" priority="37" operator="equal">
      <formula>0</formula>
    </cfRule>
  </conditionalFormatting>
  <conditionalFormatting sqref="E182 E193 E201">
    <cfRule type="cellIs" dxfId="779" priority="36" operator="greaterThan">
      <formula>0</formula>
    </cfRule>
  </conditionalFormatting>
  <conditionalFormatting sqref="E202">
    <cfRule type="cellIs" dxfId="778" priority="35" operator="greaterThanOrEqual">
      <formula>0</formula>
    </cfRule>
  </conditionalFormatting>
  <conditionalFormatting sqref="E202">
    <cfRule type="cellIs" dxfId="777" priority="34" operator="lessThan">
      <formula>0</formula>
    </cfRule>
  </conditionalFormatting>
  <conditionalFormatting sqref="E181">
    <cfRule type="cellIs" dxfId="776" priority="33" operator="greaterThanOrEqual">
      <formula>0</formula>
    </cfRule>
  </conditionalFormatting>
  <conditionalFormatting sqref="E181">
    <cfRule type="cellIs" dxfId="775" priority="32" operator="lessThan">
      <formula>0</formula>
    </cfRule>
  </conditionalFormatting>
  <conditionalFormatting sqref="C5">
    <cfRule type="cellIs" dxfId="774" priority="31" operator="equal">
      <formula>0</formula>
    </cfRule>
  </conditionalFormatting>
  <conditionalFormatting sqref="C5">
    <cfRule type="cellIs" dxfId="773" priority="30" operator="greaterThan">
      <formula>0</formula>
    </cfRule>
  </conditionalFormatting>
  <conditionalFormatting sqref="C105:C114">
    <cfRule type="cellIs" dxfId="772" priority="29" operator="lessThan">
      <formula>0</formula>
    </cfRule>
  </conditionalFormatting>
  <conditionalFormatting sqref="C105:C114">
    <cfRule type="cellIs" dxfId="771" priority="28" operator="greaterThanOrEqual">
      <formula>0</formula>
    </cfRule>
  </conditionalFormatting>
  <conditionalFormatting sqref="E126:E134">
    <cfRule type="cellIs" dxfId="770" priority="27" operator="equal">
      <formula>0</formula>
    </cfRule>
  </conditionalFormatting>
  <conditionalFormatting sqref="E126:E134">
    <cfRule type="cellIs" dxfId="769" priority="26" operator="greaterThan">
      <formula>0</formula>
    </cfRule>
  </conditionalFormatting>
  <conditionalFormatting sqref="E156:E157 E159:E165">
    <cfRule type="cellIs" dxfId="768" priority="25" operator="equal">
      <formula>0</formula>
    </cfRule>
  </conditionalFormatting>
  <conditionalFormatting sqref="E156:E157 E159:E165">
    <cfRule type="cellIs" dxfId="767" priority="24" operator="greaterThan">
      <formula>0</formula>
    </cfRule>
  </conditionalFormatting>
  <conditionalFormatting sqref="E186:E192">
    <cfRule type="cellIs" dxfId="766" priority="23" operator="equal">
      <formula>0</formula>
    </cfRule>
  </conditionalFormatting>
  <conditionalFormatting sqref="E186:E192">
    <cfRule type="cellIs" dxfId="765" priority="22" operator="greaterThan">
      <formula>0</formula>
    </cfRule>
  </conditionalFormatting>
  <conditionalFormatting sqref="E123">
    <cfRule type="cellIs" dxfId="764" priority="21" operator="greaterThanOrEqual">
      <formula>0</formula>
    </cfRule>
  </conditionalFormatting>
  <conditionalFormatting sqref="E123">
    <cfRule type="cellIs" dxfId="763" priority="20" operator="lessThan">
      <formula>0</formula>
    </cfRule>
  </conditionalFormatting>
  <conditionalFormatting sqref="D42">
    <cfRule type="cellIs" dxfId="762" priority="18" operator="equal">
      <formula>0</formula>
    </cfRule>
  </conditionalFormatting>
  <conditionalFormatting sqref="C54:C61">
    <cfRule type="cellIs" dxfId="761" priority="17" operator="equal">
      <formula>0</formula>
    </cfRule>
  </conditionalFormatting>
  <conditionalFormatting sqref="C54:C61">
    <cfRule type="cellIs" dxfId="760" priority="16" operator="greaterThan">
      <formula>0</formula>
    </cfRule>
  </conditionalFormatting>
  <conditionalFormatting sqref="C98:C101">
    <cfRule type="cellIs" dxfId="759" priority="15" operator="equal">
      <formula>0</formula>
    </cfRule>
  </conditionalFormatting>
  <conditionalFormatting sqref="C98:C101">
    <cfRule type="cellIs" dxfId="758" priority="14" operator="greaterThan">
      <formula>0</formula>
    </cfRule>
  </conditionalFormatting>
  <conditionalFormatting sqref="C94:C97">
    <cfRule type="cellIs" dxfId="757" priority="13" operator="equal">
      <formula>0</formula>
    </cfRule>
  </conditionalFormatting>
  <conditionalFormatting sqref="E125">
    <cfRule type="cellIs" dxfId="756" priority="12" operator="equal">
      <formula>0</formula>
    </cfRule>
  </conditionalFormatting>
  <conditionalFormatting sqref="E125">
    <cfRule type="cellIs" dxfId="755" priority="11" operator="greaterThan">
      <formula>0</formula>
    </cfRule>
  </conditionalFormatting>
  <conditionalFormatting sqref="E136:E145">
    <cfRule type="cellIs" dxfId="754" priority="10" operator="equal">
      <formula>0</formula>
    </cfRule>
  </conditionalFormatting>
  <conditionalFormatting sqref="E158">
    <cfRule type="cellIs" dxfId="753" priority="9" operator="equal">
      <formula>0</formula>
    </cfRule>
  </conditionalFormatting>
  <conditionalFormatting sqref="E158">
    <cfRule type="cellIs" dxfId="752" priority="8" operator="greaterThan">
      <formula>0</formula>
    </cfRule>
  </conditionalFormatting>
  <conditionalFormatting sqref="E167:E168">
    <cfRule type="cellIs" dxfId="751" priority="7" operator="equal">
      <formula>0</formula>
    </cfRule>
  </conditionalFormatting>
  <conditionalFormatting sqref="E169:E171">
    <cfRule type="cellIs" dxfId="750" priority="6" operator="equal">
      <formula>0</formula>
    </cfRule>
  </conditionalFormatting>
  <conditionalFormatting sqref="E183:E185">
    <cfRule type="cellIs" dxfId="749" priority="5" operator="equal">
      <formula>0</formula>
    </cfRule>
  </conditionalFormatting>
  <conditionalFormatting sqref="E183:E185">
    <cfRule type="cellIs" dxfId="748" priority="4" operator="greaterThan">
      <formula>0</formula>
    </cfRule>
  </conditionalFormatting>
  <conditionalFormatting sqref="E200">
    <cfRule type="cellIs" dxfId="747" priority="3" operator="equal">
      <formula>0</formula>
    </cfRule>
  </conditionalFormatting>
  <conditionalFormatting sqref="E200">
    <cfRule type="cellIs" dxfId="746" priority="2" operator="greaterThan">
      <formula>0</formula>
    </cfRule>
  </conditionalFormatting>
  <conditionalFormatting sqref="E194:E199">
    <cfRule type="cellIs" dxfId="74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203"/>
  <sheetViews>
    <sheetView topLeftCell="A59" workbookViewId="0">
      <selection activeCell="C5" sqref="C5:G5"/>
    </sheetView>
  </sheetViews>
  <sheetFormatPr defaultRowHeight="15"/>
  <cols>
    <col min="1" max="2" width="20.625" style="46" customWidth="1"/>
    <col min="3" max="3" width="24.125" style="46" customWidth="1"/>
    <col min="4" max="6" width="20.625" style="46" customWidth="1"/>
    <col min="7" max="7" width="8.75" style="46" customWidth="1"/>
    <col min="8" max="8" width="15.625" style="46" customWidth="1"/>
    <col min="9" max="16384" width="9" style="46"/>
  </cols>
  <sheetData>
    <row r="1" spans="1:9" ht="30" customHeight="1">
      <c r="A1" s="247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2024 to January 2025</v>
      </c>
      <c r="B1" s="247"/>
      <c r="C1" s="247"/>
      <c r="D1" s="247"/>
      <c r="E1" s="247"/>
      <c r="F1" s="247"/>
      <c r="G1" s="247"/>
    </row>
    <row r="2" spans="1:9" ht="30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</row>
    <row r="3" spans="1:9" ht="30" customHeight="1">
      <c r="A3" s="204"/>
      <c r="B3" s="40" t="s">
        <v>159</v>
      </c>
      <c r="C3" s="206">
        <f>E201</f>
        <v>173.33999999999833</v>
      </c>
      <c r="D3" s="206"/>
      <c r="E3" s="206"/>
      <c r="F3" s="206"/>
      <c r="G3" s="206"/>
    </row>
    <row r="4" spans="1:9" ht="30" customHeight="1">
      <c r="A4" s="244" t="s">
        <v>45</v>
      </c>
      <c r="B4" s="245"/>
      <c r="C4" s="207">
        <f ca="1">SUM(C2:G3)</f>
        <v>196.23999999999833</v>
      </c>
      <c r="D4" s="207"/>
      <c r="E4" s="207"/>
      <c r="F4" s="207"/>
      <c r="G4" s="207"/>
      <c r="H4" s="43"/>
      <c r="I4" s="8"/>
    </row>
    <row r="5" spans="1:9" ht="30" customHeight="1">
      <c r="A5" s="246" t="s">
        <v>160</v>
      </c>
      <c r="B5" s="246"/>
      <c r="C5" s="208">
        <f>C119</f>
        <v>-10683</v>
      </c>
      <c r="D5" s="209"/>
      <c r="E5" s="209"/>
      <c r="F5" s="209"/>
      <c r="G5" s="209"/>
      <c r="H5" s="43"/>
      <c r="I5" s="8"/>
    </row>
    <row r="6" spans="1:9" ht="30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30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30" customHeight="1">
      <c r="A8" s="17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20 October 2024 - 19 November 2024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30" customHeight="1">
      <c r="A9" s="114" t="s">
        <v>27</v>
      </c>
      <c r="B9" s="275" t="s">
        <v>46</v>
      </c>
      <c r="C9" s="275"/>
      <c r="D9" s="164" t="s">
        <v>47</v>
      </c>
      <c r="E9" s="164"/>
      <c r="F9" s="276" t="s">
        <v>48</v>
      </c>
      <c r="G9" s="276"/>
      <c r="H9" s="43"/>
      <c r="I9" s="8"/>
    </row>
    <row r="10" spans="1:9" ht="30" customHeight="1">
      <c r="A10" s="80" t="s">
        <v>210</v>
      </c>
      <c r="B10" s="154" t="s">
        <v>68</v>
      </c>
      <c r="C10" s="154"/>
      <c r="D10" s="250" t="s">
        <v>178</v>
      </c>
      <c r="E10" s="212"/>
      <c r="F10" s="206">
        <v>0</v>
      </c>
      <c r="G10" s="206"/>
      <c r="H10" s="43"/>
      <c r="I10" s="8"/>
    </row>
    <row r="11" spans="1:9" ht="30" customHeight="1">
      <c r="A11" s="80" t="s">
        <v>211</v>
      </c>
      <c r="B11" s="154" t="s">
        <v>212</v>
      </c>
      <c r="C11" s="154"/>
      <c r="D11" s="250" t="s">
        <v>213</v>
      </c>
      <c r="E11" s="212"/>
      <c r="F11" s="206">
        <v>78</v>
      </c>
      <c r="G11" s="206"/>
      <c r="H11" s="43"/>
      <c r="I11" s="8"/>
    </row>
    <row r="12" spans="1:9" ht="30" customHeight="1">
      <c r="A12" s="80" t="s">
        <v>214</v>
      </c>
      <c r="B12" s="154" t="s">
        <v>77</v>
      </c>
      <c r="C12" s="154"/>
      <c r="D12" s="250" t="s">
        <v>215</v>
      </c>
      <c r="E12" s="212"/>
      <c r="F12" s="206">
        <v>174</v>
      </c>
      <c r="G12" s="206"/>
      <c r="H12" s="43"/>
      <c r="I12" s="8"/>
    </row>
    <row r="13" spans="1:9" ht="30" customHeight="1">
      <c r="A13" s="80" t="s">
        <v>214</v>
      </c>
      <c r="B13" s="154" t="s">
        <v>216</v>
      </c>
      <c r="C13" s="154"/>
      <c r="D13" s="250" t="s">
        <v>51</v>
      </c>
      <c r="E13" s="212"/>
      <c r="F13" s="206">
        <v>68</v>
      </c>
      <c r="G13" s="206"/>
      <c r="H13" s="43"/>
      <c r="I13" s="8"/>
    </row>
    <row r="14" spans="1:9" ht="30" customHeight="1">
      <c r="A14" s="80" t="s">
        <v>217</v>
      </c>
      <c r="B14" s="154" t="s">
        <v>216</v>
      </c>
      <c r="C14" s="154"/>
      <c r="D14" s="250" t="s">
        <v>51</v>
      </c>
      <c r="E14" s="212"/>
      <c r="F14" s="206">
        <v>68</v>
      </c>
      <c r="G14" s="206"/>
      <c r="H14" s="43"/>
      <c r="I14" s="8"/>
    </row>
    <row r="15" spans="1:9" ht="30" customHeight="1">
      <c r="A15" s="80" t="s">
        <v>218</v>
      </c>
      <c r="B15" s="154" t="s">
        <v>50</v>
      </c>
      <c r="C15" s="154"/>
      <c r="D15" s="250" t="s">
        <v>51</v>
      </c>
      <c r="E15" s="212"/>
      <c r="F15" s="206">
        <v>2405</v>
      </c>
      <c r="G15" s="206"/>
      <c r="H15" s="43"/>
      <c r="I15" s="8"/>
    </row>
    <row r="16" spans="1:9" ht="30" customHeight="1">
      <c r="A16" s="44"/>
      <c r="B16" s="271"/>
      <c r="C16" s="272"/>
      <c r="D16" s="160" t="s">
        <v>56</v>
      </c>
      <c r="E16" s="161"/>
      <c r="F16" s="269">
        <f>SUM(F10:G15)</f>
        <v>2793</v>
      </c>
      <c r="G16" s="270"/>
      <c r="H16" s="43"/>
      <c r="I16" s="8"/>
    </row>
    <row r="17" spans="1:9" ht="30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30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30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30" customHeight="1">
      <c r="A20" s="17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20 November 2024 - 19 December 2024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30" customHeight="1">
      <c r="A21" s="114" t="s">
        <v>27</v>
      </c>
      <c r="B21" s="275" t="s">
        <v>46</v>
      </c>
      <c r="C21" s="275"/>
      <c r="D21" s="276" t="s">
        <v>47</v>
      </c>
      <c r="E21" s="276"/>
      <c r="F21" s="276" t="s">
        <v>48</v>
      </c>
      <c r="G21" s="276"/>
      <c r="H21" s="43"/>
      <c r="I21" s="8"/>
    </row>
    <row r="22" spans="1:9" ht="29.25" customHeight="1">
      <c r="A22" s="80" t="s">
        <v>219</v>
      </c>
      <c r="B22" s="154" t="s">
        <v>68</v>
      </c>
      <c r="C22" s="281"/>
      <c r="D22" s="155" t="s">
        <v>178</v>
      </c>
      <c r="E22" s="282"/>
      <c r="F22" s="206">
        <v>0</v>
      </c>
      <c r="G22" s="206"/>
      <c r="H22" s="43"/>
      <c r="I22" s="8"/>
    </row>
    <row r="23" spans="1:9" ht="29.25" customHeight="1">
      <c r="A23" s="80" t="s">
        <v>220</v>
      </c>
      <c r="B23" s="154" t="s">
        <v>50</v>
      </c>
      <c r="C23" s="281"/>
      <c r="D23" s="155" t="s">
        <v>51</v>
      </c>
      <c r="E23" s="282"/>
      <c r="F23" s="206">
        <v>2405</v>
      </c>
      <c r="G23" s="206"/>
      <c r="H23" s="43"/>
      <c r="I23" s="8"/>
    </row>
    <row r="24" spans="1:9" ht="29.25" customHeight="1">
      <c r="A24" s="80" t="s">
        <v>221</v>
      </c>
      <c r="B24" s="154" t="s">
        <v>198</v>
      </c>
      <c r="C24" s="281"/>
      <c r="D24" s="155" t="s">
        <v>222</v>
      </c>
      <c r="E24" s="282"/>
      <c r="F24" s="206">
        <v>300</v>
      </c>
      <c r="G24" s="206"/>
      <c r="H24" s="43"/>
      <c r="I24" s="8"/>
    </row>
    <row r="25" spans="1:9" ht="29.25" customHeight="1">
      <c r="A25" s="80" t="s">
        <v>223</v>
      </c>
      <c r="B25" s="154" t="s">
        <v>224</v>
      </c>
      <c r="C25" s="281"/>
      <c r="D25" s="154" t="s">
        <v>225</v>
      </c>
      <c r="E25" s="281"/>
      <c r="F25" s="206">
        <v>0</v>
      </c>
      <c r="G25" s="206"/>
      <c r="H25" s="43"/>
      <c r="I25" s="8"/>
    </row>
    <row r="26" spans="1:9" ht="29.25" customHeight="1">
      <c r="A26" s="80" t="s">
        <v>226</v>
      </c>
      <c r="B26" s="154" t="s">
        <v>112</v>
      </c>
      <c r="C26" s="281"/>
      <c r="D26" s="154" t="s">
        <v>227</v>
      </c>
      <c r="E26" s="281"/>
      <c r="F26" s="206">
        <v>500</v>
      </c>
      <c r="G26" s="206"/>
      <c r="H26" s="43"/>
      <c r="I26" s="8"/>
    </row>
    <row r="27" spans="1:9" ht="29.25" customHeight="1">
      <c r="A27" s="80" t="s">
        <v>228</v>
      </c>
      <c r="B27" s="154" t="s">
        <v>229</v>
      </c>
      <c r="C27" s="281"/>
      <c r="D27" s="154" t="s">
        <v>230</v>
      </c>
      <c r="E27" s="281"/>
      <c r="F27" s="206">
        <v>12</v>
      </c>
      <c r="G27" s="206"/>
      <c r="H27" s="43"/>
      <c r="I27" s="8"/>
    </row>
    <row r="28" spans="1:9" ht="137.25" customHeight="1">
      <c r="A28" s="80" t="s">
        <v>228</v>
      </c>
      <c r="B28" s="154" t="s">
        <v>231</v>
      </c>
      <c r="C28" s="281"/>
      <c r="D28" s="154" t="s">
        <v>232</v>
      </c>
      <c r="E28" s="281"/>
      <c r="F28" s="206">
        <v>49.1</v>
      </c>
      <c r="G28" s="206"/>
      <c r="H28" s="43"/>
      <c r="I28" s="8"/>
    </row>
    <row r="29" spans="1:9" ht="29.25" customHeight="1">
      <c r="A29" s="80" t="s">
        <v>233</v>
      </c>
      <c r="B29" s="154" t="s">
        <v>114</v>
      </c>
      <c r="C29" s="281"/>
      <c r="D29" s="154" t="s">
        <v>234</v>
      </c>
      <c r="E29" s="281"/>
      <c r="F29" s="206">
        <v>500</v>
      </c>
      <c r="G29" s="206"/>
      <c r="H29" s="43"/>
      <c r="I29" s="8"/>
    </row>
    <row r="30" spans="1:9" ht="29.25" customHeight="1">
      <c r="A30" s="80" t="s">
        <v>233</v>
      </c>
      <c r="B30" s="154" t="s">
        <v>235</v>
      </c>
      <c r="C30" s="281"/>
      <c r="D30" s="154" t="s">
        <v>236</v>
      </c>
      <c r="E30" s="281"/>
      <c r="F30" s="206">
        <v>5.04</v>
      </c>
      <c r="G30" s="206"/>
      <c r="H30" s="43"/>
      <c r="I30" s="8"/>
    </row>
    <row r="31" spans="1:9" ht="29.25" customHeight="1">
      <c r="A31" s="80" t="s">
        <v>237</v>
      </c>
      <c r="B31" s="154" t="s">
        <v>114</v>
      </c>
      <c r="C31" s="281"/>
      <c r="D31" s="154" t="s">
        <v>238</v>
      </c>
      <c r="E31" s="281"/>
      <c r="F31" s="206">
        <v>1000</v>
      </c>
      <c r="G31" s="206"/>
      <c r="H31" s="43"/>
      <c r="I31" s="8"/>
    </row>
    <row r="32" spans="1:9" ht="29.25" customHeight="1">
      <c r="A32" s="80" t="s">
        <v>239</v>
      </c>
      <c r="B32" s="154" t="s">
        <v>114</v>
      </c>
      <c r="C32" s="281"/>
      <c r="D32" s="154" t="s">
        <v>240</v>
      </c>
      <c r="E32" s="154"/>
      <c r="F32" s="224">
        <v>600</v>
      </c>
      <c r="G32" s="225"/>
      <c r="H32" s="43"/>
      <c r="I32" s="8"/>
    </row>
    <row r="33" spans="1:9" ht="30" customHeight="1">
      <c r="A33" s="44"/>
      <c r="B33" s="271"/>
      <c r="C33" s="272"/>
      <c r="D33" s="273" t="s">
        <v>56</v>
      </c>
      <c r="E33" s="274"/>
      <c r="F33" s="162">
        <f>SUM(F22:G32)</f>
        <v>5371.1399999999994</v>
      </c>
      <c r="G33" s="163"/>
      <c r="H33" s="43"/>
      <c r="I33" s="8"/>
    </row>
    <row r="34" spans="1:9" ht="30" customHeight="1">
      <c r="A34" s="43"/>
      <c r="B34" s="43"/>
      <c r="C34" s="43"/>
      <c r="D34" s="43"/>
      <c r="E34" s="43"/>
      <c r="F34" s="43"/>
      <c r="G34" s="43"/>
      <c r="H34" s="43"/>
      <c r="I34" s="8"/>
    </row>
    <row r="35" spans="1:9" ht="30" customHeight="1">
      <c r="A35" s="43"/>
      <c r="B35" s="43"/>
      <c r="C35" s="43"/>
      <c r="D35" s="43"/>
      <c r="E35" s="43"/>
      <c r="F35" s="43"/>
      <c r="G35" s="43"/>
      <c r="H35" s="43"/>
      <c r="I35" s="8"/>
    </row>
    <row r="36" spans="1:9" ht="30" customHeight="1">
      <c r="A36" s="43"/>
      <c r="B36" s="43"/>
      <c r="C36" s="43"/>
      <c r="D36" s="43"/>
      <c r="E36" s="43"/>
      <c r="F36" s="43"/>
      <c r="G36" s="43"/>
      <c r="H36" s="43"/>
      <c r="I36" s="8"/>
    </row>
    <row r="37" spans="1:9" ht="30" customHeight="1">
      <c r="A37" s="17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20 December 2024 - 19 January 2025 /  (Revenue / Deferred Debts Or Expenses)</v>
      </c>
      <c r="B37" s="173"/>
      <c r="C37" s="173"/>
      <c r="D37" s="173"/>
      <c r="E37" s="173"/>
      <c r="F37" s="173"/>
      <c r="G37" s="173"/>
      <c r="H37" s="43"/>
      <c r="I37" s="8"/>
    </row>
    <row r="38" spans="1:9" ht="30" customHeight="1">
      <c r="A38" s="114" t="s">
        <v>27</v>
      </c>
      <c r="B38" s="275" t="s">
        <v>46</v>
      </c>
      <c r="C38" s="275"/>
      <c r="D38" s="276" t="s">
        <v>47</v>
      </c>
      <c r="E38" s="276"/>
      <c r="F38" s="276" t="s">
        <v>48</v>
      </c>
      <c r="G38" s="276"/>
      <c r="H38" s="43"/>
      <c r="I38" s="8"/>
    </row>
    <row r="39" spans="1:9" ht="30" customHeight="1">
      <c r="A39" s="80" t="s">
        <v>241</v>
      </c>
      <c r="B39" s="277" t="s">
        <v>68</v>
      </c>
      <c r="C39" s="278"/>
      <c r="D39" s="279" t="s">
        <v>178</v>
      </c>
      <c r="E39" s="280"/>
      <c r="F39" s="206">
        <v>0</v>
      </c>
      <c r="G39" s="206"/>
      <c r="H39" s="43"/>
      <c r="I39" s="8"/>
    </row>
    <row r="40" spans="1:9" ht="30" customHeight="1">
      <c r="A40" s="80"/>
      <c r="B40" s="277" t="s">
        <v>242</v>
      </c>
      <c r="C40" s="278"/>
      <c r="D40" s="279" t="s">
        <v>243</v>
      </c>
      <c r="E40" s="280"/>
      <c r="F40" s="206">
        <v>900</v>
      </c>
      <c r="G40" s="206"/>
      <c r="H40" s="43"/>
      <c r="I40" s="8"/>
    </row>
    <row r="41" spans="1:9" ht="30" customHeight="1">
      <c r="A41" s="80" t="s">
        <v>244</v>
      </c>
      <c r="B41" s="277" t="s">
        <v>50</v>
      </c>
      <c r="C41" s="278"/>
      <c r="D41" s="279" t="s">
        <v>51</v>
      </c>
      <c r="E41" s="280"/>
      <c r="F41" s="206">
        <v>2405</v>
      </c>
      <c r="G41" s="206"/>
      <c r="H41" s="43"/>
      <c r="I41" s="8"/>
    </row>
    <row r="42" spans="1:9" ht="30" customHeight="1">
      <c r="A42" s="80"/>
      <c r="B42" s="277" t="s">
        <v>112</v>
      </c>
      <c r="C42" s="278"/>
      <c r="D42" s="277" t="s">
        <v>245</v>
      </c>
      <c r="E42" s="278"/>
      <c r="F42" s="206">
        <v>66.400000000000006</v>
      </c>
      <c r="G42" s="206"/>
      <c r="H42" s="43"/>
      <c r="I42" s="8"/>
    </row>
    <row r="43" spans="1:9" ht="30" customHeight="1">
      <c r="A43" s="80" t="s">
        <v>244</v>
      </c>
      <c r="B43" s="277" t="s">
        <v>246</v>
      </c>
      <c r="C43" s="278"/>
      <c r="D43" s="277" t="s">
        <v>247</v>
      </c>
      <c r="E43" s="278"/>
      <c r="F43" s="206">
        <v>200</v>
      </c>
      <c r="G43" s="206"/>
      <c r="H43" s="43"/>
      <c r="I43" s="8"/>
    </row>
    <row r="44" spans="1:9" ht="30" customHeight="1">
      <c r="A44" s="80" t="s">
        <v>248</v>
      </c>
      <c r="B44" s="277" t="s">
        <v>114</v>
      </c>
      <c r="C44" s="278"/>
      <c r="D44" s="277" t="s">
        <v>249</v>
      </c>
      <c r="E44" s="278"/>
      <c r="F44" s="206">
        <v>100</v>
      </c>
      <c r="G44" s="206"/>
      <c r="H44" s="43"/>
      <c r="I44" s="8"/>
    </row>
    <row r="45" spans="1:9" ht="30" customHeight="1">
      <c r="A45" s="80" t="s">
        <v>250</v>
      </c>
      <c r="B45" s="277" t="s">
        <v>112</v>
      </c>
      <c r="C45" s="278"/>
      <c r="D45" s="277" t="s">
        <v>251</v>
      </c>
      <c r="E45" s="278"/>
      <c r="F45" s="206">
        <v>900</v>
      </c>
      <c r="G45" s="206"/>
      <c r="H45" s="43"/>
      <c r="I45" s="36"/>
    </row>
    <row r="46" spans="1:9" ht="30" customHeight="1">
      <c r="A46" s="80" t="s">
        <v>252</v>
      </c>
      <c r="B46" s="277" t="s">
        <v>112</v>
      </c>
      <c r="C46" s="278"/>
      <c r="D46" s="277" t="s">
        <v>253</v>
      </c>
      <c r="E46" s="278"/>
      <c r="F46" s="206">
        <v>50</v>
      </c>
      <c r="G46" s="206"/>
      <c r="H46" s="43"/>
      <c r="I46" s="8"/>
    </row>
    <row r="47" spans="1:9" ht="30" customHeight="1">
      <c r="A47" s="80" t="s">
        <v>254</v>
      </c>
      <c r="B47" s="277" t="s">
        <v>112</v>
      </c>
      <c r="C47" s="278"/>
      <c r="D47" s="277" t="s">
        <v>255</v>
      </c>
      <c r="E47" s="278"/>
      <c r="F47" s="206">
        <v>16.14</v>
      </c>
      <c r="G47" s="206"/>
      <c r="H47" s="43"/>
      <c r="I47" s="8"/>
    </row>
    <row r="48" spans="1:9" ht="30" customHeight="1">
      <c r="A48" s="80" t="s">
        <v>256</v>
      </c>
      <c r="B48" s="277" t="s">
        <v>114</v>
      </c>
      <c r="C48" s="278"/>
      <c r="D48" s="277" t="s">
        <v>257</v>
      </c>
      <c r="E48" s="278"/>
      <c r="F48" s="206">
        <v>50</v>
      </c>
      <c r="G48" s="206"/>
      <c r="H48" s="43"/>
      <c r="I48" s="8"/>
    </row>
    <row r="49" spans="1:9" ht="30" customHeight="1">
      <c r="A49" s="80" t="s">
        <v>258</v>
      </c>
      <c r="B49" s="277" t="s">
        <v>114</v>
      </c>
      <c r="C49" s="278"/>
      <c r="D49" s="277" t="s">
        <v>259</v>
      </c>
      <c r="E49" s="278"/>
      <c r="F49" s="206">
        <v>100</v>
      </c>
      <c r="G49" s="206"/>
      <c r="H49" s="43"/>
      <c r="I49" s="8"/>
    </row>
    <row r="50" spans="1:9" ht="30" customHeight="1">
      <c r="A50" s="80"/>
      <c r="B50" s="283" t="s">
        <v>260</v>
      </c>
      <c r="C50" s="284"/>
      <c r="D50" s="283" t="s">
        <v>261</v>
      </c>
      <c r="E50" s="284"/>
      <c r="F50" s="206">
        <v>229.6</v>
      </c>
      <c r="G50" s="206"/>
      <c r="H50" s="43"/>
      <c r="I50" s="8"/>
    </row>
    <row r="51" spans="1:9" ht="30" customHeight="1">
      <c r="A51" s="44"/>
      <c r="B51" s="271"/>
      <c r="C51" s="272"/>
      <c r="D51" s="273" t="s">
        <v>56</v>
      </c>
      <c r="E51" s="274"/>
      <c r="F51" s="269">
        <f>SUM(F39:G50)</f>
        <v>5017.1400000000003</v>
      </c>
      <c r="G51" s="270"/>
      <c r="H51" s="43"/>
      <c r="I51" s="8"/>
    </row>
    <row r="52" spans="1:9" ht="30" customHeight="1">
      <c r="A52" s="43"/>
      <c r="B52" s="43"/>
      <c r="C52" s="43"/>
      <c r="D52" s="43"/>
      <c r="E52" s="43"/>
      <c r="F52" s="43"/>
      <c r="G52" s="43"/>
      <c r="H52" s="43"/>
      <c r="I52" s="8"/>
    </row>
    <row r="53" spans="1:9" ht="30" customHeight="1">
      <c r="A53" s="43"/>
      <c r="B53" s="43"/>
      <c r="C53" s="43"/>
      <c r="D53" s="43"/>
      <c r="E53" s="43"/>
      <c r="F53" s="43"/>
      <c r="G53" s="43"/>
      <c r="H53" s="43"/>
      <c r="I53" s="8"/>
    </row>
    <row r="54" spans="1:9" ht="30" customHeight="1">
      <c r="A54" s="43"/>
      <c r="B54" s="43"/>
      <c r="C54" s="43"/>
      <c r="D54" s="43"/>
      <c r="E54" s="43"/>
      <c r="F54" s="43"/>
      <c r="G54" s="43"/>
      <c r="H54" s="43"/>
      <c r="I54" s="8"/>
    </row>
    <row r="55" spans="1:9" ht="30" customHeight="1">
      <c r="A55" s="232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2024 to January 2025</v>
      </c>
      <c r="B55" s="233"/>
      <c r="C55" s="234"/>
      <c r="D55" s="43"/>
      <c r="E55" s="43"/>
      <c r="F55" s="43"/>
      <c r="G55" s="43"/>
      <c r="H55" s="43"/>
      <c r="I55" s="8"/>
    </row>
    <row r="56" spans="1:9" ht="30" customHeight="1">
      <c r="A56" s="45" t="s">
        <v>46</v>
      </c>
      <c r="B56" s="45" t="s">
        <v>47</v>
      </c>
      <c r="C56" s="115" t="s">
        <v>48</v>
      </c>
      <c r="D56" s="43"/>
      <c r="E56" s="43"/>
      <c r="F56" s="43"/>
      <c r="G56" s="43"/>
      <c r="H56" s="43"/>
      <c r="I56" s="8"/>
    </row>
    <row r="57" spans="1:9" ht="30" customHeight="1">
      <c r="A57" s="235" t="s">
        <v>75</v>
      </c>
      <c r="B57" s="236"/>
      <c r="C57" s="237"/>
      <c r="D57" s="43"/>
      <c r="E57" s="43"/>
      <c r="F57" s="43"/>
      <c r="G57" s="43"/>
      <c r="H57" s="43"/>
      <c r="I57" s="8"/>
    </row>
    <row r="58" spans="1:9" ht="30" customHeight="1">
      <c r="A58" s="88" t="s">
        <v>212</v>
      </c>
      <c r="B58" s="112"/>
      <c r="C58" s="85">
        <v>0</v>
      </c>
      <c r="D58" s="43"/>
      <c r="E58" s="43"/>
      <c r="F58" s="43"/>
      <c r="G58" s="43"/>
      <c r="H58" s="43"/>
      <c r="I58" s="8"/>
    </row>
    <row r="59" spans="1:9" ht="30" customHeight="1">
      <c r="A59" s="88" t="s">
        <v>61</v>
      </c>
      <c r="B59" s="112"/>
      <c r="C59" s="85">
        <v>0</v>
      </c>
      <c r="D59" s="43"/>
      <c r="E59" s="43"/>
      <c r="F59" s="43"/>
      <c r="G59" s="43"/>
      <c r="H59" s="43"/>
      <c r="I59" s="8"/>
    </row>
    <row r="60" spans="1:9" ht="30" customHeight="1">
      <c r="A60" s="88" t="s">
        <v>77</v>
      </c>
      <c r="B60" s="112" t="s">
        <v>262</v>
      </c>
      <c r="C60" s="85">
        <v>149</v>
      </c>
      <c r="D60" s="43"/>
      <c r="E60" s="43"/>
      <c r="F60" s="43"/>
      <c r="G60" s="43"/>
      <c r="H60" s="43"/>
      <c r="I60" s="8"/>
    </row>
    <row r="61" spans="1:9" ht="30" customHeight="1">
      <c r="A61" s="17" t="s">
        <v>52</v>
      </c>
      <c r="B61" s="31"/>
      <c r="C61" s="27">
        <v>0</v>
      </c>
      <c r="D61" s="43"/>
      <c r="E61" s="43"/>
      <c r="F61" s="43"/>
      <c r="G61" s="43"/>
      <c r="H61" s="43"/>
      <c r="I61" s="8"/>
    </row>
    <row r="62" spans="1:9" ht="30" customHeight="1">
      <c r="A62" s="26" t="s">
        <v>53</v>
      </c>
      <c r="B62" s="31"/>
      <c r="C62" s="27">
        <v>0</v>
      </c>
      <c r="D62" s="43"/>
      <c r="E62" s="43"/>
      <c r="F62" s="43"/>
      <c r="G62" s="43"/>
      <c r="H62" s="43"/>
      <c r="I62" s="8"/>
    </row>
    <row r="63" spans="1:9" ht="30" customHeight="1">
      <c r="A63" s="26" t="s">
        <v>54</v>
      </c>
      <c r="B63" s="31"/>
      <c r="C63" s="27">
        <v>0</v>
      </c>
      <c r="D63" s="43"/>
      <c r="E63" s="43"/>
      <c r="F63" s="43"/>
      <c r="G63" s="43"/>
      <c r="H63" s="43"/>
      <c r="I63" s="8"/>
    </row>
    <row r="64" spans="1:9" ht="30" customHeight="1">
      <c r="A64" s="26" t="s">
        <v>55</v>
      </c>
      <c r="B64" s="31"/>
      <c r="C64" s="27">
        <v>0</v>
      </c>
      <c r="D64" s="43"/>
      <c r="E64" s="43"/>
      <c r="F64" s="43"/>
      <c r="G64" s="43"/>
      <c r="H64" s="43"/>
      <c r="I64" s="8"/>
    </row>
    <row r="65" spans="1:9" ht="30" customHeight="1">
      <c r="A65" s="26" t="s">
        <v>44</v>
      </c>
      <c r="B65" s="31"/>
      <c r="C65" s="27">
        <v>0</v>
      </c>
      <c r="D65" s="43"/>
      <c r="E65" s="43"/>
      <c r="F65" s="43"/>
      <c r="G65" s="43"/>
      <c r="H65" s="43"/>
      <c r="I65" s="8"/>
    </row>
    <row r="66" spans="1:9" ht="30" customHeight="1">
      <c r="A66" s="33"/>
      <c r="B66" s="25" t="s">
        <v>79</v>
      </c>
      <c r="C66" s="27">
        <f>SUM(C58:C65)</f>
        <v>149</v>
      </c>
      <c r="D66" s="43"/>
      <c r="E66" s="43"/>
      <c r="F66" s="43"/>
      <c r="G66" s="43"/>
      <c r="H66" s="43"/>
      <c r="I66" s="8"/>
    </row>
    <row r="67" spans="1:9" ht="30" customHeight="1">
      <c r="A67" s="235" t="s">
        <v>80</v>
      </c>
      <c r="B67" s="236"/>
      <c r="C67" s="237"/>
      <c r="D67" s="43"/>
      <c r="E67" s="43"/>
      <c r="F67" s="43"/>
      <c r="G67" s="43"/>
      <c r="H67" s="43"/>
      <c r="I67" s="8"/>
    </row>
    <row r="68" spans="1:9" ht="30" customHeight="1">
      <c r="A68" s="17" t="s">
        <v>81</v>
      </c>
      <c r="B68" s="18"/>
      <c r="C68" s="27">
        <v>0</v>
      </c>
      <c r="D68" s="43"/>
      <c r="E68" s="43"/>
      <c r="F68" s="43"/>
      <c r="G68" s="43"/>
      <c r="H68" s="43"/>
      <c r="I68" s="8"/>
    </row>
    <row r="69" spans="1:9" ht="30" customHeight="1">
      <c r="A69" s="17" t="s">
        <v>82</v>
      </c>
      <c r="B69" s="18"/>
      <c r="C69" s="27">
        <v>0</v>
      </c>
      <c r="D69" s="43"/>
      <c r="E69" s="43"/>
      <c r="F69" s="43"/>
      <c r="G69" s="43"/>
      <c r="H69" s="43"/>
      <c r="I69" s="8"/>
    </row>
    <row r="70" spans="1:9" ht="30" customHeight="1">
      <c r="A70" s="17" t="s">
        <v>83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30" customHeight="1">
      <c r="A71" s="17" t="s">
        <v>84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30" customHeight="1">
      <c r="A72" s="17" t="s">
        <v>52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30" customHeight="1">
      <c r="A73" s="17" t="s">
        <v>53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30" customHeight="1">
      <c r="A74" s="17" t="s">
        <v>54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30" customHeight="1">
      <c r="A75" s="17" t="s">
        <v>55</v>
      </c>
      <c r="B75" s="18"/>
      <c r="C75" s="27">
        <v>0</v>
      </c>
      <c r="D75" s="43"/>
      <c r="E75" s="43"/>
      <c r="F75" s="43"/>
      <c r="G75" s="43"/>
      <c r="H75" s="43"/>
      <c r="I75" s="8"/>
    </row>
    <row r="76" spans="1:9" ht="30" customHeight="1">
      <c r="A76" s="17" t="s">
        <v>44</v>
      </c>
      <c r="B76" s="18"/>
      <c r="C76" s="27">
        <v>0</v>
      </c>
      <c r="D76" s="43"/>
      <c r="E76" s="43"/>
      <c r="F76" s="43"/>
      <c r="G76" s="43"/>
      <c r="H76" s="43"/>
      <c r="I76" s="8"/>
    </row>
    <row r="77" spans="1:9" ht="30" customHeight="1">
      <c r="A77" s="22"/>
      <c r="B77" s="25" t="s">
        <v>85</v>
      </c>
      <c r="C77" s="27">
        <f>SUM(C68:C76)</f>
        <v>0</v>
      </c>
      <c r="D77" s="43"/>
      <c r="E77" s="43"/>
      <c r="F77" s="43"/>
      <c r="G77" s="43"/>
      <c r="H77" s="43"/>
      <c r="I77" s="8"/>
    </row>
    <row r="78" spans="1:9" ht="30" customHeight="1">
      <c r="A78" s="235" t="s">
        <v>86</v>
      </c>
      <c r="B78" s="236"/>
      <c r="C78" s="237"/>
      <c r="D78" s="43"/>
      <c r="E78" s="43"/>
      <c r="F78" s="43"/>
      <c r="G78" s="43"/>
      <c r="H78" s="43"/>
      <c r="I78" s="8"/>
    </row>
    <row r="79" spans="1:9" ht="30" customHeight="1">
      <c r="A79" s="17" t="s">
        <v>87</v>
      </c>
      <c r="B79" s="18" t="s">
        <v>88</v>
      </c>
      <c r="C79" s="27">
        <v>0</v>
      </c>
      <c r="D79" s="43"/>
      <c r="E79" s="43"/>
      <c r="F79" s="43"/>
      <c r="G79" s="43"/>
      <c r="H79" s="43"/>
      <c r="I79" s="8"/>
    </row>
    <row r="80" spans="1:9" ht="30" customHeight="1">
      <c r="A80" s="17" t="s">
        <v>89</v>
      </c>
      <c r="B80" s="18" t="s">
        <v>90</v>
      </c>
      <c r="C80" s="27">
        <v>0</v>
      </c>
      <c r="D80" s="43"/>
      <c r="E80" s="43"/>
      <c r="F80" s="43"/>
      <c r="G80" s="43"/>
      <c r="H80" s="43"/>
      <c r="I80" s="8"/>
    </row>
    <row r="81" spans="1:9" ht="30" customHeight="1">
      <c r="A81" s="17" t="s">
        <v>52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30" customHeight="1">
      <c r="A82" s="17" t="s">
        <v>53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30" customHeight="1">
      <c r="A83" s="17" t="s">
        <v>54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30" customHeight="1">
      <c r="A84" s="17" t="s">
        <v>55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30" customHeight="1">
      <c r="A85" s="17" t="s">
        <v>44</v>
      </c>
      <c r="B85" s="18"/>
      <c r="C85" s="27">
        <v>0</v>
      </c>
      <c r="D85" s="43"/>
      <c r="E85" s="43"/>
      <c r="F85" s="43"/>
      <c r="G85" s="43"/>
      <c r="H85" s="43"/>
      <c r="I85" s="8"/>
    </row>
    <row r="86" spans="1:9" ht="30" customHeight="1">
      <c r="A86" s="22"/>
      <c r="B86" s="25" t="s">
        <v>91</v>
      </c>
      <c r="C86" s="27">
        <f>SUM(C79:C85)</f>
        <v>0</v>
      </c>
      <c r="D86" s="43"/>
      <c r="E86" s="43"/>
      <c r="F86" s="43"/>
      <c r="G86" s="43"/>
      <c r="H86" s="43"/>
      <c r="I86" s="8"/>
    </row>
    <row r="87" spans="1:9" ht="30" customHeight="1">
      <c r="A87" s="235" t="s">
        <v>92</v>
      </c>
      <c r="B87" s="236"/>
      <c r="C87" s="237"/>
      <c r="D87" s="43"/>
      <c r="E87" s="43"/>
      <c r="F87" s="43"/>
      <c r="G87" s="43"/>
      <c r="H87" s="43"/>
      <c r="I87" s="8"/>
    </row>
    <row r="88" spans="1:9" ht="30" customHeight="1">
      <c r="A88" s="17" t="s">
        <v>93</v>
      </c>
      <c r="B88" s="18" t="s">
        <v>94</v>
      </c>
      <c r="C88" s="27">
        <v>0</v>
      </c>
      <c r="D88" s="43"/>
      <c r="E88" s="43"/>
      <c r="F88" s="43"/>
      <c r="G88" s="43"/>
      <c r="H88" s="43"/>
      <c r="I88" s="8"/>
    </row>
    <row r="89" spans="1:9" ht="30" customHeight="1">
      <c r="A89" s="17" t="s">
        <v>95</v>
      </c>
      <c r="B89" s="18" t="s">
        <v>96</v>
      </c>
      <c r="C89" s="27">
        <v>0</v>
      </c>
      <c r="D89" s="43"/>
      <c r="E89" s="43"/>
      <c r="F89" s="43"/>
      <c r="G89" s="43"/>
      <c r="H89" s="43"/>
      <c r="I89" s="8"/>
    </row>
    <row r="90" spans="1:9" ht="30" customHeight="1">
      <c r="A90" s="17" t="s">
        <v>97</v>
      </c>
      <c r="B90" s="18" t="s">
        <v>98</v>
      </c>
      <c r="C90" s="27">
        <v>0</v>
      </c>
      <c r="D90" s="43"/>
      <c r="E90" s="43"/>
      <c r="F90" s="43"/>
      <c r="G90" s="43"/>
      <c r="H90" s="43"/>
      <c r="I90" s="8"/>
    </row>
    <row r="91" spans="1:9" ht="30" customHeight="1">
      <c r="A91" s="17" t="s">
        <v>52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30" customHeight="1">
      <c r="A92" s="17" t="s">
        <v>53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30" customHeight="1">
      <c r="A93" s="17" t="s">
        <v>54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30" customHeight="1">
      <c r="A94" s="17" t="s">
        <v>55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30" customHeight="1">
      <c r="A95" s="17" t="s">
        <v>44</v>
      </c>
      <c r="B95" s="18"/>
      <c r="C95" s="27">
        <v>0</v>
      </c>
      <c r="D95" s="43"/>
      <c r="E95" s="43"/>
      <c r="F95" s="43"/>
      <c r="G95" s="43"/>
      <c r="H95" s="43"/>
      <c r="I95" s="8"/>
    </row>
    <row r="96" spans="1:9" ht="30" customHeight="1">
      <c r="A96" s="22"/>
      <c r="B96" s="25" t="s">
        <v>99</v>
      </c>
      <c r="C96" s="27">
        <f>SUM(C88:C95)</f>
        <v>0</v>
      </c>
      <c r="D96" s="43"/>
      <c r="E96" s="43"/>
      <c r="F96" s="43"/>
      <c r="G96" s="43"/>
      <c r="H96" s="43"/>
      <c r="I96" s="8"/>
    </row>
    <row r="97" spans="1:9" ht="30" customHeight="1">
      <c r="A97" s="235" t="s">
        <v>125</v>
      </c>
      <c r="B97" s="236"/>
      <c r="C97" s="237"/>
      <c r="D97" s="43"/>
      <c r="E97" s="43"/>
      <c r="F97" s="43"/>
      <c r="G97" s="43"/>
      <c r="H97" s="43"/>
      <c r="I97" s="8"/>
    </row>
    <row r="98" spans="1:9" ht="30" customHeight="1">
      <c r="A98" s="88" t="s">
        <v>101</v>
      </c>
      <c r="B98" s="84" t="s">
        <v>102</v>
      </c>
      <c r="C98" s="85">
        <v>200</v>
      </c>
      <c r="D98" s="43"/>
      <c r="E98" s="43"/>
      <c r="F98" s="43"/>
      <c r="G98" s="43"/>
      <c r="H98" s="43"/>
      <c r="I98" s="8"/>
    </row>
    <row r="99" spans="1:9" ht="30" customHeight="1">
      <c r="A99" s="91" t="s">
        <v>103</v>
      </c>
      <c r="B99" s="84" t="s">
        <v>104</v>
      </c>
      <c r="C99" s="85">
        <v>68</v>
      </c>
      <c r="D99" s="43"/>
      <c r="E99" s="43"/>
      <c r="F99" s="43"/>
      <c r="G99" s="43"/>
      <c r="H99" s="43"/>
      <c r="I99" s="8"/>
    </row>
    <row r="100" spans="1:9" ht="30" customHeight="1">
      <c r="A100" s="88" t="s">
        <v>105</v>
      </c>
      <c r="B100" s="113" t="s">
        <v>263</v>
      </c>
      <c r="C100" s="85">
        <v>52</v>
      </c>
      <c r="D100" s="43"/>
      <c r="E100" s="43"/>
      <c r="F100" s="43"/>
      <c r="G100" s="43"/>
      <c r="H100" s="43"/>
      <c r="I100" s="8"/>
    </row>
    <row r="101" spans="1:9" ht="30" customHeight="1">
      <c r="A101" s="88" t="s">
        <v>107</v>
      </c>
      <c r="B101" s="84" t="s">
        <v>194</v>
      </c>
      <c r="C101" s="85">
        <v>900</v>
      </c>
      <c r="D101" s="43"/>
      <c r="E101" s="55"/>
      <c r="F101" s="43"/>
      <c r="G101" s="43"/>
      <c r="H101" s="43"/>
      <c r="I101" s="8"/>
    </row>
    <row r="102" spans="1:9" ht="30" customHeight="1">
      <c r="A102" s="17" t="s">
        <v>53</v>
      </c>
      <c r="B102" s="18"/>
      <c r="C102" s="27">
        <v>0</v>
      </c>
      <c r="D102" s="43"/>
      <c r="E102" s="43"/>
      <c r="F102" s="43"/>
      <c r="G102" s="43"/>
      <c r="H102" s="43"/>
      <c r="I102" s="8"/>
    </row>
    <row r="103" spans="1:9" ht="30" customHeight="1">
      <c r="A103" s="17" t="s">
        <v>54</v>
      </c>
      <c r="B103" s="18"/>
      <c r="C103" s="27">
        <v>0</v>
      </c>
      <c r="D103" s="43"/>
      <c r="E103" s="43"/>
      <c r="F103" s="43"/>
      <c r="G103" s="43"/>
      <c r="H103" s="43"/>
      <c r="I103" s="8"/>
    </row>
    <row r="104" spans="1:9" ht="30" customHeight="1">
      <c r="A104" s="17" t="s">
        <v>55</v>
      </c>
      <c r="B104" s="18"/>
      <c r="C104" s="27">
        <v>0</v>
      </c>
      <c r="D104" s="43"/>
      <c r="E104" s="43"/>
      <c r="F104" s="43"/>
      <c r="G104" s="43"/>
      <c r="H104" s="43"/>
      <c r="I104" s="8"/>
    </row>
    <row r="105" spans="1:9" ht="30" customHeight="1">
      <c r="A105" s="17" t="s">
        <v>44</v>
      </c>
      <c r="B105" s="18"/>
      <c r="C105" s="27">
        <v>0</v>
      </c>
      <c r="D105" s="43"/>
      <c r="E105" s="43"/>
      <c r="F105" s="43"/>
      <c r="G105" s="43"/>
      <c r="H105" s="43"/>
      <c r="I105" s="8"/>
    </row>
    <row r="106" spans="1:9" ht="30" customHeight="1">
      <c r="A106" s="26"/>
      <c r="B106" s="25" t="s">
        <v>109</v>
      </c>
      <c r="C106" s="27">
        <f>SUM(C98:C105)</f>
        <v>1220</v>
      </c>
      <c r="D106" s="43"/>
      <c r="E106" s="43"/>
      <c r="F106" s="43"/>
      <c r="G106" s="43"/>
      <c r="H106" s="43"/>
      <c r="I106" s="8"/>
    </row>
    <row r="107" spans="1:9" ht="30" customHeight="1">
      <c r="A107" s="22"/>
      <c r="B107" s="25" t="s">
        <v>110</v>
      </c>
      <c r="C107" s="27">
        <f>C66+C77+C86+C96+C106</f>
        <v>1369</v>
      </c>
      <c r="D107" s="43"/>
      <c r="E107" s="43"/>
      <c r="F107" s="43"/>
      <c r="G107" s="43"/>
      <c r="H107" s="43"/>
      <c r="I107" s="8"/>
    </row>
    <row r="108" spans="1:9" ht="30" customHeight="1">
      <c r="A108" s="235" t="s">
        <v>111</v>
      </c>
      <c r="B108" s="236"/>
      <c r="C108" s="237"/>
      <c r="D108" s="43"/>
      <c r="E108" s="43"/>
      <c r="F108" s="43"/>
      <c r="G108" s="43"/>
      <c r="H108" s="43"/>
      <c r="I108" s="8"/>
    </row>
    <row r="109" spans="1:9" ht="30" customHeight="1">
      <c r="A109" s="86" t="s">
        <v>112</v>
      </c>
      <c r="B109" s="18"/>
      <c r="C109" s="27">
        <f>('July 2024 - September 2024'!C105)+SUM(E129+E156+E183)</f>
        <v>-9383</v>
      </c>
      <c r="D109" s="43"/>
      <c r="E109" s="54"/>
      <c r="F109" s="43"/>
      <c r="G109" s="43"/>
      <c r="H109" s="43"/>
      <c r="I109" s="8"/>
    </row>
    <row r="110" spans="1:9" ht="30" customHeight="1">
      <c r="A110" s="86" t="s">
        <v>113</v>
      </c>
      <c r="B110" s="18"/>
      <c r="C110" s="27">
        <f>('July 2024 - September 2024'!C106)+SUM(E130+E157+E184)</f>
        <v>0</v>
      </c>
      <c r="D110" s="43"/>
      <c r="E110" s="43"/>
      <c r="F110" s="43"/>
      <c r="G110" s="43"/>
      <c r="H110" s="43"/>
      <c r="I110" s="8"/>
    </row>
    <row r="111" spans="1:9" ht="30" customHeight="1">
      <c r="A111" s="86" t="s">
        <v>114</v>
      </c>
      <c r="B111" s="18"/>
      <c r="C111" s="79">
        <f>('July 2024 - September 2024'!C107)+SUM(E131+E158+E185)</f>
        <v>-1300</v>
      </c>
      <c r="D111" s="43"/>
      <c r="E111" s="43"/>
      <c r="F111" s="43"/>
      <c r="G111" s="43"/>
      <c r="H111" s="43"/>
      <c r="I111" s="8"/>
    </row>
    <row r="112" spans="1:9" ht="30" customHeight="1">
      <c r="A112" s="88" t="s">
        <v>115</v>
      </c>
      <c r="B112" s="18"/>
      <c r="C112" s="27">
        <f>('July 2024 - September 2024'!C108)+SUM(E132+E159+E186)</f>
        <v>0</v>
      </c>
      <c r="D112" s="43"/>
      <c r="E112" s="43"/>
      <c r="F112" s="43"/>
      <c r="G112" s="43"/>
      <c r="H112" s="43"/>
      <c r="I112" s="8"/>
    </row>
    <row r="113" spans="1:9" ht="30" customHeight="1">
      <c r="A113" s="88" t="s">
        <v>116</v>
      </c>
      <c r="B113" s="18"/>
      <c r="C113" s="27">
        <f>('July 2024 - September 2024'!C109)+SUM(E133+E160+E187)</f>
        <v>0</v>
      </c>
      <c r="D113" s="43"/>
      <c r="E113" s="43"/>
      <c r="F113" s="43"/>
      <c r="G113" s="43"/>
      <c r="H113" s="43"/>
      <c r="I113" s="8"/>
    </row>
    <row r="114" spans="1:9" ht="30" customHeight="1">
      <c r="A114" s="17" t="s">
        <v>117</v>
      </c>
      <c r="B114" s="18"/>
      <c r="C114" s="27">
        <f>('July 2024 - September 2024'!C110)+SUM(E134+E161+E188)</f>
        <v>0</v>
      </c>
      <c r="D114" s="43"/>
      <c r="E114" s="43"/>
      <c r="F114" s="43"/>
      <c r="G114" s="43"/>
      <c r="H114" s="43"/>
      <c r="I114" s="8"/>
    </row>
    <row r="115" spans="1:9" ht="30" customHeight="1">
      <c r="A115" s="17" t="s">
        <v>118</v>
      </c>
      <c r="B115" s="18"/>
      <c r="C115" s="27">
        <f>('July 2024 - September 2024'!C111)+SUM(E135+E162+E189)</f>
        <v>0</v>
      </c>
      <c r="D115" s="43"/>
      <c r="E115" s="43"/>
      <c r="F115" s="43"/>
      <c r="G115" s="43"/>
      <c r="H115" s="43"/>
      <c r="I115" s="8"/>
    </row>
    <row r="116" spans="1:9" ht="30" customHeight="1">
      <c r="A116" s="17" t="s">
        <v>119</v>
      </c>
      <c r="B116" s="18"/>
      <c r="C116" s="27">
        <f>('July 2024 - September 2024'!C112)+SUM(E136+E163+E190)</f>
        <v>0</v>
      </c>
      <c r="D116" s="43"/>
      <c r="E116" s="43"/>
      <c r="F116" s="43"/>
      <c r="G116" s="43"/>
      <c r="H116" s="43"/>
      <c r="I116" s="8"/>
    </row>
    <row r="117" spans="1:9" ht="30" customHeight="1">
      <c r="A117" s="17" t="s">
        <v>120</v>
      </c>
      <c r="B117" s="18"/>
      <c r="C117" s="27">
        <f>('July 2024 - September 2024'!C113)+SUM(E137+E164+E191)</f>
        <v>0</v>
      </c>
      <c r="D117" s="43"/>
      <c r="E117" s="43"/>
      <c r="F117" s="43"/>
      <c r="G117" s="43"/>
      <c r="H117" s="43"/>
      <c r="I117" s="8"/>
    </row>
    <row r="118" spans="1:9" ht="30" customHeight="1">
      <c r="A118" s="17" t="s">
        <v>121</v>
      </c>
      <c r="B118" s="18"/>
      <c r="C118" s="27">
        <f>('July 2024 - September 2024'!C114)+SUM(E138+E165+E192)</f>
        <v>0</v>
      </c>
      <c r="D118" s="43"/>
      <c r="E118" s="43"/>
      <c r="F118" s="43"/>
      <c r="G118" s="43"/>
      <c r="H118" s="43"/>
      <c r="I118" s="8"/>
    </row>
    <row r="119" spans="1:9" ht="30" customHeight="1">
      <c r="A119" s="22"/>
      <c r="B119" s="25" t="s">
        <v>122</v>
      </c>
      <c r="C119" s="27">
        <f>SUM(C109:C113)</f>
        <v>-10683</v>
      </c>
      <c r="D119" s="43"/>
      <c r="E119" s="43"/>
      <c r="F119" s="43"/>
      <c r="G119" s="43"/>
      <c r="H119" s="43"/>
      <c r="I119" s="8"/>
    </row>
    <row r="120" spans="1:9" ht="30" customHeight="1">
      <c r="A120" s="22"/>
      <c r="B120" s="25" t="s">
        <v>123</v>
      </c>
      <c r="C120" s="27">
        <f>ABS(C107+ABS(C119))</f>
        <v>12052</v>
      </c>
      <c r="D120" s="43"/>
      <c r="E120" s="43"/>
      <c r="F120" s="43"/>
      <c r="G120" s="43"/>
      <c r="H120" s="43"/>
      <c r="I120" s="8"/>
    </row>
    <row r="121" spans="1:9" ht="30" customHeight="1">
      <c r="A121" s="43"/>
      <c r="B121" s="43"/>
      <c r="C121" s="43"/>
      <c r="D121" s="43"/>
      <c r="E121" s="43"/>
      <c r="F121" s="43"/>
      <c r="G121" s="43"/>
      <c r="H121" s="43"/>
      <c r="I121" s="8"/>
    </row>
    <row r="122" spans="1:9" ht="30" customHeight="1">
      <c r="A122" s="43"/>
      <c r="B122" s="43"/>
      <c r="C122" s="43"/>
      <c r="D122" s="43"/>
      <c r="E122" s="43"/>
      <c r="F122" s="43"/>
      <c r="G122" s="43"/>
      <c r="H122" s="43"/>
      <c r="I122" s="8"/>
    </row>
    <row r="123" spans="1:9" ht="30" customHeight="1">
      <c r="A123" s="43"/>
      <c r="B123" s="43"/>
      <c r="C123" s="43"/>
      <c r="D123" s="43"/>
      <c r="E123" s="43"/>
      <c r="F123" s="43"/>
      <c r="G123" s="43"/>
      <c r="H123" s="43"/>
      <c r="I123" s="8"/>
    </row>
    <row r="124" spans="1:9" ht="30" customHeight="1">
      <c r="A124" s="43"/>
      <c r="B124" s="43"/>
      <c r="C124" s="43"/>
      <c r="D124" s="43"/>
      <c r="E124" s="43"/>
      <c r="F124" s="43"/>
      <c r="G124" s="43"/>
      <c r="H124" s="43"/>
      <c r="I124" s="8"/>
    </row>
    <row r="125" spans="1:9" ht="30" customHeight="1">
      <c r="A125" s="132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20 2024 to November 19 2024</v>
      </c>
      <c r="B125" s="133"/>
      <c r="C125" s="133"/>
      <c r="D125" s="133"/>
      <c r="E125" s="134"/>
      <c r="F125" s="43"/>
      <c r="G125" s="43"/>
      <c r="H125" s="43"/>
      <c r="I125" s="8"/>
    </row>
    <row r="126" spans="1:9" ht="30" customHeight="1">
      <c r="A126" s="132" t="s">
        <v>124</v>
      </c>
      <c r="B126" s="134"/>
      <c r="C126" s="132" t="s">
        <v>47</v>
      </c>
      <c r="D126" s="134"/>
      <c r="E126" s="28" t="s">
        <v>48</v>
      </c>
      <c r="F126" s="43"/>
      <c r="G126" s="43"/>
      <c r="H126" s="43"/>
      <c r="I126" s="8"/>
    </row>
    <row r="127" spans="1:9" ht="30" customHeight="1">
      <c r="A127" s="129" t="str">
        <f>"Balance Brought Forward From " &amp;  IF(Main!B2,TEXT(EDATE(Main!B3,6)-1,"mmmm yyyy"),TEXT(Main!B3+((Main!B5-Main!B3)*6+5),"mmmm yyyy"))</f>
        <v>Balance Brought Forward From October 2024</v>
      </c>
      <c r="B127" s="130"/>
      <c r="C127" s="202"/>
      <c r="D127" s="202"/>
      <c r="E127" s="94">
        <f>'July 2024 - September 2024'!E202</f>
        <v>502.70999999999822</v>
      </c>
      <c r="F127" s="43"/>
      <c r="G127" s="43"/>
      <c r="H127" s="43"/>
      <c r="I127" s="8"/>
    </row>
    <row r="128" spans="1:9" ht="30" customHeight="1">
      <c r="A128" s="139" t="s">
        <v>125</v>
      </c>
      <c r="B128" s="140"/>
      <c r="C128" s="200" t="s">
        <v>126</v>
      </c>
      <c r="D128" s="191"/>
      <c r="E128" s="95"/>
      <c r="F128" s="43"/>
      <c r="G128" s="43"/>
      <c r="H128" s="43"/>
      <c r="I128" s="8"/>
    </row>
    <row r="129" spans="1:9" ht="30" customHeight="1">
      <c r="A129" s="141"/>
      <c r="B129" s="142"/>
      <c r="C129" s="174" t="s">
        <v>264</v>
      </c>
      <c r="D129" s="174"/>
      <c r="E129" s="85">
        <v>0</v>
      </c>
      <c r="F129" s="43"/>
      <c r="G129" s="43"/>
      <c r="H129" s="43"/>
      <c r="I129" s="8"/>
    </row>
    <row r="130" spans="1:9" ht="30" customHeight="1">
      <c r="A130" s="141"/>
      <c r="B130" s="142"/>
      <c r="C130" s="137" t="s">
        <v>128</v>
      </c>
      <c r="D130" s="138"/>
      <c r="E130" s="96">
        <v>0</v>
      </c>
      <c r="F130" s="43"/>
      <c r="G130" s="43"/>
      <c r="H130" s="43"/>
      <c r="I130" s="8"/>
    </row>
    <row r="131" spans="1:9" ht="30" customHeight="1">
      <c r="A131" s="141"/>
      <c r="B131" s="142"/>
      <c r="C131" s="174" t="s">
        <v>265</v>
      </c>
      <c r="D131" s="174"/>
      <c r="E131" s="85">
        <v>200</v>
      </c>
      <c r="F131" s="43"/>
      <c r="G131" s="43"/>
      <c r="H131" s="43"/>
      <c r="I131" s="8"/>
    </row>
    <row r="132" spans="1:9" ht="30" customHeight="1">
      <c r="A132" s="141"/>
      <c r="B132" s="142"/>
      <c r="C132" s="137" t="s">
        <v>130</v>
      </c>
      <c r="D132" s="138"/>
      <c r="E132" s="96">
        <v>0</v>
      </c>
      <c r="F132" s="43"/>
      <c r="G132" s="43"/>
      <c r="H132" s="43"/>
      <c r="I132" s="8"/>
    </row>
    <row r="133" spans="1:9" ht="30" customHeight="1">
      <c r="A133" s="141"/>
      <c r="B133" s="142"/>
      <c r="C133" s="137" t="s">
        <v>131</v>
      </c>
      <c r="D133" s="138"/>
      <c r="E133" s="96">
        <v>0</v>
      </c>
      <c r="F133" s="43"/>
      <c r="G133" s="43"/>
      <c r="H133" s="43"/>
      <c r="I133" s="8"/>
    </row>
    <row r="134" spans="1:9" ht="30" customHeight="1">
      <c r="A134" s="141"/>
      <c r="B134" s="142"/>
      <c r="C134" s="137" t="s">
        <v>132</v>
      </c>
      <c r="D134" s="138"/>
      <c r="E134" s="96">
        <v>0</v>
      </c>
      <c r="F134" s="43"/>
      <c r="G134" s="43"/>
      <c r="H134" s="43"/>
      <c r="I134" s="8"/>
    </row>
    <row r="135" spans="1:9" ht="30" customHeight="1">
      <c r="A135" s="141"/>
      <c r="B135" s="142"/>
      <c r="C135" s="137" t="s">
        <v>133</v>
      </c>
      <c r="D135" s="138"/>
      <c r="E135" s="96">
        <v>0</v>
      </c>
      <c r="F135" s="43"/>
      <c r="G135" s="43"/>
      <c r="H135" s="43"/>
      <c r="I135" s="8"/>
    </row>
    <row r="136" spans="1:9" ht="30" customHeight="1">
      <c r="A136" s="141"/>
      <c r="B136" s="142"/>
      <c r="C136" s="137" t="s">
        <v>134</v>
      </c>
      <c r="D136" s="138"/>
      <c r="E136" s="96">
        <v>0</v>
      </c>
      <c r="F136" s="43"/>
      <c r="G136" s="43"/>
      <c r="H136" s="43"/>
      <c r="I136" s="8"/>
    </row>
    <row r="137" spans="1:9" ht="30" customHeight="1">
      <c r="A137" s="141"/>
      <c r="B137" s="142"/>
      <c r="C137" s="137" t="s">
        <v>135</v>
      </c>
      <c r="D137" s="138"/>
      <c r="E137" s="96">
        <v>0</v>
      </c>
      <c r="F137" s="43"/>
      <c r="G137" s="43"/>
      <c r="H137" s="43"/>
      <c r="I137" s="8"/>
    </row>
    <row r="138" spans="1:9" ht="30" customHeight="1">
      <c r="A138" s="141"/>
      <c r="B138" s="142"/>
      <c r="C138" s="137" t="s">
        <v>136</v>
      </c>
      <c r="D138" s="138"/>
      <c r="E138" s="96">
        <v>0</v>
      </c>
      <c r="F138" s="43"/>
      <c r="G138" s="43"/>
      <c r="H138" s="43"/>
      <c r="I138" s="8"/>
    </row>
    <row r="139" spans="1:9" ht="30" customHeight="1">
      <c r="A139" s="141"/>
      <c r="B139" s="142"/>
      <c r="C139" s="190" t="s">
        <v>137</v>
      </c>
      <c r="D139" s="191"/>
      <c r="E139" s="95"/>
      <c r="F139" s="43"/>
      <c r="G139" s="43"/>
      <c r="H139" s="43"/>
      <c r="I139" s="8"/>
    </row>
    <row r="140" spans="1:9" ht="78.75" customHeight="1">
      <c r="A140" s="141"/>
      <c r="B140" s="142"/>
      <c r="C140" s="192" t="s">
        <v>266</v>
      </c>
      <c r="D140" s="192"/>
      <c r="E140" s="85">
        <v>651.70000000000005</v>
      </c>
      <c r="F140" s="43"/>
      <c r="G140" s="43"/>
      <c r="H140" s="43"/>
      <c r="I140" s="8"/>
    </row>
    <row r="141" spans="1:9" ht="30" customHeight="1">
      <c r="A141" s="141"/>
      <c r="B141" s="142"/>
      <c r="C141" s="174" t="s">
        <v>267</v>
      </c>
      <c r="D141" s="174"/>
      <c r="E141" s="85">
        <v>58</v>
      </c>
      <c r="F141" s="43"/>
      <c r="G141" s="43"/>
      <c r="H141" s="43"/>
      <c r="I141" s="8"/>
    </row>
    <row r="142" spans="1:9" ht="30" customHeight="1">
      <c r="A142" s="141"/>
      <c r="B142" s="142"/>
      <c r="C142" s="174" t="s">
        <v>268</v>
      </c>
      <c r="D142" s="174"/>
      <c r="E142" s="85">
        <v>600</v>
      </c>
      <c r="F142" s="43"/>
      <c r="G142" s="43"/>
      <c r="H142" s="43"/>
      <c r="I142" s="8"/>
    </row>
    <row r="143" spans="1:9" ht="30" customHeight="1">
      <c r="A143" s="141"/>
      <c r="B143" s="142"/>
      <c r="C143" s="243" t="s">
        <v>202</v>
      </c>
      <c r="D143" s="243"/>
      <c r="E143" s="85">
        <v>291.85000000000002</v>
      </c>
      <c r="F143" s="43"/>
      <c r="G143" s="43"/>
      <c r="H143" s="43"/>
      <c r="I143" s="8"/>
    </row>
    <row r="144" spans="1:9" ht="30" customHeight="1">
      <c r="A144" s="141"/>
      <c r="B144" s="142"/>
      <c r="C144" s="137" t="s">
        <v>130</v>
      </c>
      <c r="D144" s="138"/>
      <c r="E144" s="97">
        <v>0</v>
      </c>
      <c r="F144" s="43"/>
      <c r="G144" s="43"/>
      <c r="H144" s="43"/>
      <c r="I144" s="8"/>
    </row>
    <row r="145" spans="1:9" ht="30" customHeight="1">
      <c r="A145" s="143"/>
      <c r="B145" s="144"/>
      <c r="C145" s="137" t="s">
        <v>131</v>
      </c>
      <c r="D145" s="138"/>
      <c r="E145" s="97">
        <v>0</v>
      </c>
      <c r="F145" s="43"/>
      <c r="G145" s="43"/>
      <c r="H145" s="43"/>
      <c r="I145" s="8"/>
    </row>
    <row r="146" spans="1:9" ht="30" customHeight="1">
      <c r="A146" s="129" t="s">
        <v>139</v>
      </c>
      <c r="B146" s="193"/>
      <c r="C146" s="194"/>
      <c r="D146" s="195"/>
      <c r="E146" s="97">
        <f>C107</f>
        <v>1369</v>
      </c>
      <c r="F146" s="43"/>
      <c r="G146" s="43"/>
      <c r="H146" s="43"/>
      <c r="I146" s="8"/>
    </row>
    <row r="147" spans="1:9" ht="30" customHeight="1">
      <c r="A147" s="187"/>
      <c r="B147" s="188"/>
      <c r="C147" s="189" t="s">
        <v>140</v>
      </c>
      <c r="D147" s="189"/>
      <c r="E147" s="30">
        <f>(F16+E127)-(SUM(E129:E138)+SUM(E140:E146))</f>
        <v>125.15999999999804</v>
      </c>
      <c r="F147" s="43"/>
      <c r="G147" s="43"/>
      <c r="H147" s="43"/>
      <c r="I147" s="8"/>
    </row>
    <row r="148" spans="1:9" ht="30" customHeight="1">
      <c r="A148" s="43"/>
      <c r="B148" s="43"/>
      <c r="C148" s="43"/>
      <c r="D148" s="43"/>
      <c r="E148" s="43"/>
      <c r="F148" s="43"/>
      <c r="G148" s="43"/>
      <c r="H148" s="43"/>
      <c r="I148" s="8"/>
    </row>
    <row r="149" spans="1:9" ht="30" customHeight="1">
      <c r="A149" s="43"/>
      <c r="B149" s="43"/>
      <c r="C149" s="43"/>
      <c r="D149" s="43"/>
      <c r="E149" s="43"/>
      <c r="F149" s="43"/>
      <c r="G149" s="43"/>
      <c r="H149" s="43"/>
      <c r="I149" s="8"/>
    </row>
    <row r="150" spans="1:9" ht="30" customHeight="1">
      <c r="A150" s="43"/>
      <c r="B150" s="43"/>
      <c r="C150" s="43"/>
      <c r="D150" s="43"/>
      <c r="E150" s="43"/>
      <c r="F150" s="43"/>
      <c r="G150" s="43"/>
      <c r="H150" s="43"/>
      <c r="I150" s="8"/>
    </row>
    <row r="151" spans="1:9" ht="30" customHeight="1">
      <c r="A151" s="43"/>
      <c r="B151" s="43"/>
      <c r="C151" s="43"/>
      <c r="D151" s="43"/>
      <c r="E151" s="43"/>
      <c r="F151" s="43"/>
      <c r="G151" s="43"/>
      <c r="H151" s="43"/>
      <c r="I151" s="8"/>
    </row>
    <row r="152" spans="1:9" ht="30" customHeight="1">
      <c r="A152" s="132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20 2024 to December 19 2024</v>
      </c>
      <c r="B152" s="133"/>
      <c r="C152" s="133"/>
      <c r="D152" s="133"/>
      <c r="E152" s="134"/>
      <c r="F152" s="43"/>
      <c r="G152" s="43"/>
      <c r="H152" s="43"/>
      <c r="I152" s="8"/>
    </row>
    <row r="153" spans="1:9" ht="30" customHeight="1">
      <c r="A153" s="132" t="s">
        <v>124</v>
      </c>
      <c r="B153" s="134"/>
      <c r="C153" s="135" t="s">
        <v>47</v>
      </c>
      <c r="D153" s="136"/>
      <c r="E153" s="38" t="s">
        <v>48</v>
      </c>
      <c r="F153" s="43"/>
      <c r="G153" s="43"/>
      <c r="H153" s="43"/>
      <c r="I153" s="8"/>
    </row>
    <row r="154" spans="1:9" ht="30" customHeight="1">
      <c r="A154" s="129" t="str">
        <f>"Balance Brought Forward From " &amp; IF(Main!B2,TEXT(EDATE(Main!B3,7)-1,"mmmm yyyy"),TEXT(Main!B3+((Main!B5-Main!B3)*7+6),"mmmm yyyy"))</f>
        <v>Balance Brought Forward From November 2024</v>
      </c>
      <c r="B154" s="130"/>
      <c r="C154" s="202"/>
      <c r="D154" s="202"/>
      <c r="E154" s="30">
        <f>E147</f>
        <v>125.15999999999804</v>
      </c>
      <c r="F154" s="43"/>
      <c r="G154" s="43"/>
      <c r="H154" s="43"/>
      <c r="I154" s="8"/>
    </row>
    <row r="155" spans="1:9" ht="30" customHeight="1">
      <c r="A155" s="139" t="s">
        <v>125</v>
      </c>
      <c r="B155" s="140"/>
      <c r="C155" s="145" t="s">
        <v>126</v>
      </c>
      <c r="D155" s="146"/>
      <c r="E155" s="42"/>
      <c r="F155" s="43"/>
      <c r="G155" s="43"/>
      <c r="H155" s="43"/>
      <c r="I155" s="8"/>
    </row>
    <row r="156" spans="1:9" ht="30" customHeight="1">
      <c r="A156" s="141"/>
      <c r="B156" s="142"/>
      <c r="C156" s="192" t="s">
        <v>269</v>
      </c>
      <c r="D156" s="192"/>
      <c r="E156" s="85">
        <v>0</v>
      </c>
      <c r="F156" s="43"/>
      <c r="G156" s="43"/>
      <c r="H156" s="43"/>
      <c r="I156" s="8"/>
    </row>
    <row r="157" spans="1:9" ht="30" customHeight="1">
      <c r="A157" s="141"/>
      <c r="B157" s="142"/>
      <c r="C157" s="137" t="s">
        <v>128</v>
      </c>
      <c r="D157" s="138"/>
      <c r="E157" s="96">
        <v>0</v>
      </c>
      <c r="F157" s="43"/>
      <c r="G157" s="43"/>
      <c r="H157" s="43"/>
      <c r="I157" s="8"/>
    </row>
    <row r="158" spans="1:9" ht="30" customHeight="1">
      <c r="A158" s="141"/>
      <c r="B158" s="142"/>
      <c r="C158" s="174" t="s">
        <v>270</v>
      </c>
      <c r="D158" s="174"/>
      <c r="E158" s="85">
        <v>300</v>
      </c>
      <c r="F158" s="43"/>
      <c r="G158" s="43"/>
      <c r="H158" s="43"/>
      <c r="I158" s="8"/>
    </row>
    <row r="159" spans="1:9" ht="30" customHeight="1">
      <c r="A159" s="141"/>
      <c r="B159" s="142"/>
      <c r="C159" s="137" t="s">
        <v>130</v>
      </c>
      <c r="D159" s="138"/>
      <c r="E159" s="96">
        <v>0</v>
      </c>
      <c r="F159" s="43"/>
      <c r="G159" s="43"/>
      <c r="H159" s="43"/>
      <c r="I159" s="8"/>
    </row>
    <row r="160" spans="1:9" ht="30" customHeight="1">
      <c r="A160" s="141"/>
      <c r="B160" s="142"/>
      <c r="C160" s="137" t="s">
        <v>131</v>
      </c>
      <c r="D160" s="138"/>
      <c r="E160" s="96">
        <v>0</v>
      </c>
      <c r="F160" s="43"/>
      <c r="G160" s="43"/>
      <c r="H160" s="43"/>
      <c r="I160" s="8"/>
    </row>
    <row r="161" spans="1:9" ht="30" customHeight="1">
      <c r="A161" s="141"/>
      <c r="B161" s="142"/>
      <c r="C161" s="137" t="s">
        <v>132</v>
      </c>
      <c r="D161" s="138"/>
      <c r="E161" s="96">
        <v>0</v>
      </c>
      <c r="F161" s="43"/>
      <c r="G161" s="43"/>
      <c r="H161" s="43"/>
      <c r="I161" s="8"/>
    </row>
    <row r="162" spans="1:9" ht="30" customHeight="1">
      <c r="A162" s="141"/>
      <c r="B162" s="142"/>
      <c r="C162" s="137" t="s">
        <v>133</v>
      </c>
      <c r="D162" s="138"/>
      <c r="E162" s="96">
        <v>0</v>
      </c>
      <c r="F162" s="43"/>
      <c r="G162" s="43"/>
      <c r="H162" s="43"/>
      <c r="I162" s="8"/>
    </row>
    <row r="163" spans="1:9" ht="30" customHeight="1">
      <c r="A163" s="141"/>
      <c r="B163" s="142"/>
      <c r="C163" s="137" t="s">
        <v>134</v>
      </c>
      <c r="D163" s="138"/>
      <c r="E163" s="96">
        <v>0</v>
      </c>
      <c r="F163" s="43"/>
      <c r="G163" s="43"/>
      <c r="H163" s="43"/>
      <c r="I163" s="8"/>
    </row>
    <row r="164" spans="1:9" ht="30" customHeight="1">
      <c r="A164" s="141"/>
      <c r="B164" s="142"/>
      <c r="C164" s="137" t="s">
        <v>135</v>
      </c>
      <c r="D164" s="138"/>
      <c r="E164" s="96">
        <v>0</v>
      </c>
      <c r="F164" s="43"/>
      <c r="G164" s="43"/>
      <c r="H164" s="43"/>
      <c r="I164" s="8"/>
    </row>
    <row r="165" spans="1:9" ht="30" customHeight="1">
      <c r="A165" s="141"/>
      <c r="B165" s="142"/>
      <c r="C165" s="137" t="s">
        <v>136</v>
      </c>
      <c r="D165" s="138"/>
      <c r="E165" s="96">
        <v>0</v>
      </c>
      <c r="F165" s="43"/>
      <c r="G165" s="43"/>
      <c r="H165" s="43"/>
      <c r="I165" s="8"/>
    </row>
    <row r="166" spans="1:9" ht="30" customHeight="1">
      <c r="A166" s="141"/>
      <c r="B166" s="142"/>
      <c r="C166" s="190" t="s">
        <v>137</v>
      </c>
      <c r="D166" s="191"/>
      <c r="E166" s="95"/>
      <c r="F166" s="43"/>
      <c r="G166" s="43"/>
      <c r="H166" s="43"/>
      <c r="I166" s="8"/>
    </row>
    <row r="167" spans="1:9" ht="231" customHeight="1">
      <c r="A167" s="141"/>
      <c r="B167" s="142"/>
      <c r="C167" s="192" t="s">
        <v>271</v>
      </c>
      <c r="D167" s="192"/>
      <c r="E167" s="85">
        <v>3389</v>
      </c>
      <c r="F167" s="43"/>
      <c r="G167" s="43"/>
      <c r="H167" s="43"/>
      <c r="I167" s="8"/>
    </row>
    <row r="168" spans="1:9" ht="30" customHeight="1">
      <c r="A168" s="141"/>
      <c r="B168" s="142"/>
      <c r="C168" s="192" t="s">
        <v>272</v>
      </c>
      <c r="D168" s="192"/>
      <c r="E168" s="85">
        <v>200</v>
      </c>
      <c r="F168" s="43"/>
      <c r="G168" s="43"/>
      <c r="H168" s="43"/>
      <c r="I168" s="8"/>
    </row>
    <row r="169" spans="1:9" ht="30" customHeight="1">
      <c r="A169" s="141"/>
      <c r="B169" s="142"/>
      <c r="C169" s="268" t="s">
        <v>202</v>
      </c>
      <c r="D169" s="268"/>
      <c r="E169" s="85">
        <v>8.9</v>
      </c>
      <c r="F169" s="43"/>
      <c r="G169" s="43"/>
      <c r="H169" s="43"/>
      <c r="I169" s="8"/>
    </row>
    <row r="170" spans="1:9" ht="30" customHeight="1">
      <c r="A170" s="141"/>
      <c r="B170" s="142"/>
      <c r="C170" s="137" t="s">
        <v>129</v>
      </c>
      <c r="D170" s="138"/>
      <c r="E170" s="97">
        <v>0</v>
      </c>
      <c r="F170" s="43"/>
      <c r="G170" s="43"/>
      <c r="H170" s="43"/>
      <c r="I170" s="8"/>
    </row>
    <row r="171" spans="1:9" ht="30" customHeight="1">
      <c r="A171" s="141"/>
      <c r="B171" s="142"/>
      <c r="C171" s="137" t="s">
        <v>130</v>
      </c>
      <c r="D171" s="138"/>
      <c r="E171" s="97">
        <v>0</v>
      </c>
      <c r="F171" s="43"/>
      <c r="G171" s="43"/>
      <c r="H171" s="43"/>
      <c r="I171" s="8"/>
    </row>
    <row r="172" spans="1:9" ht="30" customHeight="1">
      <c r="A172" s="143"/>
      <c r="B172" s="144"/>
      <c r="C172" s="137" t="s">
        <v>131</v>
      </c>
      <c r="D172" s="138"/>
      <c r="E172" s="97">
        <v>0</v>
      </c>
      <c r="F172" s="43"/>
      <c r="G172" s="43"/>
      <c r="H172" s="43"/>
      <c r="I172" s="8"/>
    </row>
    <row r="173" spans="1:9" ht="30" customHeight="1">
      <c r="A173" s="129" t="s">
        <v>139</v>
      </c>
      <c r="B173" s="193"/>
      <c r="C173" s="194"/>
      <c r="D173" s="195"/>
      <c r="E173" s="97">
        <f>C107</f>
        <v>1369</v>
      </c>
      <c r="F173" s="43"/>
      <c r="G173" s="43"/>
      <c r="H173" s="43"/>
      <c r="I173" s="8"/>
    </row>
    <row r="174" spans="1:9" ht="30" customHeight="1">
      <c r="A174" s="187"/>
      <c r="B174" s="188"/>
      <c r="C174" s="189" t="s">
        <v>140</v>
      </c>
      <c r="D174" s="189"/>
      <c r="E174" s="98">
        <f>(F33+E154)-(SUM(E156:E165)+SUM(E167:E173))</f>
        <v>229.39999999999782</v>
      </c>
      <c r="F174" s="43"/>
      <c r="G174" s="43"/>
      <c r="H174" s="43"/>
      <c r="I174" s="8"/>
    </row>
    <row r="175" spans="1:9" ht="30" customHeight="1">
      <c r="A175" s="43"/>
      <c r="B175" s="43"/>
      <c r="C175" s="43"/>
      <c r="D175" s="43"/>
      <c r="E175" s="43"/>
      <c r="F175" s="43"/>
      <c r="G175" s="43"/>
      <c r="H175" s="43"/>
      <c r="I175" s="8"/>
    </row>
    <row r="176" spans="1:9" ht="30" customHeight="1">
      <c r="A176" s="43"/>
      <c r="B176" s="43"/>
      <c r="C176" s="43"/>
      <c r="D176" s="43"/>
      <c r="E176" s="43"/>
      <c r="F176" s="43"/>
      <c r="G176" s="43"/>
      <c r="H176" s="43"/>
      <c r="I176" s="8"/>
    </row>
    <row r="177" spans="1:9" ht="30" customHeight="1">
      <c r="A177" s="43"/>
      <c r="B177" s="43"/>
      <c r="C177" s="43"/>
      <c r="D177" s="43"/>
      <c r="E177" s="43"/>
      <c r="F177" s="43"/>
      <c r="G177" s="43"/>
      <c r="H177" s="43"/>
      <c r="I177" s="8"/>
    </row>
    <row r="178" spans="1:9" ht="30" customHeight="1">
      <c r="A178" s="43"/>
      <c r="B178" s="43"/>
      <c r="C178" s="43"/>
      <c r="D178" s="43"/>
      <c r="E178" s="43"/>
      <c r="F178" s="43"/>
      <c r="G178" s="43"/>
      <c r="H178" s="43"/>
      <c r="I178" s="8"/>
    </row>
    <row r="179" spans="1:9" ht="30" customHeight="1">
      <c r="A179" s="132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20 2024 to January 19 2025</v>
      </c>
      <c r="B179" s="133"/>
      <c r="C179" s="133"/>
      <c r="D179" s="133"/>
      <c r="E179" s="134"/>
      <c r="F179" s="43"/>
      <c r="G179" s="43"/>
      <c r="H179" s="43"/>
      <c r="I179" s="8"/>
    </row>
    <row r="180" spans="1:9" ht="30" customHeight="1">
      <c r="A180" s="132" t="s">
        <v>124</v>
      </c>
      <c r="B180" s="134"/>
      <c r="C180" s="135" t="s">
        <v>47</v>
      </c>
      <c r="D180" s="136"/>
      <c r="E180" s="38" t="s">
        <v>48</v>
      </c>
      <c r="F180" s="43"/>
      <c r="G180" s="43"/>
      <c r="H180" s="43"/>
      <c r="I180" s="8"/>
    </row>
    <row r="181" spans="1:9" ht="30" customHeight="1">
      <c r="A181" s="129" t="str">
        <f>"Balance Brought Forward From " &amp;  IF(Main!B2,TEXT(EDATE(Main!B3,8)-1,"mmmm yyyy"),TEXT(Main!B3+((Main!B5-Main!B3)*8+7),"mmmm yyyy"))</f>
        <v>Balance Brought Forward From December 2024</v>
      </c>
      <c r="B181" s="130"/>
      <c r="C181" s="202"/>
      <c r="D181" s="202"/>
      <c r="E181" s="98">
        <f>E174</f>
        <v>229.39999999999782</v>
      </c>
      <c r="F181" s="43"/>
      <c r="G181" s="43"/>
      <c r="H181" s="43"/>
      <c r="I181" s="8"/>
    </row>
    <row r="182" spans="1:9" ht="30" customHeight="1">
      <c r="A182" s="139" t="s">
        <v>125</v>
      </c>
      <c r="B182" s="196"/>
      <c r="C182" s="266" t="s">
        <v>126</v>
      </c>
      <c r="D182" s="267"/>
      <c r="E182" s="99"/>
      <c r="F182" s="43"/>
      <c r="G182" s="43"/>
      <c r="H182" s="43"/>
      <c r="I182" s="8"/>
    </row>
    <row r="183" spans="1:9" ht="30" customHeight="1">
      <c r="A183" s="141"/>
      <c r="B183" s="197"/>
      <c r="C183" s="262" t="s">
        <v>264</v>
      </c>
      <c r="D183" s="262"/>
      <c r="E183" s="85">
        <v>0</v>
      </c>
      <c r="F183" s="43"/>
      <c r="G183" s="43"/>
      <c r="H183" s="43"/>
      <c r="I183" s="8"/>
    </row>
    <row r="184" spans="1:9" ht="30" customHeight="1">
      <c r="A184" s="141"/>
      <c r="B184" s="197"/>
      <c r="C184" s="263" t="s">
        <v>128</v>
      </c>
      <c r="D184" s="264"/>
      <c r="E184" s="96">
        <v>0</v>
      </c>
      <c r="F184" s="43"/>
      <c r="G184" s="43"/>
      <c r="H184" s="43"/>
      <c r="I184" s="8"/>
    </row>
    <row r="185" spans="1:9" ht="30" customHeight="1">
      <c r="A185" s="141"/>
      <c r="B185" s="197"/>
      <c r="C185" s="262" t="s">
        <v>203</v>
      </c>
      <c r="D185" s="262"/>
      <c r="E185" s="85">
        <v>500</v>
      </c>
      <c r="F185" s="43"/>
      <c r="G185" s="43"/>
      <c r="H185" s="43"/>
      <c r="I185" s="8"/>
    </row>
    <row r="186" spans="1:9" ht="30" customHeight="1">
      <c r="A186" s="141"/>
      <c r="B186" s="197"/>
      <c r="C186" s="263" t="s">
        <v>130</v>
      </c>
      <c r="D186" s="264"/>
      <c r="E186" s="96">
        <v>0</v>
      </c>
      <c r="F186" s="43"/>
      <c r="G186" s="43"/>
      <c r="H186" s="43"/>
      <c r="I186" s="8"/>
    </row>
    <row r="187" spans="1:9" ht="30" customHeight="1">
      <c r="A187" s="141"/>
      <c r="B187" s="197"/>
      <c r="C187" s="263" t="s">
        <v>131</v>
      </c>
      <c r="D187" s="264"/>
      <c r="E187" s="96">
        <v>0</v>
      </c>
      <c r="F187" s="43"/>
      <c r="G187" s="43"/>
      <c r="H187" s="43"/>
      <c r="I187" s="8"/>
    </row>
    <row r="188" spans="1:9" ht="30" customHeight="1">
      <c r="A188" s="141"/>
      <c r="B188" s="197"/>
      <c r="C188" s="263" t="s">
        <v>132</v>
      </c>
      <c r="D188" s="264"/>
      <c r="E188" s="96">
        <v>0</v>
      </c>
      <c r="F188" s="43"/>
      <c r="G188" s="43"/>
      <c r="H188" s="43"/>
      <c r="I188" s="8"/>
    </row>
    <row r="189" spans="1:9" ht="30" customHeight="1">
      <c r="A189" s="141"/>
      <c r="B189" s="197"/>
      <c r="C189" s="263" t="s">
        <v>133</v>
      </c>
      <c r="D189" s="264"/>
      <c r="E189" s="96">
        <v>0</v>
      </c>
      <c r="F189" s="43"/>
      <c r="G189" s="43"/>
      <c r="H189" s="43"/>
      <c r="I189" s="8"/>
    </row>
    <row r="190" spans="1:9" ht="30" customHeight="1">
      <c r="A190" s="141"/>
      <c r="B190" s="197"/>
      <c r="C190" s="263" t="s">
        <v>134</v>
      </c>
      <c r="D190" s="264"/>
      <c r="E190" s="96">
        <v>0</v>
      </c>
      <c r="F190" s="43"/>
      <c r="G190" s="43"/>
      <c r="H190" s="43"/>
      <c r="I190" s="8"/>
    </row>
    <row r="191" spans="1:9" ht="30" customHeight="1">
      <c r="A191" s="141"/>
      <c r="B191" s="197"/>
      <c r="C191" s="263" t="s">
        <v>135</v>
      </c>
      <c r="D191" s="264"/>
      <c r="E191" s="96">
        <v>0</v>
      </c>
      <c r="F191" s="43"/>
      <c r="G191" s="43"/>
      <c r="H191" s="43"/>
      <c r="I191" s="8"/>
    </row>
    <row r="192" spans="1:9" ht="30" customHeight="1">
      <c r="A192" s="141"/>
      <c r="B192" s="197"/>
      <c r="C192" s="263" t="s">
        <v>136</v>
      </c>
      <c r="D192" s="264"/>
      <c r="E192" s="96">
        <v>0</v>
      </c>
      <c r="F192" s="43"/>
      <c r="G192" s="43"/>
      <c r="H192" s="43"/>
      <c r="I192" s="8"/>
    </row>
    <row r="193" spans="1:9" ht="30" customHeight="1">
      <c r="A193" s="141"/>
      <c r="B193" s="197"/>
      <c r="C193" s="260" t="s">
        <v>137</v>
      </c>
      <c r="D193" s="261"/>
      <c r="E193" s="95"/>
      <c r="F193" s="43"/>
      <c r="G193" s="43"/>
      <c r="H193" s="43"/>
      <c r="I193" s="8"/>
    </row>
    <row r="194" spans="1:9" ht="47.25" customHeight="1">
      <c r="A194" s="141"/>
      <c r="B194" s="197"/>
      <c r="C194" s="262" t="s">
        <v>273</v>
      </c>
      <c r="D194" s="262"/>
      <c r="E194" s="85">
        <v>351</v>
      </c>
      <c r="F194" s="43"/>
      <c r="G194" s="43"/>
      <c r="H194" s="43"/>
      <c r="I194" s="8"/>
    </row>
    <row r="195" spans="1:9" ht="45.75" customHeight="1">
      <c r="A195" s="141"/>
      <c r="B195" s="197"/>
      <c r="C195" s="262" t="s">
        <v>274</v>
      </c>
      <c r="D195" s="262"/>
      <c r="E195" s="85">
        <v>370</v>
      </c>
      <c r="F195" s="43"/>
      <c r="G195" s="43"/>
      <c r="H195" s="43"/>
      <c r="I195" s="8"/>
    </row>
    <row r="196" spans="1:9" ht="132" customHeight="1">
      <c r="A196" s="141"/>
      <c r="B196" s="197"/>
      <c r="C196" s="262" t="s">
        <v>275</v>
      </c>
      <c r="D196" s="262"/>
      <c r="E196" s="85">
        <v>1182.5</v>
      </c>
      <c r="F196" s="43"/>
      <c r="G196" s="43"/>
      <c r="H196" s="43"/>
      <c r="I196" s="8"/>
    </row>
    <row r="197" spans="1:9" ht="409.5" customHeight="1">
      <c r="A197" s="141"/>
      <c r="B197" s="197"/>
      <c r="C197" s="262" t="s">
        <v>276</v>
      </c>
      <c r="D197" s="262"/>
      <c r="E197" s="85">
        <v>1232.7</v>
      </c>
      <c r="F197" s="43"/>
      <c r="G197" s="43"/>
      <c r="H197" s="43"/>
      <c r="I197" s="8"/>
    </row>
    <row r="198" spans="1:9" ht="30" customHeight="1">
      <c r="A198" s="141"/>
      <c r="B198" s="197"/>
      <c r="C198" s="265" t="s">
        <v>202</v>
      </c>
      <c r="D198" s="262"/>
      <c r="E198" s="85">
        <v>68</v>
      </c>
      <c r="F198" s="43"/>
      <c r="G198" s="43"/>
      <c r="H198" s="43"/>
      <c r="I198" s="8"/>
    </row>
    <row r="199" spans="1:9" ht="30" customHeight="1">
      <c r="A199" s="143"/>
      <c r="B199" s="198"/>
      <c r="C199" s="263" t="s">
        <v>131</v>
      </c>
      <c r="D199" s="264"/>
      <c r="E199" s="97">
        <v>0</v>
      </c>
      <c r="F199" s="43"/>
      <c r="G199" s="43"/>
      <c r="H199" s="43"/>
      <c r="I199" s="8"/>
    </row>
    <row r="200" spans="1:9" ht="24.75" customHeight="1">
      <c r="A200" s="129" t="s">
        <v>139</v>
      </c>
      <c r="B200" s="193"/>
      <c r="C200" s="194"/>
      <c r="D200" s="195"/>
      <c r="E200" s="29">
        <f>C107</f>
        <v>1369</v>
      </c>
      <c r="F200" s="43"/>
      <c r="G200" s="43"/>
      <c r="H200" s="43"/>
      <c r="I200" s="8"/>
    </row>
    <row r="201" spans="1:9" ht="30" customHeight="1">
      <c r="A201" s="187"/>
      <c r="B201" s="188"/>
      <c r="C201" s="189" t="s">
        <v>140</v>
      </c>
      <c r="D201" s="189"/>
      <c r="E201" s="39">
        <f>(F51+E181)-(SUM(E183:E192)+SUM(E194:E200))</f>
        <v>173.33999999999833</v>
      </c>
      <c r="F201" s="43"/>
      <c r="G201" s="43"/>
      <c r="H201" s="43"/>
      <c r="I201" s="8"/>
    </row>
    <row r="202" spans="1:9" ht="30" customHeight="1">
      <c r="A202" s="43"/>
      <c r="B202" s="43"/>
      <c r="C202" s="43"/>
      <c r="D202" s="43"/>
      <c r="E202" s="43"/>
      <c r="F202" s="43"/>
      <c r="G202" s="43"/>
      <c r="H202" s="43"/>
      <c r="I202" s="8"/>
    </row>
    <row r="203" spans="1:9" ht="30" customHeight="1"/>
  </sheetData>
  <mergeCells count="207">
    <mergeCell ref="F47:G47"/>
    <mergeCell ref="F48:G48"/>
    <mergeCell ref="F49:G49"/>
    <mergeCell ref="F50:G50"/>
    <mergeCell ref="B40:C40"/>
    <mergeCell ref="B41:C41"/>
    <mergeCell ref="B42:C42"/>
    <mergeCell ref="B44:C44"/>
    <mergeCell ref="B47:C47"/>
    <mergeCell ref="B48:C48"/>
    <mergeCell ref="B49:C49"/>
    <mergeCell ref="B50:C50"/>
    <mergeCell ref="D40:E40"/>
    <mergeCell ref="D41:E41"/>
    <mergeCell ref="D42:E42"/>
    <mergeCell ref="D44:E44"/>
    <mergeCell ref="D47:E47"/>
    <mergeCell ref="D48:E48"/>
    <mergeCell ref="D49:E49"/>
    <mergeCell ref="D50:E50"/>
    <mergeCell ref="B46:C46"/>
    <mergeCell ref="D46:E46"/>
    <mergeCell ref="F46:G46"/>
    <mergeCell ref="F29:G29"/>
    <mergeCell ref="F30:G30"/>
    <mergeCell ref="F31:G31"/>
    <mergeCell ref="F32:G32"/>
    <mergeCell ref="B23:C23"/>
    <mergeCell ref="B24:C24"/>
    <mergeCell ref="B25:C25"/>
    <mergeCell ref="B29:C29"/>
    <mergeCell ref="B30:C30"/>
    <mergeCell ref="B31:C31"/>
    <mergeCell ref="B32:C32"/>
    <mergeCell ref="D23:E23"/>
    <mergeCell ref="D24:E24"/>
    <mergeCell ref="D25:E25"/>
    <mergeCell ref="D29:E29"/>
    <mergeCell ref="D30:E30"/>
    <mergeCell ref="D31:E31"/>
    <mergeCell ref="D32:E32"/>
    <mergeCell ref="B27:C27"/>
    <mergeCell ref="D27:E27"/>
    <mergeCell ref="F27:G27"/>
    <mergeCell ref="B28:C28"/>
    <mergeCell ref="D28:E28"/>
    <mergeCell ref="F28:G28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2:C22"/>
    <mergeCell ref="D22:E22"/>
    <mergeCell ref="F22:G22"/>
    <mergeCell ref="B26:C26"/>
    <mergeCell ref="D26:E26"/>
    <mergeCell ref="F26:G26"/>
    <mergeCell ref="F23:G23"/>
    <mergeCell ref="F24:G24"/>
    <mergeCell ref="F25:G25"/>
    <mergeCell ref="B33:C33"/>
    <mergeCell ref="D33:E33"/>
    <mergeCell ref="F33:G33"/>
    <mergeCell ref="A37:G37"/>
    <mergeCell ref="B38:C38"/>
    <mergeCell ref="D38:E38"/>
    <mergeCell ref="F38:G38"/>
    <mergeCell ref="B45:C45"/>
    <mergeCell ref="D45:E45"/>
    <mergeCell ref="F45:G45"/>
    <mergeCell ref="B39:C39"/>
    <mergeCell ref="D39:E39"/>
    <mergeCell ref="F39:G39"/>
    <mergeCell ref="B43:C43"/>
    <mergeCell ref="D43:E43"/>
    <mergeCell ref="F43:G43"/>
    <mergeCell ref="F40:G40"/>
    <mergeCell ref="F41:G41"/>
    <mergeCell ref="F42:G42"/>
    <mergeCell ref="F44:G44"/>
    <mergeCell ref="A125:E125"/>
    <mergeCell ref="A126:B126"/>
    <mergeCell ref="C126:D126"/>
    <mergeCell ref="A127:B127"/>
    <mergeCell ref="C127:D127"/>
    <mergeCell ref="A128:B145"/>
    <mergeCell ref="C144:D144"/>
    <mergeCell ref="C145:D145"/>
    <mergeCell ref="F51:G51"/>
    <mergeCell ref="A55:C55"/>
    <mergeCell ref="A57:C57"/>
    <mergeCell ref="A67:C67"/>
    <mergeCell ref="A78:C78"/>
    <mergeCell ref="A87:C87"/>
    <mergeCell ref="A97:C97"/>
    <mergeCell ref="A108:C108"/>
    <mergeCell ref="B51:C51"/>
    <mergeCell ref="D51:E51"/>
    <mergeCell ref="A146:B146"/>
    <mergeCell ref="C146:D146"/>
    <mergeCell ref="C128:D128"/>
    <mergeCell ref="C129:D129"/>
    <mergeCell ref="C130:D130"/>
    <mergeCell ref="C131:D131"/>
    <mergeCell ref="C132:D132"/>
    <mergeCell ref="C133:D133"/>
    <mergeCell ref="C138:D138"/>
    <mergeCell ref="C139:D139"/>
    <mergeCell ref="C140:D140"/>
    <mergeCell ref="C141:D141"/>
    <mergeCell ref="C142:D142"/>
    <mergeCell ref="C143:D143"/>
    <mergeCell ref="A173:B173"/>
    <mergeCell ref="C173:D173"/>
    <mergeCell ref="C155:D155"/>
    <mergeCell ref="C164:D164"/>
    <mergeCell ref="C165:D165"/>
    <mergeCell ref="A147:B147"/>
    <mergeCell ref="C147:D147"/>
    <mergeCell ref="A152:E152"/>
    <mergeCell ref="A153:B153"/>
    <mergeCell ref="C153:D153"/>
    <mergeCell ref="A154:B154"/>
    <mergeCell ref="C154:D154"/>
    <mergeCell ref="A155:B172"/>
    <mergeCell ref="C158:D158"/>
    <mergeCell ref="C160:D160"/>
    <mergeCell ref="C162:D162"/>
    <mergeCell ref="C163:D163"/>
    <mergeCell ref="C166:D166"/>
    <mergeCell ref="C167:D167"/>
    <mergeCell ref="C168:D168"/>
    <mergeCell ref="C169:D169"/>
    <mergeCell ref="C170:D170"/>
    <mergeCell ref="C171:D171"/>
    <mergeCell ref="C172:D172"/>
    <mergeCell ref="A201:B201"/>
    <mergeCell ref="C201:D201"/>
    <mergeCell ref="C134:D134"/>
    <mergeCell ref="C135:D135"/>
    <mergeCell ref="C137:D137"/>
    <mergeCell ref="C136:D136"/>
    <mergeCell ref="C161:D161"/>
    <mergeCell ref="C159:D159"/>
    <mergeCell ref="C156:D156"/>
    <mergeCell ref="C157:D157"/>
    <mergeCell ref="C195:D195"/>
    <mergeCell ref="C196:D196"/>
    <mergeCell ref="C197:D197"/>
    <mergeCell ref="C198:D198"/>
    <mergeCell ref="C199:D199"/>
    <mergeCell ref="A200:B200"/>
    <mergeCell ref="C200:D200"/>
    <mergeCell ref="C182:D182"/>
    <mergeCell ref="C183:D183"/>
    <mergeCell ref="C185:D185"/>
    <mergeCell ref="C186:D186"/>
    <mergeCell ref="C190:D190"/>
    <mergeCell ref="C191:D191"/>
    <mergeCell ref="C192:D192"/>
    <mergeCell ref="C193:D193"/>
    <mergeCell ref="C194:D194"/>
    <mergeCell ref="A174:B174"/>
    <mergeCell ref="C174:D174"/>
    <mergeCell ref="A179:E179"/>
    <mergeCell ref="A180:B180"/>
    <mergeCell ref="C180:D180"/>
    <mergeCell ref="A181:B181"/>
    <mergeCell ref="C181:D181"/>
    <mergeCell ref="C184:D184"/>
    <mergeCell ref="C187:D187"/>
    <mergeCell ref="C188:D188"/>
    <mergeCell ref="C189:D189"/>
    <mergeCell ref="A182:B199"/>
  </mergeCells>
  <conditionalFormatting sqref="C61:C66 C96 C89:C90 C106:C107">
    <cfRule type="cellIs" dxfId="744" priority="83" operator="equal">
      <formula>0</formula>
    </cfRule>
  </conditionalFormatting>
  <conditionalFormatting sqref="C61:C66 C96 C89:C90 C106:C107 E155 E166 E170:E173">
    <cfRule type="cellIs" dxfId="743" priority="82" operator="greaterThan">
      <formula>0</formula>
    </cfRule>
  </conditionalFormatting>
  <conditionalFormatting sqref="C68:C77">
    <cfRule type="cellIs" dxfId="742" priority="81" operator="equal">
      <formula>0</formula>
    </cfRule>
  </conditionalFormatting>
  <conditionalFormatting sqref="C68:C77">
    <cfRule type="cellIs" dxfId="741" priority="80" operator="greaterThan">
      <formula>0</formula>
    </cfRule>
  </conditionalFormatting>
  <conditionalFormatting sqref="C79:C80">
    <cfRule type="cellIs" dxfId="740" priority="79" operator="equal">
      <formula>0</formula>
    </cfRule>
  </conditionalFormatting>
  <conditionalFormatting sqref="C79:C80">
    <cfRule type="cellIs" dxfId="739" priority="78" operator="greaterThan">
      <formula>0</formula>
    </cfRule>
  </conditionalFormatting>
  <conditionalFormatting sqref="C86">
    <cfRule type="cellIs" dxfId="738" priority="77" operator="equal">
      <formula>0</formula>
    </cfRule>
  </conditionalFormatting>
  <conditionalFormatting sqref="C86">
    <cfRule type="cellIs" dxfId="737" priority="76" operator="greaterThan">
      <formula>0</formula>
    </cfRule>
  </conditionalFormatting>
  <conditionalFormatting sqref="C88">
    <cfRule type="cellIs" dxfId="736" priority="75" operator="equal">
      <formula>0</formula>
    </cfRule>
  </conditionalFormatting>
  <conditionalFormatting sqref="C88">
    <cfRule type="cellIs" dxfId="735" priority="74" operator="greaterThan">
      <formula>0</formula>
    </cfRule>
  </conditionalFormatting>
  <conditionalFormatting sqref="E128 E139 E144:E146">
    <cfRule type="cellIs" dxfId="734" priority="71" operator="equal">
      <formula>0</formula>
    </cfRule>
  </conditionalFormatting>
  <conditionalFormatting sqref="E128 E139 E144:E146">
    <cfRule type="cellIs" dxfId="733" priority="70" operator="greaterThan">
      <formula>0</formula>
    </cfRule>
  </conditionalFormatting>
  <conditionalFormatting sqref="E147">
    <cfRule type="cellIs" dxfId="732" priority="69" operator="greaterThanOrEqual">
      <formula>0</formula>
    </cfRule>
  </conditionalFormatting>
  <conditionalFormatting sqref="E147">
    <cfRule type="cellIs" dxfId="731" priority="68" operator="lessThan">
      <formula>0</formula>
    </cfRule>
  </conditionalFormatting>
  <conditionalFormatting sqref="C81:C85">
    <cfRule type="cellIs" dxfId="730" priority="67" operator="equal">
      <formula>0</formula>
    </cfRule>
  </conditionalFormatting>
  <conditionalFormatting sqref="C81:C85">
    <cfRule type="cellIs" dxfId="729" priority="66" operator="greaterThan">
      <formula>0</formula>
    </cfRule>
  </conditionalFormatting>
  <conditionalFormatting sqref="C91:C95">
    <cfRule type="cellIs" dxfId="728" priority="65" operator="equal">
      <formula>0</formula>
    </cfRule>
  </conditionalFormatting>
  <conditionalFormatting sqref="C91:C95">
    <cfRule type="cellIs" dxfId="727" priority="64" operator="greaterThan">
      <formula>0</formula>
    </cfRule>
  </conditionalFormatting>
  <conditionalFormatting sqref="C102:C105">
    <cfRule type="cellIs" dxfId="726" priority="63" operator="equal">
      <formula>0</formula>
    </cfRule>
  </conditionalFormatting>
  <conditionalFormatting sqref="C102:C105">
    <cfRule type="cellIs" dxfId="725" priority="62" operator="greaterThan">
      <formula>0</formula>
    </cfRule>
  </conditionalFormatting>
  <conditionalFormatting sqref="C119:C120">
    <cfRule type="cellIs" dxfId="724" priority="61" operator="equal">
      <formula>0</formula>
    </cfRule>
  </conditionalFormatting>
  <conditionalFormatting sqref="C119:C120">
    <cfRule type="cellIs" dxfId="723" priority="60" operator="greaterThan">
      <formula>0</formula>
    </cfRule>
  </conditionalFormatting>
  <conditionalFormatting sqref="E155 E166 E170:E173">
    <cfRule type="cellIs" dxfId="722" priority="59" operator="equal">
      <formula>0</formula>
    </cfRule>
  </conditionalFormatting>
  <conditionalFormatting sqref="E174">
    <cfRule type="cellIs" dxfId="721" priority="58" operator="greaterThanOrEqual">
      <formula>0</formula>
    </cfRule>
  </conditionalFormatting>
  <conditionalFormatting sqref="E174">
    <cfRule type="cellIs" dxfId="720" priority="57" operator="lessThan">
      <formula>0</formula>
    </cfRule>
  </conditionalFormatting>
  <conditionalFormatting sqref="E154">
    <cfRule type="cellIs" dxfId="719" priority="56" operator="greaterThanOrEqual">
      <formula>0</formula>
    </cfRule>
  </conditionalFormatting>
  <conditionalFormatting sqref="E154">
    <cfRule type="cellIs" dxfId="718" priority="55" operator="lessThan">
      <formula>0</formula>
    </cfRule>
  </conditionalFormatting>
  <conditionalFormatting sqref="E182 E193 E199:E200">
    <cfRule type="cellIs" dxfId="717" priority="54" operator="equal">
      <formula>0</formula>
    </cfRule>
  </conditionalFormatting>
  <conditionalFormatting sqref="E182 E193 E199:E200">
    <cfRule type="cellIs" dxfId="716" priority="53" operator="greaterThan">
      <formula>0</formula>
    </cfRule>
  </conditionalFormatting>
  <conditionalFormatting sqref="E201">
    <cfRule type="cellIs" dxfId="715" priority="52" operator="greaterThanOrEqual">
      <formula>0</formula>
    </cfRule>
  </conditionalFormatting>
  <conditionalFormatting sqref="E201">
    <cfRule type="cellIs" dxfId="714" priority="51" operator="lessThan">
      <formula>0</formula>
    </cfRule>
  </conditionalFormatting>
  <conditionalFormatting sqref="E181">
    <cfRule type="cellIs" dxfId="713" priority="50" operator="greaterThanOrEqual">
      <formula>0</formula>
    </cfRule>
  </conditionalFormatting>
  <conditionalFormatting sqref="E181">
    <cfRule type="cellIs" dxfId="712" priority="49" operator="lessThan">
      <formula>0</formula>
    </cfRule>
  </conditionalFormatting>
  <conditionalFormatting sqref="C5">
    <cfRule type="cellIs" dxfId="711" priority="48" operator="equal">
      <formula>0</formula>
    </cfRule>
  </conditionalFormatting>
  <conditionalFormatting sqref="C5">
    <cfRule type="cellIs" dxfId="710" priority="47" operator="greaterThan">
      <formula>0</formula>
    </cfRule>
  </conditionalFormatting>
  <conditionalFormatting sqref="C109:C118">
    <cfRule type="cellIs" dxfId="709" priority="46" operator="lessThan">
      <formula>0</formula>
    </cfRule>
  </conditionalFormatting>
  <conditionalFormatting sqref="C109:C118">
    <cfRule type="cellIs" dxfId="708" priority="45" operator="greaterThanOrEqual">
      <formula>0</formula>
    </cfRule>
  </conditionalFormatting>
  <conditionalFormatting sqref="E130 E132:E138">
    <cfRule type="cellIs" dxfId="707" priority="44" operator="equal">
      <formula>0</formula>
    </cfRule>
  </conditionalFormatting>
  <conditionalFormatting sqref="E130 E132:E138">
    <cfRule type="cellIs" dxfId="706" priority="43" operator="greaterThan">
      <formula>0</formula>
    </cfRule>
  </conditionalFormatting>
  <conditionalFormatting sqref="E157 E159:E165">
    <cfRule type="cellIs" dxfId="705" priority="42" operator="equal">
      <formula>0</formula>
    </cfRule>
  </conditionalFormatting>
  <conditionalFormatting sqref="E157 E159:E165">
    <cfRule type="cellIs" dxfId="704" priority="41" operator="greaterThan">
      <formula>0</formula>
    </cfRule>
  </conditionalFormatting>
  <conditionalFormatting sqref="E184 E186:E192">
    <cfRule type="cellIs" dxfId="703" priority="40" operator="equal">
      <formula>0</formula>
    </cfRule>
  </conditionalFormatting>
  <conditionalFormatting sqref="E184 E186:E192">
    <cfRule type="cellIs" dxfId="702" priority="39" operator="greaterThan">
      <formula>0</formula>
    </cfRule>
  </conditionalFormatting>
  <conditionalFormatting sqref="E127">
    <cfRule type="cellIs" dxfId="701" priority="38" operator="greaterThanOrEqual">
      <formula>0</formula>
    </cfRule>
  </conditionalFormatting>
  <conditionalFormatting sqref="E127">
    <cfRule type="cellIs" dxfId="700" priority="37" operator="lessThan">
      <formula>0</formula>
    </cfRule>
  </conditionalFormatting>
  <conditionalFormatting sqref="C58:C60">
    <cfRule type="cellIs" dxfId="699" priority="35" operator="equal">
      <formula>0</formula>
    </cfRule>
  </conditionalFormatting>
  <conditionalFormatting sqref="C58:C60">
    <cfRule type="cellIs" dxfId="698" priority="36" operator="equal">
      <formula>0</formula>
    </cfRule>
  </conditionalFormatting>
  <conditionalFormatting sqref="C98:C101">
    <cfRule type="cellIs" dxfId="697" priority="33" operator="equal">
      <formula>0</formula>
    </cfRule>
  </conditionalFormatting>
  <conditionalFormatting sqref="C98:C101">
    <cfRule type="cellIs" dxfId="696" priority="34" operator="equal">
      <formula>0</formula>
    </cfRule>
  </conditionalFormatting>
  <conditionalFormatting sqref="E140">
    <cfRule type="cellIs" dxfId="695" priority="31" operator="equal">
      <formula>0</formula>
    </cfRule>
  </conditionalFormatting>
  <conditionalFormatting sqref="E140">
    <cfRule type="cellIs" dxfId="694" priority="32" operator="equal">
      <formula>0</formula>
    </cfRule>
  </conditionalFormatting>
  <conditionalFormatting sqref="E131">
    <cfRule type="cellIs" dxfId="693" priority="29" operator="equal">
      <formula>0</formula>
    </cfRule>
  </conditionalFormatting>
  <conditionalFormatting sqref="E131">
    <cfRule type="cellIs" dxfId="692" priority="30" operator="equal">
      <formula>0</formula>
    </cfRule>
  </conditionalFormatting>
  <conditionalFormatting sqref="E129">
    <cfRule type="cellIs" dxfId="691" priority="27" operator="equal">
      <formula>0</formula>
    </cfRule>
  </conditionalFormatting>
  <conditionalFormatting sqref="E129">
    <cfRule type="cellIs" dxfId="690" priority="28" operator="equal">
      <formula>0</formula>
    </cfRule>
  </conditionalFormatting>
  <conditionalFormatting sqref="E141:E143">
    <cfRule type="cellIs" dxfId="689" priority="25" operator="equal">
      <formula>0</formula>
    </cfRule>
  </conditionalFormatting>
  <conditionalFormatting sqref="E141:E143">
    <cfRule type="cellIs" dxfId="688" priority="26" operator="equal">
      <formula>0</formula>
    </cfRule>
  </conditionalFormatting>
  <conditionalFormatting sqref="E156">
    <cfRule type="cellIs" dxfId="687" priority="23" operator="equal">
      <formula>0</formula>
    </cfRule>
  </conditionalFormatting>
  <conditionalFormatting sqref="E156">
    <cfRule type="cellIs" dxfId="686" priority="24" operator="equal">
      <formula>0</formula>
    </cfRule>
  </conditionalFormatting>
  <conditionalFormatting sqref="E158">
    <cfRule type="cellIs" dxfId="685" priority="21" operator="equal">
      <formula>0</formula>
    </cfRule>
  </conditionalFormatting>
  <conditionalFormatting sqref="E158">
    <cfRule type="cellIs" dxfId="684" priority="22" operator="equal">
      <formula>0</formula>
    </cfRule>
  </conditionalFormatting>
  <conditionalFormatting sqref="E167">
    <cfRule type="cellIs" dxfId="683" priority="19" operator="equal">
      <formula>0</formula>
    </cfRule>
  </conditionalFormatting>
  <conditionalFormatting sqref="E167">
    <cfRule type="cellIs" dxfId="682" priority="20" operator="equal">
      <formula>0</formula>
    </cfRule>
  </conditionalFormatting>
  <conditionalFormatting sqref="E168">
    <cfRule type="cellIs" dxfId="681" priority="17" operator="equal">
      <formula>0</formula>
    </cfRule>
  </conditionalFormatting>
  <conditionalFormatting sqref="E168">
    <cfRule type="cellIs" dxfId="680" priority="18" operator="equal">
      <formula>0</formula>
    </cfRule>
  </conditionalFormatting>
  <conditionalFormatting sqref="E169">
    <cfRule type="cellIs" dxfId="679" priority="15" operator="equal">
      <formula>0</formula>
    </cfRule>
  </conditionalFormatting>
  <conditionalFormatting sqref="E169">
    <cfRule type="cellIs" dxfId="678" priority="16" operator="equal">
      <formula>0</formula>
    </cfRule>
  </conditionalFormatting>
  <conditionalFormatting sqref="E183">
    <cfRule type="cellIs" dxfId="677" priority="13" operator="equal">
      <formula>0</formula>
    </cfRule>
  </conditionalFormatting>
  <conditionalFormatting sqref="E183">
    <cfRule type="cellIs" dxfId="676" priority="14" operator="equal">
      <formula>0</formula>
    </cfRule>
  </conditionalFormatting>
  <conditionalFormatting sqref="E194">
    <cfRule type="cellIs" dxfId="675" priority="11" operator="equal">
      <formula>0</formula>
    </cfRule>
  </conditionalFormatting>
  <conditionalFormatting sqref="E194">
    <cfRule type="cellIs" dxfId="674" priority="12" operator="equal">
      <formula>0</formula>
    </cfRule>
  </conditionalFormatting>
  <conditionalFormatting sqref="E185">
    <cfRule type="cellIs" dxfId="673" priority="9" operator="equal">
      <formula>0</formula>
    </cfRule>
  </conditionalFormatting>
  <conditionalFormatting sqref="E185">
    <cfRule type="cellIs" dxfId="672" priority="10" operator="equal">
      <formula>0</formula>
    </cfRule>
  </conditionalFormatting>
  <conditionalFormatting sqref="E195">
    <cfRule type="cellIs" dxfId="671" priority="7" operator="equal">
      <formula>0</formula>
    </cfRule>
  </conditionalFormatting>
  <conditionalFormatting sqref="E195">
    <cfRule type="cellIs" dxfId="670" priority="8" operator="equal">
      <formula>0</formula>
    </cfRule>
  </conditionalFormatting>
  <conditionalFormatting sqref="E196">
    <cfRule type="cellIs" dxfId="669" priority="5" operator="equal">
      <formula>0</formula>
    </cfRule>
  </conditionalFormatting>
  <conditionalFormatting sqref="E196">
    <cfRule type="cellIs" dxfId="668" priority="6" operator="equal">
      <formula>0</formula>
    </cfRule>
  </conditionalFormatting>
  <conditionalFormatting sqref="E197">
    <cfRule type="cellIs" dxfId="667" priority="3" operator="equal">
      <formula>0</formula>
    </cfRule>
  </conditionalFormatting>
  <conditionalFormatting sqref="E197">
    <cfRule type="cellIs" dxfId="666" priority="4" operator="equal">
      <formula>0</formula>
    </cfRule>
  </conditionalFormatting>
  <conditionalFormatting sqref="E198">
    <cfRule type="cellIs" dxfId="665" priority="1" operator="equal">
      <formula>0</formula>
    </cfRule>
  </conditionalFormatting>
  <conditionalFormatting sqref="E198">
    <cfRule type="cellIs" dxfId="664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8"/>
  <sheetViews>
    <sheetView topLeftCell="A91" workbookViewId="0">
      <selection activeCell="F125" sqref="F125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247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2025 to April 2025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E195</f>
        <v>544.79999999999836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567.69999999999834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C113</f>
        <v>-6983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20 January 2025 - 19 February 2025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275" t="s">
        <v>46</v>
      </c>
      <c r="C9" s="275"/>
      <c r="D9" s="276" t="s">
        <v>47</v>
      </c>
      <c r="E9" s="276"/>
      <c r="F9" s="276" t="s">
        <v>48</v>
      </c>
      <c r="G9" s="276"/>
      <c r="H9" s="43"/>
      <c r="I9" s="8"/>
    </row>
    <row r="10" spans="1:9" ht="24.75" customHeight="1">
      <c r="A10" s="80" t="s">
        <v>277</v>
      </c>
      <c r="B10" s="154" t="s">
        <v>50</v>
      </c>
      <c r="C10" s="281"/>
      <c r="D10" s="155" t="s">
        <v>51</v>
      </c>
      <c r="E10" s="282"/>
      <c r="F10" s="206">
        <v>2405</v>
      </c>
      <c r="G10" s="206"/>
      <c r="H10" s="43"/>
      <c r="I10" s="8"/>
    </row>
    <row r="11" spans="1:9" ht="24.75" customHeight="1">
      <c r="A11" s="80" t="s">
        <v>278</v>
      </c>
      <c r="B11" s="154" t="s">
        <v>68</v>
      </c>
      <c r="C11" s="281"/>
      <c r="D11" s="155" t="s">
        <v>178</v>
      </c>
      <c r="E11" s="282"/>
      <c r="F11" s="206">
        <v>0</v>
      </c>
      <c r="G11" s="206"/>
      <c r="H11" s="43"/>
      <c r="I11" s="8"/>
    </row>
    <row r="12" spans="1:9" ht="24.75" customHeight="1">
      <c r="A12" s="80" t="s">
        <v>279</v>
      </c>
      <c r="B12" s="154" t="s">
        <v>280</v>
      </c>
      <c r="C12" s="281"/>
      <c r="D12" s="155" t="s">
        <v>281</v>
      </c>
      <c r="E12" s="282"/>
      <c r="F12" s="206">
        <v>1000</v>
      </c>
      <c r="G12" s="206"/>
      <c r="H12" s="43"/>
      <c r="I12" s="8"/>
    </row>
    <row r="13" spans="1:9" ht="24.75" customHeight="1">
      <c r="A13" s="80" t="s">
        <v>282</v>
      </c>
      <c r="B13" s="154" t="s">
        <v>283</v>
      </c>
      <c r="C13" s="281"/>
      <c r="D13" s="155" t="s">
        <v>281</v>
      </c>
      <c r="E13" s="282"/>
      <c r="F13" s="206">
        <v>1000</v>
      </c>
      <c r="G13" s="206"/>
      <c r="H13" s="43"/>
      <c r="I13" s="8"/>
    </row>
    <row r="14" spans="1:9" ht="24.75" customHeight="1">
      <c r="A14" s="80"/>
      <c r="B14" s="154" t="s">
        <v>112</v>
      </c>
      <c r="C14" s="281"/>
      <c r="D14" s="155" t="s">
        <v>284</v>
      </c>
      <c r="E14" s="282"/>
      <c r="F14" s="206">
        <v>2</v>
      </c>
      <c r="G14" s="206"/>
      <c r="H14" s="43"/>
      <c r="I14" s="8"/>
    </row>
    <row r="15" spans="1:9" ht="24.75" customHeight="1">
      <c r="A15" s="80"/>
      <c r="B15" s="154" t="s">
        <v>285</v>
      </c>
      <c r="C15" s="281"/>
      <c r="D15" s="155" t="s">
        <v>286</v>
      </c>
      <c r="E15" s="282"/>
      <c r="F15" s="206">
        <v>1</v>
      </c>
      <c r="G15" s="206"/>
      <c r="H15" s="43"/>
      <c r="I15" s="8"/>
    </row>
    <row r="16" spans="1:9" ht="24.75" customHeight="1">
      <c r="A16" s="80" t="s">
        <v>287</v>
      </c>
      <c r="B16" s="154" t="s">
        <v>112</v>
      </c>
      <c r="C16" s="281"/>
      <c r="D16" s="155" t="s">
        <v>288</v>
      </c>
      <c r="E16" s="282"/>
      <c r="F16" s="206">
        <v>500</v>
      </c>
      <c r="G16" s="206"/>
      <c r="H16" s="43"/>
      <c r="I16" s="8"/>
    </row>
    <row r="17" spans="1:9" ht="24.75" customHeight="1">
      <c r="A17" s="80" t="s">
        <v>289</v>
      </c>
      <c r="B17" s="154" t="s">
        <v>290</v>
      </c>
      <c r="C17" s="281"/>
      <c r="D17" s="155" t="s">
        <v>291</v>
      </c>
      <c r="E17" s="282"/>
      <c r="F17" s="206">
        <v>6</v>
      </c>
      <c r="G17" s="206"/>
      <c r="H17" s="43"/>
      <c r="I17" s="8"/>
    </row>
    <row r="18" spans="1:9" ht="24.75" customHeight="1">
      <c r="A18" s="80" t="s">
        <v>289</v>
      </c>
      <c r="B18" s="154" t="s">
        <v>292</v>
      </c>
      <c r="C18" s="281"/>
      <c r="D18" s="155" t="s">
        <v>293</v>
      </c>
      <c r="E18" s="282"/>
      <c r="F18" s="206">
        <v>10</v>
      </c>
      <c r="G18" s="206"/>
      <c r="H18" s="43"/>
      <c r="I18" s="8"/>
    </row>
    <row r="19" spans="1:9" ht="24.75" customHeight="1">
      <c r="A19" s="80" t="s">
        <v>294</v>
      </c>
      <c r="B19" s="154" t="s">
        <v>112</v>
      </c>
      <c r="C19" s="281"/>
      <c r="D19" s="155" t="s">
        <v>295</v>
      </c>
      <c r="E19" s="282"/>
      <c r="F19" s="206">
        <v>4.5</v>
      </c>
      <c r="G19" s="206"/>
      <c r="H19" s="43"/>
      <c r="I19" s="8"/>
    </row>
    <row r="20" spans="1:9" ht="24.75" customHeight="1">
      <c r="A20" s="80" t="s">
        <v>296</v>
      </c>
      <c r="B20" s="154" t="s">
        <v>290</v>
      </c>
      <c r="C20" s="281"/>
      <c r="D20" s="155" t="s">
        <v>297</v>
      </c>
      <c r="E20" s="282"/>
      <c r="F20" s="206">
        <v>1</v>
      </c>
      <c r="G20" s="206"/>
      <c r="H20" s="43"/>
      <c r="I20" s="8"/>
    </row>
    <row r="21" spans="1:9" ht="24.75" customHeight="1">
      <c r="A21" s="44"/>
      <c r="B21" s="271"/>
      <c r="C21" s="272"/>
      <c r="D21" s="273" t="s">
        <v>56</v>
      </c>
      <c r="E21" s="274"/>
      <c r="F21" s="269">
        <f>SUM(F10:G20)</f>
        <v>4929.5</v>
      </c>
      <c r="G21" s="270"/>
      <c r="H21" s="43"/>
      <c r="I21" s="8"/>
    </row>
    <row r="22" spans="1:9" ht="24.75" customHeight="1">
      <c r="A22" s="43"/>
      <c r="B22" s="43"/>
      <c r="C22" s="43"/>
      <c r="D22" s="43"/>
      <c r="E22" s="43"/>
      <c r="F22" s="43"/>
      <c r="G22" s="43"/>
      <c r="H22" s="43"/>
      <c r="I22" s="8"/>
    </row>
    <row r="23" spans="1:9" ht="24.75" customHeight="1">
      <c r="A23" s="43"/>
      <c r="B23" s="43"/>
      <c r="C23" s="43"/>
      <c r="D23" s="43"/>
      <c r="E23" s="43"/>
      <c r="F23" s="43"/>
      <c r="G23" s="43"/>
      <c r="H23" s="43"/>
      <c r="I23" s="8"/>
    </row>
    <row r="24" spans="1:9" ht="24.75" customHeight="1">
      <c r="A24" s="43"/>
      <c r="B24" s="43"/>
      <c r="C24" s="43"/>
      <c r="D24" s="43"/>
      <c r="E24" s="43"/>
      <c r="F24" s="43"/>
      <c r="G24" s="43"/>
      <c r="H24" s="43"/>
      <c r="I24" s="8"/>
    </row>
    <row r="25" spans="1:9" ht="24.75" customHeight="1">
      <c r="A25" s="17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20 February 2025 - 19 March 2025 /  (Revenue / Deferred Debts Or Expenses)</v>
      </c>
      <c r="B25" s="173"/>
      <c r="C25" s="173"/>
      <c r="D25" s="173"/>
      <c r="E25" s="173"/>
      <c r="F25" s="173"/>
      <c r="G25" s="173"/>
      <c r="H25" s="43"/>
      <c r="I25" s="8"/>
    </row>
    <row r="26" spans="1:9" ht="24.75" customHeight="1">
      <c r="A26" s="114" t="s">
        <v>27</v>
      </c>
      <c r="B26" s="275" t="s">
        <v>46</v>
      </c>
      <c r="C26" s="275"/>
      <c r="D26" s="276" t="s">
        <v>47</v>
      </c>
      <c r="E26" s="276"/>
      <c r="F26" s="276" t="s">
        <v>48</v>
      </c>
      <c r="G26" s="276"/>
      <c r="H26" s="43"/>
      <c r="I26" s="8"/>
    </row>
    <row r="27" spans="1:9" ht="24.75" customHeight="1">
      <c r="A27" s="80" t="s">
        <v>298</v>
      </c>
      <c r="B27" s="154" t="s">
        <v>50</v>
      </c>
      <c r="C27" s="154"/>
      <c r="D27" s="155" t="s">
        <v>51</v>
      </c>
      <c r="E27" s="155"/>
      <c r="F27" s="206">
        <v>2435</v>
      </c>
      <c r="G27" s="206"/>
      <c r="H27" s="43"/>
      <c r="I27" s="8"/>
    </row>
    <row r="28" spans="1:9" ht="24.75" customHeight="1">
      <c r="A28" s="80" t="s">
        <v>299</v>
      </c>
      <c r="B28" s="154" t="s">
        <v>68</v>
      </c>
      <c r="C28" s="154"/>
      <c r="D28" s="155" t="s">
        <v>178</v>
      </c>
      <c r="E28" s="155"/>
      <c r="F28" s="206">
        <v>0</v>
      </c>
      <c r="G28" s="206"/>
      <c r="H28" s="43"/>
      <c r="I28" s="8"/>
    </row>
    <row r="29" spans="1:9" ht="24.75" customHeight="1">
      <c r="A29" s="80"/>
      <c r="B29" s="154" t="s">
        <v>300</v>
      </c>
      <c r="C29" s="154"/>
      <c r="D29" s="155" t="s">
        <v>301</v>
      </c>
      <c r="E29" s="155"/>
      <c r="F29" s="206">
        <v>0</v>
      </c>
      <c r="G29" s="206"/>
      <c r="H29" s="43"/>
      <c r="I29" s="8"/>
    </row>
    <row r="30" spans="1:9" ht="24.75" customHeight="1">
      <c r="A30" s="80"/>
      <c r="B30" s="154" t="s">
        <v>302</v>
      </c>
      <c r="C30" s="154"/>
      <c r="D30" s="155" t="s">
        <v>303</v>
      </c>
      <c r="E30" s="155"/>
      <c r="F30" s="206">
        <v>50</v>
      </c>
      <c r="G30" s="206"/>
      <c r="H30" s="43"/>
      <c r="I30" s="8"/>
    </row>
    <row r="31" spans="1:9" ht="44.25" customHeight="1">
      <c r="A31" s="2" t="s">
        <v>304</v>
      </c>
      <c r="B31" s="252" t="s">
        <v>112</v>
      </c>
      <c r="C31" s="253"/>
      <c r="D31" s="252" t="s">
        <v>305</v>
      </c>
      <c r="E31" s="253"/>
      <c r="F31" s="224">
        <v>16</v>
      </c>
      <c r="G31" s="225"/>
      <c r="H31" s="43"/>
      <c r="I31" s="8"/>
    </row>
    <row r="32" spans="1:9" ht="24.75" customHeight="1">
      <c r="A32" s="2" t="s">
        <v>306</v>
      </c>
      <c r="B32" s="150" t="s">
        <v>114</v>
      </c>
      <c r="C32" s="151"/>
      <c r="D32" s="150" t="s">
        <v>307</v>
      </c>
      <c r="E32" s="151"/>
      <c r="F32" s="168">
        <v>800</v>
      </c>
      <c r="G32" s="157"/>
      <c r="H32" s="43"/>
      <c r="I32" s="8"/>
    </row>
    <row r="33" spans="1:9" ht="24.75" customHeight="1">
      <c r="A33" s="44"/>
      <c r="B33" s="285"/>
      <c r="C33" s="286"/>
      <c r="D33" s="160" t="s">
        <v>56</v>
      </c>
      <c r="E33" s="161"/>
      <c r="F33" s="162">
        <f>SUM(F27:G32)</f>
        <v>3301</v>
      </c>
      <c r="G33" s="163"/>
      <c r="H33" s="43"/>
      <c r="I33" s="8"/>
    </row>
    <row r="34" spans="1:9" ht="24.75" customHeight="1">
      <c r="A34" s="43"/>
      <c r="B34" s="43"/>
      <c r="C34" s="43"/>
      <c r="D34" s="43"/>
      <c r="E34" s="43"/>
      <c r="F34" s="43"/>
      <c r="G34" s="43"/>
      <c r="H34" s="43"/>
      <c r="I34" s="8"/>
    </row>
    <row r="35" spans="1:9" ht="24.75" customHeight="1">
      <c r="A35" s="43"/>
      <c r="B35" s="43"/>
      <c r="C35" s="43"/>
      <c r="D35" s="43"/>
      <c r="E35" s="43"/>
      <c r="F35" s="43"/>
      <c r="G35" s="43"/>
      <c r="H35" s="43"/>
      <c r="I35" s="8"/>
    </row>
    <row r="36" spans="1:9" ht="24.75" customHeight="1">
      <c r="A36" s="43"/>
      <c r="B36" s="43"/>
      <c r="C36" s="43"/>
      <c r="D36" s="43"/>
      <c r="E36" s="43"/>
      <c r="F36" s="43"/>
      <c r="G36" s="43"/>
      <c r="H36" s="43"/>
      <c r="I36" s="8"/>
    </row>
    <row r="37" spans="1:9" ht="24.75" customHeight="1">
      <c r="A37" s="17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20 March 2025 - 19 April 2025 /  (Revenue / Deferred Debts Or Expenses)</v>
      </c>
      <c r="B37" s="173"/>
      <c r="C37" s="173"/>
      <c r="D37" s="173"/>
      <c r="E37" s="173"/>
      <c r="F37" s="173"/>
      <c r="G37" s="173"/>
      <c r="H37" s="43"/>
      <c r="I37" s="8"/>
    </row>
    <row r="38" spans="1:9" ht="24.75" customHeight="1">
      <c r="A38" s="114" t="s">
        <v>27</v>
      </c>
      <c r="B38" s="275" t="s">
        <v>46</v>
      </c>
      <c r="C38" s="275"/>
      <c r="D38" s="276" t="s">
        <v>47</v>
      </c>
      <c r="E38" s="276"/>
      <c r="F38" s="276" t="s">
        <v>48</v>
      </c>
      <c r="G38" s="276"/>
      <c r="H38" s="43"/>
      <c r="I38" s="8"/>
    </row>
    <row r="39" spans="1:9" ht="24.75" customHeight="1">
      <c r="A39" s="80"/>
      <c r="B39" s="154" t="s">
        <v>50</v>
      </c>
      <c r="C39" s="154"/>
      <c r="D39" s="282" t="s">
        <v>51</v>
      </c>
      <c r="E39" s="287"/>
      <c r="F39" s="206">
        <v>2435</v>
      </c>
      <c r="G39" s="206"/>
      <c r="H39" s="43"/>
      <c r="I39" s="8"/>
    </row>
    <row r="40" spans="1:9" ht="24.75" customHeight="1">
      <c r="A40" s="80" t="s">
        <v>308</v>
      </c>
      <c r="B40" s="154" t="s">
        <v>68</v>
      </c>
      <c r="C40" s="154"/>
      <c r="D40" s="282" t="s">
        <v>178</v>
      </c>
      <c r="E40" s="287"/>
      <c r="F40" s="206">
        <v>0</v>
      </c>
      <c r="G40" s="206"/>
      <c r="H40" s="43"/>
      <c r="I40" s="8"/>
    </row>
    <row r="41" spans="1:9" ht="24.75" customHeight="1">
      <c r="A41" s="80"/>
      <c r="B41" s="154" t="s">
        <v>302</v>
      </c>
      <c r="C41" s="154"/>
      <c r="D41" s="282" t="s">
        <v>303</v>
      </c>
      <c r="E41" s="287"/>
      <c r="F41" s="206">
        <v>50</v>
      </c>
      <c r="G41" s="206"/>
      <c r="H41" s="43"/>
      <c r="I41" s="36"/>
    </row>
    <row r="42" spans="1:9" ht="24.75" customHeight="1">
      <c r="A42" s="2"/>
      <c r="B42" s="252"/>
      <c r="C42" s="253"/>
      <c r="D42" s="252"/>
      <c r="E42" s="253"/>
      <c r="F42" s="224">
        <v>0</v>
      </c>
      <c r="G42" s="225"/>
      <c r="H42" s="43"/>
      <c r="I42" s="8"/>
    </row>
    <row r="43" spans="1:9" ht="24.75" customHeight="1">
      <c r="A43" s="2"/>
      <c r="B43" s="150" t="s">
        <v>55</v>
      </c>
      <c r="C43" s="151"/>
      <c r="D43" s="152"/>
      <c r="E43" s="153"/>
      <c r="F43" s="168">
        <v>0</v>
      </c>
      <c r="G43" s="157"/>
      <c r="H43" s="43"/>
      <c r="I43" s="8"/>
    </row>
    <row r="44" spans="1:9" ht="24.75" customHeight="1">
      <c r="A44" s="2"/>
      <c r="B44" s="150" t="s">
        <v>44</v>
      </c>
      <c r="C44" s="151"/>
      <c r="D44" s="152"/>
      <c r="E44" s="153"/>
      <c r="F44" s="168">
        <v>0</v>
      </c>
      <c r="G44" s="157"/>
      <c r="H44" s="43"/>
      <c r="I44" s="8"/>
    </row>
    <row r="45" spans="1:9" ht="24.75" customHeight="1">
      <c r="A45" s="44"/>
      <c r="B45" s="220"/>
      <c r="C45" s="221"/>
      <c r="D45" s="160" t="s">
        <v>56</v>
      </c>
      <c r="E45" s="161"/>
      <c r="F45" s="162">
        <f>SUM(F39:G44)</f>
        <v>2485</v>
      </c>
      <c r="G45" s="163"/>
      <c r="H45" s="43"/>
      <c r="I45" s="8"/>
    </row>
    <row r="46" spans="1:9" ht="24.75" customHeight="1">
      <c r="A46" s="43"/>
      <c r="B46" s="43"/>
      <c r="C46" s="43"/>
      <c r="D46" s="43"/>
      <c r="E46" s="43"/>
      <c r="F46" s="43"/>
      <c r="G46" s="43"/>
      <c r="H46" s="43"/>
      <c r="I46" s="8"/>
    </row>
    <row r="47" spans="1:9" ht="24.75" customHeight="1">
      <c r="A47" s="43"/>
      <c r="B47" s="43"/>
      <c r="C47" s="43"/>
      <c r="D47" s="43"/>
      <c r="E47" s="43"/>
      <c r="F47" s="43"/>
      <c r="G47" s="43"/>
      <c r="H47" s="43"/>
      <c r="I47" s="8"/>
    </row>
    <row r="48" spans="1:9" ht="24.75" customHeight="1">
      <c r="A48" s="43"/>
      <c r="B48" s="43"/>
      <c r="C48" s="43"/>
      <c r="D48" s="43"/>
      <c r="E48" s="43"/>
      <c r="F48" s="43"/>
      <c r="G48" s="43"/>
      <c r="H48" s="43"/>
      <c r="I48" s="8"/>
    </row>
    <row r="49" spans="1:9" ht="24.75" customHeight="1">
      <c r="A49" s="232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2025 to April 2025</v>
      </c>
      <c r="B49" s="233"/>
      <c r="C49" s="234"/>
      <c r="D49" s="43"/>
      <c r="E49" s="43"/>
      <c r="F49" s="43"/>
      <c r="G49" s="43"/>
      <c r="H49" s="43"/>
      <c r="I49" s="8"/>
    </row>
    <row r="50" spans="1:9" ht="24.75" customHeight="1">
      <c r="A50" s="45" t="s">
        <v>46</v>
      </c>
      <c r="B50" s="45" t="s">
        <v>47</v>
      </c>
      <c r="C50" s="115" t="s">
        <v>48</v>
      </c>
      <c r="D50" s="43"/>
      <c r="E50" s="43"/>
      <c r="F50" s="43"/>
      <c r="G50" s="43"/>
      <c r="H50" s="43"/>
      <c r="I50" s="8"/>
    </row>
    <row r="51" spans="1:9" ht="24.75" customHeight="1">
      <c r="A51" s="235" t="s">
        <v>75</v>
      </c>
      <c r="B51" s="236"/>
      <c r="C51" s="237"/>
      <c r="D51" s="43"/>
      <c r="E51" s="43"/>
      <c r="F51" s="43"/>
      <c r="G51" s="43"/>
      <c r="H51" s="43"/>
      <c r="I51" s="8"/>
    </row>
    <row r="52" spans="1:9" ht="24.75" customHeight="1">
      <c r="A52" s="88" t="s">
        <v>212</v>
      </c>
      <c r="B52" s="113"/>
      <c r="C52" s="93">
        <v>78</v>
      </c>
      <c r="D52" s="43"/>
      <c r="E52" s="43"/>
      <c r="F52" s="43"/>
      <c r="G52" s="43"/>
      <c r="H52" s="43"/>
      <c r="I52" s="8"/>
    </row>
    <row r="53" spans="1:9" ht="24.75" customHeight="1">
      <c r="A53" s="88" t="s">
        <v>302</v>
      </c>
      <c r="B53" s="84" t="s">
        <v>309</v>
      </c>
      <c r="C53" s="93">
        <v>50</v>
      </c>
      <c r="D53" s="43"/>
      <c r="E53" s="43"/>
      <c r="F53" s="43"/>
      <c r="G53" s="43"/>
      <c r="H53" s="43"/>
      <c r="I53" s="8"/>
    </row>
    <row r="54" spans="1:9" ht="24.75" customHeight="1">
      <c r="A54" s="88" t="s">
        <v>77</v>
      </c>
      <c r="B54" s="113" t="s">
        <v>262</v>
      </c>
      <c r="C54" s="93">
        <v>149</v>
      </c>
      <c r="D54" s="43"/>
      <c r="E54" s="43"/>
      <c r="F54" s="43"/>
      <c r="G54" s="43"/>
      <c r="H54" s="43"/>
      <c r="I54" s="8"/>
    </row>
    <row r="55" spans="1:9" ht="24.75" customHeight="1">
      <c r="A55" s="17" t="s">
        <v>52</v>
      </c>
      <c r="B55" s="31"/>
      <c r="C55" s="27">
        <v>0</v>
      </c>
      <c r="D55" s="43"/>
      <c r="E55" s="43"/>
      <c r="F55" s="43"/>
      <c r="G55" s="43"/>
      <c r="H55" s="43"/>
      <c r="I55" s="8"/>
    </row>
    <row r="56" spans="1:9" ht="24.75" customHeight="1">
      <c r="A56" s="26" t="s">
        <v>53</v>
      </c>
      <c r="B56" s="31"/>
      <c r="C56" s="27">
        <v>0</v>
      </c>
      <c r="D56" s="43"/>
      <c r="E56" s="43"/>
      <c r="F56" s="43"/>
      <c r="G56" s="43"/>
      <c r="H56" s="43"/>
      <c r="I56" s="8"/>
    </row>
    <row r="57" spans="1:9" ht="24.75" customHeight="1">
      <c r="A57" s="26" t="s">
        <v>54</v>
      </c>
      <c r="B57" s="31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26" t="s">
        <v>55</v>
      </c>
      <c r="B58" s="31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26" t="s">
        <v>44</v>
      </c>
      <c r="B59" s="31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33"/>
      <c r="B60" s="25" t="s">
        <v>79</v>
      </c>
      <c r="C60" s="27">
        <f>SUM(C52:C59)</f>
        <v>277</v>
      </c>
      <c r="D60" s="43"/>
      <c r="E60" s="43"/>
      <c r="F60" s="43"/>
      <c r="G60" s="43"/>
      <c r="H60" s="43"/>
      <c r="I60" s="8"/>
    </row>
    <row r="61" spans="1:9" ht="24.75" customHeight="1">
      <c r="A61" s="235" t="s">
        <v>80</v>
      </c>
      <c r="B61" s="236"/>
      <c r="C61" s="237"/>
      <c r="D61" s="43"/>
      <c r="E61" s="43"/>
      <c r="F61" s="43"/>
      <c r="G61" s="43"/>
      <c r="H61" s="43"/>
      <c r="I61" s="8"/>
    </row>
    <row r="62" spans="1:9" ht="24.75" customHeight="1">
      <c r="A62" s="17" t="s">
        <v>81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82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83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84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17" t="s">
        <v>52</v>
      </c>
      <c r="B66" s="18"/>
      <c r="C66" s="27">
        <v>0</v>
      </c>
      <c r="D66" s="43"/>
      <c r="E66" s="43"/>
      <c r="F66" s="43"/>
      <c r="G66" s="43"/>
      <c r="H66" s="43"/>
      <c r="I66" s="8"/>
    </row>
    <row r="67" spans="1:9" ht="24.75" customHeight="1">
      <c r="A67" s="17" t="s">
        <v>53</v>
      </c>
      <c r="B67" s="18"/>
      <c r="C67" s="27">
        <v>0</v>
      </c>
      <c r="D67" s="43"/>
      <c r="E67" s="43"/>
      <c r="F67" s="43"/>
      <c r="G67" s="43"/>
      <c r="H67" s="43"/>
      <c r="I67" s="8"/>
    </row>
    <row r="68" spans="1:9" ht="24.75" customHeight="1">
      <c r="A68" s="17" t="s">
        <v>54</v>
      </c>
      <c r="B68" s="18"/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55</v>
      </c>
      <c r="B69" s="18"/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44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22"/>
      <c r="B71" s="25" t="s">
        <v>85</v>
      </c>
      <c r="C71" s="27">
        <f>SUM(C62:C70)</f>
        <v>0</v>
      </c>
      <c r="D71" s="43"/>
      <c r="E71" s="43"/>
      <c r="F71" s="43"/>
      <c r="G71" s="43"/>
      <c r="H71" s="43"/>
      <c r="I71" s="8"/>
    </row>
    <row r="72" spans="1:9" ht="24.75" customHeight="1">
      <c r="A72" s="235" t="s">
        <v>86</v>
      </c>
      <c r="B72" s="236"/>
      <c r="C72" s="237"/>
      <c r="D72" s="43"/>
      <c r="E72" s="43"/>
      <c r="F72" s="43"/>
      <c r="G72" s="43"/>
      <c r="H72" s="43"/>
      <c r="I72" s="8"/>
    </row>
    <row r="73" spans="1:9" ht="24.75" customHeight="1">
      <c r="A73" s="17" t="s">
        <v>87</v>
      </c>
      <c r="B73" s="18" t="s">
        <v>88</v>
      </c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89</v>
      </c>
      <c r="B74" s="18" t="s">
        <v>90</v>
      </c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17" t="s">
        <v>52</v>
      </c>
      <c r="B75" s="18"/>
      <c r="C75" s="27">
        <v>0</v>
      </c>
      <c r="D75" s="43"/>
      <c r="E75" s="43"/>
      <c r="F75" s="43"/>
      <c r="G75" s="43"/>
      <c r="H75" s="43"/>
      <c r="I75" s="8"/>
    </row>
    <row r="76" spans="1:9" ht="24.75" customHeight="1">
      <c r="A76" s="17" t="s">
        <v>53</v>
      </c>
      <c r="B76" s="18"/>
      <c r="C76" s="27">
        <v>0</v>
      </c>
      <c r="D76" s="43"/>
      <c r="E76" s="43"/>
      <c r="F76" s="43"/>
      <c r="G76" s="43"/>
      <c r="H76" s="43"/>
      <c r="I76" s="8"/>
    </row>
    <row r="77" spans="1:9" ht="24.75" customHeight="1">
      <c r="A77" s="17" t="s">
        <v>54</v>
      </c>
      <c r="B77" s="18"/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55</v>
      </c>
      <c r="B78" s="18"/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44</v>
      </c>
      <c r="B79" s="18"/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22"/>
      <c r="B80" s="25" t="s">
        <v>91</v>
      </c>
      <c r="C80" s="27">
        <f>SUM(C73:C79)</f>
        <v>0</v>
      </c>
      <c r="D80" s="43"/>
      <c r="E80" s="43"/>
      <c r="F80" s="43"/>
      <c r="G80" s="43"/>
      <c r="H80" s="43"/>
      <c r="I80" s="8"/>
    </row>
    <row r="81" spans="1:9" ht="24.75" customHeight="1">
      <c r="A81" s="235" t="s">
        <v>92</v>
      </c>
      <c r="B81" s="236"/>
      <c r="C81" s="237"/>
      <c r="D81" s="43"/>
      <c r="E81" s="43"/>
      <c r="F81" s="43"/>
      <c r="G81" s="43"/>
      <c r="H81" s="43"/>
      <c r="I81" s="8"/>
    </row>
    <row r="82" spans="1:9" ht="24.75" customHeight="1">
      <c r="A82" s="17" t="s">
        <v>93</v>
      </c>
      <c r="B82" s="18" t="s">
        <v>94</v>
      </c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95</v>
      </c>
      <c r="B83" s="18" t="s">
        <v>96</v>
      </c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97</v>
      </c>
      <c r="B84" s="18" t="s">
        <v>98</v>
      </c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17" t="s">
        <v>52</v>
      </c>
      <c r="B85" s="18"/>
      <c r="C85" s="27">
        <v>0</v>
      </c>
      <c r="D85" s="43"/>
      <c r="E85" s="43"/>
      <c r="F85" s="43"/>
      <c r="G85" s="43"/>
      <c r="H85" s="43"/>
      <c r="I85" s="8"/>
    </row>
    <row r="86" spans="1:9" ht="24.75" customHeight="1">
      <c r="A86" s="17" t="s">
        <v>53</v>
      </c>
      <c r="B86" s="18"/>
      <c r="C86" s="27">
        <v>0</v>
      </c>
      <c r="D86" s="43"/>
      <c r="E86" s="43"/>
      <c r="F86" s="43"/>
      <c r="G86" s="43"/>
      <c r="H86" s="43"/>
      <c r="I86" s="8"/>
    </row>
    <row r="87" spans="1:9" ht="24.75" customHeight="1">
      <c r="A87" s="17" t="s">
        <v>54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17" t="s">
        <v>55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44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22"/>
      <c r="B90" s="25" t="s">
        <v>99</v>
      </c>
      <c r="C90" s="27">
        <f>SUM(C82:C89)</f>
        <v>0</v>
      </c>
      <c r="D90" s="43"/>
      <c r="E90" s="43"/>
      <c r="F90" s="43"/>
      <c r="G90" s="43"/>
      <c r="H90" s="43"/>
      <c r="I90" s="8"/>
    </row>
    <row r="91" spans="1:9" ht="24.75" customHeight="1">
      <c r="A91" s="235" t="s">
        <v>125</v>
      </c>
      <c r="B91" s="236"/>
      <c r="C91" s="237"/>
      <c r="D91" s="43"/>
      <c r="E91" s="43"/>
      <c r="F91" s="43"/>
      <c r="G91" s="43"/>
      <c r="H91" s="43"/>
      <c r="I91" s="8"/>
    </row>
    <row r="92" spans="1:9" ht="24.75" customHeight="1">
      <c r="A92" s="88" t="s">
        <v>101</v>
      </c>
      <c r="B92" s="84" t="s">
        <v>102</v>
      </c>
      <c r="C92" s="85">
        <v>0</v>
      </c>
      <c r="D92" s="43"/>
      <c r="E92" s="43"/>
      <c r="F92" s="43"/>
      <c r="G92" s="43"/>
      <c r="H92" s="43"/>
      <c r="I92" s="8"/>
    </row>
    <row r="93" spans="1:9" ht="24.75" customHeight="1">
      <c r="A93" s="91" t="s">
        <v>103</v>
      </c>
      <c r="B93" s="92" t="s">
        <v>104</v>
      </c>
      <c r="C93" s="85">
        <v>68</v>
      </c>
      <c r="D93" s="43"/>
      <c r="E93" s="43"/>
      <c r="F93" s="43"/>
      <c r="G93" s="43"/>
      <c r="H93" s="43"/>
      <c r="I93" s="8"/>
    </row>
    <row r="94" spans="1:9" ht="24.75" customHeight="1">
      <c r="A94" s="88" t="s">
        <v>105</v>
      </c>
      <c r="B94" s="113" t="s">
        <v>310</v>
      </c>
      <c r="C94" s="85">
        <v>52</v>
      </c>
      <c r="D94" s="43"/>
      <c r="E94" s="43"/>
      <c r="F94" s="43"/>
      <c r="G94" s="43"/>
      <c r="H94" s="43"/>
      <c r="I94" s="8"/>
    </row>
    <row r="95" spans="1:9" ht="24.75" customHeight="1">
      <c r="A95" s="88" t="s">
        <v>300</v>
      </c>
      <c r="B95" s="84" t="s">
        <v>311</v>
      </c>
      <c r="C95" s="85">
        <v>0</v>
      </c>
      <c r="D95" s="43"/>
      <c r="E95" s="55"/>
      <c r="F95" s="43"/>
      <c r="G95" s="43"/>
      <c r="H95" s="43"/>
      <c r="I95" s="8"/>
    </row>
    <row r="96" spans="1:9" ht="24.75" customHeight="1">
      <c r="A96" s="17" t="s">
        <v>53</v>
      </c>
      <c r="B96" s="18"/>
      <c r="C96" s="27">
        <v>0</v>
      </c>
      <c r="D96" s="43"/>
      <c r="E96" s="43"/>
      <c r="F96" s="43"/>
      <c r="G96" s="43"/>
      <c r="H96" s="43"/>
      <c r="I96" s="8"/>
    </row>
    <row r="97" spans="1:9" ht="24.75" customHeight="1">
      <c r="A97" s="17" t="s">
        <v>54</v>
      </c>
      <c r="B97" s="18"/>
      <c r="C97" s="27">
        <v>0</v>
      </c>
      <c r="D97" s="43"/>
      <c r="E97" s="43"/>
      <c r="F97" s="43"/>
      <c r="G97" s="43"/>
      <c r="H97" s="43"/>
      <c r="I97" s="8"/>
    </row>
    <row r="98" spans="1:9" ht="24.75" customHeight="1">
      <c r="A98" s="17" t="s">
        <v>55</v>
      </c>
      <c r="B98" s="18"/>
      <c r="C98" s="27">
        <v>0</v>
      </c>
      <c r="D98" s="43"/>
      <c r="E98" s="43"/>
      <c r="F98" s="43"/>
      <c r="G98" s="43"/>
      <c r="H98" s="43"/>
      <c r="I98" s="8"/>
    </row>
    <row r="99" spans="1:9" ht="24.75" customHeight="1">
      <c r="A99" s="17" t="s">
        <v>44</v>
      </c>
      <c r="B99" s="18"/>
      <c r="C99" s="27">
        <v>0</v>
      </c>
      <c r="D99" s="43"/>
      <c r="E99" s="43"/>
      <c r="F99" s="43"/>
      <c r="G99" s="43"/>
      <c r="H99" s="43"/>
      <c r="I99" s="8"/>
    </row>
    <row r="100" spans="1:9" ht="24.75" customHeight="1">
      <c r="A100" s="26"/>
      <c r="B100" s="25" t="s">
        <v>109</v>
      </c>
      <c r="C100" s="27">
        <f>SUM(C92:C99)</f>
        <v>120</v>
      </c>
      <c r="D100" s="43"/>
      <c r="E100" s="43"/>
      <c r="F100" s="43"/>
      <c r="G100" s="43"/>
      <c r="H100" s="43"/>
      <c r="I100" s="8"/>
    </row>
    <row r="101" spans="1:9" ht="24.75" customHeight="1">
      <c r="A101" s="22"/>
      <c r="B101" s="25" t="s">
        <v>110</v>
      </c>
      <c r="C101" s="27">
        <f>C60+C71+C80+C90+C100</f>
        <v>397</v>
      </c>
      <c r="D101" s="43"/>
      <c r="E101" s="43"/>
      <c r="F101" s="43"/>
      <c r="G101" s="43"/>
      <c r="H101" s="43"/>
      <c r="I101" s="8"/>
    </row>
    <row r="102" spans="1:9" ht="24.75" customHeight="1">
      <c r="A102" s="235" t="s">
        <v>111</v>
      </c>
      <c r="B102" s="236"/>
      <c r="C102" s="237"/>
      <c r="D102" s="43"/>
      <c r="E102" s="43"/>
      <c r="F102" s="43"/>
      <c r="G102" s="43"/>
      <c r="H102" s="43"/>
      <c r="I102" s="8"/>
    </row>
    <row r="103" spans="1:9" ht="24.75" customHeight="1">
      <c r="A103" s="86" t="s">
        <v>112</v>
      </c>
      <c r="B103" s="18"/>
      <c r="C103" s="27">
        <f>('October 2024 - December 2024'!C109)+SUM(E123+E150+E177)</f>
        <v>-6983</v>
      </c>
      <c r="D103" s="43"/>
      <c r="E103" s="54"/>
      <c r="F103" s="43"/>
      <c r="G103" s="43"/>
      <c r="H103" s="43"/>
      <c r="I103" s="8"/>
    </row>
    <row r="104" spans="1:9" ht="24.75" customHeight="1">
      <c r="A104" s="86" t="s">
        <v>113</v>
      </c>
      <c r="B104" s="18"/>
      <c r="C104" s="27">
        <f>('October 2024 - December 2024'!C110)+SUM(E124+E151+E178)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86" t="s">
        <v>114</v>
      </c>
      <c r="B105" s="18"/>
      <c r="C105" s="27">
        <f>('October 2024 - December 2024'!C111)+SUM(E125+E152+E179)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88" t="s">
        <v>115</v>
      </c>
      <c r="B106" s="18"/>
      <c r="C106" s="27">
        <f>('October 2024 - December 2024'!C112)+SUM(E126+E153+E180)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88" t="s">
        <v>116</v>
      </c>
      <c r="B107" s="18"/>
      <c r="C107" s="27">
        <f>('October 2024 - December 2024'!C113)+SUM(E127+E154+E181)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17" t="s">
        <v>117</v>
      </c>
      <c r="B108" s="18"/>
      <c r="C108" s="27">
        <f>('October 2024 - December 2024'!C114)+SUM(E128+E155+E182)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17" t="s">
        <v>118</v>
      </c>
      <c r="B109" s="18"/>
      <c r="C109" s="27">
        <f>('October 2024 - December 2024'!C115)+SUM(E129+E156+E183)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17" t="s">
        <v>119</v>
      </c>
      <c r="B110" s="18"/>
      <c r="C110" s="27">
        <f>('October 2024 - December 2024'!C116)+SUM(E130+E157+E184)</f>
        <v>0</v>
      </c>
      <c r="D110" s="43"/>
      <c r="E110" s="43"/>
      <c r="F110" s="43"/>
      <c r="G110" s="43"/>
      <c r="H110" s="43"/>
      <c r="I110" s="8"/>
    </row>
    <row r="111" spans="1:9" ht="24.75" customHeight="1">
      <c r="A111" s="17" t="s">
        <v>120</v>
      </c>
      <c r="B111" s="18"/>
      <c r="C111" s="27">
        <f>('October 2024 - December 2024'!C117)+SUM(E131+E158+E185)</f>
        <v>0</v>
      </c>
      <c r="D111" s="43"/>
      <c r="E111" s="43"/>
      <c r="F111" s="43"/>
      <c r="G111" s="43"/>
      <c r="H111" s="43"/>
      <c r="I111" s="8"/>
    </row>
    <row r="112" spans="1:9" ht="24.75" customHeight="1">
      <c r="A112" s="17" t="s">
        <v>121</v>
      </c>
      <c r="B112" s="18"/>
      <c r="C112" s="27">
        <f>('October 2024 - December 2024'!C118)+SUM(E132+E159+E186)</f>
        <v>0</v>
      </c>
      <c r="D112" s="43"/>
      <c r="E112" s="43"/>
      <c r="F112" s="43"/>
      <c r="G112" s="43"/>
      <c r="H112" s="43"/>
      <c r="I112" s="8"/>
    </row>
    <row r="113" spans="1:9" ht="24.75" customHeight="1">
      <c r="A113" s="22"/>
      <c r="B113" s="25" t="s">
        <v>122</v>
      </c>
      <c r="C113" s="27">
        <f>SUM(C103:C107)</f>
        <v>-6983</v>
      </c>
      <c r="D113" s="43"/>
      <c r="E113" s="43"/>
      <c r="F113" s="43"/>
      <c r="G113" s="43"/>
      <c r="H113" s="43"/>
      <c r="I113" s="8"/>
    </row>
    <row r="114" spans="1:9" ht="24.75" customHeight="1">
      <c r="A114" s="22"/>
      <c r="B114" s="25" t="s">
        <v>123</v>
      </c>
      <c r="C114" s="27">
        <f>ABS(C101+ABS(C113))</f>
        <v>7380</v>
      </c>
      <c r="D114" s="43"/>
      <c r="E114" s="43"/>
      <c r="F114" s="43"/>
      <c r="G114" s="43"/>
      <c r="H114" s="43"/>
      <c r="I114" s="8"/>
    </row>
    <row r="115" spans="1:9" ht="24.75" customHeight="1">
      <c r="A115" s="43"/>
      <c r="B115" s="43"/>
      <c r="C115" s="43"/>
      <c r="D115" s="43"/>
      <c r="E115" s="43"/>
      <c r="F115" s="43"/>
      <c r="G115" s="43"/>
      <c r="H115" s="43"/>
      <c r="I115" s="8"/>
    </row>
    <row r="116" spans="1:9" ht="24.75" customHeight="1">
      <c r="A116" s="43"/>
      <c r="B116" s="43"/>
      <c r="C116" s="43"/>
      <c r="D116" s="43"/>
      <c r="E116" s="43"/>
      <c r="F116" s="43"/>
      <c r="G116" s="43"/>
      <c r="H116" s="43"/>
      <c r="I116" s="8"/>
    </row>
    <row r="117" spans="1:9" ht="24.75" customHeight="1">
      <c r="A117" s="43"/>
      <c r="B117" s="43"/>
      <c r="C117" s="43"/>
      <c r="D117" s="43"/>
      <c r="E117" s="43"/>
      <c r="F117" s="43"/>
      <c r="G117" s="43"/>
      <c r="H117" s="43"/>
      <c r="I117" s="8"/>
    </row>
    <row r="118" spans="1:9" ht="24.75" customHeight="1">
      <c r="A118" s="43"/>
      <c r="B118" s="43"/>
      <c r="C118" s="43"/>
      <c r="D118" s="43"/>
      <c r="E118" s="43"/>
      <c r="F118" s="43"/>
      <c r="G118" s="43"/>
      <c r="H118" s="43"/>
      <c r="I118" s="8"/>
    </row>
    <row r="119" spans="1:9" ht="24.75" customHeight="1">
      <c r="A119" s="132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20 2025 to February 19 2025</v>
      </c>
      <c r="B119" s="133"/>
      <c r="C119" s="133"/>
      <c r="D119" s="133"/>
      <c r="E119" s="134"/>
      <c r="F119" s="43"/>
      <c r="G119" s="43"/>
      <c r="H119" s="43"/>
      <c r="I119" s="8"/>
    </row>
    <row r="120" spans="1:9" ht="24.75" customHeight="1">
      <c r="A120" s="132" t="s">
        <v>124</v>
      </c>
      <c r="B120" s="134"/>
      <c r="C120" s="132" t="s">
        <v>47</v>
      </c>
      <c r="D120" s="134"/>
      <c r="E120" s="28" t="s">
        <v>48</v>
      </c>
      <c r="F120" s="43"/>
      <c r="G120" s="43"/>
      <c r="H120" s="43"/>
      <c r="I120" s="8"/>
    </row>
    <row r="121" spans="1:9" ht="24.75" customHeight="1">
      <c r="A121" s="129" t="str">
        <f>"Balance Brought Forward From " &amp; IF(Main!B2,TEXT(EDATE(Main!B3,9)-1,"mmmm yyyy"),TEXT(Main!B3+((Main!B5-Main!B3)*9+8),"mmmm yyyy"))</f>
        <v>Balance Brought Forward From January 2025</v>
      </c>
      <c r="B121" s="130"/>
      <c r="C121" s="202"/>
      <c r="D121" s="202"/>
      <c r="E121" s="56">
        <f>'October 2024 - December 2024'!E201</f>
        <v>173.33999999999833</v>
      </c>
      <c r="F121" s="43"/>
      <c r="G121" s="43"/>
      <c r="H121" s="43"/>
      <c r="I121" s="8"/>
    </row>
    <row r="122" spans="1:9" ht="24.75" customHeight="1">
      <c r="A122" s="139" t="s">
        <v>125</v>
      </c>
      <c r="B122" s="196"/>
      <c r="C122" s="200" t="s">
        <v>126</v>
      </c>
      <c r="D122" s="191"/>
      <c r="E122" s="41"/>
      <c r="F122" s="43"/>
      <c r="G122" s="43"/>
      <c r="H122" s="43"/>
      <c r="I122" s="8"/>
    </row>
    <row r="123" spans="1:9" ht="24.75" customHeight="1">
      <c r="A123" s="141"/>
      <c r="B123" s="197"/>
      <c r="C123" s="174" t="s">
        <v>312</v>
      </c>
      <c r="D123" s="174"/>
      <c r="E123" s="100">
        <v>1400</v>
      </c>
      <c r="F123" s="43"/>
      <c r="G123" s="43"/>
      <c r="H123" s="43"/>
      <c r="I123" s="8"/>
    </row>
    <row r="124" spans="1:9" ht="24.75" customHeight="1">
      <c r="A124" s="141"/>
      <c r="B124" s="197"/>
      <c r="C124" s="137" t="s">
        <v>128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141"/>
      <c r="B125" s="197"/>
      <c r="C125" s="192" t="s">
        <v>203</v>
      </c>
      <c r="D125" s="192"/>
      <c r="E125" s="100">
        <v>500</v>
      </c>
      <c r="F125" s="43"/>
      <c r="G125" s="43"/>
      <c r="H125" s="43"/>
      <c r="I125" s="8"/>
    </row>
    <row r="126" spans="1:9" ht="24.75" customHeight="1">
      <c r="A126" s="141"/>
      <c r="B126" s="197"/>
      <c r="C126" s="137" t="s">
        <v>130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141"/>
      <c r="B127" s="197"/>
      <c r="C127" s="137" t="s">
        <v>131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141"/>
      <c r="B128" s="197"/>
      <c r="C128" s="137" t="s">
        <v>132</v>
      </c>
      <c r="D128" s="138"/>
      <c r="E128" s="27">
        <v>0</v>
      </c>
      <c r="F128" s="43"/>
      <c r="G128" s="43"/>
      <c r="H128" s="43"/>
      <c r="I128" s="8"/>
    </row>
    <row r="129" spans="1:9" ht="24.75" customHeight="1">
      <c r="A129" s="141"/>
      <c r="B129" s="197"/>
      <c r="C129" s="137" t="s">
        <v>133</v>
      </c>
      <c r="D129" s="138"/>
      <c r="E129" s="27">
        <v>0</v>
      </c>
      <c r="F129" s="43"/>
      <c r="G129" s="43"/>
      <c r="H129" s="43"/>
      <c r="I129" s="8"/>
    </row>
    <row r="130" spans="1:9" ht="24.75" customHeight="1">
      <c r="A130" s="141"/>
      <c r="B130" s="197"/>
      <c r="C130" s="137" t="s">
        <v>134</v>
      </c>
      <c r="D130" s="138"/>
      <c r="E130" s="27">
        <v>0</v>
      </c>
      <c r="F130" s="43"/>
      <c r="G130" s="43"/>
      <c r="H130" s="43"/>
      <c r="I130" s="8"/>
    </row>
    <row r="131" spans="1:9" ht="24.75" customHeight="1">
      <c r="A131" s="141"/>
      <c r="B131" s="197"/>
      <c r="C131" s="137" t="s">
        <v>135</v>
      </c>
      <c r="D131" s="138"/>
      <c r="E131" s="27">
        <v>0</v>
      </c>
      <c r="F131" s="43"/>
      <c r="G131" s="43"/>
      <c r="H131" s="43"/>
      <c r="I131" s="8"/>
    </row>
    <row r="132" spans="1:9" ht="24.75" customHeight="1">
      <c r="A132" s="141"/>
      <c r="B132" s="197"/>
      <c r="C132" s="137" t="s">
        <v>136</v>
      </c>
      <c r="D132" s="138"/>
      <c r="E132" s="27">
        <v>0</v>
      </c>
      <c r="F132" s="43"/>
      <c r="G132" s="43"/>
      <c r="H132" s="43"/>
      <c r="I132" s="8"/>
    </row>
    <row r="133" spans="1:9" ht="24.75" customHeight="1">
      <c r="A133" s="141"/>
      <c r="B133" s="197"/>
      <c r="C133" s="190" t="s">
        <v>137</v>
      </c>
      <c r="D133" s="191"/>
      <c r="E133" s="41"/>
      <c r="F133" s="43"/>
      <c r="G133" s="43"/>
      <c r="H133" s="43"/>
      <c r="I133" s="8"/>
    </row>
    <row r="134" spans="1:9" ht="148.5" customHeight="1">
      <c r="A134" s="141"/>
      <c r="B134" s="197"/>
      <c r="C134" s="192" t="s">
        <v>313</v>
      </c>
      <c r="D134" s="192"/>
      <c r="E134" s="100">
        <v>2132.94</v>
      </c>
      <c r="F134" s="43"/>
      <c r="G134" s="43"/>
      <c r="H134" s="43"/>
      <c r="I134" s="8"/>
    </row>
    <row r="135" spans="1:9" ht="348" customHeight="1">
      <c r="A135" s="141"/>
      <c r="B135" s="197"/>
      <c r="C135" s="192" t="s">
        <v>314</v>
      </c>
      <c r="D135" s="192"/>
      <c r="E135" s="100">
        <v>316.89999999999998</v>
      </c>
      <c r="F135" s="43"/>
      <c r="G135" s="43"/>
      <c r="H135" s="43"/>
      <c r="I135" s="8"/>
    </row>
    <row r="136" spans="1:9" ht="202.5" customHeight="1">
      <c r="A136" s="141"/>
      <c r="B136" s="197"/>
      <c r="C136" s="210" t="s">
        <v>315</v>
      </c>
      <c r="D136" s="211"/>
      <c r="E136" s="100">
        <v>244</v>
      </c>
      <c r="F136" s="43"/>
      <c r="G136" s="43"/>
      <c r="H136" s="43"/>
      <c r="I136" s="8"/>
    </row>
    <row r="137" spans="1:9" ht="24.75" customHeight="1">
      <c r="A137" s="141"/>
      <c r="B137" s="197"/>
      <c r="C137" s="137" t="s">
        <v>129</v>
      </c>
      <c r="D137" s="138"/>
      <c r="E137" s="29">
        <v>0</v>
      </c>
      <c r="F137" s="43"/>
      <c r="G137" s="43"/>
      <c r="H137" s="43"/>
      <c r="I137" s="8"/>
    </row>
    <row r="138" spans="1:9" ht="24.75" customHeight="1">
      <c r="A138" s="141"/>
      <c r="B138" s="197"/>
      <c r="C138" s="137" t="s">
        <v>130</v>
      </c>
      <c r="D138" s="138"/>
      <c r="E138" s="29">
        <v>0</v>
      </c>
      <c r="F138" s="43"/>
      <c r="G138" s="43"/>
      <c r="H138" s="43"/>
      <c r="I138" s="8"/>
    </row>
    <row r="139" spans="1:9" ht="24.75" customHeight="1">
      <c r="A139" s="143"/>
      <c r="B139" s="198"/>
      <c r="C139" s="137" t="s">
        <v>131</v>
      </c>
      <c r="D139" s="138"/>
      <c r="E139" s="29">
        <v>0</v>
      </c>
      <c r="F139" s="43"/>
      <c r="G139" s="43"/>
      <c r="H139" s="43"/>
      <c r="I139" s="8"/>
    </row>
    <row r="140" spans="1:9" ht="24.75" customHeight="1">
      <c r="A140" s="129" t="s">
        <v>139</v>
      </c>
      <c r="B140" s="193"/>
      <c r="C140" s="194"/>
      <c r="D140" s="195"/>
      <c r="E140" s="29">
        <f>C101</f>
        <v>397</v>
      </c>
      <c r="F140" s="43"/>
      <c r="G140" s="43"/>
      <c r="H140" s="43"/>
      <c r="I140" s="8"/>
    </row>
    <row r="141" spans="1:9" ht="24.75" customHeight="1">
      <c r="A141" s="187"/>
      <c r="B141" s="188"/>
      <c r="C141" s="189" t="s">
        <v>140</v>
      </c>
      <c r="D141" s="189"/>
      <c r="E141" s="30">
        <f>(F21+E121)-(SUM(E123:E132)+SUM(E134:E140))</f>
        <v>111.99999999999818</v>
      </c>
      <c r="F141" s="43"/>
      <c r="G141" s="43"/>
      <c r="H141" s="43"/>
      <c r="I141" s="8"/>
    </row>
    <row r="142" spans="1:9" ht="24.75" customHeight="1">
      <c r="A142" s="43"/>
      <c r="B142" s="43"/>
      <c r="C142" s="43"/>
      <c r="D142" s="43"/>
      <c r="E142" s="43"/>
      <c r="F142" s="43"/>
      <c r="G142" s="43"/>
      <c r="H142" s="43"/>
      <c r="I142" s="8"/>
    </row>
    <row r="143" spans="1:9" ht="24.75" customHeight="1">
      <c r="A143" s="43"/>
      <c r="B143" s="43"/>
      <c r="C143" s="43"/>
      <c r="D143" s="43"/>
      <c r="E143" s="43"/>
      <c r="F143" s="43"/>
      <c r="G143" s="43"/>
      <c r="H143" s="43"/>
      <c r="I143" s="8"/>
    </row>
    <row r="144" spans="1:9" ht="24.75" customHeight="1">
      <c r="A144" s="43"/>
      <c r="B144" s="43"/>
      <c r="C144" s="43"/>
      <c r="D144" s="43"/>
      <c r="E144" s="43"/>
      <c r="F144" s="43"/>
      <c r="G144" s="43"/>
      <c r="H144" s="43"/>
      <c r="I144" s="8"/>
    </row>
    <row r="145" spans="1:9" ht="24.75" customHeight="1">
      <c r="A145" s="43"/>
      <c r="B145" s="43"/>
      <c r="C145" s="43"/>
      <c r="D145" s="43"/>
      <c r="E145" s="43"/>
      <c r="F145" s="43"/>
      <c r="G145" s="43"/>
      <c r="H145" s="43"/>
      <c r="I145" s="8"/>
    </row>
    <row r="146" spans="1:9" ht="24.75" customHeight="1">
      <c r="A146" s="132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20 2025 to March 19 2025</v>
      </c>
      <c r="B146" s="133"/>
      <c r="C146" s="133"/>
      <c r="D146" s="133"/>
      <c r="E146" s="134"/>
      <c r="F146" s="43"/>
      <c r="G146" s="43"/>
      <c r="H146" s="43"/>
      <c r="I146" s="8"/>
    </row>
    <row r="147" spans="1:9" ht="24.75" customHeight="1">
      <c r="A147" s="132" t="s">
        <v>124</v>
      </c>
      <c r="B147" s="134"/>
      <c r="C147" s="135" t="s">
        <v>47</v>
      </c>
      <c r="D147" s="136"/>
      <c r="E147" s="38" t="s">
        <v>48</v>
      </c>
      <c r="F147" s="43"/>
      <c r="G147" s="43"/>
      <c r="H147" s="43"/>
      <c r="I147" s="8"/>
    </row>
    <row r="148" spans="1:9" ht="24.75" customHeight="1">
      <c r="A148" s="129" t="str">
        <f>"Balance Brought Forward From " &amp; IF(Main!B2,TEXT(EDATE(Main!B3,10)-1,"mmmm yyyy"),TEXT(Main!B3+((Main!B5-Main!B3)*10+9),"mmmm yyyy"))</f>
        <v>Balance Brought Forward From February 2025</v>
      </c>
      <c r="B148" s="130"/>
      <c r="C148" s="202"/>
      <c r="D148" s="202"/>
      <c r="E148" s="30">
        <f>E141</f>
        <v>111.99999999999818</v>
      </c>
      <c r="F148" s="43"/>
      <c r="G148" s="43"/>
      <c r="H148" s="43"/>
      <c r="I148" s="8"/>
    </row>
    <row r="149" spans="1:9" ht="24.75" customHeight="1">
      <c r="A149" s="139" t="s">
        <v>125</v>
      </c>
      <c r="B149" s="140"/>
      <c r="C149" s="145" t="s">
        <v>126</v>
      </c>
      <c r="D149" s="146"/>
      <c r="E149" s="42"/>
      <c r="F149" s="43"/>
      <c r="G149" s="43"/>
      <c r="H149" s="43"/>
      <c r="I149" s="8"/>
    </row>
    <row r="150" spans="1:9" ht="24.75" customHeight="1">
      <c r="A150" s="141"/>
      <c r="B150" s="142"/>
      <c r="C150" s="192" t="s">
        <v>316</v>
      </c>
      <c r="D150" s="192"/>
      <c r="E150" s="100">
        <v>500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128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129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130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131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37" t="s">
        <v>132</v>
      </c>
      <c r="D155" s="138"/>
      <c r="E155" s="27">
        <v>0</v>
      </c>
      <c r="F155" s="43"/>
      <c r="G155" s="43"/>
      <c r="H155" s="43"/>
      <c r="I155" s="8"/>
    </row>
    <row r="156" spans="1:9" ht="24.75" customHeight="1">
      <c r="A156" s="141"/>
      <c r="B156" s="142"/>
      <c r="C156" s="137" t="s">
        <v>133</v>
      </c>
      <c r="D156" s="138"/>
      <c r="E156" s="27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134</v>
      </c>
      <c r="D157" s="138"/>
      <c r="E157" s="27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135</v>
      </c>
      <c r="D158" s="138"/>
      <c r="E158" s="27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136</v>
      </c>
      <c r="D159" s="138"/>
      <c r="E159" s="27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90" t="s">
        <v>137</v>
      </c>
      <c r="D160" s="191"/>
      <c r="E160" s="41"/>
      <c r="F160" s="43"/>
      <c r="G160" s="43"/>
      <c r="H160" s="43"/>
      <c r="I160" s="8"/>
    </row>
    <row r="161" spans="1:9" ht="64.5" customHeight="1">
      <c r="A161" s="141"/>
      <c r="B161" s="142"/>
      <c r="C161" s="192" t="s">
        <v>317</v>
      </c>
      <c r="D161" s="192"/>
      <c r="E161" s="100">
        <v>777.5</v>
      </c>
      <c r="F161" s="43"/>
      <c r="G161" s="43"/>
      <c r="H161" s="43"/>
      <c r="I161" s="8"/>
    </row>
    <row r="162" spans="1:9" ht="157.5" customHeight="1">
      <c r="A162" s="141"/>
      <c r="B162" s="142"/>
      <c r="C162" s="192" t="s">
        <v>318</v>
      </c>
      <c r="D162" s="192"/>
      <c r="E162" s="100">
        <v>339.7</v>
      </c>
      <c r="F162" s="43"/>
      <c r="G162" s="43"/>
      <c r="H162" s="43"/>
      <c r="I162" s="8"/>
    </row>
    <row r="163" spans="1:9" ht="24.75" customHeight="1">
      <c r="A163" s="141"/>
      <c r="B163" s="142"/>
      <c r="C163" s="137" t="s">
        <v>319</v>
      </c>
      <c r="D163" s="138"/>
      <c r="E163" s="29">
        <v>800</v>
      </c>
      <c r="F163" s="43"/>
      <c r="G163" s="43"/>
      <c r="H163" s="43"/>
      <c r="I163" s="8"/>
    </row>
    <row r="164" spans="1:9" ht="24.75" customHeight="1">
      <c r="A164" s="141"/>
      <c r="B164" s="142"/>
      <c r="C164" s="137" t="s">
        <v>129</v>
      </c>
      <c r="D164" s="138"/>
      <c r="E164" s="29">
        <v>0</v>
      </c>
      <c r="F164" s="43"/>
      <c r="G164" s="43"/>
      <c r="H164" s="43"/>
      <c r="I164" s="8"/>
    </row>
    <row r="165" spans="1:9" ht="24.75" customHeight="1">
      <c r="A165" s="141"/>
      <c r="B165" s="142"/>
      <c r="C165" s="137" t="s">
        <v>130</v>
      </c>
      <c r="D165" s="138"/>
      <c r="E165" s="29">
        <v>0</v>
      </c>
      <c r="F165" s="43"/>
      <c r="G165" s="43"/>
      <c r="H165" s="43"/>
      <c r="I165" s="8"/>
    </row>
    <row r="166" spans="1:9" ht="24.75" customHeight="1">
      <c r="A166" s="143"/>
      <c r="B166" s="144"/>
      <c r="C166" s="137" t="s">
        <v>131</v>
      </c>
      <c r="D166" s="138"/>
      <c r="E166" s="29">
        <v>0</v>
      </c>
      <c r="F166" s="43"/>
      <c r="G166" s="43"/>
      <c r="H166" s="43"/>
      <c r="I166" s="8"/>
    </row>
    <row r="167" spans="1:9" ht="24.75" customHeight="1">
      <c r="A167" s="129" t="s">
        <v>139</v>
      </c>
      <c r="B167" s="193"/>
      <c r="C167" s="194"/>
      <c r="D167" s="195"/>
      <c r="E167" s="29">
        <f>C101</f>
        <v>397</v>
      </c>
      <c r="F167" s="43"/>
      <c r="G167" s="43"/>
      <c r="H167" s="43"/>
      <c r="I167" s="8"/>
    </row>
    <row r="168" spans="1:9" ht="24.75" customHeight="1">
      <c r="A168" s="187"/>
      <c r="B168" s="188"/>
      <c r="C168" s="189" t="s">
        <v>140</v>
      </c>
      <c r="D168" s="189"/>
      <c r="E168" s="39">
        <f>(F33+E148)-(SUM(E150:E159)+SUM(E161:E167))</f>
        <v>598.79999999999836</v>
      </c>
      <c r="F168" s="43"/>
      <c r="G168" s="43"/>
      <c r="H168" s="43"/>
      <c r="I168" s="8"/>
    </row>
    <row r="169" spans="1:9" ht="24.75" customHeight="1">
      <c r="A169" s="43"/>
      <c r="B169" s="43"/>
      <c r="C169" s="43"/>
      <c r="D169" s="43"/>
      <c r="E169" s="43"/>
      <c r="F169" s="43"/>
      <c r="G169" s="43"/>
      <c r="H169" s="43"/>
      <c r="I169" s="8"/>
    </row>
    <row r="170" spans="1:9" ht="24.75" customHeight="1">
      <c r="A170" s="43"/>
      <c r="B170" s="43"/>
      <c r="C170" s="43"/>
      <c r="D170" s="43"/>
      <c r="E170" s="43"/>
      <c r="F170" s="43"/>
      <c r="G170" s="43"/>
      <c r="H170" s="43"/>
      <c r="I170" s="8"/>
    </row>
    <row r="171" spans="1:9" ht="24.75" customHeight="1">
      <c r="A171" s="43"/>
      <c r="B171" s="43"/>
      <c r="C171" s="43"/>
      <c r="D171" s="43"/>
      <c r="E171" s="43"/>
      <c r="F171" s="43"/>
      <c r="G171" s="43"/>
      <c r="H171" s="43"/>
      <c r="I171" s="8"/>
    </row>
    <row r="172" spans="1:9" ht="24.75" customHeight="1">
      <c r="A172" s="43"/>
      <c r="B172" s="43"/>
      <c r="C172" s="43"/>
      <c r="D172" s="43"/>
      <c r="E172" s="43"/>
      <c r="F172" s="43"/>
      <c r="G172" s="43"/>
      <c r="H172" s="43"/>
      <c r="I172" s="8"/>
    </row>
    <row r="173" spans="1:9" ht="24.75" customHeight="1">
      <c r="A173" s="132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20 2025 to April 19 2025</v>
      </c>
      <c r="B173" s="133"/>
      <c r="C173" s="133"/>
      <c r="D173" s="133"/>
      <c r="E173" s="134"/>
      <c r="F173" s="43"/>
      <c r="G173" s="43"/>
      <c r="H173" s="43"/>
      <c r="I173" s="8"/>
    </row>
    <row r="174" spans="1:9" ht="24.75" customHeight="1">
      <c r="A174" s="132" t="s">
        <v>124</v>
      </c>
      <c r="B174" s="134"/>
      <c r="C174" s="135" t="s">
        <v>47</v>
      </c>
      <c r="D174" s="136"/>
      <c r="E174" s="38" t="s">
        <v>48</v>
      </c>
      <c r="F174" s="43"/>
      <c r="G174" s="43"/>
      <c r="H174" s="43"/>
      <c r="I174" s="8"/>
    </row>
    <row r="175" spans="1:9" ht="24.75" customHeight="1">
      <c r="A175" s="129" t="str">
        <f>"Balance Brought Forward From " &amp;  IF(Main!B2,TEXT(EDATE(Main!B3,11)-1,"mmmm yyyy"),TEXT(Main!B3+((Main!B5-Main!B3)*11+10),"mmmm yyyy"))</f>
        <v>Balance Brought Forward From March 2025</v>
      </c>
      <c r="B175" s="130"/>
      <c r="C175" s="202"/>
      <c r="D175" s="202"/>
      <c r="E175" s="39">
        <f>E168</f>
        <v>598.79999999999836</v>
      </c>
      <c r="F175" s="43"/>
      <c r="G175" s="43"/>
      <c r="H175" s="43"/>
      <c r="I175" s="8"/>
    </row>
    <row r="176" spans="1:9" ht="24.75" customHeight="1">
      <c r="A176" s="139" t="s">
        <v>125</v>
      </c>
      <c r="B176" s="140"/>
      <c r="C176" s="145" t="s">
        <v>126</v>
      </c>
      <c r="D176" s="146"/>
      <c r="E176" s="42"/>
      <c r="F176" s="43"/>
      <c r="G176" s="43"/>
      <c r="H176" s="43"/>
      <c r="I176" s="8"/>
    </row>
    <row r="177" spans="1:9" ht="24.75" customHeight="1">
      <c r="A177" s="141"/>
      <c r="B177" s="142"/>
      <c r="C177" s="174" t="s">
        <v>316</v>
      </c>
      <c r="D177" s="174"/>
      <c r="E177" s="100">
        <v>500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128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320</v>
      </c>
      <c r="D179" s="138"/>
      <c r="E179" s="27">
        <v>800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130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131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37" t="s">
        <v>132</v>
      </c>
      <c r="D182" s="138"/>
      <c r="E182" s="27">
        <v>0</v>
      </c>
      <c r="F182" s="43"/>
      <c r="G182" s="43"/>
      <c r="H182" s="43"/>
      <c r="I182" s="8"/>
    </row>
    <row r="183" spans="1:9" ht="24.75" customHeight="1">
      <c r="A183" s="141"/>
      <c r="B183" s="142"/>
      <c r="C183" s="137" t="s">
        <v>133</v>
      </c>
      <c r="D183" s="138"/>
      <c r="E183" s="27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134</v>
      </c>
      <c r="D184" s="138"/>
      <c r="E184" s="27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135</v>
      </c>
      <c r="D185" s="138"/>
      <c r="E185" s="27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136</v>
      </c>
      <c r="D186" s="138"/>
      <c r="E186" s="27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90" t="s">
        <v>137</v>
      </c>
      <c r="D187" s="191"/>
      <c r="E187" s="41"/>
      <c r="F187" s="43"/>
      <c r="G187" s="43"/>
      <c r="H187" s="43"/>
      <c r="I187" s="8"/>
    </row>
    <row r="188" spans="1:9" ht="48.75" customHeight="1">
      <c r="A188" s="141"/>
      <c r="B188" s="142"/>
      <c r="C188" s="192" t="s">
        <v>321</v>
      </c>
      <c r="D188" s="192"/>
      <c r="E188" s="100">
        <v>325</v>
      </c>
      <c r="F188" s="43"/>
      <c r="G188" s="43"/>
      <c r="H188" s="43"/>
      <c r="I188" s="8"/>
    </row>
    <row r="189" spans="1:9" ht="117.75" customHeight="1">
      <c r="A189" s="141"/>
      <c r="B189" s="142"/>
      <c r="C189" s="192" t="s">
        <v>322</v>
      </c>
      <c r="D189" s="192"/>
      <c r="E189" s="100">
        <v>517</v>
      </c>
      <c r="F189" s="43"/>
      <c r="G189" s="43"/>
      <c r="H189" s="43"/>
      <c r="I189" s="8"/>
    </row>
    <row r="190" spans="1:9" ht="24.75" customHeight="1">
      <c r="A190" s="141"/>
      <c r="B190" s="142"/>
      <c r="C190" s="137" t="s">
        <v>128</v>
      </c>
      <c r="D190" s="138"/>
      <c r="E190" s="29">
        <v>0</v>
      </c>
      <c r="F190" s="43"/>
      <c r="G190" s="43"/>
      <c r="H190" s="43"/>
      <c r="I190" s="8"/>
    </row>
    <row r="191" spans="1:9">
      <c r="A191" s="141"/>
      <c r="B191" s="142"/>
      <c r="C191" s="137" t="s">
        <v>129</v>
      </c>
      <c r="D191" s="138"/>
      <c r="E191" s="29">
        <v>0</v>
      </c>
      <c r="F191" s="43"/>
      <c r="G191" s="43"/>
      <c r="H191" s="43"/>
      <c r="I191" s="8"/>
    </row>
    <row r="192" spans="1:9" ht="24.75" customHeight="1">
      <c r="A192" s="141"/>
      <c r="B192" s="142"/>
      <c r="C192" s="137" t="s">
        <v>130</v>
      </c>
      <c r="D192" s="138"/>
      <c r="E192" s="29">
        <v>0</v>
      </c>
      <c r="F192" s="43"/>
      <c r="G192" s="43"/>
      <c r="H192" s="43"/>
      <c r="I192" s="8"/>
    </row>
    <row r="193" spans="1:9" ht="24.75" customHeight="1">
      <c r="A193" s="143"/>
      <c r="B193" s="144"/>
      <c r="C193" s="137" t="s">
        <v>131</v>
      </c>
      <c r="D193" s="138"/>
      <c r="E193" s="29">
        <v>0</v>
      </c>
      <c r="F193" s="43"/>
      <c r="G193" s="43"/>
      <c r="H193" s="43"/>
      <c r="I193" s="8"/>
    </row>
    <row r="194" spans="1:9" ht="24.75" customHeight="1">
      <c r="A194" s="129" t="s">
        <v>139</v>
      </c>
      <c r="B194" s="193"/>
      <c r="C194" s="194"/>
      <c r="D194" s="195"/>
      <c r="E194" s="29">
        <f>C101</f>
        <v>397</v>
      </c>
      <c r="F194" s="43"/>
      <c r="G194" s="43"/>
      <c r="H194" s="43"/>
      <c r="I194" s="8"/>
    </row>
    <row r="195" spans="1:9" ht="24.75" customHeight="1">
      <c r="A195" s="187"/>
      <c r="B195" s="188"/>
      <c r="C195" s="189" t="s">
        <v>140</v>
      </c>
      <c r="D195" s="189"/>
      <c r="E195" s="39">
        <f>(F45+E175)-(SUM(E177:E186)+SUM(E188:E194))</f>
        <v>544.79999999999836</v>
      </c>
      <c r="F195" s="43"/>
      <c r="G195" s="43"/>
      <c r="H195" s="43"/>
      <c r="I195" s="8"/>
    </row>
    <row r="196" spans="1:9" ht="24.75" customHeight="1">
      <c r="A196" s="43"/>
      <c r="B196" s="43"/>
      <c r="C196" s="43"/>
      <c r="D196" s="43"/>
      <c r="E196" s="43"/>
      <c r="F196" s="43"/>
      <c r="G196" s="43"/>
      <c r="H196" s="43"/>
      <c r="I196" s="8"/>
    </row>
    <row r="197" spans="1:9" ht="24.75" customHeight="1">
      <c r="A197" s="46"/>
      <c r="B197" s="46"/>
      <c r="C197" s="46"/>
      <c r="D197" s="46"/>
      <c r="E197" s="46"/>
      <c r="F197" s="46"/>
      <c r="G197" s="46"/>
      <c r="H197" s="46"/>
      <c r="I197" s="46"/>
    </row>
    <row r="198" spans="1:9">
      <c r="A198" s="46"/>
      <c r="B198" s="46"/>
      <c r="C198" s="46"/>
      <c r="D198" s="46"/>
      <c r="E198" s="46"/>
      <c r="F198" s="46"/>
      <c r="G198" s="46"/>
      <c r="H198" s="46"/>
      <c r="I198" s="46"/>
    </row>
  </sheetData>
  <mergeCells count="189">
    <mergeCell ref="D16:E16"/>
    <mergeCell ref="D18:E18"/>
    <mergeCell ref="D19:E19"/>
    <mergeCell ref="D20:E20"/>
    <mergeCell ref="A121:B121"/>
    <mergeCell ref="C121:D121"/>
    <mergeCell ref="C192:D192"/>
    <mergeCell ref="C193:D193"/>
    <mergeCell ref="A194:B194"/>
    <mergeCell ref="C194:D194"/>
    <mergeCell ref="A173:E173"/>
    <mergeCell ref="A174:B174"/>
    <mergeCell ref="C174:D174"/>
    <mergeCell ref="A175:B175"/>
    <mergeCell ref="C175:D175"/>
    <mergeCell ref="C165:D165"/>
    <mergeCell ref="C166:D166"/>
    <mergeCell ref="A167:B167"/>
    <mergeCell ref="C167:D167"/>
    <mergeCell ref="A168:B168"/>
    <mergeCell ref="C168:D168"/>
    <mergeCell ref="A146:E146"/>
    <mergeCell ref="A147:B147"/>
    <mergeCell ref="C147:D147"/>
    <mergeCell ref="A195:B195"/>
    <mergeCell ref="C195:D195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A176:B193"/>
    <mergeCell ref="C176:D176"/>
    <mergeCell ref="C177:D177"/>
    <mergeCell ref="C178:D178"/>
    <mergeCell ref="C179:D179"/>
    <mergeCell ref="A148:B148"/>
    <mergeCell ref="C148:D148"/>
    <mergeCell ref="A149:B166"/>
    <mergeCell ref="C149:D149"/>
    <mergeCell ref="C150:D150"/>
    <mergeCell ref="C151:D151"/>
    <mergeCell ref="C152:D152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37:D137"/>
    <mergeCell ref="C138:D138"/>
    <mergeCell ref="C139:D139"/>
    <mergeCell ref="A140:B140"/>
    <mergeCell ref="C140:D140"/>
    <mergeCell ref="A141:B141"/>
    <mergeCell ref="C141:D141"/>
    <mergeCell ref="C131:D131"/>
    <mergeCell ref="C132:D132"/>
    <mergeCell ref="C133:D133"/>
    <mergeCell ref="C134:D134"/>
    <mergeCell ref="C135:D135"/>
    <mergeCell ref="C136:D136"/>
    <mergeCell ref="A122:B139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A72:C72"/>
    <mergeCell ref="A81:C81"/>
    <mergeCell ref="A91:C91"/>
    <mergeCell ref="A102:C102"/>
    <mergeCell ref="A119:E119"/>
    <mergeCell ref="A120:B120"/>
    <mergeCell ref="C120:D120"/>
    <mergeCell ref="B45:C45"/>
    <mergeCell ref="D45:E45"/>
    <mergeCell ref="F45:G45"/>
    <mergeCell ref="A49:C49"/>
    <mergeCell ref="A51:C51"/>
    <mergeCell ref="A61:C61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3:C33"/>
    <mergeCell ref="D33:E33"/>
    <mergeCell ref="F33:G33"/>
    <mergeCell ref="A37:G37"/>
    <mergeCell ref="B38:C38"/>
    <mergeCell ref="D38:E38"/>
    <mergeCell ref="F38:G38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1:C21"/>
    <mergeCell ref="D21:E21"/>
    <mergeCell ref="F21:G21"/>
    <mergeCell ref="A25:G25"/>
    <mergeCell ref="B26:C26"/>
    <mergeCell ref="D26:E26"/>
    <mergeCell ref="F26:G26"/>
    <mergeCell ref="B13:C13"/>
    <mergeCell ref="D13:E13"/>
    <mergeCell ref="F13:G13"/>
    <mergeCell ref="B17:C17"/>
    <mergeCell ref="D17:E17"/>
    <mergeCell ref="F17:G17"/>
    <mergeCell ref="F16:G16"/>
    <mergeCell ref="F18:G18"/>
    <mergeCell ref="F19:G19"/>
    <mergeCell ref="F20:G20"/>
    <mergeCell ref="B14:C14"/>
    <mergeCell ref="B15:C15"/>
    <mergeCell ref="B16:C16"/>
    <mergeCell ref="B18:C18"/>
    <mergeCell ref="B19:C19"/>
    <mergeCell ref="B20:C20"/>
    <mergeCell ref="D14:E14"/>
    <mergeCell ref="B10:C10"/>
    <mergeCell ref="D10:E10"/>
    <mergeCell ref="F10:G10"/>
    <mergeCell ref="B12:C12"/>
    <mergeCell ref="D12:E12"/>
    <mergeCell ref="F12:G12"/>
    <mergeCell ref="F11:G11"/>
    <mergeCell ref="F14:G14"/>
    <mergeCell ref="F15:G15"/>
    <mergeCell ref="B11:C11"/>
    <mergeCell ref="D11:E11"/>
    <mergeCell ref="D15:E15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55:C60 C90 C83:C84 C100:C101">
    <cfRule type="cellIs" dxfId="663" priority="65" operator="equal">
      <formula>0</formula>
    </cfRule>
  </conditionalFormatting>
  <conditionalFormatting sqref="C55:C60 C90 C83:C84 C100:C101 E149 E160 E163:E167">
    <cfRule type="cellIs" dxfId="662" priority="64" operator="greaterThan">
      <formula>0</formula>
    </cfRule>
  </conditionalFormatting>
  <conditionalFormatting sqref="C62:C71">
    <cfRule type="cellIs" dxfId="661" priority="63" operator="equal">
      <formula>0</formula>
    </cfRule>
  </conditionalFormatting>
  <conditionalFormatting sqref="C62:C71">
    <cfRule type="cellIs" dxfId="660" priority="62" operator="greaterThan">
      <formula>0</formula>
    </cfRule>
  </conditionalFormatting>
  <conditionalFormatting sqref="C73:C74">
    <cfRule type="cellIs" dxfId="659" priority="61" operator="equal">
      <formula>0</formula>
    </cfRule>
  </conditionalFormatting>
  <conditionalFormatting sqref="C73:C74">
    <cfRule type="cellIs" dxfId="658" priority="60" operator="greaterThan">
      <formula>0</formula>
    </cfRule>
  </conditionalFormatting>
  <conditionalFormatting sqref="C80">
    <cfRule type="cellIs" dxfId="657" priority="59" operator="equal">
      <formula>0</formula>
    </cfRule>
  </conditionalFormatting>
  <conditionalFormatting sqref="C80">
    <cfRule type="cellIs" dxfId="656" priority="58" operator="greaterThan">
      <formula>0</formula>
    </cfRule>
  </conditionalFormatting>
  <conditionalFormatting sqref="C82">
    <cfRule type="cellIs" dxfId="655" priority="57" operator="equal">
      <formula>0</formula>
    </cfRule>
  </conditionalFormatting>
  <conditionalFormatting sqref="C82">
    <cfRule type="cellIs" dxfId="654" priority="56" operator="greaterThan">
      <formula>0</formula>
    </cfRule>
  </conditionalFormatting>
  <conditionalFormatting sqref="E122 E133 E137:E140">
    <cfRule type="cellIs" dxfId="653" priority="53" operator="equal">
      <formula>0</formula>
    </cfRule>
  </conditionalFormatting>
  <conditionalFormatting sqref="E122 E133 E137:E140">
    <cfRule type="cellIs" dxfId="652" priority="52" operator="greaterThan">
      <formula>0</formula>
    </cfRule>
  </conditionalFormatting>
  <conditionalFormatting sqref="E141">
    <cfRule type="cellIs" dxfId="651" priority="51" operator="greaterThanOrEqual">
      <formula>0</formula>
    </cfRule>
  </conditionalFormatting>
  <conditionalFormatting sqref="E141">
    <cfRule type="cellIs" dxfId="650" priority="50" operator="lessThan">
      <formula>0</formula>
    </cfRule>
  </conditionalFormatting>
  <conditionalFormatting sqref="C75:C79">
    <cfRule type="cellIs" dxfId="649" priority="49" operator="equal">
      <formula>0</formula>
    </cfRule>
  </conditionalFormatting>
  <conditionalFormatting sqref="C75:C79">
    <cfRule type="cellIs" dxfId="648" priority="48" operator="greaterThan">
      <formula>0</formula>
    </cfRule>
  </conditionalFormatting>
  <conditionalFormatting sqref="C85:C89">
    <cfRule type="cellIs" dxfId="647" priority="47" operator="equal">
      <formula>0</formula>
    </cfRule>
  </conditionalFormatting>
  <conditionalFormatting sqref="C85:C89">
    <cfRule type="cellIs" dxfId="646" priority="46" operator="greaterThan">
      <formula>0</formula>
    </cfRule>
  </conditionalFormatting>
  <conditionalFormatting sqref="C96:C99">
    <cfRule type="cellIs" dxfId="645" priority="45" operator="equal">
      <formula>0</formula>
    </cfRule>
  </conditionalFormatting>
  <conditionalFormatting sqref="C96:C99">
    <cfRule type="cellIs" dxfId="644" priority="44" operator="greaterThan">
      <formula>0</formula>
    </cfRule>
  </conditionalFormatting>
  <conditionalFormatting sqref="C113:C114">
    <cfRule type="cellIs" dxfId="643" priority="43" operator="equal">
      <formula>0</formula>
    </cfRule>
  </conditionalFormatting>
  <conditionalFormatting sqref="C113:C114">
    <cfRule type="cellIs" dxfId="642" priority="42" operator="greaterThan">
      <formula>0</formula>
    </cfRule>
  </conditionalFormatting>
  <conditionalFormatting sqref="E149 E160 E163:E167">
    <cfRule type="cellIs" dxfId="641" priority="41" operator="equal">
      <formula>0</formula>
    </cfRule>
  </conditionalFormatting>
  <conditionalFormatting sqref="E168">
    <cfRule type="cellIs" dxfId="640" priority="40" operator="greaterThanOrEqual">
      <formula>0</formula>
    </cfRule>
  </conditionalFormatting>
  <conditionalFormatting sqref="E168">
    <cfRule type="cellIs" dxfId="639" priority="39" operator="lessThan">
      <formula>0</formula>
    </cfRule>
  </conditionalFormatting>
  <conditionalFormatting sqref="E148">
    <cfRule type="cellIs" dxfId="638" priority="38" operator="greaterThanOrEqual">
      <formula>0</formula>
    </cfRule>
  </conditionalFormatting>
  <conditionalFormatting sqref="E148">
    <cfRule type="cellIs" dxfId="637" priority="37" operator="lessThan">
      <formula>0</formula>
    </cfRule>
  </conditionalFormatting>
  <conditionalFormatting sqref="E176 E187 E190:E194">
    <cfRule type="cellIs" dxfId="636" priority="36" operator="equal">
      <formula>0</formula>
    </cfRule>
  </conditionalFormatting>
  <conditionalFormatting sqref="E176 E187 E190:E194">
    <cfRule type="cellIs" dxfId="635" priority="35" operator="greaterThan">
      <formula>0</formula>
    </cfRule>
  </conditionalFormatting>
  <conditionalFormatting sqref="E195">
    <cfRule type="cellIs" dxfId="634" priority="34" operator="greaterThanOrEqual">
      <formula>0</formula>
    </cfRule>
  </conditionalFormatting>
  <conditionalFormatting sqref="E195">
    <cfRule type="cellIs" dxfId="633" priority="33" operator="lessThan">
      <formula>0</formula>
    </cfRule>
  </conditionalFormatting>
  <conditionalFormatting sqref="E175">
    <cfRule type="cellIs" dxfId="632" priority="32" operator="greaterThanOrEqual">
      <formula>0</formula>
    </cfRule>
  </conditionalFormatting>
  <conditionalFormatting sqref="E175">
    <cfRule type="cellIs" dxfId="631" priority="31" operator="lessThan">
      <formula>0</formula>
    </cfRule>
  </conditionalFormatting>
  <conditionalFormatting sqref="C5">
    <cfRule type="cellIs" dxfId="630" priority="30" operator="equal">
      <formula>0</formula>
    </cfRule>
  </conditionalFormatting>
  <conditionalFormatting sqref="C5">
    <cfRule type="cellIs" dxfId="629" priority="29" operator="greaterThan">
      <formula>0</formula>
    </cfRule>
  </conditionalFormatting>
  <conditionalFormatting sqref="C103:C112">
    <cfRule type="cellIs" dxfId="628" priority="28" operator="lessThan">
      <formula>0</formula>
    </cfRule>
  </conditionalFormatting>
  <conditionalFormatting sqref="C103:C112">
    <cfRule type="cellIs" dxfId="627" priority="27" operator="greaterThanOrEqual">
      <formula>0</formula>
    </cfRule>
  </conditionalFormatting>
  <conditionalFormatting sqref="E124 E126:E132">
    <cfRule type="cellIs" dxfId="626" priority="26" operator="equal">
      <formula>0</formula>
    </cfRule>
  </conditionalFormatting>
  <conditionalFormatting sqref="E124 E126:E132">
    <cfRule type="cellIs" dxfId="625" priority="25" operator="greaterThan">
      <formula>0</formula>
    </cfRule>
  </conditionalFormatting>
  <conditionalFormatting sqref="E151:E159">
    <cfRule type="cellIs" dxfId="624" priority="24" operator="equal">
      <formula>0</formula>
    </cfRule>
  </conditionalFormatting>
  <conditionalFormatting sqref="E151:E159">
    <cfRule type="cellIs" dxfId="623" priority="23" operator="greaterThan">
      <formula>0</formula>
    </cfRule>
  </conditionalFormatting>
  <conditionalFormatting sqref="E178:E186">
    <cfRule type="cellIs" dxfId="622" priority="22" operator="equal">
      <formula>0</formula>
    </cfRule>
  </conditionalFormatting>
  <conditionalFormatting sqref="E178:E186">
    <cfRule type="cellIs" dxfId="621" priority="21" operator="greaterThan">
      <formula>0</formula>
    </cfRule>
  </conditionalFormatting>
  <conditionalFormatting sqref="E121">
    <cfRule type="cellIs" dxfId="620" priority="20" operator="greaterThanOrEqual">
      <formula>0</formula>
    </cfRule>
  </conditionalFormatting>
  <conditionalFormatting sqref="E121">
    <cfRule type="cellIs" dxfId="619" priority="19" operator="lessThan">
      <formula>0</formula>
    </cfRule>
  </conditionalFormatting>
  <conditionalFormatting sqref="C52:C54">
    <cfRule type="cellIs" dxfId="618" priority="18" operator="equal">
      <formula>0</formula>
    </cfRule>
  </conditionalFormatting>
  <conditionalFormatting sqref="C95">
    <cfRule type="cellIs" dxfId="617" priority="17" operator="equal">
      <formula>0</formula>
    </cfRule>
  </conditionalFormatting>
  <conditionalFormatting sqref="C92:C95">
    <cfRule type="cellIs" dxfId="616" priority="16" operator="equal">
      <formula>0</formula>
    </cfRule>
  </conditionalFormatting>
  <conditionalFormatting sqref="E123">
    <cfRule type="cellIs" dxfId="615" priority="15" operator="equal">
      <formula>0</formula>
    </cfRule>
  </conditionalFormatting>
  <conditionalFormatting sqref="E134">
    <cfRule type="cellIs" dxfId="614" priority="14" operator="equal">
      <formula>0</formula>
    </cfRule>
  </conditionalFormatting>
  <conditionalFormatting sqref="E125">
    <cfRule type="cellIs" dxfId="613" priority="13" operator="equal">
      <formula>0</formula>
    </cfRule>
  </conditionalFormatting>
  <conditionalFormatting sqref="E135">
    <cfRule type="cellIs" dxfId="612" priority="11" operator="equal">
      <formula>0</formula>
    </cfRule>
  </conditionalFormatting>
  <conditionalFormatting sqref="E135">
    <cfRule type="cellIs" dxfId="611" priority="12" operator="equal">
      <formula>0</formula>
    </cfRule>
  </conditionalFormatting>
  <conditionalFormatting sqref="E136">
    <cfRule type="cellIs" dxfId="610" priority="9" operator="equal">
      <formula>0</formula>
    </cfRule>
  </conditionalFormatting>
  <conditionalFormatting sqref="E136">
    <cfRule type="cellIs" dxfId="609" priority="10" operator="equal">
      <formula>0</formula>
    </cfRule>
  </conditionalFormatting>
  <conditionalFormatting sqref="E161">
    <cfRule type="cellIs" dxfId="608" priority="8" operator="equal">
      <formula>0</formula>
    </cfRule>
  </conditionalFormatting>
  <conditionalFormatting sqref="E150">
    <cfRule type="cellIs" dxfId="607" priority="7" operator="equal">
      <formula>0</formula>
    </cfRule>
  </conditionalFormatting>
  <conditionalFormatting sqref="E162">
    <cfRule type="cellIs" dxfId="606" priority="6" operator="equal">
      <formula>0</formula>
    </cfRule>
  </conditionalFormatting>
  <conditionalFormatting sqref="E162">
    <cfRule type="cellIs" dxfId="605" priority="5" operator="equal">
      <formula>0</formula>
    </cfRule>
  </conditionalFormatting>
  <conditionalFormatting sqref="E177">
    <cfRule type="cellIs" dxfId="604" priority="4" operator="equal">
      <formula>0</formula>
    </cfRule>
  </conditionalFormatting>
  <conditionalFormatting sqref="E188">
    <cfRule type="cellIs" dxfId="603" priority="3" operator="equal">
      <formula>0</formula>
    </cfRule>
  </conditionalFormatting>
  <conditionalFormatting sqref="E189">
    <cfRule type="cellIs" dxfId="602" priority="2" operator="equal">
      <formula>0</formula>
    </cfRule>
  </conditionalFormatting>
  <conditionalFormatting sqref="E189">
    <cfRule type="cellIs" dxfId="601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42" workbookViewId="0">
      <selection activeCell="C98" sqref="C98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247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2025 to July 2025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473.79999999999836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496.69999999999834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-3083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20 April 2025 - 19 May 2025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275" t="s">
        <v>46</v>
      </c>
      <c r="C9" s="275"/>
      <c r="D9" s="276" t="s">
        <v>47</v>
      </c>
      <c r="E9" s="276"/>
      <c r="F9" s="276" t="s">
        <v>48</v>
      </c>
      <c r="G9" s="276"/>
      <c r="H9" s="43"/>
      <c r="I9" s="8"/>
    </row>
    <row r="10" spans="1:9" ht="24.75" customHeight="1">
      <c r="A10" s="80"/>
      <c r="B10" s="154" t="s">
        <v>50</v>
      </c>
      <c r="C10" s="154"/>
      <c r="D10" s="155" t="s">
        <v>51</v>
      </c>
      <c r="E10" s="155"/>
      <c r="F10" s="206">
        <v>2435</v>
      </c>
      <c r="G10" s="206"/>
      <c r="H10" s="43"/>
      <c r="I10" s="8"/>
    </row>
    <row r="11" spans="1:9" ht="24.75" customHeight="1">
      <c r="A11" s="80"/>
      <c r="B11" s="154" t="s">
        <v>300</v>
      </c>
      <c r="C11" s="154"/>
      <c r="D11" s="155" t="s">
        <v>301</v>
      </c>
      <c r="E11" s="155"/>
      <c r="F11" s="206">
        <v>0</v>
      </c>
      <c r="G11" s="206"/>
      <c r="H11" s="43"/>
      <c r="I11" s="8"/>
    </row>
    <row r="12" spans="1:9" ht="24.75" customHeight="1">
      <c r="A12" s="80" t="s">
        <v>323</v>
      </c>
      <c r="B12" s="154" t="s">
        <v>68</v>
      </c>
      <c r="C12" s="154"/>
      <c r="D12" s="155" t="s">
        <v>178</v>
      </c>
      <c r="E12" s="155"/>
      <c r="F12" s="206">
        <v>0</v>
      </c>
      <c r="G12" s="206"/>
      <c r="H12" s="43"/>
      <c r="I12" s="8"/>
    </row>
    <row r="13" spans="1:9" ht="24.75" customHeight="1">
      <c r="A13" s="80"/>
      <c r="B13" s="154" t="s">
        <v>324</v>
      </c>
      <c r="C13" s="154"/>
      <c r="D13" s="155" t="s">
        <v>325</v>
      </c>
      <c r="E13" s="155"/>
      <c r="F13" s="206">
        <v>0</v>
      </c>
      <c r="G13" s="206"/>
      <c r="H13" s="43"/>
      <c r="I13" s="8"/>
    </row>
    <row r="14" spans="1:9" ht="24.75" customHeight="1">
      <c r="A14" s="2"/>
      <c r="B14" s="252" t="s">
        <v>55</v>
      </c>
      <c r="C14" s="253"/>
      <c r="D14" s="288"/>
      <c r="E14" s="289"/>
      <c r="F14" s="224">
        <v>0</v>
      </c>
      <c r="G14" s="225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2435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20 May 2025 - 19 June 2025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275" t="s">
        <v>46</v>
      </c>
      <c r="C21" s="275"/>
      <c r="D21" s="276" t="s">
        <v>47</v>
      </c>
      <c r="E21" s="276"/>
      <c r="F21" s="276" t="s">
        <v>48</v>
      </c>
      <c r="G21" s="276"/>
      <c r="H21" s="43"/>
      <c r="I21" s="8"/>
    </row>
    <row r="22" spans="1:9" ht="24.75" customHeight="1">
      <c r="A22" s="80"/>
      <c r="B22" s="154" t="s">
        <v>50</v>
      </c>
      <c r="C22" s="154"/>
      <c r="D22" s="155" t="s">
        <v>51</v>
      </c>
      <c r="E22" s="155"/>
      <c r="F22" s="206">
        <v>2435</v>
      </c>
      <c r="G22" s="206"/>
      <c r="H22" s="43"/>
      <c r="I22" s="8"/>
    </row>
    <row r="23" spans="1:9" ht="24.75" customHeight="1">
      <c r="A23" s="80" t="s">
        <v>326</v>
      </c>
      <c r="B23" s="154" t="s">
        <v>68</v>
      </c>
      <c r="C23" s="154"/>
      <c r="D23" s="155" t="s">
        <v>178</v>
      </c>
      <c r="E23" s="155"/>
      <c r="F23" s="206">
        <v>0</v>
      </c>
      <c r="G23" s="206"/>
      <c r="H23" s="43"/>
      <c r="I23" s="8"/>
    </row>
    <row r="24" spans="1:9" ht="24.75" customHeight="1">
      <c r="A24" s="80"/>
      <c r="B24" s="290" t="s">
        <v>50</v>
      </c>
      <c r="C24" s="290"/>
      <c r="D24" s="291" t="s">
        <v>327</v>
      </c>
      <c r="E24" s="291"/>
      <c r="F24" s="292">
        <v>1035</v>
      </c>
      <c r="G24" s="292"/>
      <c r="H24" s="43"/>
      <c r="I24" s="8"/>
    </row>
    <row r="25" spans="1:9" ht="24.75" customHeight="1">
      <c r="A25" s="2"/>
      <c r="B25" s="252" t="s">
        <v>54</v>
      </c>
      <c r="C25" s="253"/>
      <c r="D25" s="288"/>
      <c r="E25" s="289"/>
      <c r="F25" s="224">
        <v>0</v>
      </c>
      <c r="G25" s="225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3470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20 June 2025 - 19 July 2025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80"/>
      <c r="B34" s="154" t="s">
        <v>50</v>
      </c>
      <c r="C34" s="154"/>
      <c r="D34" s="155" t="s">
        <v>51</v>
      </c>
      <c r="E34" s="155"/>
      <c r="F34" s="206">
        <v>2435</v>
      </c>
      <c r="G34" s="206"/>
      <c r="H34" s="43"/>
      <c r="I34" s="8"/>
    </row>
    <row r="35" spans="1:9" ht="24.75" customHeight="1">
      <c r="A35" s="80" t="s">
        <v>328</v>
      </c>
      <c r="B35" s="154" t="s">
        <v>68</v>
      </c>
      <c r="C35" s="154"/>
      <c r="D35" s="155" t="s">
        <v>178</v>
      </c>
      <c r="E35" s="155"/>
      <c r="F35" s="206">
        <v>0</v>
      </c>
      <c r="G35" s="206"/>
      <c r="H35" s="43"/>
      <c r="I35" s="8"/>
    </row>
    <row r="36" spans="1:9" ht="24.75" customHeight="1">
      <c r="A36" s="80"/>
      <c r="B36" s="154" t="s">
        <v>300</v>
      </c>
      <c r="C36" s="154"/>
      <c r="D36" s="155" t="s">
        <v>301</v>
      </c>
      <c r="E36" s="155"/>
      <c r="F36" s="206">
        <v>0</v>
      </c>
      <c r="G36" s="206"/>
      <c r="H36" s="43"/>
      <c r="I36" s="36"/>
    </row>
    <row r="37" spans="1:9" ht="24.75" customHeight="1">
      <c r="A37" s="2"/>
      <c r="B37" s="150"/>
      <c r="C37" s="151"/>
      <c r="D37" s="150"/>
      <c r="E37" s="151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2435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2025 to July 2025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88" t="s">
        <v>212</v>
      </c>
      <c r="B47" s="113"/>
      <c r="C47" s="85">
        <v>78</v>
      </c>
      <c r="D47" s="43"/>
      <c r="E47" s="43"/>
      <c r="F47" s="43"/>
      <c r="G47" s="43"/>
      <c r="H47" s="43"/>
      <c r="I47" s="8"/>
    </row>
    <row r="48" spans="1:9" ht="24.75" customHeight="1">
      <c r="A48" s="88" t="s">
        <v>302</v>
      </c>
      <c r="B48" s="84" t="s">
        <v>309</v>
      </c>
      <c r="C48" s="85">
        <v>0</v>
      </c>
      <c r="D48" s="43"/>
      <c r="E48" s="43"/>
      <c r="F48" s="43"/>
      <c r="G48" s="43"/>
      <c r="H48" s="43"/>
      <c r="I48" s="8"/>
    </row>
    <row r="49" spans="1:9" ht="24.75" customHeight="1">
      <c r="A49" s="88" t="s">
        <v>77</v>
      </c>
      <c r="B49" s="113" t="s">
        <v>262</v>
      </c>
      <c r="C49" s="85">
        <v>149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227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125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88" t="s">
        <v>101</v>
      </c>
      <c r="B87" s="84" t="s">
        <v>102</v>
      </c>
      <c r="C87" s="85">
        <v>0</v>
      </c>
      <c r="D87" s="43"/>
      <c r="E87" s="43"/>
      <c r="F87" s="43"/>
      <c r="G87" s="43"/>
      <c r="H87" s="43"/>
      <c r="I87" s="8"/>
    </row>
    <row r="88" spans="1:9" ht="24.75" customHeight="1">
      <c r="A88" s="91" t="s">
        <v>103</v>
      </c>
      <c r="B88" s="92" t="s">
        <v>104</v>
      </c>
      <c r="C88" s="85">
        <v>68</v>
      </c>
      <c r="D88" s="43"/>
      <c r="E88" s="43"/>
      <c r="F88" s="43"/>
      <c r="G88" s="43"/>
      <c r="H88" s="43"/>
      <c r="I88" s="8"/>
    </row>
    <row r="89" spans="1:9" ht="24.75" customHeight="1">
      <c r="A89" s="88" t="s">
        <v>105</v>
      </c>
      <c r="B89" s="113" t="s">
        <v>310</v>
      </c>
      <c r="C89" s="85">
        <v>52</v>
      </c>
      <c r="D89" s="43"/>
      <c r="E89" s="43"/>
      <c r="F89" s="43"/>
      <c r="G89" s="43"/>
      <c r="H89" s="43"/>
      <c r="I89" s="8"/>
    </row>
    <row r="90" spans="1:9" ht="24.75" customHeight="1">
      <c r="A90" s="88" t="s">
        <v>300</v>
      </c>
      <c r="B90" s="84" t="s">
        <v>311</v>
      </c>
      <c r="C90" s="85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120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347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86" t="s">
        <v>112</v>
      </c>
      <c r="B98" s="18"/>
      <c r="C98" s="27">
        <f>('January 2025 - March 2025'!C103)+SUM(E118+E145+E172)</f>
        <v>-3083</v>
      </c>
      <c r="D98" s="43"/>
      <c r="E98" s="54"/>
      <c r="F98" s="43"/>
      <c r="G98" s="43"/>
      <c r="H98" s="43"/>
      <c r="I98" s="8"/>
    </row>
    <row r="99" spans="1:9" ht="24.75" customHeight="1">
      <c r="A99" s="86" t="s">
        <v>113</v>
      </c>
      <c r="B99" s="18"/>
      <c r="C99" s="27">
        <f>('January 2025 - March 2025'!C104)+SUM(E119+E146+E173)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86" t="s">
        <v>114</v>
      </c>
      <c r="B100" s="18"/>
      <c r="C100" s="27">
        <f>('January 2025 - March 2025'!C105)+SUM(E120+E147+E174)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88" t="s">
        <v>115</v>
      </c>
      <c r="B101" s="18"/>
      <c r="C101" s="27">
        <f>('January 2025 - March 2025'!C106)+SUM(E121+E148+E175)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88" t="s">
        <v>116</v>
      </c>
      <c r="B102" s="18"/>
      <c r="C102" s="27">
        <f>('January 2025 - March 2025'!C107)+SUM(E122+E149+E176)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('January 2025 - March 2025'!C108)+SUM(E123+E150+E177)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('January 2025 - March 2025'!C109)+SUM(E124+E151+E178)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('January 2025 - March 2025'!C110)+SUM(E125+E152+E179)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('January 2025 - March 2025'!C111)+SUM(E126+E153+E180)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('January 2025 - March 2025'!C112)+SUM(E127+E154+E181)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-3083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3430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20 2025 to May 19 2025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IF(Main!B2,TEXT(EDATE(Main!B3,12)-1,"mmmm yyyy"),TEXT(Main!B3+((Main!B5-Main!B3)*12+11),"mmmm yyyy"))</f>
        <v>Balance Brought Forward From April 2025</v>
      </c>
      <c r="B116" s="130"/>
      <c r="C116" s="202"/>
      <c r="D116" s="202"/>
      <c r="E116" s="56">
        <f>'January 2025 - March 2025'!E195</f>
        <v>544.79999999999836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74" t="s">
        <v>329</v>
      </c>
      <c r="D118" s="174"/>
      <c r="E118" s="85">
        <v>700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63" customHeight="1">
      <c r="A129" s="50"/>
      <c r="B129" s="51"/>
      <c r="C129" s="192" t="s">
        <v>330</v>
      </c>
      <c r="D129" s="174"/>
      <c r="E129" s="85">
        <v>925</v>
      </c>
      <c r="F129" s="43"/>
      <c r="G129" s="43"/>
      <c r="H129" s="43"/>
      <c r="I129" s="8"/>
    </row>
    <row r="130" spans="1:9" ht="120.75" customHeight="1">
      <c r="A130" s="50"/>
      <c r="B130" s="51"/>
      <c r="C130" s="210" t="s">
        <v>322</v>
      </c>
      <c r="D130" s="211"/>
      <c r="E130" s="85">
        <v>517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347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490.79999999999836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20 2025 to June 19 2025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IF(Main!B2,TEXT(EDATE(Main!B3,13)-1,"mmmm yyyy"),TEXT(Main!B3+((Main!B5-Main!B3)*13+12),"mmmm yyyy"))</f>
        <v>Balance Brought Forward From May 2025</v>
      </c>
      <c r="B143" s="130"/>
      <c r="C143" s="202"/>
      <c r="D143" s="202"/>
      <c r="E143" s="30">
        <f>E136</f>
        <v>490.79999999999836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74" t="s">
        <v>331</v>
      </c>
      <c r="D145" s="174"/>
      <c r="E145" s="85">
        <v>2600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94.5" customHeight="1">
      <c r="A156" s="141"/>
      <c r="B156" s="142"/>
      <c r="C156" s="192" t="s">
        <v>332</v>
      </c>
      <c r="D156" s="192"/>
      <c r="E156" s="93">
        <v>69</v>
      </c>
      <c r="F156" s="43"/>
      <c r="G156" s="43"/>
      <c r="H156" s="43"/>
      <c r="I156" s="8"/>
    </row>
    <row r="157" spans="1:9" ht="135.75" customHeight="1">
      <c r="A157" s="141"/>
      <c r="B157" s="142"/>
      <c r="C157" s="192" t="s">
        <v>322</v>
      </c>
      <c r="D157" s="192"/>
      <c r="E157" s="93">
        <v>517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347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427.79999999999836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20 2025 to July 19 2025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IF(Main!B2,TEXT(EDATE(Main!B3,14)-1,"mmmm yyyy"),TEXT(Main!B3+((Main!B5-Main!B3)*14+13),"mmmm yyyy"))</f>
        <v>Balance Brought Forward From June 2025</v>
      </c>
      <c r="B170" s="130"/>
      <c r="C170" s="202"/>
      <c r="D170" s="202"/>
      <c r="E170" s="98">
        <f>E163</f>
        <v>427.79999999999836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99"/>
      <c r="F171" s="43"/>
      <c r="G171" s="43"/>
      <c r="H171" s="43"/>
      <c r="I171" s="8"/>
    </row>
    <row r="172" spans="1:9" ht="24.75" customHeight="1">
      <c r="A172" s="141"/>
      <c r="B172" s="142"/>
      <c r="C172" s="174" t="s">
        <v>333</v>
      </c>
      <c r="D172" s="174"/>
      <c r="E172" s="85">
        <v>600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96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96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96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96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96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96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96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96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96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95"/>
      <c r="F182" s="43"/>
      <c r="G182" s="43"/>
      <c r="H182" s="43"/>
      <c r="I182" s="8"/>
    </row>
    <row r="183" spans="1:9" ht="63.75" customHeight="1">
      <c r="A183" s="141"/>
      <c r="B183" s="142"/>
      <c r="C183" s="192" t="s">
        <v>330</v>
      </c>
      <c r="D183" s="192"/>
      <c r="E183" s="85">
        <v>925</v>
      </c>
      <c r="F183" s="43"/>
      <c r="G183" s="43"/>
      <c r="H183" s="43"/>
      <c r="I183" s="8"/>
    </row>
    <row r="184" spans="1:9" ht="141.75" customHeight="1">
      <c r="A184" s="141"/>
      <c r="B184" s="142"/>
      <c r="C184" s="192" t="s">
        <v>322</v>
      </c>
      <c r="D184" s="192"/>
      <c r="E184" s="85">
        <v>517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97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97">
        <v>0</v>
      </c>
      <c r="F186" s="43"/>
      <c r="G186" s="43"/>
      <c r="H186" s="43"/>
      <c r="I186" s="8"/>
    </row>
    <row r="187" spans="1:9">
      <c r="A187" s="141"/>
      <c r="B187" s="142"/>
      <c r="C187" s="137" t="s">
        <v>130</v>
      </c>
      <c r="D187" s="138"/>
      <c r="E187" s="97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97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97">
        <f>C96</f>
        <v>347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473.79999999999836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B23:C23"/>
    <mergeCell ref="D22:E22"/>
    <mergeCell ref="D23:E23"/>
    <mergeCell ref="F22:G22"/>
    <mergeCell ref="F23:G23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600" priority="62" operator="equal">
      <formula>0</formula>
    </cfRule>
  </conditionalFormatting>
  <conditionalFormatting sqref="C50:C55 C85 C78:C79 C95:C96 E144 E155 E158:E162">
    <cfRule type="cellIs" dxfId="599" priority="61" operator="greaterThan">
      <formula>0</formula>
    </cfRule>
  </conditionalFormatting>
  <conditionalFormatting sqref="C57:C66">
    <cfRule type="cellIs" dxfId="598" priority="60" operator="equal">
      <formula>0</formula>
    </cfRule>
  </conditionalFormatting>
  <conditionalFormatting sqref="C57:C66">
    <cfRule type="cellIs" dxfId="597" priority="59" operator="greaterThan">
      <formula>0</formula>
    </cfRule>
  </conditionalFormatting>
  <conditionalFormatting sqref="C68:C69">
    <cfRule type="cellIs" dxfId="596" priority="58" operator="equal">
      <formula>0</formula>
    </cfRule>
  </conditionalFormatting>
  <conditionalFormatting sqref="C68:C69">
    <cfRule type="cellIs" dxfId="595" priority="57" operator="greaterThan">
      <formula>0</formula>
    </cfRule>
  </conditionalFormatting>
  <conditionalFormatting sqref="C75">
    <cfRule type="cellIs" dxfId="594" priority="56" operator="equal">
      <formula>0</formula>
    </cfRule>
  </conditionalFormatting>
  <conditionalFormatting sqref="C75">
    <cfRule type="cellIs" dxfId="593" priority="55" operator="greaterThan">
      <formula>0</formula>
    </cfRule>
  </conditionalFormatting>
  <conditionalFormatting sqref="C77">
    <cfRule type="cellIs" dxfId="592" priority="54" operator="equal">
      <formula>0</formula>
    </cfRule>
  </conditionalFormatting>
  <conditionalFormatting sqref="C77">
    <cfRule type="cellIs" dxfId="591" priority="53" operator="greaterThan">
      <formula>0</formula>
    </cfRule>
  </conditionalFormatting>
  <conditionalFormatting sqref="E117 E128 E131:E135">
    <cfRule type="cellIs" dxfId="590" priority="50" operator="equal">
      <formula>0</formula>
    </cfRule>
  </conditionalFormatting>
  <conditionalFormatting sqref="E117 E128 E131:E135">
    <cfRule type="cellIs" dxfId="589" priority="49" operator="greaterThan">
      <formula>0</formula>
    </cfRule>
  </conditionalFormatting>
  <conditionalFormatting sqref="E136">
    <cfRule type="cellIs" dxfId="588" priority="48" operator="greaterThanOrEqual">
      <formula>0</formula>
    </cfRule>
  </conditionalFormatting>
  <conditionalFormatting sqref="E136">
    <cfRule type="cellIs" dxfId="587" priority="47" operator="lessThan">
      <formula>0</formula>
    </cfRule>
  </conditionalFormatting>
  <conditionalFormatting sqref="C70:C74">
    <cfRule type="cellIs" dxfId="586" priority="46" operator="equal">
      <formula>0</formula>
    </cfRule>
  </conditionalFormatting>
  <conditionalFormatting sqref="C70:C74">
    <cfRule type="cellIs" dxfId="585" priority="45" operator="greaterThan">
      <formula>0</formula>
    </cfRule>
  </conditionalFormatting>
  <conditionalFormatting sqref="C80:C84">
    <cfRule type="cellIs" dxfId="584" priority="44" operator="equal">
      <formula>0</formula>
    </cfRule>
  </conditionalFormatting>
  <conditionalFormatting sqref="C80:C84">
    <cfRule type="cellIs" dxfId="583" priority="43" operator="greaterThan">
      <formula>0</formula>
    </cfRule>
  </conditionalFormatting>
  <conditionalFormatting sqref="C91:C94">
    <cfRule type="cellIs" dxfId="582" priority="42" operator="equal">
      <formula>0</formula>
    </cfRule>
  </conditionalFormatting>
  <conditionalFormatting sqref="C91:C94">
    <cfRule type="cellIs" dxfId="581" priority="41" operator="greaterThan">
      <formula>0</formula>
    </cfRule>
  </conditionalFormatting>
  <conditionalFormatting sqref="C108:C109">
    <cfRule type="cellIs" dxfId="580" priority="40" operator="equal">
      <formula>0</formula>
    </cfRule>
  </conditionalFormatting>
  <conditionalFormatting sqref="C108:C109">
    <cfRule type="cellIs" dxfId="579" priority="39" operator="greaterThan">
      <formula>0</formula>
    </cfRule>
  </conditionalFormatting>
  <conditionalFormatting sqref="E144 E155 E158:E162">
    <cfRule type="cellIs" dxfId="578" priority="38" operator="equal">
      <formula>0</formula>
    </cfRule>
  </conditionalFormatting>
  <conditionalFormatting sqref="E163">
    <cfRule type="cellIs" dxfId="577" priority="37" operator="greaterThanOrEqual">
      <formula>0</formula>
    </cfRule>
  </conditionalFormatting>
  <conditionalFormatting sqref="E163">
    <cfRule type="cellIs" dxfId="576" priority="36" operator="lessThan">
      <formula>0</formula>
    </cfRule>
  </conditionalFormatting>
  <conditionalFormatting sqref="E143">
    <cfRule type="cellIs" dxfId="575" priority="35" operator="greaterThanOrEqual">
      <formula>0</formula>
    </cfRule>
  </conditionalFormatting>
  <conditionalFormatting sqref="E143">
    <cfRule type="cellIs" dxfId="574" priority="34" operator="lessThan">
      <formula>0</formula>
    </cfRule>
  </conditionalFormatting>
  <conditionalFormatting sqref="E171 E182 E185:E189">
    <cfRule type="cellIs" dxfId="573" priority="33" operator="equal">
      <formula>0</formula>
    </cfRule>
  </conditionalFormatting>
  <conditionalFormatting sqref="E171 E182 E185:E189">
    <cfRule type="cellIs" dxfId="572" priority="32" operator="greaterThan">
      <formula>0</formula>
    </cfRule>
  </conditionalFormatting>
  <conditionalFormatting sqref="E190">
    <cfRule type="cellIs" dxfId="571" priority="31" operator="greaterThanOrEqual">
      <formula>0</formula>
    </cfRule>
  </conditionalFormatting>
  <conditionalFormatting sqref="E190">
    <cfRule type="cellIs" dxfId="570" priority="30" operator="lessThan">
      <formula>0</formula>
    </cfRule>
  </conditionalFormatting>
  <conditionalFormatting sqref="E170">
    <cfRule type="cellIs" dxfId="569" priority="29" operator="greaterThanOrEqual">
      <formula>0</formula>
    </cfRule>
  </conditionalFormatting>
  <conditionalFormatting sqref="E170">
    <cfRule type="cellIs" dxfId="568" priority="28" operator="lessThan">
      <formula>0</formula>
    </cfRule>
  </conditionalFormatting>
  <conditionalFormatting sqref="C5">
    <cfRule type="cellIs" dxfId="567" priority="27" operator="equal">
      <formula>0</formula>
    </cfRule>
  </conditionalFormatting>
  <conditionalFormatting sqref="C5">
    <cfRule type="cellIs" dxfId="566" priority="26" operator="greaterThan">
      <formula>0</formula>
    </cfRule>
  </conditionalFormatting>
  <conditionalFormatting sqref="C98:C107">
    <cfRule type="cellIs" dxfId="565" priority="25" operator="lessThan">
      <formula>0</formula>
    </cfRule>
  </conditionalFormatting>
  <conditionalFormatting sqref="C98:C107">
    <cfRule type="cellIs" dxfId="564" priority="24" operator="greaterThanOrEqual">
      <formula>0</formula>
    </cfRule>
  </conditionalFormatting>
  <conditionalFormatting sqref="E119:E127">
    <cfRule type="cellIs" dxfId="563" priority="23" operator="equal">
      <formula>0</formula>
    </cfRule>
  </conditionalFormatting>
  <conditionalFormatting sqref="E119:E127">
    <cfRule type="cellIs" dxfId="562" priority="22" operator="greaterThan">
      <formula>0</formula>
    </cfRule>
  </conditionalFormatting>
  <conditionalFormatting sqref="E146:E154">
    <cfRule type="cellIs" dxfId="561" priority="21" operator="equal">
      <formula>0</formula>
    </cfRule>
  </conditionalFormatting>
  <conditionalFormatting sqref="E146:E154">
    <cfRule type="cellIs" dxfId="560" priority="20" operator="greaterThan">
      <formula>0</formula>
    </cfRule>
  </conditionalFormatting>
  <conditionalFormatting sqref="E173:E181">
    <cfRule type="cellIs" dxfId="559" priority="19" operator="equal">
      <formula>0</formula>
    </cfRule>
  </conditionalFormatting>
  <conditionalFormatting sqref="E173:E181">
    <cfRule type="cellIs" dxfId="558" priority="18" operator="greaterThan">
      <formula>0</formula>
    </cfRule>
  </conditionalFormatting>
  <conditionalFormatting sqref="E116">
    <cfRule type="cellIs" dxfId="557" priority="17" operator="greaterThanOrEqual">
      <formula>0</formula>
    </cfRule>
  </conditionalFormatting>
  <conditionalFormatting sqref="E116">
    <cfRule type="cellIs" dxfId="556" priority="16" operator="lessThan">
      <formula>0</formula>
    </cfRule>
  </conditionalFormatting>
  <conditionalFormatting sqref="C48">
    <cfRule type="cellIs" dxfId="555" priority="15" operator="equal">
      <formula>0</formula>
    </cfRule>
  </conditionalFormatting>
  <conditionalFormatting sqref="C49 C47">
    <cfRule type="cellIs" dxfId="554" priority="14" operator="equal">
      <formula>0</formula>
    </cfRule>
  </conditionalFormatting>
  <conditionalFormatting sqref="C90">
    <cfRule type="cellIs" dxfId="553" priority="13" operator="equal">
      <formula>0</formula>
    </cfRule>
  </conditionalFormatting>
  <conditionalFormatting sqref="C87:C90">
    <cfRule type="cellIs" dxfId="552" priority="12" operator="equal">
      <formula>0</formula>
    </cfRule>
  </conditionalFormatting>
  <conditionalFormatting sqref="E118">
    <cfRule type="cellIs" dxfId="551" priority="11" operator="equal">
      <formula>0</formula>
    </cfRule>
  </conditionalFormatting>
  <conditionalFormatting sqref="E129">
    <cfRule type="cellIs" dxfId="550" priority="10" operator="equal">
      <formula>0</formula>
    </cfRule>
  </conditionalFormatting>
  <conditionalFormatting sqref="E130">
    <cfRule type="cellIs" dxfId="549" priority="9" operator="equal">
      <formula>0</formula>
    </cfRule>
  </conditionalFormatting>
  <conditionalFormatting sqref="E130">
    <cfRule type="cellIs" dxfId="548" priority="8" operator="equal">
      <formula>0</formula>
    </cfRule>
  </conditionalFormatting>
  <conditionalFormatting sqref="E145">
    <cfRule type="cellIs" dxfId="547" priority="7" operator="equal">
      <formula>0</formula>
    </cfRule>
  </conditionalFormatting>
  <conditionalFormatting sqref="E156">
    <cfRule type="cellIs" dxfId="546" priority="6" operator="equal">
      <formula>0</formula>
    </cfRule>
  </conditionalFormatting>
  <conditionalFormatting sqref="E157">
    <cfRule type="cellIs" dxfId="545" priority="5" operator="equal">
      <formula>0</formula>
    </cfRule>
  </conditionalFormatting>
  <conditionalFormatting sqref="E157">
    <cfRule type="cellIs" dxfId="544" priority="4" operator="equal">
      <formula>0</formula>
    </cfRule>
  </conditionalFormatting>
  <conditionalFormatting sqref="E172">
    <cfRule type="cellIs" dxfId="543" priority="3" operator="equal">
      <formula>0</formula>
    </cfRule>
  </conditionalFormatting>
  <conditionalFormatting sqref="E184">
    <cfRule type="cellIs" dxfId="542" priority="2" operator="equal">
      <formula>0</formula>
    </cfRule>
  </conditionalFormatting>
  <conditionalFormatting sqref="E183:E184">
    <cfRule type="cellIs" dxfId="541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abSelected="1" topLeftCell="A165" workbookViewId="0">
      <selection activeCell="F184" sqref="F184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247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2025 to October 2025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440.79999999999836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463.69999999999834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93">
        <f>C108</f>
        <v>0</v>
      </c>
      <c r="D5" s="294"/>
      <c r="E5" s="294"/>
      <c r="F5" s="294"/>
      <c r="G5" s="208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20 July 2025 - 19 August 2025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275" t="s">
        <v>46</v>
      </c>
      <c r="C9" s="275"/>
      <c r="D9" s="276" t="s">
        <v>47</v>
      </c>
      <c r="E9" s="276"/>
      <c r="F9" s="276" t="s">
        <v>48</v>
      </c>
      <c r="G9" s="276"/>
      <c r="H9" s="43"/>
      <c r="I9" s="8"/>
    </row>
    <row r="10" spans="1:9" ht="24.75" customHeight="1">
      <c r="A10" s="80"/>
      <c r="B10" s="154" t="s">
        <v>50</v>
      </c>
      <c r="C10" s="154"/>
      <c r="D10" s="155" t="s">
        <v>51</v>
      </c>
      <c r="E10" s="155"/>
      <c r="F10" s="206">
        <v>2435</v>
      </c>
      <c r="G10" s="206"/>
      <c r="H10" s="43"/>
      <c r="I10" s="8"/>
    </row>
    <row r="11" spans="1:9" ht="24.75" customHeight="1">
      <c r="A11" s="80" t="s">
        <v>334</v>
      </c>
      <c r="B11" s="154" t="s">
        <v>68</v>
      </c>
      <c r="C11" s="154"/>
      <c r="D11" s="155" t="s">
        <v>178</v>
      </c>
      <c r="E11" s="155"/>
      <c r="F11" s="206">
        <v>0</v>
      </c>
      <c r="G11" s="206"/>
      <c r="H11" s="43"/>
      <c r="I11" s="8"/>
    </row>
    <row r="12" spans="1:9" ht="24.75" customHeight="1">
      <c r="A12" s="80"/>
      <c r="B12" s="154" t="s">
        <v>335</v>
      </c>
      <c r="C12" s="154"/>
      <c r="D12" s="155" t="s">
        <v>336</v>
      </c>
      <c r="E12" s="155"/>
      <c r="F12" s="206">
        <v>0</v>
      </c>
      <c r="G12" s="206"/>
      <c r="H12" s="43"/>
      <c r="I12" s="8"/>
    </row>
    <row r="13" spans="1:9" ht="24.75" customHeight="1">
      <c r="A13" s="2"/>
      <c r="B13" s="252" t="s">
        <v>54</v>
      </c>
      <c r="C13" s="253"/>
      <c r="D13" s="288"/>
      <c r="E13" s="289"/>
      <c r="F13" s="224">
        <v>0</v>
      </c>
      <c r="G13" s="225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2435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20 August 2025 - 19 September 2025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275" t="s">
        <v>46</v>
      </c>
      <c r="C21" s="275"/>
      <c r="D21" s="276" t="s">
        <v>47</v>
      </c>
      <c r="E21" s="276"/>
      <c r="F21" s="276" t="s">
        <v>48</v>
      </c>
      <c r="G21" s="276"/>
      <c r="H21" s="43"/>
      <c r="I21" s="8"/>
    </row>
    <row r="22" spans="1:9" ht="24.75" customHeight="1">
      <c r="A22" s="80"/>
      <c r="B22" s="154" t="s">
        <v>50</v>
      </c>
      <c r="C22" s="154"/>
      <c r="D22" s="155" t="s">
        <v>51</v>
      </c>
      <c r="E22" s="155"/>
      <c r="F22" s="206">
        <v>2435</v>
      </c>
      <c r="G22" s="206"/>
      <c r="H22" s="43"/>
      <c r="I22" s="8"/>
    </row>
    <row r="23" spans="1:9" ht="24.75" customHeight="1">
      <c r="A23" s="80" t="s">
        <v>337</v>
      </c>
      <c r="B23" s="154" t="s">
        <v>68</v>
      </c>
      <c r="C23" s="154"/>
      <c r="D23" s="155" t="s">
        <v>178</v>
      </c>
      <c r="E23" s="155"/>
      <c r="F23" s="206">
        <v>0</v>
      </c>
      <c r="G23" s="206"/>
      <c r="H23" s="43"/>
      <c r="I23" s="8"/>
    </row>
    <row r="24" spans="1:9" ht="24.75" customHeight="1">
      <c r="A24" s="80"/>
      <c r="B24" s="154" t="s">
        <v>300</v>
      </c>
      <c r="C24" s="154"/>
      <c r="D24" s="155" t="s">
        <v>301</v>
      </c>
      <c r="E24" s="155"/>
      <c r="F24" s="206">
        <v>0</v>
      </c>
      <c r="G24" s="206"/>
      <c r="H24" s="43"/>
      <c r="I24" s="8"/>
    </row>
    <row r="25" spans="1:9" ht="24.75" customHeight="1">
      <c r="A25" s="2"/>
      <c r="B25" s="252"/>
      <c r="C25" s="253"/>
      <c r="D25" s="252"/>
      <c r="E25" s="253"/>
      <c r="F25" s="224"/>
      <c r="G25" s="225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2435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20 September 2025 - 19 October 2025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275" t="s">
        <v>46</v>
      </c>
      <c r="C33" s="275"/>
      <c r="D33" s="276" t="s">
        <v>47</v>
      </c>
      <c r="E33" s="276"/>
      <c r="F33" s="276" t="s">
        <v>48</v>
      </c>
      <c r="G33" s="276"/>
      <c r="H33" s="43"/>
      <c r="I33" s="8"/>
    </row>
    <row r="34" spans="1:9" ht="24.75" customHeight="1">
      <c r="A34" s="80"/>
      <c r="B34" s="154" t="s">
        <v>50</v>
      </c>
      <c r="C34" s="154"/>
      <c r="D34" s="155" t="s">
        <v>51</v>
      </c>
      <c r="E34" s="155"/>
      <c r="F34" s="206">
        <v>2435</v>
      </c>
      <c r="G34" s="206"/>
      <c r="H34" s="43"/>
      <c r="I34" s="8"/>
    </row>
    <row r="35" spans="1:9" ht="24.75" customHeight="1">
      <c r="A35" s="80" t="s">
        <v>338</v>
      </c>
      <c r="B35" s="154" t="s">
        <v>68</v>
      </c>
      <c r="C35" s="154"/>
      <c r="D35" s="155" t="s">
        <v>178</v>
      </c>
      <c r="E35" s="155"/>
      <c r="F35" s="206">
        <v>0</v>
      </c>
      <c r="G35" s="206"/>
      <c r="H35" s="43"/>
      <c r="I35" s="8"/>
    </row>
    <row r="36" spans="1:9" ht="24.75" customHeight="1">
      <c r="A36" s="2"/>
      <c r="B36" s="252" t="s">
        <v>53</v>
      </c>
      <c r="C36" s="253"/>
      <c r="D36" s="288"/>
      <c r="E36" s="289"/>
      <c r="F36" s="224">
        <v>0</v>
      </c>
      <c r="G36" s="225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2435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2025 to October 2025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88" t="s">
        <v>212</v>
      </c>
      <c r="B47" s="113"/>
      <c r="C47" s="85">
        <v>78</v>
      </c>
      <c r="D47" s="43"/>
      <c r="E47" s="43"/>
      <c r="F47" s="43"/>
      <c r="G47" s="43"/>
      <c r="H47" s="43"/>
      <c r="I47" s="8"/>
    </row>
    <row r="48" spans="1:9" ht="24.75" customHeight="1">
      <c r="A48" s="88" t="s">
        <v>302</v>
      </c>
      <c r="B48" s="84" t="s">
        <v>309</v>
      </c>
      <c r="C48" s="85">
        <v>0</v>
      </c>
      <c r="D48" s="43"/>
      <c r="E48" s="43"/>
      <c r="F48" s="43"/>
      <c r="G48" s="43"/>
      <c r="H48" s="43"/>
      <c r="I48" s="8"/>
    </row>
    <row r="49" spans="1:9" ht="24.75" customHeight="1">
      <c r="A49" s="88" t="s">
        <v>77</v>
      </c>
      <c r="B49" s="113" t="s">
        <v>262</v>
      </c>
      <c r="C49" s="85">
        <v>149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227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125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88" t="s">
        <v>101</v>
      </c>
      <c r="B87" s="84" t="s">
        <v>102</v>
      </c>
      <c r="C87" s="85">
        <v>0</v>
      </c>
      <c r="D87" s="43"/>
      <c r="E87" s="43"/>
      <c r="F87" s="43"/>
      <c r="G87" s="43"/>
      <c r="H87" s="43"/>
      <c r="I87" s="8"/>
    </row>
    <row r="88" spans="1:9" ht="24.75" customHeight="1">
      <c r="A88" s="91" t="s">
        <v>103</v>
      </c>
      <c r="B88" s="92" t="s">
        <v>339</v>
      </c>
      <c r="C88" s="85">
        <v>68</v>
      </c>
      <c r="D88" s="43"/>
      <c r="E88" s="43"/>
      <c r="F88" s="43"/>
      <c r="G88" s="43"/>
      <c r="H88" s="43"/>
      <c r="I88" s="8"/>
    </row>
    <row r="89" spans="1:9" ht="24.75" customHeight="1">
      <c r="A89" s="88" t="s">
        <v>105</v>
      </c>
      <c r="B89" s="113" t="s">
        <v>310</v>
      </c>
      <c r="C89" s="85">
        <v>52</v>
      </c>
      <c r="D89" s="43"/>
      <c r="E89" s="43"/>
      <c r="F89" s="43"/>
      <c r="G89" s="43"/>
      <c r="H89" s="43"/>
      <c r="I89" s="8"/>
    </row>
    <row r="90" spans="1:9" ht="24.75" customHeight="1">
      <c r="A90" s="88" t="s">
        <v>300</v>
      </c>
      <c r="B90" s="84" t="s">
        <v>311</v>
      </c>
      <c r="C90" s="85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120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347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86" t="s">
        <v>112</v>
      </c>
      <c r="B98" s="18"/>
      <c r="C98" s="27">
        <f>('April 2025 - June 2025'!C98)+SUM(E118+E145+E172)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86" t="s">
        <v>113</v>
      </c>
      <c r="B99" s="18"/>
      <c r="C99" s="27">
        <f>('April 2025 - June 2025'!C99)+SUM(E119+E146+E173)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86" t="s">
        <v>114</v>
      </c>
      <c r="B100" s="18"/>
      <c r="C100" s="27">
        <f>('April 2025 - June 2025'!C100)+SUM(E120+E147+E174)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88" t="s">
        <v>115</v>
      </c>
      <c r="B101" s="18"/>
      <c r="C101" s="27">
        <f>('April 2025 - June 2025'!C101)+SUM(E121+E148+E175)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88" t="s">
        <v>116</v>
      </c>
      <c r="B102" s="18"/>
      <c r="C102" s="27">
        <f>('April 2025 - June 2025'!C102)+SUM(E122+E149+E176)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('April 2025 - June 2025'!C103)+SUM(E123+E150+E177)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('April 2025 - June 2025'!C104)+SUM(E124+E151+E178)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('April 2025 - June 2025'!C105)+SUM(E125+E152+E179)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('April 2025 - June 2025'!C106)+SUM(E126+E153+E180)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('April 2025 - June 2025'!C107)+SUM(E127+E154+E181)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347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20 2025 to August 19 2025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IF(Main!B2,TEXT(EDATE(Main!B3,15)-1,"mmmm yyyy"),TEXT(Main!B3+((Main!B5-Main!B3)*15+14),"mmmm yyyy"))</f>
        <v>Balance Brought Forward From July 2025</v>
      </c>
      <c r="B116" s="130"/>
      <c r="C116" s="202"/>
      <c r="D116" s="202"/>
      <c r="E116" s="56">
        <f>'April 2025 - June 2025'!E190</f>
        <v>473.79999999999836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74" t="s">
        <v>340</v>
      </c>
      <c r="D118" s="174"/>
      <c r="E118" s="85">
        <v>800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90" customHeight="1">
      <c r="A129" s="50"/>
      <c r="B129" s="51"/>
      <c r="C129" s="192" t="s">
        <v>341</v>
      </c>
      <c r="D129" s="192"/>
      <c r="E129" s="85">
        <v>819</v>
      </c>
      <c r="F129" s="43"/>
      <c r="G129" s="43"/>
      <c r="H129" s="43"/>
      <c r="I129" s="8"/>
    </row>
    <row r="130" spans="1:9" ht="117.75" customHeight="1">
      <c r="A130" s="50"/>
      <c r="B130" s="51"/>
      <c r="C130" s="192" t="s">
        <v>322</v>
      </c>
      <c r="D130" s="192"/>
      <c r="E130" s="85">
        <v>517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347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425.79999999999836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20 2025 to September 19 2025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IF(Main!B2,TEXT(EDATE(Main!B3,16)-1,"mmmm yyyy"),TEXT(Main!B3+((Main!B5-Main!B3)*16+15),"mmmm yyyy"))</f>
        <v>Balance Brought Forward From August 2025</v>
      </c>
      <c r="B143" s="130"/>
      <c r="C143" s="202"/>
      <c r="D143" s="202"/>
      <c r="E143" s="30">
        <f>E136</f>
        <v>425.79999999999836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74" t="s">
        <v>342</v>
      </c>
      <c r="D145" s="174"/>
      <c r="E145" s="85">
        <v>1400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343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85.5" customHeight="1">
      <c r="A156" s="141"/>
      <c r="B156" s="142"/>
      <c r="C156" s="192" t="s">
        <v>344</v>
      </c>
      <c r="D156" s="192"/>
      <c r="E156" s="85">
        <v>175</v>
      </c>
      <c r="F156" s="43"/>
      <c r="G156" s="43"/>
      <c r="H156" s="43"/>
      <c r="I156" s="8"/>
    </row>
    <row r="157" spans="1:9" ht="117" customHeight="1">
      <c r="A157" s="141"/>
      <c r="B157" s="142"/>
      <c r="C157" s="192" t="s">
        <v>322</v>
      </c>
      <c r="D157" s="192"/>
      <c r="E157" s="85">
        <v>517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347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421.79999999999836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20 2025 to October 19 2025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IF(Main!B2,TEXT(EDATE(Main!B3,17)-1,"mmmm yyyy"),TEXT(Main!B3+((Main!B5-Main!B3)*17+16),"mmmm yyyy"))</f>
        <v>Balance Brought Forward From September 2025</v>
      </c>
      <c r="B170" s="130"/>
      <c r="C170" s="202"/>
      <c r="D170" s="202"/>
      <c r="E170" s="39">
        <f>E163</f>
        <v>421.79999999999836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74" t="s">
        <v>345</v>
      </c>
      <c r="D172" s="174"/>
      <c r="E172" s="27">
        <v>883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116.25" customHeight="1">
      <c r="A183" s="141"/>
      <c r="B183" s="142"/>
      <c r="C183" s="192" t="s">
        <v>346</v>
      </c>
      <c r="D183" s="192"/>
      <c r="E183" s="85">
        <v>669</v>
      </c>
      <c r="F183" s="43"/>
      <c r="G183" s="43"/>
      <c r="H183" s="43"/>
      <c r="I183" s="8"/>
    </row>
    <row r="184" spans="1:9" ht="116.25" customHeight="1">
      <c r="A184" s="141"/>
      <c r="B184" s="142"/>
      <c r="C184" s="192" t="s">
        <v>322</v>
      </c>
      <c r="D184" s="192"/>
      <c r="E184" s="85">
        <v>517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347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440.79999999999836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28:C28"/>
    <mergeCell ref="D28:E28"/>
    <mergeCell ref="F28:G28"/>
    <mergeCell ref="A32:G32"/>
    <mergeCell ref="B33:C33"/>
    <mergeCell ref="D33:E33"/>
    <mergeCell ref="F33:G33"/>
    <mergeCell ref="F34:G34"/>
    <mergeCell ref="F35:G35"/>
    <mergeCell ref="D34:E34"/>
    <mergeCell ref="D35:E35"/>
    <mergeCell ref="B34:C34"/>
    <mergeCell ref="B35:C35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540" priority="65" operator="equal">
      <formula>0</formula>
    </cfRule>
  </conditionalFormatting>
  <conditionalFormatting sqref="C50:C55 C85 C78:C79 C95:C96 E144 E155 E158:E162">
    <cfRule type="cellIs" dxfId="539" priority="64" operator="greaterThan">
      <formula>0</formula>
    </cfRule>
  </conditionalFormatting>
  <conditionalFormatting sqref="C57:C66">
    <cfRule type="cellIs" dxfId="538" priority="63" operator="equal">
      <formula>0</formula>
    </cfRule>
  </conditionalFormatting>
  <conditionalFormatting sqref="C57:C66">
    <cfRule type="cellIs" dxfId="537" priority="62" operator="greaterThan">
      <formula>0</formula>
    </cfRule>
  </conditionalFormatting>
  <conditionalFormatting sqref="C68:C69">
    <cfRule type="cellIs" dxfId="536" priority="61" operator="equal">
      <formula>0</formula>
    </cfRule>
  </conditionalFormatting>
  <conditionalFormatting sqref="C68:C69">
    <cfRule type="cellIs" dxfId="535" priority="60" operator="greaterThan">
      <formula>0</formula>
    </cfRule>
  </conditionalFormatting>
  <conditionalFormatting sqref="C75">
    <cfRule type="cellIs" dxfId="534" priority="59" operator="equal">
      <formula>0</formula>
    </cfRule>
  </conditionalFormatting>
  <conditionalFormatting sqref="C75">
    <cfRule type="cellIs" dxfId="533" priority="58" operator="greaterThan">
      <formula>0</formula>
    </cfRule>
  </conditionalFormatting>
  <conditionalFormatting sqref="C77">
    <cfRule type="cellIs" dxfId="532" priority="57" operator="equal">
      <formula>0</formula>
    </cfRule>
  </conditionalFormatting>
  <conditionalFormatting sqref="C77">
    <cfRule type="cellIs" dxfId="531" priority="56" operator="greaterThan">
      <formula>0</formula>
    </cfRule>
  </conditionalFormatting>
  <conditionalFormatting sqref="E117 E128 E131:E135">
    <cfRule type="cellIs" dxfId="530" priority="53" operator="equal">
      <formula>0</formula>
    </cfRule>
  </conditionalFormatting>
  <conditionalFormatting sqref="E117 E128 E131:E135">
    <cfRule type="cellIs" dxfId="529" priority="52" operator="greaterThan">
      <formula>0</formula>
    </cfRule>
  </conditionalFormatting>
  <conditionalFormatting sqref="E136">
    <cfRule type="cellIs" dxfId="528" priority="51" operator="greaterThanOrEqual">
      <formula>0</formula>
    </cfRule>
  </conditionalFormatting>
  <conditionalFormatting sqref="E136">
    <cfRule type="cellIs" dxfId="527" priority="50" operator="lessThan">
      <formula>0</formula>
    </cfRule>
  </conditionalFormatting>
  <conditionalFormatting sqref="C70:C74">
    <cfRule type="cellIs" dxfId="526" priority="49" operator="equal">
      <formula>0</formula>
    </cfRule>
  </conditionalFormatting>
  <conditionalFormatting sqref="C70:C74">
    <cfRule type="cellIs" dxfId="525" priority="48" operator="greaterThan">
      <formula>0</formula>
    </cfRule>
  </conditionalFormatting>
  <conditionalFormatting sqref="C80:C84">
    <cfRule type="cellIs" dxfId="524" priority="47" operator="equal">
      <formula>0</formula>
    </cfRule>
  </conditionalFormatting>
  <conditionalFormatting sqref="C80:C84">
    <cfRule type="cellIs" dxfId="523" priority="46" operator="greaterThan">
      <formula>0</formula>
    </cfRule>
  </conditionalFormatting>
  <conditionalFormatting sqref="C91:C94">
    <cfRule type="cellIs" dxfId="522" priority="45" operator="equal">
      <formula>0</formula>
    </cfRule>
  </conditionalFormatting>
  <conditionalFormatting sqref="C91:C94">
    <cfRule type="cellIs" dxfId="521" priority="44" operator="greaterThan">
      <formula>0</formula>
    </cfRule>
  </conditionalFormatting>
  <conditionalFormatting sqref="C108:C109">
    <cfRule type="cellIs" dxfId="520" priority="43" operator="greaterThanOrEqual">
      <formula>0</formula>
    </cfRule>
  </conditionalFormatting>
  <conditionalFormatting sqref="C108:C109">
    <cfRule type="cellIs" dxfId="519" priority="42" operator="lessThan">
      <formula>0</formula>
    </cfRule>
  </conditionalFormatting>
  <conditionalFormatting sqref="E144 E155 E158:E162">
    <cfRule type="cellIs" dxfId="518" priority="41" operator="equal">
      <formula>0</formula>
    </cfRule>
  </conditionalFormatting>
  <conditionalFormatting sqref="E163">
    <cfRule type="cellIs" dxfId="517" priority="40" operator="greaterThanOrEqual">
      <formula>0</formula>
    </cfRule>
  </conditionalFormatting>
  <conditionalFormatting sqref="E163">
    <cfRule type="cellIs" dxfId="516" priority="39" operator="lessThan">
      <formula>0</formula>
    </cfRule>
  </conditionalFormatting>
  <conditionalFormatting sqref="E143">
    <cfRule type="cellIs" dxfId="515" priority="38" operator="greaterThanOrEqual">
      <formula>0</formula>
    </cfRule>
  </conditionalFormatting>
  <conditionalFormatting sqref="E143">
    <cfRule type="cellIs" dxfId="514" priority="37" operator="lessThan">
      <formula>0</formula>
    </cfRule>
  </conditionalFormatting>
  <conditionalFormatting sqref="E171 E182 E185:E189">
    <cfRule type="cellIs" dxfId="513" priority="36" operator="equal">
      <formula>0</formula>
    </cfRule>
  </conditionalFormatting>
  <conditionalFormatting sqref="E171 E182 E185:E189">
    <cfRule type="cellIs" dxfId="512" priority="35" operator="greaterThan">
      <formula>0</formula>
    </cfRule>
  </conditionalFormatting>
  <conditionalFormatting sqref="E190">
    <cfRule type="cellIs" dxfId="511" priority="34" operator="greaterThanOrEqual">
      <formula>0</formula>
    </cfRule>
  </conditionalFormatting>
  <conditionalFormatting sqref="E190">
    <cfRule type="cellIs" dxfId="510" priority="33" operator="lessThan">
      <formula>0</formula>
    </cfRule>
  </conditionalFormatting>
  <conditionalFormatting sqref="E170">
    <cfRule type="cellIs" dxfId="509" priority="32" operator="greaterThanOrEqual">
      <formula>0</formula>
    </cfRule>
  </conditionalFormatting>
  <conditionalFormatting sqref="E170">
    <cfRule type="cellIs" dxfId="508" priority="31" operator="lessThan">
      <formula>0</formula>
    </cfRule>
  </conditionalFormatting>
  <conditionalFormatting sqref="C98:C107">
    <cfRule type="cellIs" dxfId="507" priority="28" operator="lessThan">
      <formula>0</formula>
    </cfRule>
  </conditionalFormatting>
  <conditionalFormatting sqref="C98:C107">
    <cfRule type="cellIs" dxfId="506" priority="27" operator="greaterThanOrEqual">
      <formula>0</formula>
    </cfRule>
  </conditionalFormatting>
  <conditionalFormatting sqref="E119:E127">
    <cfRule type="cellIs" dxfId="505" priority="26" operator="equal">
      <formula>0</formula>
    </cfRule>
  </conditionalFormatting>
  <conditionalFormatting sqref="E119:E127">
    <cfRule type="cellIs" dxfId="504" priority="25" operator="greaterThan">
      <formula>0</formula>
    </cfRule>
  </conditionalFormatting>
  <conditionalFormatting sqref="E146:E154">
    <cfRule type="cellIs" dxfId="503" priority="24" operator="equal">
      <formula>0</formula>
    </cfRule>
  </conditionalFormatting>
  <conditionalFormatting sqref="E146:E154">
    <cfRule type="cellIs" dxfId="502" priority="23" operator="greaterThan">
      <formula>0</formula>
    </cfRule>
  </conditionalFormatting>
  <conditionalFormatting sqref="E172:E181">
    <cfRule type="cellIs" dxfId="501" priority="22" operator="equal">
      <formula>0</formula>
    </cfRule>
  </conditionalFormatting>
  <conditionalFormatting sqref="E172:E181">
    <cfRule type="cellIs" dxfId="500" priority="21" operator="greaterThan">
      <formula>0</formula>
    </cfRule>
  </conditionalFormatting>
  <conditionalFormatting sqref="E116">
    <cfRule type="cellIs" dxfId="499" priority="20" operator="greaterThanOrEqual">
      <formula>0</formula>
    </cfRule>
  </conditionalFormatting>
  <conditionalFormatting sqref="E116">
    <cfRule type="cellIs" dxfId="498" priority="19" operator="lessThan">
      <formula>0</formula>
    </cfRule>
  </conditionalFormatting>
  <conditionalFormatting sqref="C48">
    <cfRule type="cellIs" dxfId="497" priority="18" operator="equal">
      <formula>0</formula>
    </cfRule>
  </conditionalFormatting>
  <conditionalFormatting sqref="C47 C49">
    <cfRule type="cellIs" dxfId="496" priority="17" operator="equal">
      <formula>0</formula>
    </cfRule>
  </conditionalFormatting>
  <conditionalFormatting sqref="C90">
    <cfRule type="cellIs" dxfId="495" priority="16" operator="equal">
      <formula>0</formula>
    </cfRule>
  </conditionalFormatting>
  <conditionalFormatting sqref="C87:C90">
    <cfRule type="cellIs" dxfId="494" priority="15" operator="equal">
      <formula>0</formula>
    </cfRule>
  </conditionalFormatting>
  <conditionalFormatting sqref="E129">
    <cfRule type="cellIs" dxfId="493" priority="14" operator="equal">
      <formula>0</formula>
    </cfRule>
  </conditionalFormatting>
  <conditionalFormatting sqref="E118">
    <cfRule type="cellIs" dxfId="492" priority="13" operator="equal">
      <formula>0</formula>
    </cfRule>
  </conditionalFormatting>
  <conditionalFormatting sqref="E130">
    <cfRule type="cellIs" dxfId="491" priority="12" operator="equal">
      <formula>0</formula>
    </cfRule>
  </conditionalFormatting>
  <conditionalFormatting sqref="E130">
    <cfRule type="cellIs" dxfId="490" priority="11" operator="equal">
      <formula>0</formula>
    </cfRule>
  </conditionalFormatting>
  <conditionalFormatting sqref="E156">
    <cfRule type="cellIs" dxfId="489" priority="10" operator="equal">
      <formula>0</formula>
    </cfRule>
  </conditionalFormatting>
  <conditionalFormatting sqref="E145">
    <cfRule type="cellIs" dxfId="488" priority="9" operator="equal">
      <formula>0</formula>
    </cfRule>
  </conditionalFormatting>
  <conditionalFormatting sqref="E157">
    <cfRule type="cellIs" dxfId="487" priority="8" operator="equal">
      <formula>0</formula>
    </cfRule>
  </conditionalFormatting>
  <conditionalFormatting sqref="E157">
    <cfRule type="cellIs" dxfId="486" priority="7" operator="equal">
      <formula>0</formula>
    </cfRule>
  </conditionalFormatting>
  <conditionalFormatting sqref="E183">
    <cfRule type="cellIs" dxfId="485" priority="6" operator="equal">
      <formula>0</formula>
    </cfRule>
  </conditionalFormatting>
  <conditionalFormatting sqref="E184">
    <cfRule type="cellIs" dxfId="484" priority="4" operator="equal">
      <formula>0</formula>
    </cfRule>
  </conditionalFormatting>
  <conditionalFormatting sqref="E184">
    <cfRule type="cellIs" dxfId="483" priority="3" operator="equal">
      <formula>0</formula>
    </cfRule>
  </conditionalFormatting>
  <conditionalFormatting sqref="C5">
    <cfRule type="cellIs" dxfId="482" priority="2" operator="greaterThanOrEqual">
      <formula>0</formula>
    </cfRule>
  </conditionalFormatting>
  <conditionalFormatting sqref="C5">
    <cfRule type="cellIs" dxfId="481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23" workbookViewId="0">
      <selection activeCell="A22" sqref="A22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247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2025 to January 2026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8.5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20 October 2025 - 19 November 2025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275" t="s">
        <v>46</v>
      </c>
      <c r="C9" s="275"/>
      <c r="D9" s="276" t="s">
        <v>47</v>
      </c>
      <c r="E9" s="276"/>
      <c r="F9" s="276" t="s">
        <v>48</v>
      </c>
      <c r="G9" s="276"/>
      <c r="H9" s="43"/>
      <c r="I9" s="8"/>
    </row>
    <row r="10" spans="1:9" ht="24.75" customHeight="1">
      <c r="A10" s="80"/>
      <c r="B10" s="154" t="s">
        <v>50</v>
      </c>
      <c r="C10" s="154"/>
      <c r="D10" s="155" t="s">
        <v>51</v>
      </c>
      <c r="E10" s="155"/>
      <c r="F10" s="206">
        <v>2435</v>
      </c>
      <c r="G10" s="206"/>
      <c r="H10" s="43"/>
      <c r="I10" s="8"/>
    </row>
    <row r="11" spans="1:9" ht="24.75" customHeight="1">
      <c r="A11" s="80" t="s">
        <v>347</v>
      </c>
      <c r="B11" s="154" t="s">
        <v>68</v>
      </c>
      <c r="C11" s="154"/>
      <c r="D11" s="155" t="s">
        <v>178</v>
      </c>
      <c r="E11" s="155"/>
      <c r="F11" s="206">
        <v>0</v>
      </c>
      <c r="G11" s="206"/>
      <c r="H11" s="43"/>
      <c r="I11" s="8"/>
    </row>
    <row r="12" spans="1:9" ht="24.75" customHeight="1">
      <c r="A12" s="80"/>
      <c r="B12" s="154" t="s">
        <v>300</v>
      </c>
      <c r="C12" s="154"/>
      <c r="D12" s="155" t="s">
        <v>301</v>
      </c>
      <c r="E12" s="155"/>
      <c r="F12" s="206">
        <v>0</v>
      </c>
      <c r="G12" s="206"/>
      <c r="H12" s="43"/>
      <c r="I12" s="8"/>
    </row>
    <row r="13" spans="1:9" ht="24.75" customHeight="1">
      <c r="A13" s="2"/>
      <c r="B13" s="252" t="s">
        <v>54</v>
      </c>
      <c r="C13" s="253"/>
      <c r="D13" s="288"/>
      <c r="E13" s="289"/>
      <c r="F13" s="224">
        <v>0</v>
      </c>
      <c r="G13" s="225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2435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20 November 2025 - 19 December 2025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275" t="s">
        <v>46</v>
      </c>
      <c r="C21" s="275"/>
      <c r="D21" s="276" t="s">
        <v>47</v>
      </c>
      <c r="E21" s="276"/>
      <c r="F21" s="276" t="s">
        <v>48</v>
      </c>
      <c r="G21" s="276"/>
      <c r="H21" s="43"/>
      <c r="I21" s="8"/>
    </row>
    <row r="22" spans="1:9" ht="24.75" customHeight="1">
      <c r="A22" s="80"/>
      <c r="B22" s="154" t="s">
        <v>50</v>
      </c>
      <c r="C22" s="154"/>
      <c r="D22" s="155" t="s">
        <v>51</v>
      </c>
      <c r="E22" s="155"/>
      <c r="F22" s="206">
        <v>2435</v>
      </c>
      <c r="G22" s="206"/>
      <c r="H22" s="43"/>
      <c r="I22" s="8"/>
    </row>
    <row r="23" spans="1:9" ht="24.75" customHeight="1">
      <c r="A23" s="80" t="s">
        <v>348</v>
      </c>
      <c r="B23" s="154" t="s">
        <v>68</v>
      </c>
      <c r="C23" s="154"/>
      <c r="D23" s="155" t="s">
        <v>178</v>
      </c>
      <c r="E23" s="155"/>
      <c r="F23" s="206">
        <v>0</v>
      </c>
      <c r="G23" s="206"/>
      <c r="H23" s="43"/>
      <c r="I23" s="8"/>
    </row>
    <row r="24" spans="1:9" ht="24.75" customHeight="1">
      <c r="A24" s="2"/>
      <c r="B24" s="252"/>
      <c r="C24" s="253"/>
      <c r="D24" s="252"/>
      <c r="E24" s="253"/>
      <c r="F24" s="224"/>
      <c r="G24" s="225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2435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20 December 2025 - 19 January 2026 /  (Revenue / Deferred Debts Or Expenses)</v>
      </c>
      <c r="B32" s="295"/>
      <c r="C32" s="295"/>
      <c r="D32" s="295"/>
      <c r="E32" s="295"/>
      <c r="F32" s="295"/>
      <c r="G32" s="295"/>
      <c r="H32" s="43"/>
      <c r="I32" s="8"/>
    </row>
    <row r="33" spans="1:9" ht="24.75" customHeight="1">
      <c r="A33" s="101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80"/>
      <c r="B34" s="252" t="s">
        <v>50</v>
      </c>
      <c r="C34" s="253"/>
      <c r="D34" s="252" t="s">
        <v>51</v>
      </c>
      <c r="E34" s="253"/>
      <c r="F34" s="224">
        <v>2435</v>
      </c>
      <c r="G34" s="225"/>
      <c r="H34" s="43"/>
      <c r="I34" s="8"/>
    </row>
    <row r="35" spans="1:9" ht="24.75" customHeight="1">
      <c r="A35" s="80" t="s">
        <v>349</v>
      </c>
      <c r="B35" s="154" t="s">
        <v>68</v>
      </c>
      <c r="C35" s="154"/>
      <c r="D35" s="155" t="s">
        <v>178</v>
      </c>
      <c r="E35" s="155"/>
      <c r="F35" s="206">
        <v>0</v>
      </c>
      <c r="G35" s="206"/>
      <c r="H35" s="43"/>
      <c r="I35" s="8"/>
    </row>
    <row r="36" spans="1:9" ht="24.75" customHeight="1">
      <c r="A36" s="80"/>
      <c r="B36" s="154" t="s">
        <v>300</v>
      </c>
      <c r="C36" s="154"/>
      <c r="D36" s="155" t="s">
        <v>301</v>
      </c>
      <c r="E36" s="155"/>
      <c r="F36" s="206">
        <v>0</v>
      </c>
      <c r="G36" s="206"/>
      <c r="H36" s="43"/>
      <c r="I36" s="36"/>
    </row>
    <row r="37" spans="1:9" ht="24.75" customHeight="1">
      <c r="A37" s="2"/>
      <c r="B37" s="252" t="s">
        <v>54</v>
      </c>
      <c r="C37" s="253"/>
      <c r="D37" s="288"/>
      <c r="E37" s="289"/>
      <c r="F37" s="224">
        <v>0</v>
      </c>
      <c r="G37" s="225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2435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2025 to January 2026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88" t="s">
        <v>212</v>
      </c>
      <c r="B47" s="113"/>
      <c r="C47" s="85">
        <v>78</v>
      </c>
      <c r="D47" s="43"/>
      <c r="E47" s="43"/>
      <c r="F47" s="43"/>
      <c r="G47" s="43"/>
      <c r="H47" s="43"/>
      <c r="I47" s="8"/>
    </row>
    <row r="48" spans="1:9" ht="24.75" customHeight="1">
      <c r="A48" s="88" t="s">
        <v>302</v>
      </c>
      <c r="B48" s="84" t="s">
        <v>309</v>
      </c>
      <c r="C48" s="85">
        <v>0</v>
      </c>
      <c r="D48" s="43"/>
      <c r="E48" s="43"/>
      <c r="F48" s="43"/>
      <c r="G48" s="43"/>
      <c r="H48" s="43"/>
      <c r="I48" s="8"/>
    </row>
    <row r="49" spans="1:9" ht="24.75" customHeight="1">
      <c r="A49" s="88" t="s">
        <v>77</v>
      </c>
      <c r="B49" s="113" t="s">
        <v>262</v>
      </c>
      <c r="C49" s="85">
        <v>149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227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125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88" t="s">
        <v>101</v>
      </c>
      <c r="B87" s="84" t="s">
        <v>102</v>
      </c>
      <c r="C87" s="85">
        <v>0</v>
      </c>
      <c r="D87" s="43"/>
      <c r="E87" s="43"/>
      <c r="F87" s="43"/>
      <c r="G87" s="43"/>
      <c r="H87" s="43"/>
      <c r="I87" s="8"/>
    </row>
    <row r="88" spans="1:9" ht="24.75" customHeight="1">
      <c r="A88" s="91" t="s">
        <v>103</v>
      </c>
      <c r="B88" s="92" t="s">
        <v>104</v>
      </c>
      <c r="C88" s="85">
        <v>68</v>
      </c>
      <c r="D88" s="43"/>
      <c r="E88" s="43"/>
      <c r="F88" s="43"/>
      <c r="G88" s="43"/>
      <c r="H88" s="43"/>
      <c r="I88" s="8"/>
    </row>
    <row r="89" spans="1:9" ht="24.75" customHeight="1">
      <c r="A89" s="88" t="s">
        <v>105</v>
      </c>
      <c r="B89" s="113" t="s">
        <v>310</v>
      </c>
      <c r="C89" s="85">
        <v>52</v>
      </c>
      <c r="D89" s="43"/>
      <c r="E89" s="43"/>
      <c r="F89" s="43"/>
      <c r="G89" s="43"/>
      <c r="H89" s="43"/>
      <c r="I89" s="8"/>
    </row>
    <row r="90" spans="1:9" ht="24.75" customHeight="1">
      <c r="A90" s="88" t="s">
        <v>300</v>
      </c>
      <c r="B90" s="84" t="s">
        <v>311</v>
      </c>
      <c r="C90" s="85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120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347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86" t="s">
        <v>112</v>
      </c>
      <c r="B98" s="18"/>
      <c r="C98" s="27">
        <f>('July 2025 - September 2025'!C98)+SUM(E118+E145+E172)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86" t="s">
        <v>113</v>
      </c>
      <c r="B99" s="18"/>
      <c r="C99" s="27">
        <f>('July 2025 - September 2025'!C99)+SUM(E119+E146+E173)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86" t="s">
        <v>114</v>
      </c>
      <c r="B100" s="18"/>
      <c r="C100" s="27">
        <f>('July 2025 - September 2025'!C100)+SUM(E120+E147+E174)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88" t="s">
        <v>115</v>
      </c>
      <c r="B101" s="18"/>
      <c r="C101" s="27">
        <f>('July 2025 - September 2025'!C101)+SUM(E121+E148+E175)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88" t="s">
        <v>116</v>
      </c>
      <c r="B102" s="18"/>
      <c r="C102" s="27">
        <f>('July 2025 - September 2025'!C102)+SUM(E122+E149+E176)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('July 2025 - September 2025'!C103)+SUM(E123+E150+E177)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('July 2025 - September 2025'!C104)+SUM(E124+E151+E178)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('July 2025 - September 2025'!C105)+SUM(E125+E152+E179)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('July 2025 - September 2025'!C106)+SUM(E126+E153+E180)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('July 2025 - September 2025'!C107)+SUM(E127+E154+E181)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347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20 2025 to November 19 2025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IF(Main!B2,TEXT(EDATE(Main!B3,18)-1,"mmmm yyyy"),TEXT(Main!B3+((Main!B5-Main!B3)*18+17),"mmmm yyyy"))</f>
        <v>Balance Brought Forward From October 2025</v>
      </c>
      <c r="B116" s="130"/>
      <c r="C116" s="202"/>
      <c r="D116" s="202"/>
      <c r="E116" s="56">
        <f>'July 2025 - September 2025'!E190</f>
        <v>440.79999999999836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80.25" customHeight="1">
      <c r="A129" s="50"/>
      <c r="B129" s="51"/>
      <c r="C129" s="192" t="s">
        <v>350</v>
      </c>
      <c r="D129" s="192"/>
      <c r="E129" s="85">
        <v>450</v>
      </c>
      <c r="F129" s="43"/>
      <c r="G129" s="43"/>
      <c r="H129" s="43"/>
      <c r="I129" s="8"/>
    </row>
    <row r="130" spans="1:9" ht="68.25" customHeight="1">
      <c r="A130" s="50"/>
      <c r="B130" s="51"/>
      <c r="C130" s="192" t="s">
        <v>246</v>
      </c>
      <c r="D130" s="192"/>
      <c r="E130" s="85">
        <v>517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347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1561.7999999999984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20 2025 to December 19 2025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IF(Main!B2,TEXT(EDATE(Main!B3,19)-1,"mmmm yyyy"),TEXT(Main!B3+((Main!B5-Main!B3)*19+18),"mmmm yyyy"))</f>
        <v>Balance Brought Forward From November 2025</v>
      </c>
      <c r="B143" s="130"/>
      <c r="C143" s="202"/>
      <c r="D143" s="202"/>
      <c r="E143" s="30">
        <f>E136</f>
        <v>1561.7999999999984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102.75" customHeight="1">
      <c r="A156" s="141"/>
      <c r="B156" s="142"/>
      <c r="C156" s="192" t="s">
        <v>351</v>
      </c>
      <c r="D156" s="192"/>
      <c r="E156" s="100">
        <v>394</v>
      </c>
      <c r="F156" s="43"/>
      <c r="G156" s="43"/>
      <c r="H156" s="43"/>
      <c r="I156" s="8"/>
    </row>
    <row r="157" spans="1:9" ht="36.75" customHeight="1">
      <c r="A157" s="141"/>
      <c r="B157" s="142"/>
      <c r="C157" s="192" t="s">
        <v>246</v>
      </c>
      <c r="D157" s="192"/>
      <c r="E157" s="100">
        <v>517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347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2738.7999999999984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20 2025 to January 19 2026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IF(Main!B2,TEXT(EDATE(Main!B3,20)-1,"mmmm yyyy"),TEXT(Main!B3+((Main!B5-Main!B3)*20+19),"mmmm yyyy"))</f>
        <v>Balance Brought Forward From December 2025</v>
      </c>
      <c r="B170" s="130"/>
      <c r="C170" s="202"/>
      <c r="D170" s="202"/>
      <c r="E170" s="39">
        <f>E163</f>
        <v>2738.7999999999984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51" customHeight="1">
      <c r="A183" s="141"/>
      <c r="B183" s="142"/>
      <c r="C183" s="192" t="s">
        <v>350</v>
      </c>
      <c r="D183" s="192"/>
      <c r="E183" s="85">
        <v>450</v>
      </c>
      <c r="F183" s="43"/>
      <c r="G183" s="43"/>
      <c r="H183" s="43"/>
      <c r="I183" s="8"/>
    </row>
    <row r="184" spans="1:9" ht="51" customHeight="1">
      <c r="A184" s="141"/>
      <c r="B184" s="142"/>
      <c r="C184" s="192" t="s">
        <v>246</v>
      </c>
      <c r="D184" s="192"/>
      <c r="E184" s="85">
        <v>517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347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B23:C23"/>
    <mergeCell ref="D22:E22"/>
    <mergeCell ref="D23:E23"/>
    <mergeCell ref="F22:G22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50:C55 C85 C78:C79 C95:C96">
    <cfRule type="cellIs" dxfId="480" priority="60" operator="equal">
      <formula>0</formula>
    </cfRule>
  </conditionalFormatting>
  <conditionalFormatting sqref="C50:C55 C85 C78:C79 C95:C96 E144 E155 E158:E162">
    <cfRule type="cellIs" dxfId="479" priority="59" operator="greaterThan">
      <formula>0</formula>
    </cfRule>
  </conditionalFormatting>
  <conditionalFormatting sqref="C57:C66">
    <cfRule type="cellIs" dxfId="478" priority="58" operator="equal">
      <formula>0</formula>
    </cfRule>
  </conditionalFormatting>
  <conditionalFormatting sqref="C57:C66">
    <cfRule type="cellIs" dxfId="477" priority="57" operator="greaterThan">
      <formula>0</formula>
    </cfRule>
  </conditionalFormatting>
  <conditionalFormatting sqref="C68:C69">
    <cfRule type="cellIs" dxfId="476" priority="56" operator="equal">
      <formula>0</formula>
    </cfRule>
  </conditionalFormatting>
  <conditionalFormatting sqref="C68:C69">
    <cfRule type="cellIs" dxfId="475" priority="55" operator="greaterThan">
      <formula>0</formula>
    </cfRule>
  </conditionalFormatting>
  <conditionalFormatting sqref="C75">
    <cfRule type="cellIs" dxfId="474" priority="54" operator="equal">
      <formula>0</formula>
    </cfRule>
  </conditionalFormatting>
  <conditionalFormatting sqref="C75">
    <cfRule type="cellIs" dxfId="473" priority="53" operator="greaterThan">
      <formula>0</formula>
    </cfRule>
  </conditionalFormatting>
  <conditionalFormatting sqref="C77">
    <cfRule type="cellIs" dxfId="472" priority="52" operator="equal">
      <formula>0</formula>
    </cfRule>
  </conditionalFormatting>
  <conditionalFormatting sqref="C77">
    <cfRule type="cellIs" dxfId="471" priority="51" operator="greaterThan">
      <formula>0</formula>
    </cfRule>
  </conditionalFormatting>
  <conditionalFormatting sqref="E117 E128 E131:E135">
    <cfRule type="cellIs" dxfId="470" priority="48" operator="equal">
      <formula>0</formula>
    </cfRule>
  </conditionalFormatting>
  <conditionalFormatting sqref="E117 E128 E131:E135">
    <cfRule type="cellIs" dxfId="469" priority="47" operator="greaterThan">
      <formula>0</formula>
    </cfRule>
  </conditionalFormatting>
  <conditionalFormatting sqref="E136">
    <cfRule type="cellIs" dxfId="468" priority="46" operator="greaterThanOrEqual">
      <formula>0</formula>
    </cfRule>
  </conditionalFormatting>
  <conditionalFormatting sqref="E136">
    <cfRule type="cellIs" dxfId="467" priority="45" operator="lessThan">
      <formula>0</formula>
    </cfRule>
  </conditionalFormatting>
  <conditionalFormatting sqref="C70:C74">
    <cfRule type="cellIs" dxfId="466" priority="44" operator="equal">
      <formula>0</formula>
    </cfRule>
  </conditionalFormatting>
  <conditionalFormatting sqref="C70:C74">
    <cfRule type="cellIs" dxfId="465" priority="43" operator="greaterThan">
      <formula>0</formula>
    </cfRule>
  </conditionalFormatting>
  <conditionalFormatting sqref="C80:C84">
    <cfRule type="cellIs" dxfId="464" priority="42" operator="equal">
      <formula>0</formula>
    </cfRule>
  </conditionalFormatting>
  <conditionalFormatting sqref="C80:C84">
    <cfRule type="cellIs" dxfId="463" priority="41" operator="greaterThan">
      <formula>0</formula>
    </cfRule>
  </conditionalFormatting>
  <conditionalFormatting sqref="C91:C94">
    <cfRule type="cellIs" dxfId="462" priority="40" operator="equal">
      <formula>0</formula>
    </cfRule>
  </conditionalFormatting>
  <conditionalFormatting sqref="C91:C94">
    <cfRule type="cellIs" dxfId="461" priority="39" operator="greaterThan">
      <formula>0</formula>
    </cfRule>
  </conditionalFormatting>
  <conditionalFormatting sqref="C108:C109">
    <cfRule type="cellIs" dxfId="460" priority="38" operator="equal">
      <formula>0</formula>
    </cfRule>
  </conditionalFormatting>
  <conditionalFormatting sqref="C108:C109">
    <cfRule type="cellIs" dxfId="459" priority="37" operator="greaterThan">
      <formula>0</formula>
    </cfRule>
  </conditionalFormatting>
  <conditionalFormatting sqref="E144 E155 E158:E162">
    <cfRule type="cellIs" dxfId="458" priority="36" operator="equal">
      <formula>0</formula>
    </cfRule>
  </conditionalFormatting>
  <conditionalFormatting sqref="E163">
    <cfRule type="cellIs" dxfId="457" priority="35" operator="greaterThanOrEqual">
      <formula>0</formula>
    </cfRule>
  </conditionalFormatting>
  <conditionalFormatting sqref="E163">
    <cfRule type="cellIs" dxfId="456" priority="34" operator="lessThan">
      <formula>0</formula>
    </cfRule>
  </conditionalFormatting>
  <conditionalFormatting sqref="E143">
    <cfRule type="cellIs" dxfId="455" priority="33" operator="greaterThanOrEqual">
      <formula>0</formula>
    </cfRule>
  </conditionalFormatting>
  <conditionalFormatting sqref="E143">
    <cfRule type="cellIs" dxfId="454" priority="32" operator="lessThan">
      <formula>0</formula>
    </cfRule>
  </conditionalFormatting>
  <conditionalFormatting sqref="E171 E182 E185:E189">
    <cfRule type="cellIs" dxfId="453" priority="31" operator="equal">
      <formula>0</formula>
    </cfRule>
  </conditionalFormatting>
  <conditionalFormatting sqref="E171 E182 E185:E189">
    <cfRule type="cellIs" dxfId="452" priority="30" operator="greaterThan">
      <formula>0</formula>
    </cfRule>
  </conditionalFormatting>
  <conditionalFormatting sqref="E190">
    <cfRule type="cellIs" dxfId="451" priority="29" operator="greaterThanOrEqual">
      <formula>0</formula>
    </cfRule>
  </conditionalFormatting>
  <conditionalFormatting sqref="E190">
    <cfRule type="cellIs" dxfId="450" priority="28" operator="lessThan">
      <formula>0</formula>
    </cfRule>
  </conditionalFormatting>
  <conditionalFormatting sqref="E170">
    <cfRule type="cellIs" dxfId="449" priority="27" operator="greaterThanOrEqual">
      <formula>0</formula>
    </cfRule>
  </conditionalFormatting>
  <conditionalFormatting sqref="E170">
    <cfRule type="cellIs" dxfId="448" priority="26" operator="lessThan">
      <formula>0</formula>
    </cfRule>
  </conditionalFormatting>
  <conditionalFormatting sqref="C5">
    <cfRule type="cellIs" dxfId="447" priority="25" operator="equal">
      <formula>0</formula>
    </cfRule>
  </conditionalFormatting>
  <conditionalFormatting sqref="C5">
    <cfRule type="cellIs" dxfId="446" priority="24" operator="greaterThan">
      <formula>0</formula>
    </cfRule>
  </conditionalFormatting>
  <conditionalFormatting sqref="C98:C107">
    <cfRule type="cellIs" dxfId="445" priority="23" operator="lessThan">
      <formula>0</formula>
    </cfRule>
  </conditionalFormatting>
  <conditionalFormatting sqref="C98:C107">
    <cfRule type="cellIs" dxfId="444" priority="22" operator="greaterThanOrEqual">
      <formula>0</formula>
    </cfRule>
  </conditionalFormatting>
  <conditionalFormatting sqref="E118:E127">
    <cfRule type="cellIs" dxfId="443" priority="21" operator="equal">
      <formula>0</formula>
    </cfRule>
  </conditionalFormatting>
  <conditionalFormatting sqref="E118:E127">
    <cfRule type="cellIs" dxfId="442" priority="20" operator="greaterThan">
      <formula>0</formula>
    </cfRule>
  </conditionalFormatting>
  <conditionalFormatting sqref="E145:E154">
    <cfRule type="cellIs" dxfId="441" priority="19" operator="equal">
      <formula>0</formula>
    </cfRule>
  </conditionalFormatting>
  <conditionalFormatting sqref="E145:E154">
    <cfRule type="cellIs" dxfId="440" priority="18" operator="greaterThan">
      <formula>0</formula>
    </cfRule>
  </conditionalFormatting>
  <conditionalFormatting sqref="E172:E181">
    <cfRule type="cellIs" dxfId="439" priority="17" operator="equal">
      <formula>0</formula>
    </cfRule>
  </conditionalFormatting>
  <conditionalFormatting sqref="E172:E181">
    <cfRule type="cellIs" dxfId="438" priority="16" operator="greaterThan">
      <formula>0</formula>
    </cfRule>
  </conditionalFormatting>
  <conditionalFormatting sqref="E116">
    <cfRule type="cellIs" dxfId="437" priority="15" operator="greaterThanOrEqual">
      <formula>0</formula>
    </cfRule>
  </conditionalFormatting>
  <conditionalFormatting sqref="E116">
    <cfRule type="cellIs" dxfId="436" priority="14" operator="lessThan">
      <formula>0</formula>
    </cfRule>
  </conditionalFormatting>
  <conditionalFormatting sqref="C48">
    <cfRule type="cellIs" dxfId="435" priority="13" operator="equal">
      <formula>0</formula>
    </cfRule>
  </conditionalFormatting>
  <conditionalFormatting sqref="C49 C47">
    <cfRule type="cellIs" dxfId="434" priority="12" operator="equal">
      <formula>0</formula>
    </cfRule>
  </conditionalFormatting>
  <conditionalFormatting sqref="C90">
    <cfRule type="cellIs" dxfId="433" priority="11" operator="equal">
      <formula>0</formula>
    </cfRule>
  </conditionalFormatting>
  <conditionalFormatting sqref="C87:C90">
    <cfRule type="cellIs" dxfId="432" priority="10" operator="equal">
      <formula>0</formula>
    </cfRule>
  </conditionalFormatting>
  <conditionalFormatting sqref="E129">
    <cfRule type="cellIs" dxfId="431" priority="9" operator="equal">
      <formula>0</formula>
    </cfRule>
  </conditionalFormatting>
  <conditionalFormatting sqref="E130">
    <cfRule type="cellIs" dxfId="430" priority="8" operator="equal">
      <formula>0</formula>
    </cfRule>
  </conditionalFormatting>
  <conditionalFormatting sqref="E130">
    <cfRule type="cellIs" dxfId="429" priority="7" operator="equal">
      <formula>0</formula>
    </cfRule>
  </conditionalFormatting>
  <conditionalFormatting sqref="E156">
    <cfRule type="cellIs" dxfId="428" priority="6" operator="equal">
      <formula>0</formula>
    </cfRule>
  </conditionalFormatting>
  <conditionalFormatting sqref="E157">
    <cfRule type="cellIs" dxfId="427" priority="5" operator="equal">
      <formula>0</formula>
    </cfRule>
  </conditionalFormatting>
  <conditionalFormatting sqref="E157">
    <cfRule type="cellIs" dxfId="426" priority="4" operator="equal">
      <formula>0</formula>
    </cfRule>
  </conditionalFormatting>
  <conditionalFormatting sqref="E183">
    <cfRule type="cellIs" dxfId="425" priority="3" operator="equal">
      <formula>0</formula>
    </cfRule>
  </conditionalFormatting>
  <conditionalFormatting sqref="E184">
    <cfRule type="cellIs" dxfId="424" priority="2" operator="equal">
      <formula>0</formula>
    </cfRule>
  </conditionalFormatting>
  <conditionalFormatting sqref="E184">
    <cfRule type="cellIs" dxfId="423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19" workbookViewId="0">
      <selection activeCell="G131" sqref="G131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247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2026 to April 2026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20 January 2026 - 19 February 2026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20 February 2026 - 19 March 2026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20 March 2026 - 19 April 2026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2026 to April 2026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('October 2025 - December 2025'!C98)+SUM(E118+E145+E172)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('October 2025 - December 2025'!C99)+SUM(E119+E146+E173)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('October 2025 - December 2025'!C100)+SUM(E120+E147+E174)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('October 2025 - December 2025'!C101)+SUM(E121+E148+E175)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('October 2025 - December 2025'!C102)+SUM(E122+E149+E176)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('October 2025 - December 2025'!C103)+SUM(E123+E150+E177)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('October 2025 - December 2025'!C104)+SUM(E124+E151+E178)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('October 2025 - December 2025'!C105)+SUM(E125+E152+E179)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('October 2025 - December 2025'!C106)+SUM(E126+E153+E180)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('October 2025 - December 2025'!C107)+SUM(E127+E154+E181)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20 2026 to February 19 2026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IF(Main!B2,TEXT(EDATE(Main!B3,21)-1,"mmmm yyyy"),TEXT(Main!B3+((Main!B5-Main!B3)*21+20),"mmmm yyyy"))</f>
        <v>Balance Brought Forward From January 2026</v>
      </c>
      <c r="B116" s="130"/>
      <c r="C116" s="202"/>
      <c r="D116" s="202"/>
      <c r="E116" s="56">
        <f>'October 2025 - December 2025'!E190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20 2026 to March 19 2026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IF(Main!B2,TEXT(EDATE(Main!B3,22)-1,"mmmm yyyy"),TEXT(Main!B3+((Main!B5-Main!B3)*22+21),"mmmm yyyy"))</f>
        <v>Balance Brought Forward From February 2026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20 2026 to April 19 2026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IF(Main!B2,TEXT(EDATE(Main!B3,23)-1,"mmmm yyyy"),TEXT(Main!B3+((Main!B5-Main!B3)*23+22),"mmmm yyyy"))</f>
        <v>Balance Brought Forward From March 2026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 ht="24.75" customHeight="1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22" priority="47" operator="equal">
      <formula>0</formula>
    </cfRule>
  </conditionalFormatting>
  <conditionalFormatting sqref="C47:C55 C85 C78:C79 C95:C96 E144 E155:E162">
    <cfRule type="cellIs" dxfId="421" priority="46" operator="greaterThan">
      <formula>0</formula>
    </cfRule>
  </conditionalFormatting>
  <conditionalFormatting sqref="C57:C66">
    <cfRule type="cellIs" dxfId="420" priority="45" operator="equal">
      <formula>0</formula>
    </cfRule>
  </conditionalFormatting>
  <conditionalFormatting sqref="C57:C66">
    <cfRule type="cellIs" dxfId="419" priority="44" operator="greaterThan">
      <formula>0</formula>
    </cfRule>
  </conditionalFormatting>
  <conditionalFormatting sqref="C68:C69">
    <cfRule type="cellIs" dxfId="418" priority="43" operator="equal">
      <formula>0</formula>
    </cfRule>
  </conditionalFormatting>
  <conditionalFormatting sqref="C68:C69">
    <cfRule type="cellIs" dxfId="417" priority="42" operator="greaterThan">
      <formula>0</formula>
    </cfRule>
  </conditionalFormatting>
  <conditionalFormatting sqref="C75">
    <cfRule type="cellIs" dxfId="416" priority="41" operator="equal">
      <formula>0</formula>
    </cfRule>
  </conditionalFormatting>
  <conditionalFormatting sqref="C75">
    <cfRule type="cellIs" dxfId="415" priority="40" operator="greaterThan">
      <formula>0</formula>
    </cfRule>
  </conditionalFormatting>
  <conditionalFormatting sqref="C77">
    <cfRule type="cellIs" dxfId="414" priority="39" operator="equal">
      <formula>0</formula>
    </cfRule>
  </conditionalFormatting>
  <conditionalFormatting sqref="C77">
    <cfRule type="cellIs" dxfId="413" priority="38" operator="greaterThan">
      <formula>0</formula>
    </cfRule>
  </conditionalFormatting>
  <conditionalFormatting sqref="C87:C89">
    <cfRule type="cellIs" dxfId="412" priority="37" operator="equal">
      <formula>0</formula>
    </cfRule>
  </conditionalFormatting>
  <conditionalFormatting sqref="C87:C89">
    <cfRule type="cellIs" dxfId="411" priority="36" operator="greaterThan">
      <formula>0</formula>
    </cfRule>
  </conditionalFormatting>
  <conditionalFormatting sqref="E117 E128:E135">
    <cfRule type="cellIs" dxfId="410" priority="35" operator="equal">
      <formula>0</formula>
    </cfRule>
  </conditionalFormatting>
  <conditionalFormatting sqref="E117 E128:E135">
    <cfRule type="cellIs" dxfId="409" priority="34" operator="greaterThan">
      <formula>0</formula>
    </cfRule>
  </conditionalFormatting>
  <conditionalFormatting sqref="E136">
    <cfRule type="cellIs" dxfId="408" priority="33" operator="greaterThanOrEqual">
      <formula>0</formula>
    </cfRule>
  </conditionalFormatting>
  <conditionalFormatting sqref="E136">
    <cfRule type="cellIs" dxfId="407" priority="32" operator="lessThan">
      <formula>0</formula>
    </cfRule>
  </conditionalFormatting>
  <conditionalFormatting sqref="C70:C74">
    <cfRule type="cellIs" dxfId="406" priority="31" operator="equal">
      <formula>0</formula>
    </cfRule>
  </conditionalFormatting>
  <conditionalFormatting sqref="C70:C74">
    <cfRule type="cellIs" dxfId="405" priority="30" operator="greaterThan">
      <formula>0</formula>
    </cfRule>
  </conditionalFormatting>
  <conditionalFormatting sqref="C80:C84">
    <cfRule type="cellIs" dxfId="404" priority="29" operator="equal">
      <formula>0</formula>
    </cfRule>
  </conditionalFormatting>
  <conditionalFormatting sqref="C80:C84">
    <cfRule type="cellIs" dxfId="403" priority="28" operator="greaterThan">
      <formula>0</formula>
    </cfRule>
  </conditionalFormatting>
  <conditionalFormatting sqref="C90:C94">
    <cfRule type="cellIs" dxfId="402" priority="27" operator="equal">
      <formula>0</formula>
    </cfRule>
  </conditionalFormatting>
  <conditionalFormatting sqref="C90:C94">
    <cfRule type="cellIs" dxfId="401" priority="26" operator="greaterThan">
      <formula>0</formula>
    </cfRule>
  </conditionalFormatting>
  <conditionalFormatting sqref="C108:C109">
    <cfRule type="cellIs" dxfId="400" priority="25" operator="equal">
      <formula>0</formula>
    </cfRule>
  </conditionalFormatting>
  <conditionalFormatting sqref="C108:C109">
    <cfRule type="cellIs" dxfId="399" priority="24" operator="greaterThan">
      <formula>0</formula>
    </cfRule>
  </conditionalFormatting>
  <conditionalFormatting sqref="E144 E155:E162">
    <cfRule type="cellIs" dxfId="398" priority="23" operator="equal">
      <formula>0</formula>
    </cfRule>
  </conditionalFormatting>
  <conditionalFormatting sqref="E163">
    <cfRule type="cellIs" dxfId="397" priority="22" operator="greaterThanOrEqual">
      <formula>0</formula>
    </cfRule>
  </conditionalFormatting>
  <conditionalFormatting sqref="E163">
    <cfRule type="cellIs" dxfId="396" priority="21" operator="lessThan">
      <formula>0</formula>
    </cfRule>
  </conditionalFormatting>
  <conditionalFormatting sqref="E143">
    <cfRule type="cellIs" dxfId="395" priority="20" operator="greaterThanOrEqual">
      <formula>0</formula>
    </cfRule>
  </conditionalFormatting>
  <conditionalFormatting sqref="E143">
    <cfRule type="cellIs" dxfId="394" priority="19" operator="lessThan">
      <formula>0</formula>
    </cfRule>
  </conditionalFormatting>
  <conditionalFormatting sqref="E171 E182:E189">
    <cfRule type="cellIs" dxfId="393" priority="18" operator="equal">
      <formula>0</formula>
    </cfRule>
  </conditionalFormatting>
  <conditionalFormatting sqref="E171 E182:E189">
    <cfRule type="cellIs" dxfId="392" priority="17" operator="greaterThan">
      <formula>0</formula>
    </cfRule>
  </conditionalFormatting>
  <conditionalFormatting sqref="E190">
    <cfRule type="cellIs" dxfId="391" priority="16" operator="greaterThanOrEqual">
      <formula>0</formula>
    </cfRule>
  </conditionalFormatting>
  <conditionalFormatting sqref="E190">
    <cfRule type="cellIs" dxfId="390" priority="15" operator="lessThan">
      <formula>0</formula>
    </cfRule>
  </conditionalFormatting>
  <conditionalFormatting sqref="E170">
    <cfRule type="cellIs" dxfId="389" priority="14" operator="greaterThanOrEqual">
      <formula>0</formula>
    </cfRule>
  </conditionalFormatting>
  <conditionalFormatting sqref="E170">
    <cfRule type="cellIs" dxfId="388" priority="13" operator="lessThan">
      <formula>0</formula>
    </cfRule>
  </conditionalFormatting>
  <conditionalFormatting sqref="C5">
    <cfRule type="cellIs" dxfId="387" priority="12" operator="equal">
      <formula>0</formula>
    </cfRule>
  </conditionalFormatting>
  <conditionalFormatting sqref="C5">
    <cfRule type="cellIs" dxfId="386" priority="11" operator="greaterThan">
      <formula>0</formula>
    </cfRule>
  </conditionalFormatting>
  <conditionalFormatting sqref="C98:C107">
    <cfRule type="cellIs" dxfId="385" priority="10" operator="lessThan">
      <formula>0</formula>
    </cfRule>
  </conditionalFormatting>
  <conditionalFormatting sqref="C98:C107">
    <cfRule type="cellIs" dxfId="384" priority="9" operator="greaterThanOrEqual">
      <formula>0</formula>
    </cfRule>
  </conditionalFormatting>
  <conditionalFormatting sqref="E118:E127">
    <cfRule type="cellIs" dxfId="383" priority="8" operator="equal">
      <formula>0</formula>
    </cfRule>
  </conditionalFormatting>
  <conditionalFormatting sqref="E118:E127">
    <cfRule type="cellIs" dxfId="382" priority="7" operator="greaterThan">
      <formula>0</formula>
    </cfRule>
  </conditionalFormatting>
  <conditionalFormatting sqref="E145:E154">
    <cfRule type="cellIs" dxfId="381" priority="6" operator="equal">
      <formula>0</formula>
    </cfRule>
  </conditionalFormatting>
  <conditionalFormatting sqref="E145:E154">
    <cfRule type="cellIs" dxfId="380" priority="5" operator="greaterThan">
      <formula>0</formula>
    </cfRule>
  </conditionalFormatting>
  <conditionalFormatting sqref="E172:E181">
    <cfRule type="cellIs" dxfId="379" priority="4" operator="equal">
      <formula>0</formula>
    </cfRule>
  </conditionalFormatting>
  <conditionalFormatting sqref="E172:E181">
    <cfRule type="cellIs" dxfId="378" priority="3" operator="greaterThan">
      <formula>0</formula>
    </cfRule>
  </conditionalFormatting>
  <conditionalFormatting sqref="E116">
    <cfRule type="cellIs" dxfId="377" priority="2" operator="greaterThanOrEqual">
      <formula>0</formula>
    </cfRule>
  </conditionalFormatting>
  <conditionalFormatting sqref="E116">
    <cfRule type="cellIs" dxfId="376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108" workbookViewId="0">
      <selection activeCell="F130" sqref="F13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247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2026 to July 2026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20 April 2026 - 19 May 2026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20 May 2026 - 19 June 2026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20 June 2026 - 19 July 2026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2026 to July 2026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(Forecast_8!C98)+SUM(E118+E145+E172)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(Forecast_8!C99)+SUM(E119+E146+E173)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(Forecast_8!C100)+SUM(E120+E147+E174)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(Forecast_8!C101)+SUM(E121+E148+E175)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(Forecast_8!C102)+SUM(E122+E149+E176)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(Forecast_8!C103)+SUM(E123+E150+E177)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(Forecast_8!C104)+SUM(E124+E151+E178)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(Forecast_8!C105)+SUM(E125+E152+E179)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(Forecast_8!C106)+SUM(E126+E153+E180)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(Forecast_8!C107)+SUM(E127+E154+E181)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20 2026 to May 19 2026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IF(Main!B2,TEXT(EDATE(Main!B3,24)-1,"mmmm yyyy"),TEXT(Main!B3+((Main!B5-Main!B3)*24+23),"mmmm yyyy"))</f>
        <v>Balance Brought Forward From April 2026</v>
      </c>
      <c r="B116" s="130"/>
      <c r="C116" s="202"/>
      <c r="D116" s="202"/>
      <c r="E116" s="56">
        <f>Forecast_8!E190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20 2026 to June 19 2026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IF(Main!B2,TEXT(EDATE(Main!B3,25)-1,"mmmm yyyy"),TEXT(Main!B3+((Main!B5-Main!B3)*25+24),"mmmm yyyy"))</f>
        <v>Balance Brought Forward From May 2026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20 2026 to July 19 2026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IF(Main!B2,TEXT(EDATE(Main!B3,26)-1,"mmmm yyyy"),TEXT(Main!B3+((Main!B5-Main!B3)*26+25),"mmmm yyyy"))</f>
        <v>Balance Brought Forward From June 2026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75" priority="47" operator="equal">
      <formula>0</formula>
    </cfRule>
  </conditionalFormatting>
  <conditionalFormatting sqref="C47:C55 C85 C78:C79 C95:C96 E144 E155:E162">
    <cfRule type="cellIs" dxfId="374" priority="46" operator="greaterThan">
      <formula>0</formula>
    </cfRule>
  </conditionalFormatting>
  <conditionalFormatting sqref="C57:C66">
    <cfRule type="cellIs" dxfId="373" priority="45" operator="equal">
      <formula>0</formula>
    </cfRule>
  </conditionalFormatting>
  <conditionalFormatting sqref="C57:C66">
    <cfRule type="cellIs" dxfId="372" priority="44" operator="greaterThan">
      <formula>0</formula>
    </cfRule>
  </conditionalFormatting>
  <conditionalFormatting sqref="C68:C69">
    <cfRule type="cellIs" dxfId="371" priority="43" operator="equal">
      <formula>0</formula>
    </cfRule>
  </conditionalFormatting>
  <conditionalFormatting sqref="C68:C69">
    <cfRule type="cellIs" dxfId="370" priority="42" operator="greaterThan">
      <formula>0</formula>
    </cfRule>
  </conditionalFormatting>
  <conditionalFormatting sqref="C75">
    <cfRule type="cellIs" dxfId="369" priority="41" operator="equal">
      <formula>0</formula>
    </cfRule>
  </conditionalFormatting>
  <conditionalFormatting sqref="C75">
    <cfRule type="cellIs" dxfId="368" priority="40" operator="greaterThan">
      <formula>0</formula>
    </cfRule>
  </conditionalFormatting>
  <conditionalFormatting sqref="C77">
    <cfRule type="cellIs" dxfId="367" priority="39" operator="equal">
      <formula>0</formula>
    </cfRule>
  </conditionalFormatting>
  <conditionalFormatting sqref="C77">
    <cfRule type="cellIs" dxfId="366" priority="38" operator="greaterThan">
      <formula>0</formula>
    </cfRule>
  </conditionalFormatting>
  <conditionalFormatting sqref="C87:C89">
    <cfRule type="cellIs" dxfId="365" priority="37" operator="equal">
      <formula>0</formula>
    </cfRule>
  </conditionalFormatting>
  <conditionalFormatting sqref="C87:C89">
    <cfRule type="cellIs" dxfId="364" priority="36" operator="greaterThan">
      <formula>0</formula>
    </cfRule>
  </conditionalFormatting>
  <conditionalFormatting sqref="E117 E128:E135">
    <cfRule type="cellIs" dxfId="363" priority="35" operator="equal">
      <formula>0</formula>
    </cfRule>
  </conditionalFormatting>
  <conditionalFormatting sqref="E117 E128:E135">
    <cfRule type="cellIs" dxfId="362" priority="34" operator="greaterThan">
      <formula>0</formula>
    </cfRule>
  </conditionalFormatting>
  <conditionalFormatting sqref="E136">
    <cfRule type="cellIs" dxfId="361" priority="33" operator="greaterThanOrEqual">
      <formula>0</formula>
    </cfRule>
  </conditionalFormatting>
  <conditionalFormatting sqref="E136">
    <cfRule type="cellIs" dxfId="360" priority="32" operator="lessThan">
      <formula>0</formula>
    </cfRule>
  </conditionalFormatting>
  <conditionalFormatting sqref="C70:C74">
    <cfRule type="cellIs" dxfId="359" priority="31" operator="equal">
      <formula>0</formula>
    </cfRule>
  </conditionalFormatting>
  <conditionalFormatting sqref="C70:C74">
    <cfRule type="cellIs" dxfId="358" priority="30" operator="greaterThan">
      <formula>0</formula>
    </cfRule>
  </conditionalFormatting>
  <conditionalFormatting sqref="C80:C84">
    <cfRule type="cellIs" dxfId="357" priority="29" operator="equal">
      <formula>0</formula>
    </cfRule>
  </conditionalFormatting>
  <conditionalFormatting sqref="C80:C84">
    <cfRule type="cellIs" dxfId="356" priority="28" operator="greaterThan">
      <formula>0</formula>
    </cfRule>
  </conditionalFormatting>
  <conditionalFormatting sqref="C90:C94">
    <cfRule type="cellIs" dxfId="355" priority="27" operator="equal">
      <formula>0</formula>
    </cfRule>
  </conditionalFormatting>
  <conditionalFormatting sqref="C90:C94">
    <cfRule type="cellIs" dxfId="354" priority="26" operator="greaterThan">
      <formula>0</formula>
    </cfRule>
  </conditionalFormatting>
  <conditionalFormatting sqref="C108:C109">
    <cfRule type="cellIs" dxfId="353" priority="25" operator="equal">
      <formula>0</formula>
    </cfRule>
  </conditionalFormatting>
  <conditionalFormatting sqref="C108:C109">
    <cfRule type="cellIs" dxfId="352" priority="24" operator="greaterThan">
      <formula>0</formula>
    </cfRule>
  </conditionalFormatting>
  <conditionalFormatting sqref="E144 E155:E162">
    <cfRule type="cellIs" dxfId="351" priority="23" operator="equal">
      <formula>0</formula>
    </cfRule>
  </conditionalFormatting>
  <conditionalFormatting sqref="E163">
    <cfRule type="cellIs" dxfId="350" priority="22" operator="greaterThanOrEqual">
      <formula>0</formula>
    </cfRule>
  </conditionalFormatting>
  <conditionalFormatting sqref="E163">
    <cfRule type="cellIs" dxfId="349" priority="21" operator="lessThan">
      <formula>0</formula>
    </cfRule>
  </conditionalFormatting>
  <conditionalFormatting sqref="E143">
    <cfRule type="cellIs" dxfId="348" priority="20" operator="greaterThanOrEqual">
      <formula>0</formula>
    </cfRule>
  </conditionalFormatting>
  <conditionalFormatting sqref="E143">
    <cfRule type="cellIs" dxfId="347" priority="19" operator="lessThan">
      <formula>0</formula>
    </cfRule>
  </conditionalFormatting>
  <conditionalFormatting sqref="E171 E182:E189">
    <cfRule type="cellIs" dxfId="346" priority="18" operator="equal">
      <formula>0</formula>
    </cfRule>
  </conditionalFormatting>
  <conditionalFormatting sqref="E171 E182:E189">
    <cfRule type="cellIs" dxfId="345" priority="17" operator="greaterThan">
      <formula>0</formula>
    </cfRule>
  </conditionalFormatting>
  <conditionalFormatting sqref="E190">
    <cfRule type="cellIs" dxfId="344" priority="16" operator="greaterThanOrEqual">
      <formula>0</formula>
    </cfRule>
  </conditionalFormatting>
  <conditionalFormatting sqref="E190">
    <cfRule type="cellIs" dxfId="343" priority="15" operator="lessThan">
      <formula>0</formula>
    </cfRule>
  </conditionalFormatting>
  <conditionalFormatting sqref="E170">
    <cfRule type="cellIs" dxfId="342" priority="14" operator="greaterThanOrEqual">
      <formula>0</formula>
    </cfRule>
  </conditionalFormatting>
  <conditionalFormatting sqref="E170">
    <cfRule type="cellIs" dxfId="341" priority="13" operator="lessThan">
      <formula>0</formula>
    </cfRule>
  </conditionalFormatting>
  <conditionalFormatting sqref="C5">
    <cfRule type="cellIs" dxfId="340" priority="12" operator="equal">
      <formula>0</formula>
    </cfRule>
  </conditionalFormatting>
  <conditionalFormatting sqref="C5">
    <cfRule type="cellIs" dxfId="339" priority="11" operator="greaterThan">
      <formula>0</formula>
    </cfRule>
  </conditionalFormatting>
  <conditionalFormatting sqref="C98:C107">
    <cfRule type="cellIs" dxfId="338" priority="10" operator="lessThan">
      <formula>0</formula>
    </cfRule>
  </conditionalFormatting>
  <conditionalFormatting sqref="C98:C107">
    <cfRule type="cellIs" dxfId="337" priority="9" operator="greaterThanOrEqual">
      <formula>0</formula>
    </cfRule>
  </conditionalFormatting>
  <conditionalFormatting sqref="E118:E127">
    <cfRule type="cellIs" dxfId="336" priority="8" operator="equal">
      <formula>0</formula>
    </cfRule>
  </conditionalFormatting>
  <conditionalFormatting sqref="E118:E127">
    <cfRule type="cellIs" dxfId="335" priority="7" operator="greaterThan">
      <formula>0</formula>
    </cfRule>
  </conditionalFormatting>
  <conditionalFormatting sqref="E145:E154">
    <cfRule type="cellIs" dxfId="334" priority="6" operator="equal">
      <formula>0</formula>
    </cfRule>
  </conditionalFormatting>
  <conditionalFormatting sqref="E145:E154">
    <cfRule type="cellIs" dxfId="333" priority="5" operator="greaterThan">
      <formula>0</formula>
    </cfRule>
  </conditionalFormatting>
  <conditionalFormatting sqref="E172:E181">
    <cfRule type="cellIs" dxfId="332" priority="4" operator="equal">
      <formula>0</formula>
    </cfRule>
  </conditionalFormatting>
  <conditionalFormatting sqref="E172:E181">
    <cfRule type="cellIs" dxfId="331" priority="3" operator="greaterThan">
      <formula>0</formula>
    </cfRule>
  </conditionalFormatting>
  <conditionalFormatting sqref="E116">
    <cfRule type="cellIs" dxfId="330" priority="2" operator="greaterThanOrEqual">
      <formula>0</formula>
    </cfRule>
  </conditionalFormatting>
  <conditionalFormatting sqref="E116">
    <cfRule type="cellIs" dxfId="329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64" workbookViewId="0">
      <selection activeCell="G136" sqref="G136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247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2026 to October 2026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20 July 2026 - 19 August 2026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20 August 2026 - 19 September 2026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20 September 2026 - 19 October 2026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2026 to October 2026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(Forecast_9!C98)+SUM(E118+E145+E172)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(Forecast_9!C99)+SUM(E119+E146+E173)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(Forecast_9!C100)+SUM(E120+E147+E174)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(Forecast_9!C101)+SUM(E121+E148+E175)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(Forecast_9!C102)+SUM(E122+E149+E176)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(Forecast_9!C103)+SUM(E123+E150+E177)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(Forecast_9!C104)+SUM(E124+E151+E178)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(Forecast_9!C105)+SUM(E125+E152+E179)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(Forecast_9!C106)+SUM(E126+E153+E180)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(Forecast_9!C107)+SUM(E127+E154+E181)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20 2026 to August 19 2026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IF(Main!B2,TEXT(EDATE(Main!B3,27)-1,"mmmm yyyy"),TEXT(Main!B3+((Main!B5-Main!B3)*27+26),"mmmm yyyy"))</f>
        <v>Balance Brought Forward From July 2026</v>
      </c>
      <c r="B116" s="130"/>
      <c r="C116" s="202"/>
      <c r="D116" s="202"/>
      <c r="E116" s="56">
        <f>Forecast_9!E190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20 2026 to September 19 2026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IF(Main!B2,TEXT(EDATE(Main!B3,28)-1,"mmmm yyyy"),TEXT(Main!B3+((Main!B5-Main!B3)*28+27),"mmmm yyyy"))</f>
        <v>Balance Brought Forward From August 2026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20 2026 to October 19 2026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IF(Main!B2,TEXT(EDATE(Main!B3,29)-1,"mmmm yyyy"),TEXT(Main!B3+((Main!B5-Main!B3)*29+28),"mmmm yyyy"))</f>
        <v>Balance Brought Forward From September 2026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28" priority="47" operator="equal">
      <formula>0</formula>
    </cfRule>
  </conditionalFormatting>
  <conditionalFormatting sqref="C47:C55 C85 C78:C79 C95:C96 E144 E155:E162">
    <cfRule type="cellIs" dxfId="327" priority="46" operator="greaterThan">
      <formula>0</formula>
    </cfRule>
  </conditionalFormatting>
  <conditionalFormatting sqref="C57:C66">
    <cfRule type="cellIs" dxfId="326" priority="45" operator="equal">
      <formula>0</formula>
    </cfRule>
  </conditionalFormatting>
  <conditionalFormatting sqref="C57:C66">
    <cfRule type="cellIs" dxfId="325" priority="44" operator="greaterThan">
      <formula>0</formula>
    </cfRule>
  </conditionalFormatting>
  <conditionalFormatting sqref="C68:C69">
    <cfRule type="cellIs" dxfId="324" priority="43" operator="equal">
      <formula>0</formula>
    </cfRule>
  </conditionalFormatting>
  <conditionalFormatting sqref="C68:C69">
    <cfRule type="cellIs" dxfId="323" priority="42" operator="greaterThan">
      <formula>0</formula>
    </cfRule>
  </conditionalFormatting>
  <conditionalFormatting sqref="C75">
    <cfRule type="cellIs" dxfId="322" priority="41" operator="equal">
      <formula>0</formula>
    </cfRule>
  </conditionalFormatting>
  <conditionalFormatting sqref="C75">
    <cfRule type="cellIs" dxfId="321" priority="40" operator="greaterThan">
      <formula>0</formula>
    </cfRule>
  </conditionalFormatting>
  <conditionalFormatting sqref="C77">
    <cfRule type="cellIs" dxfId="320" priority="39" operator="equal">
      <formula>0</formula>
    </cfRule>
  </conditionalFormatting>
  <conditionalFormatting sqref="C77">
    <cfRule type="cellIs" dxfId="319" priority="38" operator="greaterThan">
      <formula>0</formula>
    </cfRule>
  </conditionalFormatting>
  <conditionalFormatting sqref="C87:C89">
    <cfRule type="cellIs" dxfId="318" priority="37" operator="equal">
      <formula>0</formula>
    </cfRule>
  </conditionalFormatting>
  <conditionalFormatting sqref="C87:C89">
    <cfRule type="cellIs" dxfId="317" priority="36" operator="greaterThan">
      <formula>0</formula>
    </cfRule>
  </conditionalFormatting>
  <conditionalFormatting sqref="E117 E128:E135">
    <cfRule type="cellIs" dxfId="316" priority="35" operator="equal">
      <formula>0</formula>
    </cfRule>
  </conditionalFormatting>
  <conditionalFormatting sqref="E117 E128:E135">
    <cfRule type="cellIs" dxfId="315" priority="34" operator="greaterThan">
      <formula>0</formula>
    </cfRule>
  </conditionalFormatting>
  <conditionalFormatting sqref="E136">
    <cfRule type="cellIs" dxfId="314" priority="33" operator="greaterThanOrEqual">
      <formula>0</formula>
    </cfRule>
  </conditionalFormatting>
  <conditionalFormatting sqref="E136">
    <cfRule type="cellIs" dxfId="313" priority="32" operator="lessThan">
      <formula>0</formula>
    </cfRule>
  </conditionalFormatting>
  <conditionalFormatting sqref="C70:C74">
    <cfRule type="cellIs" dxfId="312" priority="31" operator="equal">
      <formula>0</formula>
    </cfRule>
  </conditionalFormatting>
  <conditionalFormatting sqref="C70:C74">
    <cfRule type="cellIs" dxfId="311" priority="30" operator="greaterThan">
      <formula>0</formula>
    </cfRule>
  </conditionalFormatting>
  <conditionalFormatting sqref="C80:C84">
    <cfRule type="cellIs" dxfId="310" priority="29" operator="equal">
      <formula>0</formula>
    </cfRule>
  </conditionalFormatting>
  <conditionalFormatting sqref="C80:C84">
    <cfRule type="cellIs" dxfId="309" priority="28" operator="greaterThan">
      <formula>0</formula>
    </cfRule>
  </conditionalFormatting>
  <conditionalFormatting sqref="C90:C94">
    <cfRule type="cellIs" dxfId="308" priority="27" operator="equal">
      <formula>0</formula>
    </cfRule>
  </conditionalFormatting>
  <conditionalFormatting sqref="C90:C94">
    <cfRule type="cellIs" dxfId="307" priority="26" operator="greaterThan">
      <formula>0</formula>
    </cfRule>
  </conditionalFormatting>
  <conditionalFormatting sqref="C108:C109">
    <cfRule type="cellIs" dxfId="306" priority="25" operator="equal">
      <formula>0</formula>
    </cfRule>
  </conditionalFormatting>
  <conditionalFormatting sqref="C108:C109">
    <cfRule type="cellIs" dxfId="305" priority="24" operator="greaterThan">
      <formula>0</formula>
    </cfRule>
  </conditionalFormatting>
  <conditionalFormatting sqref="E144 E155:E162">
    <cfRule type="cellIs" dxfId="304" priority="23" operator="equal">
      <formula>0</formula>
    </cfRule>
  </conditionalFormatting>
  <conditionalFormatting sqref="E163">
    <cfRule type="cellIs" dxfId="303" priority="22" operator="greaterThanOrEqual">
      <formula>0</formula>
    </cfRule>
  </conditionalFormatting>
  <conditionalFormatting sqref="E163">
    <cfRule type="cellIs" dxfId="302" priority="21" operator="lessThan">
      <formula>0</formula>
    </cfRule>
  </conditionalFormatting>
  <conditionalFormatting sqref="E143">
    <cfRule type="cellIs" dxfId="301" priority="20" operator="greaterThanOrEqual">
      <formula>0</formula>
    </cfRule>
  </conditionalFormatting>
  <conditionalFormatting sqref="E143">
    <cfRule type="cellIs" dxfId="300" priority="19" operator="lessThan">
      <formula>0</formula>
    </cfRule>
  </conditionalFormatting>
  <conditionalFormatting sqref="E171 E182:E189">
    <cfRule type="cellIs" dxfId="299" priority="18" operator="equal">
      <formula>0</formula>
    </cfRule>
  </conditionalFormatting>
  <conditionalFormatting sqref="E171 E182:E189">
    <cfRule type="cellIs" dxfId="298" priority="17" operator="greaterThan">
      <formula>0</formula>
    </cfRule>
  </conditionalFormatting>
  <conditionalFormatting sqref="E190">
    <cfRule type="cellIs" dxfId="297" priority="16" operator="greaterThanOrEqual">
      <formula>0</formula>
    </cfRule>
  </conditionalFormatting>
  <conditionalFormatting sqref="E190">
    <cfRule type="cellIs" dxfId="296" priority="15" operator="lessThan">
      <formula>0</formula>
    </cfRule>
  </conditionalFormatting>
  <conditionalFormatting sqref="E170">
    <cfRule type="cellIs" dxfId="295" priority="14" operator="greaterThanOrEqual">
      <formula>0</formula>
    </cfRule>
  </conditionalFormatting>
  <conditionalFormatting sqref="E170">
    <cfRule type="cellIs" dxfId="294" priority="13" operator="lessThan">
      <formula>0</formula>
    </cfRule>
  </conditionalFormatting>
  <conditionalFormatting sqref="C5">
    <cfRule type="cellIs" dxfId="293" priority="12" operator="equal">
      <formula>0</formula>
    </cfRule>
  </conditionalFormatting>
  <conditionalFormatting sqref="C5">
    <cfRule type="cellIs" dxfId="292" priority="11" operator="greaterThan">
      <formula>0</formula>
    </cfRule>
  </conditionalFormatting>
  <conditionalFormatting sqref="C98:C107">
    <cfRule type="cellIs" dxfId="291" priority="10" operator="lessThan">
      <formula>0</formula>
    </cfRule>
  </conditionalFormatting>
  <conditionalFormatting sqref="C98:C107">
    <cfRule type="cellIs" dxfId="290" priority="9" operator="greaterThanOrEqual">
      <formula>0</formula>
    </cfRule>
  </conditionalFormatting>
  <conditionalFormatting sqref="E118:E127">
    <cfRule type="cellIs" dxfId="289" priority="8" operator="equal">
      <formula>0</formula>
    </cfRule>
  </conditionalFormatting>
  <conditionalFormatting sqref="E118:E127">
    <cfRule type="cellIs" dxfId="288" priority="7" operator="greaterThan">
      <formula>0</formula>
    </cfRule>
  </conditionalFormatting>
  <conditionalFormatting sqref="E145:E154">
    <cfRule type="cellIs" dxfId="287" priority="6" operator="equal">
      <formula>0</formula>
    </cfRule>
  </conditionalFormatting>
  <conditionalFormatting sqref="E145:E154">
    <cfRule type="cellIs" dxfId="286" priority="5" operator="greaterThan">
      <formula>0</formula>
    </cfRule>
  </conditionalFormatting>
  <conditionalFormatting sqref="E172:E181">
    <cfRule type="cellIs" dxfId="285" priority="4" operator="equal">
      <formula>0</formula>
    </cfRule>
  </conditionalFormatting>
  <conditionalFormatting sqref="E172:E181">
    <cfRule type="cellIs" dxfId="284" priority="3" operator="greaterThan">
      <formula>0</formula>
    </cfRule>
  </conditionalFormatting>
  <conditionalFormatting sqref="E116">
    <cfRule type="cellIs" dxfId="283" priority="2" operator="greaterThanOrEqual">
      <formula>0</formula>
    </cfRule>
  </conditionalFormatting>
  <conditionalFormatting sqref="E116">
    <cfRule type="cellIs" dxfId="282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17" workbookViewId="0">
      <selection activeCell="F133" sqref="F133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247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2026 to January 2027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20 October 2026 - 19 November 2026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20 November 2026 - 19 December 2026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20 December 2026 - 19 January 2027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2026 to January 2027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(Forecast_10!C98)+SUM(E118+E145+E172)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(Forecast_10!C99)+SUM(E119+E146+E173)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(Forecast_10!C100)+SUM(E120+E147+E174)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(Forecast_10!C101)+SUM(E121+E148+E175)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(Forecast_10!C102)+SUM(E122+E149+E176)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(Forecast_10!C103)+SUM(E123+E150+E177)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(Forecast_10!C104)+SUM(E124+E151+E178)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(Forecast_10!C105)+SUM(E125+E152+E179)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(Forecast_10!C106)+SUM(E126+E153+E180)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(Forecast_10!C107)+SUM(E127+E154+E181)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20 2026 to November 19 2026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IF(Main!B2,TEXT(EDATE(Main!B3,30)-1,"mmmm yyyy"),TEXT(Main!B3+((Main!B5-Main!B3)*30+29),"mmmm yyyy"))</f>
        <v>Balance Brought Forward From October 2026</v>
      </c>
      <c r="B116" s="130"/>
      <c r="C116" s="202"/>
      <c r="D116" s="202"/>
      <c r="E116" s="56">
        <f>Forecast_10!E190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20 2026 to December 19 2026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IF(Main!B2,TEXT(EDATE(Main!B3,31)-1,"mmmm yyyy"),TEXT(Main!B3+((Main!B5-Main!B3)*31+30),"mmmm yyyy"))</f>
        <v>Balance Brought Forward From November 2026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20 2026 to January 19 2027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IF(Main!B2,TEXT(EDATE(Main!B3,32)-1,"mmmm yyyy"),TEXT(Main!B3+((Main!B5-Main!B3)*32+31),"mmmm yyyy"))</f>
        <v>Balance Brought Forward From December 2026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81" priority="47" operator="equal">
      <formula>0</formula>
    </cfRule>
  </conditionalFormatting>
  <conditionalFormatting sqref="C47:C55 C85 C78:C79 C95:C96 E144 E155:E162">
    <cfRule type="cellIs" dxfId="280" priority="46" operator="greaterThan">
      <formula>0</formula>
    </cfRule>
  </conditionalFormatting>
  <conditionalFormatting sqref="C57:C66">
    <cfRule type="cellIs" dxfId="279" priority="45" operator="equal">
      <formula>0</formula>
    </cfRule>
  </conditionalFormatting>
  <conditionalFormatting sqref="C57:C66">
    <cfRule type="cellIs" dxfId="278" priority="44" operator="greaterThan">
      <formula>0</formula>
    </cfRule>
  </conditionalFormatting>
  <conditionalFormatting sqref="C68:C69">
    <cfRule type="cellIs" dxfId="277" priority="43" operator="equal">
      <formula>0</formula>
    </cfRule>
  </conditionalFormatting>
  <conditionalFormatting sqref="C68:C69">
    <cfRule type="cellIs" dxfId="276" priority="42" operator="greaterThan">
      <formula>0</formula>
    </cfRule>
  </conditionalFormatting>
  <conditionalFormatting sqref="C75">
    <cfRule type="cellIs" dxfId="275" priority="41" operator="equal">
      <formula>0</formula>
    </cfRule>
  </conditionalFormatting>
  <conditionalFormatting sqref="C75">
    <cfRule type="cellIs" dxfId="274" priority="40" operator="greaterThan">
      <formula>0</formula>
    </cfRule>
  </conditionalFormatting>
  <conditionalFormatting sqref="C77">
    <cfRule type="cellIs" dxfId="273" priority="39" operator="equal">
      <formula>0</formula>
    </cfRule>
  </conditionalFormatting>
  <conditionalFormatting sqref="C77">
    <cfRule type="cellIs" dxfId="272" priority="38" operator="greaterThan">
      <formula>0</formula>
    </cfRule>
  </conditionalFormatting>
  <conditionalFormatting sqref="C87:C89">
    <cfRule type="cellIs" dxfId="271" priority="37" operator="equal">
      <formula>0</formula>
    </cfRule>
  </conditionalFormatting>
  <conditionalFormatting sqref="C87:C89">
    <cfRule type="cellIs" dxfId="270" priority="36" operator="greaterThan">
      <formula>0</formula>
    </cfRule>
  </conditionalFormatting>
  <conditionalFormatting sqref="E117 E128:E135">
    <cfRule type="cellIs" dxfId="269" priority="35" operator="equal">
      <formula>0</formula>
    </cfRule>
  </conditionalFormatting>
  <conditionalFormatting sqref="E117 E128:E135">
    <cfRule type="cellIs" dxfId="268" priority="34" operator="greaterThan">
      <formula>0</formula>
    </cfRule>
  </conditionalFormatting>
  <conditionalFormatting sqref="E136">
    <cfRule type="cellIs" dxfId="267" priority="33" operator="greaterThanOrEqual">
      <formula>0</formula>
    </cfRule>
  </conditionalFormatting>
  <conditionalFormatting sqref="E136">
    <cfRule type="cellIs" dxfId="266" priority="32" operator="lessThan">
      <formula>0</formula>
    </cfRule>
  </conditionalFormatting>
  <conditionalFormatting sqref="C70:C74">
    <cfRule type="cellIs" dxfId="265" priority="31" operator="equal">
      <formula>0</formula>
    </cfRule>
  </conditionalFormatting>
  <conditionalFormatting sqref="C70:C74">
    <cfRule type="cellIs" dxfId="264" priority="30" operator="greaterThan">
      <formula>0</formula>
    </cfRule>
  </conditionalFormatting>
  <conditionalFormatting sqref="C80:C84">
    <cfRule type="cellIs" dxfId="263" priority="29" operator="equal">
      <formula>0</formula>
    </cfRule>
  </conditionalFormatting>
  <conditionalFormatting sqref="C80:C84">
    <cfRule type="cellIs" dxfId="262" priority="28" operator="greaterThan">
      <formula>0</formula>
    </cfRule>
  </conditionalFormatting>
  <conditionalFormatting sqref="C90:C94">
    <cfRule type="cellIs" dxfId="261" priority="27" operator="equal">
      <formula>0</formula>
    </cfRule>
  </conditionalFormatting>
  <conditionalFormatting sqref="C90:C94">
    <cfRule type="cellIs" dxfId="260" priority="26" operator="greaterThan">
      <formula>0</formula>
    </cfRule>
  </conditionalFormatting>
  <conditionalFormatting sqref="C108:C109">
    <cfRule type="cellIs" dxfId="259" priority="25" operator="equal">
      <formula>0</formula>
    </cfRule>
  </conditionalFormatting>
  <conditionalFormatting sqref="C108:C109">
    <cfRule type="cellIs" dxfId="258" priority="24" operator="greaterThan">
      <formula>0</formula>
    </cfRule>
  </conditionalFormatting>
  <conditionalFormatting sqref="E144 E155:E162">
    <cfRule type="cellIs" dxfId="257" priority="23" operator="equal">
      <formula>0</formula>
    </cfRule>
  </conditionalFormatting>
  <conditionalFormatting sqref="E163">
    <cfRule type="cellIs" dxfId="256" priority="22" operator="greaterThanOrEqual">
      <formula>0</formula>
    </cfRule>
  </conditionalFormatting>
  <conditionalFormatting sqref="E163">
    <cfRule type="cellIs" dxfId="255" priority="21" operator="lessThan">
      <formula>0</formula>
    </cfRule>
  </conditionalFormatting>
  <conditionalFormatting sqref="E143">
    <cfRule type="cellIs" dxfId="254" priority="20" operator="greaterThanOrEqual">
      <formula>0</formula>
    </cfRule>
  </conditionalFormatting>
  <conditionalFormatting sqref="E143">
    <cfRule type="cellIs" dxfId="253" priority="19" operator="lessThan">
      <formula>0</formula>
    </cfRule>
  </conditionalFormatting>
  <conditionalFormatting sqref="E171 E182:E189">
    <cfRule type="cellIs" dxfId="252" priority="18" operator="equal">
      <formula>0</formula>
    </cfRule>
  </conditionalFormatting>
  <conditionalFormatting sqref="E171 E182:E189">
    <cfRule type="cellIs" dxfId="251" priority="17" operator="greaterThan">
      <formula>0</formula>
    </cfRule>
  </conditionalFormatting>
  <conditionalFormatting sqref="E190">
    <cfRule type="cellIs" dxfId="250" priority="16" operator="greaterThanOrEqual">
      <formula>0</formula>
    </cfRule>
  </conditionalFormatting>
  <conditionalFormatting sqref="E190">
    <cfRule type="cellIs" dxfId="249" priority="15" operator="lessThan">
      <formula>0</formula>
    </cfRule>
  </conditionalFormatting>
  <conditionalFormatting sqref="E170">
    <cfRule type="cellIs" dxfId="248" priority="14" operator="greaterThanOrEqual">
      <formula>0</formula>
    </cfRule>
  </conditionalFormatting>
  <conditionalFormatting sqref="E170">
    <cfRule type="cellIs" dxfId="247" priority="13" operator="lessThan">
      <formula>0</formula>
    </cfRule>
  </conditionalFormatting>
  <conditionalFormatting sqref="C5">
    <cfRule type="cellIs" dxfId="246" priority="12" operator="equal">
      <formula>0</formula>
    </cfRule>
  </conditionalFormatting>
  <conditionalFormatting sqref="C5">
    <cfRule type="cellIs" dxfId="245" priority="11" operator="greaterThan">
      <formula>0</formula>
    </cfRule>
  </conditionalFormatting>
  <conditionalFormatting sqref="C98:C107">
    <cfRule type="cellIs" dxfId="244" priority="10" operator="lessThan">
      <formula>0</formula>
    </cfRule>
  </conditionalFormatting>
  <conditionalFormatting sqref="C98:C107">
    <cfRule type="cellIs" dxfId="243" priority="9" operator="greaterThanOrEqual">
      <formula>0</formula>
    </cfRule>
  </conditionalFormatting>
  <conditionalFormatting sqref="E118:E127">
    <cfRule type="cellIs" dxfId="242" priority="8" operator="equal">
      <formula>0</formula>
    </cfRule>
  </conditionalFormatting>
  <conditionalFormatting sqref="E118:E127">
    <cfRule type="cellIs" dxfId="241" priority="7" operator="greaterThan">
      <formula>0</formula>
    </cfRule>
  </conditionalFormatting>
  <conditionalFormatting sqref="E145:E154">
    <cfRule type="cellIs" dxfId="240" priority="6" operator="equal">
      <formula>0</formula>
    </cfRule>
  </conditionalFormatting>
  <conditionalFormatting sqref="E145:E154">
    <cfRule type="cellIs" dxfId="239" priority="5" operator="greaterThan">
      <formula>0</formula>
    </cfRule>
  </conditionalFormatting>
  <conditionalFormatting sqref="E172:E181">
    <cfRule type="cellIs" dxfId="238" priority="4" operator="equal">
      <formula>0</formula>
    </cfRule>
  </conditionalFormatting>
  <conditionalFormatting sqref="E172:E181">
    <cfRule type="cellIs" dxfId="237" priority="3" operator="greaterThan">
      <formula>0</formula>
    </cfRule>
  </conditionalFormatting>
  <conditionalFormatting sqref="E116">
    <cfRule type="cellIs" dxfId="236" priority="2" operator="greaterThanOrEqual">
      <formula>0</formula>
    </cfRule>
  </conditionalFormatting>
  <conditionalFormatting sqref="E116">
    <cfRule type="cellIs" dxfId="235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15" workbookViewId="0">
      <selection activeCell="F131" sqref="F131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247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2027 to April 2027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20 January 2027 - 19 February 2027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20 February 2027 - 19 March 2027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20 March 2027 - 19 April 2027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2027 to April 2027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(Forecast_11!C98)+SUM(E118+E145+E172)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(Forecast_11!C99)+SUM(E119+E146+E173)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(Forecast_11!C100)+SUM(E120+E147+E174)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(Forecast_11!C101)+SUM(E121+E148+E175)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(Forecast_11!C102)+SUM(E122+E149+E176)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(Forecast_11!C103)+SUM(E123+E150+E177)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(Forecast_11!C104)+SUM(E124+E151+E178)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(Forecast_11!C105)+SUM(E125+E152+E179)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(Forecast_11!C106)+SUM(E126+E153+E180)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(Forecast_11!C107)+SUM(E127+E154+E181)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20 2027 to February 19 2027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IF(Main!B2,TEXT(EDATE(Main!B3,33)-1,"mmmm yyyy"),TEXT(Main!B3+((Main!B5-Main!B3)*33+32),"mmmm yyyy"))</f>
        <v>Balance Brought Forward From January 2027</v>
      </c>
      <c r="B116" s="130"/>
      <c r="C116" s="202"/>
      <c r="D116" s="202"/>
      <c r="E116" s="56">
        <f>Forecast_11!E190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20 2027 to March 19 2027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IF(Main!B2,TEXT(EDATE(Main!B3,34)-1,"mmmm yyyy"),TEXT(Main!B3+((Main!B5-Main!B3)*34+33),"mmmm yyyy"))</f>
        <v>Balance Brought Forward From February 2027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20 2027 to April 19 2027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IF(Main!B2,TEXT(EDATE(Main!B3,35)-1,"mmmm yyyy"),TEXT(Main!B3+((Main!B5-Main!B3)*35+34),"mmmm yyyy"))</f>
        <v>Balance Brought Forward From March 2027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 ht="24.75" customHeight="1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34" priority="47" operator="equal">
      <formula>0</formula>
    </cfRule>
  </conditionalFormatting>
  <conditionalFormatting sqref="C47:C55 C85 C78:C79 C95:C96 E144 E155:E162">
    <cfRule type="cellIs" dxfId="233" priority="46" operator="greaterThan">
      <formula>0</formula>
    </cfRule>
  </conditionalFormatting>
  <conditionalFormatting sqref="C57:C66">
    <cfRule type="cellIs" dxfId="232" priority="45" operator="equal">
      <formula>0</formula>
    </cfRule>
  </conditionalFormatting>
  <conditionalFormatting sqref="C57:C66">
    <cfRule type="cellIs" dxfId="231" priority="44" operator="greaterThan">
      <formula>0</formula>
    </cfRule>
  </conditionalFormatting>
  <conditionalFormatting sqref="C68:C69">
    <cfRule type="cellIs" dxfId="230" priority="43" operator="equal">
      <formula>0</formula>
    </cfRule>
  </conditionalFormatting>
  <conditionalFormatting sqref="C68:C69">
    <cfRule type="cellIs" dxfId="229" priority="42" operator="greaterThan">
      <formula>0</formula>
    </cfRule>
  </conditionalFormatting>
  <conditionalFormatting sqref="C75">
    <cfRule type="cellIs" dxfId="228" priority="41" operator="equal">
      <formula>0</formula>
    </cfRule>
  </conditionalFormatting>
  <conditionalFormatting sqref="C75">
    <cfRule type="cellIs" dxfId="227" priority="40" operator="greaterThan">
      <formula>0</formula>
    </cfRule>
  </conditionalFormatting>
  <conditionalFormatting sqref="C77">
    <cfRule type="cellIs" dxfId="226" priority="39" operator="equal">
      <formula>0</formula>
    </cfRule>
  </conditionalFormatting>
  <conditionalFormatting sqref="C77">
    <cfRule type="cellIs" dxfId="225" priority="38" operator="greaterThan">
      <formula>0</formula>
    </cfRule>
  </conditionalFormatting>
  <conditionalFormatting sqref="C87:C89">
    <cfRule type="cellIs" dxfId="224" priority="37" operator="equal">
      <formula>0</formula>
    </cfRule>
  </conditionalFormatting>
  <conditionalFormatting sqref="C87:C89">
    <cfRule type="cellIs" dxfId="223" priority="36" operator="greaterThan">
      <formula>0</formula>
    </cfRule>
  </conditionalFormatting>
  <conditionalFormatting sqref="E117 E128:E135">
    <cfRule type="cellIs" dxfId="222" priority="35" operator="equal">
      <formula>0</formula>
    </cfRule>
  </conditionalFormatting>
  <conditionalFormatting sqref="E117 E128:E135">
    <cfRule type="cellIs" dxfId="221" priority="34" operator="greaterThan">
      <formula>0</formula>
    </cfRule>
  </conditionalFormatting>
  <conditionalFormatting sqref="E136">
    <cfRule type="cellIs" dxfId="220" priority="33" operator="greaterThanOrEqual">
      <formula>0</formula>
    </cfRule>
  </conditionalFormatting>
  <conditionalFormatting sqref="E136">
    <cfRule type="cellIs" dxfId="219" priority="32" operator="lessThan">
      <formula>0</formula>
    </cfRule>
  </conditionalFormatting>
  <conditionalFormatting sqref="C70:C74">
    <cfRule type="cellIs" dxfId="218" priority="31" operator="equal">
      <formula>0</formula>
    </cfRule>
  </conditionalFormatting>
  <conditionalFormatting sqref="C70:C74">
    <cfRule type="cellIs" dxfId="217" priority="30" operator="greaterThan">
      <formula>0</formula>
    </cfRule>
  </conditionalFormatting>
  <conditionalFormatting sqref="C80:C84">
    <cfRule type="cellIs" dxfId="216" priority="29" operator="equal">
      <formula>0</formula>
    </cfRule>
  </conditionalFormatting>
  <conditionalFormatting sqref="C80:C84">
    <cfRule type="cellIs" dxfId="215" priority="28" operator="greaterThan">
      <formula>0</formula>
    </cfRule>
  </conditionalFormatting>
  <conditionalFormatting sqref="C90:C94">
    <cfRule type="cellIs" dxfId="214" priority="27" operator="equal">
      <formula>0</formula>
    </cfRule>
  </conditionalFormatting>
  <conditionalFormatting sqref="C90:C94">
    <cfRule type="cellIs" dxfId="213" priority="26" operator="greaterThan">
      <formula>0</formula>
    </cfRule>
  </conditionalFormatting>
  <conditionalFormatting sqref="C108:C109">
    <cfRule type="cellIs" dxfId="212" priority="25" operator="equal">
      <formula>0</formula>
    </cfRule>
  </conditionalFormatting>
  <conditionalFormatting sqref="C108:C109">
    <cfRule type="cellIs" dxfId="211" priority="24" operator="greaterThan">
      <formula>0</formula>
    </cfRule>
  </conditionalFormatting>
  <conditionalFormatting sqref="E144 E155:E162">
    <cfRule type="cellIs" dxfId="210" priority="23" operator="equal">
      <formula>0</formula>
    </cfRule>
  </conditionalFormatting>
  <conditionalFormatting sqref="E163">
    <cfRule type="cellIs" dxfId="209" priority="22" operator="greaterThanOrEqual">
      <formula>0</formula>
    </cfRule>
  </conditionalFormatting>
  <conditionalFormatting sqref="E163">
    <cfRule type="cellIs" dxfId="208" priority="21" operator="lessThan">
      <formula>0</formula>
    </cfRule>
  </conditionalFormatting>
  <conditionalFormatting sqref="E143">
    <cfRule type="cellIs" dxfId="207" priority="20" operator="greaterThanOrEqual">
      <formula>0</formula>
    </cfRule>
  </conditionalFormatting>
  <conditionalFormatting sqref="E143">
    <cfRule type="cellIs" dxfId="206" priority="19" operator="lessThan">
      <formula>0</formula>
    </cfRule>
  </conditionalFormatting>
  <conditionalFormatting sqref="E171 E182:E189">
    <cfRule type="cellIs" dxfId="205" priority="18" operator="equal">
      <formula>0</formula>
    </cfRule>
  </conditionalFormatting>
  <conditionalFormatting sqref="E171 E182:E189">
    <cfRule type="cellIs" dxfId="204" priority="17" operator="greaterThan">
      <formula>0</formula>
    </cfRule>
  </conditionalFormatting>
  <conditionalFormatting sqref="E190">
    <cfRule type="cellIs" dxfId="203" priority="16" operator="greaterThanOrEqual">
      <formula>0</formula>
    </cfRule>
  </conditionalFormatting>
  <conditionalFormatting sqref="E190">
    <cfRule type="cellIs" dxfId="202" priority="15" operator="lessThan">
      <formula>0</formula>
    </cfRule>
  </conditionalFormatting>
  <conditionalFormatting sqref="E170">
    <cfRule type="cellIs" dxfId="201" priority="14" operator="greaterThanOrEqual">
      <formula>0</formula>
    </cfRule>
  </conditionalFormatting>
  <conditionalFormatting sqref="E170">
    <cfRule type="cellIs" dxfId="200" priority="13" operator="lessThan">
      <formula>0</formula>
    </cfRule>
  </conditionalFormatting>
  <conditionalFormatting sqref="C5">
    <cfRule type="cellIs" dxfId="199" priority="12" operator="equal">
      <formula>0</formula>
    </cfRule>
  </conditionalFormatting>
  <conditionalFormatting sqref="C5">
    <cfRule type="cellIs" dxfId="198" priority="11" operator="greaterThan">
      <formula>0</formula>
    </cfRule>
  </conditionalFormatting>
  <conditionalFormatting sqref="C98:C107">
    <cfRule type="cellIs" dxfId="197" priority="10" operator="lessThan">
      <formula>0</formula>
    </cfRule>
  </conditionalFormatting>
  <conditionalFormatting sqref="C98:C107">
    <cfRule type="cellIs" dxfId="196" priority="9" operator="greaterThanOrEqual">
      <formula>0</formula>
    </cfRule>
  </conditionalFormatting>
  <conditionalFormatting sqref="E118:E127">
    <cfRule type="cellIs" dxfId="195" priority="8" operator="equal">
      <formula>0</formula>
    </cfRule>
  </conditionalFormatting>
  <conditionalFormatting sqref="E118:E127">
    <cfRule type="cellIs" dxfId="194" priority="7" operator="greaterThan">
      <formula>0</formula>
    </cfRule>
  </conditionalFormatting>
  <conditionalFormatting sqref="E145:E154">
    <cfRule type="cellIs" dxfId="193" priority="6" operator="equal">
      <formula>0</formula>
    </cfRule>
  </conditionalFormatting>
  <conditionalFormatting sqref="E145:E154">
    <cfRule type="cellIs" dxfId="192" priority="5" operator="greaterThan">
      <formula>0</formula>
    </cfRule>
  </conditionalFormatting>
  <conditionalFormatting sqref="E172:E181">
    <cfRule type="cellIs" dxfId="191" priority="4" operator="equal">
      <formula>0</formula>
    </cfRule>
  </conditionalFormatting>
  <conditionalFormatting sqref="E172:E181">
    <cfRule type="cellIs" dxfId="190" priority="3" operator="greaterThan">
      <formula>0</formula>
    </cfRule>
  </conditionalFormatting>
  <conditionalFormatting sqref="E116">
    <cfRule type="cellIs" dxfId="189" priority="2" operator="greaterThanOrEqual">
      <formula>0</formula>
    </cfRule>
  </conditionalFormatting>
  <conditionalFormatting sqref="E116">
    <cfRule type="cellIs" dxfId="188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12" workbookViewId="0">
      <selection activeCell="F132" sqref="F132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247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2027 to July 2027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20 April 2027 - 19 May 2027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20 May 2027 - 19 June 2027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20 June 2027 - 19 July 2027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2027 to July 2027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(Forecast_12!C98)+SUM(E118+E145+E172)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(Forecast_12!C99)+SUM(E119+E146+E173)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(Forecast_12!C100)+SUM(E120+E147+E174)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(Forecast_12!C101)+SUM(E121+E148+E175)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(Forecast_12!C102)+SUM(E122+E149+E176)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(Forecast_12!C103)+SUM(E123+E150+E177)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(Forecast_12!C104)+SUM(E124+E151+E178)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(Forecast_12!C105)+SUM(E125+E152+E179)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(Forecast_12!C106)+SUM(E126+E153+E180)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(Forecast_12!C107)+SUM(E127+E154+E181)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20 2027 to May 19 2027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IF(Main!B2,TEXT(EDATE(Main!B3,37)-1,"mmmm yyyy"),TEXT(Main!B3+((Main!B5-Main!B3)*37+36),"mmmm yyyy"))</f>
        <v>Balance Brought Forward From May 2027</v>
      </c>
      <c r="B116" s="130"/>
      <c r="C116" s="202"/>
      <c r="D116" s="202"/>
      <c r="E116" s="56">
        <f>Forecast_12!E190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20 2027 to June 19 2027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IF(Main!B2,TEXT(EDATE(Main!B3,37)-1,"mmmm yyyy"),TEXT(Main!B3+((Main!B5-Main!B3)*37+36),"mmmm yyyy"))</f>
        <v>Balance Brought Forward From May 2027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20 2027 to July 19 2027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IF(Main!B2,TEXT(EDATE(Main!B3,38)-1,"mmmm yyyy"),TEXT(Main!B3+((Main!B5-Main!B3)*38+37),"mmmm yyyy"))</f>
        <v>Balance Brought Forward From June 2027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 ht="24.75" customHeight="1">
      <c r="A193" s="46"/>
      <c r="B193" s="46"/>
      <c r="C193" s="46"/>
      <c r="D193" s="46"/>
      <c r="E193" s="46"/>
      <c r="F193" s="46"/>
      <c r="G193" s="46"/>
      <c r="H193" s="46"/>
      <c r="I193" s="46"/>
    </row>
    <row r="194" spans="1:9" ht="24.75" customHeight="1"/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87" priority="47" operator="equal">
      <formula>0</formula>
    </cfRule>
  </conditionalFormatting>
  <conditionalFormatting sqref="C47:C55 C85 C78:C79 C95:C96 E144 E155:E162">
    <cfRule type="cellIs" dxfId="186" priority="46" operator="greaterThan">
      <formula>0</formula>
    </cfRule>
  </conditionalFormatting>
  <conditionalFormatting sqref="C57:C66">
    <cfRule type="cellIs" dxfId="185" priority="45" operator="equal">
      <formula>0</formula>
    </cfRule>
  </conditionalFormatting>
  <conditionalFormatting sqref="C57:C66">
    <cfRule type="cellIs" dxfId="184" priority="44" operator="greaterThan">
      <formula>0</formula>
    </cfRule>
  </conditionalFormatting>
  <conditionalFormatting sqref="C68:C69">
    <cfRule type="cellIs" dxfId="183" priority="43" operator="equal">
      <formula>0</formula>
    </cfRule>
  </conditionalFormatting>
  <conditionalFormatting sqref="C68:C69">
    <cfRule type="cellIs" dxfId="182" priority="42" operator="greaterThan">
      <formula>0</formula>
    </cfRule>
  </conditionalFormatting>
  <conditionalFormatting sqref="C75">
    <cfRule type="cellIs" dxfId="181" priority="41" operator="equal">
      <formula>0</formula>
    </cfRule>
  </conditionalFormatting>
  <conditionalFormatting sqref="C75">
    <cfRule type="cellIs" dxfId="180" priority="40" operator="greaterThan">
      <formula>0</formula>
    </cfRule>
  </conditionalFormatting>
  <conditionalFormatting sqref="C77">
    <cfRule type="cellIs" dxfId="179" priority="39" operator="equal">
      <formula>0</formula>
    </cfRule>
  </conditionalFormatting>
  <conditionalFormatting sqref="C77">
    <cfRule type="cellIs" dxfId="178" priority="38" operator="greaterThan">
      <formula>0</formula>
    </cfRule>
  </conditionalFormatting>
  <conditionalFormatting sqref="C87:C89">
    <cfRule type="cellIs" dxfId="177" priority="37" operator="equal">
      <formula>0</formula>
    </cfRule>
  </conditionalFormatting>
  <conditionalFormatting sqref="C87:C89">
    <cfRule type="cellIs" dxfId="176" priority="36" operator="greaterThan">
      <formula>0</formula>
    </cfRule>
  </conditionalFormatting>
  <conditionalFormatting sqref="E117 E128:E135">
    <cfRule type="cellIs" dxfId="175" priority="35" operator="equal">
      <formula>0</formula>
    </cfRule>
  </conditionalFormatting>
  <conditionalFormatting sqref="E117 E128:E135">
    <cfRule type="cellIs" dxfId="174" priority="34" operator="greaterThan">
      <formula>0</formula>
    </cfRule>
  </conditionalFormatting>
  <conditionalFormatting sqref="E136">
    <cfRule type="cellIs" dxfId="173" priority="33" operator="greaterThanOrEqual">
      <formula>0</formula>
    </cfRule>
  </conditionalFormatting>
  <conditionalFormatting sqref="E136">
    <cfRule type="cellIs" dxfId="172" priority="32" operator="lessThan">
      <formula>0</formula>
    </cfRule>
  </conditionalFormatting>
  <conditionalFormatting sqref="C70:C74">
    <cfRule type="cellIs" dxfId="171" priority="31" operator="equal">
      <formula>0</formula>
    </cfRule>
  </conditionalFormatting>
  <conditionalFormatting sqref="C70:C74">
    <cfRule type="cellIs" dxfId="170" priority="30" operator="greaterThan">
      <formula>0</formula>
    </cfRule>
  </conditionalFormatting>
  <conditionalFormatting sqref="C80:C84">
    <cfRule type="cellIs" dxfId="169" priority="29" operator="equal">
      <formula>0</formula>
    </cfRule>
  </conditionalFormatting>
  <conditionalFormatting sqref="C80:C84">
    <cfRule type="cellIs" dxfId="168" priority="28" operator="greaterThan">
      <formula>0</formula>
    </cfRule>
  </conditionalFormatting>
  <conditionalFormatting sqref="C90:C94">
    <cfRule type="cellIs" dxfId="167" priority="27" operator="equal">
      <formula>0</formula>
    </cfRule>
  </conditionalFormatting>
  <conditionalFormatting sqref="C90:C94">
    <cfRule type="cellIs" dxfId="166" priority="26" operator="greaterThan">
      <formula>0</formula>
    </cfRule>
  </conditionalFormatting>
  <conditionalFormatting sqref="C108:C109">
    <cfRule type="cellIs" dxfId="165" priority="25" operator="equal">
      <formula>0</formula>
    </cfRule>
  </conditionalFormatting>
  <conditionalFormatting sqref="C108:C109">
    <cfRule type="cellIs" dxfId="164" priority="24" operator="greaterThan">
      <formula>0</formula>
    </cfRule>
  </conditionalFormatting>
  <conditionalFormatting sqref="E144 E155:E162">
    <cfRule type="cellIs" dxfId="163" priority="23" operator="equal">
      <formula>0</formula>
    </cfRule>
  </conditionalFormatting>
  <conditionalFormatting sqref="E163">
    <cfRule type="cellIs" dxfId="162" priority="22" operator="greaterThanOrEqual">
      <formula>0</formula>
    </cfRule>
  </conditionalFormatting>
  <conditionalFormatting sqref="E163">
    <cfRule type="cellIs" dxfId="161" priority="21" operator="lessThan">
      <formula>0</formula>
    </cfRule>
  </conditionalFormatting>
  <conditionalFormatting sqref="E143">
    <cfRule type="cellIs" dxfId="160" priority="20" operator="greaterThanOrEqual">
      <formula>0</formula>
    </cfRule>
  </conditionalFormatting>
  <conditionalFormatting sqref="E143">
    <cfRule type="cellIs" dxfId="159" priority="19" operator="lessThan">
      <formula>0</formula>
    </cfRule>
  </conditionalFormatting>
  <conditionalFormatting sqref="E171 E182:E189">
    <cfRule type="cellIs" dxfId="158" priority="18" operator="equal">
      <formula>0</formula>
    </cfRule>
  </conditionalFormatting>
  <conditionalFormatting sqref="E171 E182:E189">
    <cfRule type="cellIs" dxfId="157" priority="17" operator="greaterThan">
      <formula>0</formula>
    </cfRule>
  </conditionalFormatting>
  <conditionalFormatting sqref="E190">
    <cfRule type="cellIs" dxfId="156" priority="16" operator="greaterThanOrEqual">
      <formula>0</formula>
    </cfRule>
  </conditionalFormatting>
  <conditionalFormatting sqref="E190">
    <cfRule type="cellIs" dxfId="155" priority="15" operator="lessThan">
      <formula>0</formula>
    </cfRule>
  </conditionalFormatting>
  <conditionalFormatting sqref="E170">
    <cfRule type="cellIs" dxfId="154" priority="14" operator="greaterThanOrEqual">
      <formula>0</formula>
    </cfRule>
  </conditionalFormatting>
  <conditionalFormatting sqref="E170">
    <cfRule type="cellIs" dxfId="153" priority="13" operator="lessThan">
      <formula>0</formula>
    </cfRule>
  </conditionalFormatting>
  <conditionalFormatting sqref="C5">
    <cfRule type="cellIs" dxfId="152" priority="12" operator="equal">
      <formula>0</formula>
    </cfRule>
  </conditionalFormatting>
  <conditionalFormatting sqref="C5">
    <cfRule type="cellIs" dxfId="151" priority="11" operator="greaterThan">
      <formula>0</formula>
    </cfRule>
  </conditionalFormatting>
  <conditionalFormatting sqref="C98:C107">
    <cfRule type="cellIs" dxfId="150" priority="10" operator="lessThan">
      <formula>0</formula>
    </cfRule>
  </conditionalFormatting>
  <conditionalFormatting sqref="C98:C107">
    <cfRule type="cellIs" dxfId="149" priority="9" operator="greaterThanOrEqual">
      <formula>0</formula>
    </cfRule>
  </conditionalFormatting>
  <conditionalFormatting sqref="E118:E127">
    <cfRule type="cellIs" dxfId="148" priority="8" operator="equal">
      <formula>0</formula>
    </cfRule>
  </conditionalFormatting>
  <conditionalFormatting sqref="E118:E127">
    <cfRule type="cellIs" dxfId="147" priority="7" operator="greaterThan">
      <formula>0</formula>
    </cfRule>
  </conditionalFormatting>
  <conditionalFormatting sqref="E145:E154">
    <cfRule type="cellIs" dxfId="146" priority="6" operator="equal">
      <formula>0</formula>
    </cfRule>
  </conditionalFormatting>
  <conditionalFormatting sqref="E145:E154">
    <cfRule type="cellIs" dxfId="145" priority="5" operator="greaterThan">
      <formula>0</formula>
    </cfRule>
  </conditionalFormatting>
  <conditionalFormatting sqref="E172:E181">
    <cfRule type="cellIs" dxfId="144" priority="4" operator="equal">
      <formula>0</formula>
    </cfRule>
  </conditionalFormatting>
  <conditionalFormatting sqref="E172:E181">
    <cfRule type="cellIs" dxfId="143" priority="3" operator="greaterThan">
      <formula>0</formula>
    </cfRule>
  </conditionalFormatting>
  <conditionalFormatting sqref="E116">
    <cfRule type="cellIs" dxfId="142" priority="2" operator="greaterThanOrEqual">
      <formula>0</formula>
    </cfRule>
  </conditionalFormatting>
  <conditionalFormatting sqref="E116">
    <cfRule type="cellIs" dxfId="141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19" workbookViewId="0">
      <selection activeCell="G132" sqref="G132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247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2027 to October 2027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20 July 2027 - 19 August 2027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20 August 2027 - 19 September 2027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20 September 2027 - 19 October 2027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2027 to October 2027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(Forecast_13!C98)+SUM(E118+E145+E172)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(Forecast_13!C99)+SUM(E119+E146+E173)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(Forecast_13!C100)+SUM(E120+E147+E174)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(Forecast_13!C101)+SUM(E121+E148+E175)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(Forecast_13!C102)+SUM(E122+E149+E176)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(Forecast_13!C103)+SUM(E123+E150+E177)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(Forecast_13!C104)+SUM(E124+E151+E178)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(Forecast_13!C105)+SUM(E125+E152+E179)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(Forecast_13!C106)+SUM(E126+E153+E180)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(Forecast_13!C107)+SUM(E127+E154+E181)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20 2027 to August 19 2027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IF(Main!B2,TEXT(EDATE(Main!B3,39)-1,"mmmm yyyy"),TEXT(Main!B3+((Main!B5-Main!B3)*39+38),"mmmm yyyy"))</f>
        <v>Balance Brought Forward From July 2027</v>
      </c>
      <c r="B116" s="130"/>
      <c r="C116" s="202"/>
      <c r="D116" s="202"/>
      <c r="E116" s="56">
        <f>Forecast_13!E190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20 2027 to September 19 2027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IF(Main!B2,TEXT(EDATE(Main!B3,40)-1,"mmmm yyyy"),TEXT(Main!B3+((Main!B5-Main!B3)*40+39),"mmmm yyyy"))</f>
        <v>Balance Brought Forward From August 2027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20 2027 to October 19 2027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IF(Main!B2,TEXT(EDATE(Main!B3,41)-1,"mmmm yyyy"),TEXT(Main!B3+((Main!B5-Main!B3)*41+40),"mmmm yyyy"))</f>
        <v>Balance Brought Forward From September 2027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 ht="24.75" customHeight="1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40" priority="47" operator="equal">
      <formula>0</formula>
    </cfRule>
  </conditionalFormatting>
  <conditionalFormatting sqref="C47:C55 C85 C78:C79 C95:C96 E144 E155:E162">
    <cfRule type="cellIs" dxfId="139" priority="46" operator="greaterThan">
      <formula>0</formula>
    </cfRule>
  </conditionalFormatting>
  <conditionalFormatting sqref="C57:C66">
    <cfRule type="cellIs" dxfId="138" priority="45" operator="equal">
      <formula>0</formula>
    </cfRule>
  </conditionalFormatting>
  <conditionalFormatting sqref="C57:C66">
    <cfRule type="cellIs" dxfId="137" priority="44" operator="greaterThan">
      <formula>0</formula>
    </cfRule>
  </conditionalFormatting>
  <conditionalFormatting sqref="C68:C69">
    <cfRule type="cellIs" dxfId="136" priority="43" operator="equal">
      <formula>0</formula>
    </cfRule>
  </conditionalFormatting>
  <conditionalFormatting sqref="C68:C69">
    <cfRule type="cellIs" dxfId="135" priority="42" operator="greaterThan">
      <formula>0</formula>
    </cfRule>
  </conditionalFormatting>
  <conditionalFormatting sqref="C75">
    <cfRule type="cellIs" dxfId="134" priority="41" operator="equal">
      <formula>0</formula>
    </cfRule>
  </conditionalFormatting>
  <conditionalFormatting sqref="C75">
    <cfRule type="cellIs" dxfId="133" priority="40" operator="greaterThan">
      <formula>0</formula>
    </cfRule>
  </conditionalFormatting>
  <conditionalFormatting sqref="C77">
    <cfRule type="cellIs" dxfId="132" priority="39" operator="equal">
      <formula>0</formula>
    </cfRule>
  </conditionalFormatting>
  <conditionalFormatting sqref="C77">
    <cfRule type="cellIs" dxfId="131" priority="38" operator="greaterThan">
      <formula>0</formula>
    </cfRule>
  </conditionalFormatting>
  <conditionalFormatting sqref="C87:C89">
    <cfRule type="cellIs" dxfId="130" priority="37" operator="equal">
      <formula>0</formula>
    </cfRule>
  </conditionalFormatting>
  <conditionalFormatting sqref="C87:C89">
    <cfRule type="cellIs" dxfId="129" priority="36" operator="greaterThan">
      <formula>0</formula>
    </cfRule>
  </conditionalFormatting>
  <conditionalFormatting sqref="E117 E128:E135">
    <cfRule type="cellIs" dxfId="128" priority="35" operator="equal">
      <formula>0</formula>
    </cfRule>
  </conditionalFormatting>
  <conditionalFormatting sqref="E117 E128:E135">
    <cfRule type="cellIs" dxfId="127" priority="34" operator="greaterThan">
      <formula>0</formula>
    </cfRule>
  </conditionalFormatting>
  <conditionalFormatting sqref="E136">
    <cfRule type="cellIs" dxfId="126" priority="33" operator="greaterThanOrEqual">
      <formula>0</formula>
    </cfRule>
  </conditionalFormatting>
  <conditionalFormatting sqref="E136">
    <cfRule type="cellIs" dxfId="125" priority="32" operator="lessThan">
      <formula>0</formula>
    </cfRule>
  </conditionalFormatting>
  <conditionalFormatting sqref="C70:C74">
    <cfRule type="cellIs" dxfId="124" priority="31" operator="equal">
      <formula>0</formula>
    </cfRule>
  </conditionalFormatting>
  <conditionalFormatting sqref="C70:C74">
    <cfRule type="cellIs" dxfId="123" priority="30" operator="greaterThan">
      <formula>0</formula>
    </cfRule>
  </conditionalFormatting>
  <conditionalFormatting sqref="C80:C84">
    <cfRule type="cellIs" dxfId="122" priority="29" operator="equal">
      <formula>0</formula>
    </cfRule>
  </conditionalFormatting>
  <conditionalFormatting sqref="C80:C84">
    <cfRule type="cellIs" dxfId="121" priority="28" operator="greaterThan">
      <formula>0</formula>
    </cfRule>
  </conditionalFormatting>
  <conditionalFormatting sqref="C90:C94">
    <cfRule type="cellIs" dxfId="120" priority="27" operator="equal">
      <formula>0</formula>
    </cfRule>
  </conditionalFormatting>
  <conditionalFormatting sqref="C90:C94">
    <cfRule type="cellIs" dxfId="119" priority="26" operator="greaterThan">
      <formula>0</formula>
    </cfRule>
  </conditionalFormatting>
  <conditionalFormatting sqref="C108:C109">
    <cfRule type="cellIs" dxfId="118" priority="25" operator="equal">
      <formula>0</formula>
    </cfRule>
  </conditionalFormatting>
  <conditionalFormatting sqref="C108:C109">
    <cfRule type="cellIs" dxfId="117" priority="24" operator="greaterThan">
      <formula>0</formula>
    </cfRule>
  </conditionalFormatting>
  <conditionalFormatting sqref="E144 E155:E162">
    <cfRule type="cellIs" dxfId="116" priority="23" operator="equal">
      <formula>0</formula>
    </cfRule>
  </conditionalFormatting>
  <conditionalFormatting sqref="E163">
    <cfRule type="cellIs" dxfId="115" priority="22" operator="greaterThanOrEqual">
      <formula>0</formula>
    </cfRule>
  </conditionalFormatting>
  <conditionalFormatting sqref="E163">
    <cfRule type="cellIs" dxfId="114" priority="21" operator="lessThan">
      <formula>0</formula>
    </cfRule>
  </conditionalFormatting>
  <conditionalFormatting sqref="E143">
    <cfRule type="cellIs" dxfId="113" priority="20" operator="greaterThanOrEqual">
      <formula>0</formula>
    </cfRule>
  </conditionalFormatting>
  <conditionalFormatting sqref="E143">
    <cfRule type="cellIs" dxfId="112" priority="19" operator="lessThan">
      <formula>0</formula>
    </cfRule>
  </conditionalFormatting>
  <conditionalFormatting sqref="E171 E182:E189">
    <cfRule type="cellIs" dxfId="111" priority="18" operator="equal">
      <formula>0</formula>
    </cfRule>
  </conditionalFormatting>
  <conditionalFormatting sqref="E171 E182:E189">
    <cfRule type="cellIs" dxfId="110" priority="17" operator="greaterThan">
      <formula>0</formula>
    </cfRule>
  </conditionalFormatting>
  <conditionalFormatting sqref="E190">
    <cfRule type="cellIs" dxfId="109" priority="16" operator="greaterThanOrEqual">
      <formula>0</formula>
    </cfRule>
  </conditionalFormatting>
  <conditionalFormatting sqref="E190">
    <cfRule type="cellIs" dxfId="108" priority="15" operator="lessThan">
      <formula>0</formula>
    </cfRule>
  </conditionalFormatting>
  <conditionalFormatting sqref="E170">
    <cfRule type="cellIs" dxfId="107" priority="14" operator="greaterThanOrEqual">
      <formula>0</formula>
    </cfRule>
  </conditionalFormatting>
  <conditionalFormatting sqref="E170">
    <cfRule type="cellIs" dxfId="106" priority="13" operator="lessThan">
      <formula>0</formula>
    </cfRule>
  </conditionalFormatting>
  <conditionalFormatting sqref="C5">
    <cfRule type="cellIs" dxfId="105" priority="12" operator="equal">
      <formula>0</formula>
    </cfRule>
  </conditionalFormatting>
  <conditionalFormatting sqref="C5">
    <cfRule type="cellIs" dxfId="104" priority="11" operator="greaterThan">
      <formula>0</formula>
    </cfRule>
  </conditionalFormatting>
  <conditionalFormatting sqref="C98:C107">
    <cfRule type="cellIs" dxfId="103" priority="10" operator="lessThan">
      <formula>0</formula>
    </cfRule>
  </conditionalFormatting>
  <conditionalFormatting sqref="C98:C107">
    <cfRule type="cellIs" dxfId="102" priority="9" operator="greaterThanOrEqual">
      <formula>0</formula>
    </cfRule>
  </conditionalFormatting>
  <conditionalFormatting sqref="E118:E127">
    <cfRule type="cellIs" dxfId="101" priority="8" operator="equal">
      <formula>0</formula>
    </cfRule>
  </conditionalFormatting>
  <conditionalFormatting sqref="E118:E127">
    <cfRule type="cellIs" dxfId="100" priority="7" operator="greaterThan">
      <formula>0</formula>
    </cfRule>
  </conditionalFormatting>
  <conditionalFormatting sqref="E145:E154">
    <cfRule type="cellIs" dxfId="99" priority="6" operator="equal">
      <formula>0</formula>
    </cfRule>
  </conditionalFormatting>
  <conditionalFormatting sqref="E145:E154">
    <cfRule type="cellIs" dxfId="98" priority="5" operator="greaterThan">
      <formula>0</formula>
    </cfRule>
  </conditionalFormatting>
  <conditionalFormatting sqref="E172:E181">
    <cfRule type="cellIs" dxfId="97" priority="4" operator="equal">
      <formula>0</formula>
    </cfRule>
  </conditionalFormatting>
  <conditionalFormatting sqref="E172:E181">
    <cfRule type="cellIs" dxfId="96" priority="3" operator="greaterThan">
      <formula>0</formula>
    </cfRule>
  </conditionalFormatting>
  <conditionalFormatting sqref="E116">
    <cfRule type="cellIs" dxfId="95" priority="2" operator="greaterThanOrEqual">
      <formula>0</formula>
    </cfRule>
  </conditionalFormatting>
  <conditionalFormatting sqref="E116">
    <cfRule type="cellIs" dxfId="94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09" workbookViewId="0">
      <selection activeCell="G131" sqref="G131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247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2027 to January 2028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20 October 2027 - 19 November 2027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20 November 2027 - 19 December 2027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20 December 2027 - 19 January 2028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2027 to January 2028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(Forecast_14!C98)+SUM(E118+E145+E172)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(Forecast_14!C99)+SUM(E119+E146+E173)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(Forecast_14!C100)+SUM(E120+E147+E174)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(Forecast_14!C101)+SUM(E121+E148+E175)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(Forecast_14!C102)+SUM(E122+E149+E176)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(Forecast_14!C103)+SUM(E123+E150+E177)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(Forecast_14!C104)+SUM(E124+E151+E178)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(Forecast_14!C105)+SUM(E125+E152+E179)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(Forecast_14!C106)+SUM(E126+E153+E180)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(Forecast_14!C107)+SUM(E127+E154+E181)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20 2027 to November 19 2027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IF(Main!B2,TEXT(EDATE(Main!B3,42)-1,"mmmm yyyy"),TEXT(Main!B3+((Main!B5-Main!B3)*42+41),"mmmm yyyy"))</f>
        <v>Balance Brought Forward From October 2027</v>
      </c>
      <c r="B116" s="130"/>
      <c r="C116" s="202"/>
      <c r="D116" s="202"/>
      <c r="E116" s="56">
        <f>Forecast_14!E190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20 2027 to December 19 2027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IF(Main!B2,TEXT(EDATE(Main!B3,43)-1,"mmmm yyyy"),TEXT(Main!B3+((Main!B5-Main!B3)*43+42),"mmmm yyyy"))</f>
        <v>Balance Brought Forward From November 2027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20 2027 to January 19 2028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IF(Main!B2,TEXT(EDATE(Main!B3,44)-1,"mmmm yyyy"),TEXT(Main!B3+((Main!B5-Main!B3)*44+43),"mmmm yyyy"))</f>
        <v>Balance Brought Forward From December 2027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 ht="24.75" customHeight="1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93" priority="47" operator="equal">
      <formula>0</formula>
    </cfRule>
  </conditionalFormatting>
  <conditionalFormatting sqref="C47:C55 C85 C78:C79 C95:C96 E144 E155:E162">
    <cfRule type="cellIs" dxfId="92" priority="46" operator="greaterThan">
      <formula>0</formula>
    </cfRule>
  </conditionalFormatting>
  <conditionalFormatting sqref="C57:C66">
    <cfRule type="cellIs" dxfId="91" priority="45" operator="equal">
      <formula>0</formula>
    </cfRule>
  </conditionalFormatting>
  <conditionalFormatting sqref="C57:C66">
    <cfRule type="cellIs" dxfId="90" priority="44" operator="greaterThan">
      <formula>0</formula>
    </cfRule>
  </conditionalFormatting>
  <conditionalFormatting sqref="C68:C69">
    <cfRule type="cellIs" dxfId="89" priority="43" operator="equal">
      <formula>0</formula>
    </cfRule>
  </conditionalFormatting>
  <conditionalFormatting sqref="C68:C69">
    <cfRule type="cellIs" dxfId="88" priority="42" operator="greaterThan">
      <formula>0</formula>
    </cfRule>
  </conditionalFormatting>
  <conditionalFormatting sqref="C75">
    <cfRule type="cellIs" dxfId="87" priority="41" operator="equal">
      <formula>0</formula>
    </cfRule>
  </conditionalFormatting>
  <conditionalFormatting sqref="C75">
    <cfRule type="cellIs" dxfId="86" priority="40" operator="greaterThan">
      <formula>0</formula>
    </cfRule>
  </conditionalFormatting>
  <conditionalFormatting sqref="C77">
    <cfRule type="cellIs" dxfId="85" priority="39" operator="equal">
      <formula>0</formula>
    </cfRule>
  </conditionalFormatting>
  <conditionalFormatting sqref="C77">
    <cfRule type="cellIs" dxfId="84" priority="38" operator="greaterThan">
      <formula>0</formula>
    </cfRule>
  </conditionalFormatting>
  <conditionalFormatting sqref="C87:C89">
    <cfRule type="cellIs" dxfId="83" priority="37" operator="equal">
      <formula>0</formula>
    </cfRule>
  </conditionalFormatting>
  <conditionalFormatting sqref="C87:C89">
    <cfRule type="cellIs" dxfId="82" priority="36" operator="greaterThan">
      <formula>0</formula>
    </cfRule>
  </conditionalFormatting>
  <conditionalFormatting sqref="E117 E128:E135">
    <cfRule type="cellIs" dxfId="81" priority="35" operator="equal">
      <formula>0</formula>
    </cfRule>
  </conditionalFormatting>
  <conditionalFormatting sqref="E117 E128:E135">
    <cfRule type="cellIs" dxfId="80" priority="34" operator="greaterThan">
      <formula>0</formula>
    </cfRule>
  </conditionalFormatting>
  <conditionalFormatting sqref="E136">
    <cfRule type="cellIs" dxfId="79" priority="33" operator="greaterThanOrEqual">
      <formula>0</formula>
    </cfRule>
  </conditionalFormatting>
  <conditionalFormatting sqref="E136">
    <cfRule type="cellIs" dxfId="78" priority="32" operator="lessThan">
      <formula>0</formula>
    </cfRule>
  </conditionalFormatting>
  <conditionalFormatting sqref="C70:C74">
    <cfRule type="cellIs" dxfId="77" priority="31" operator="equal">
      <formula>0</formula>
    </cfRule>
  </conditionalFormatting>
  <conditionalFormatting sqref="C70:C74">
    <cfRule type="cellIs" dxfId="76" priority="30" operator="greaterThan">
      <formula>0</formula>
    </cfRule>
  </conditionalFormatting>
  <conditionalFormatting sqref="C80:C84">
    <cfRule type="cellIs" dxfId="75" priority="29" operator="equal">
      <formula>0</formula>
    </cfRule>
  </conditionalFormatting>
  <conditionalFormatting sqref="C80:C84">
    <cfRule type="cellIs" dxfId="74" priority="28" operator="greaterThan">
      <formula>0</formula>
    </cfRule>
  </conditionalFormatting>
  <conditionalFormatting sqref="C90:C94">
    <cfRule type="cellIs" dxfId="73" priority="27" operator="equal">
      <formula>0</formula>
    </cfRule>
  </conditionalFormatting>
  <conditionalFormatting sqref="C90:C94">
    <cfRule type="cellIs" dxfId="72" priority="26" operator="greaterThan">
      <formula>0</formula>
    </cfRule>
  </conditionalFormatting>
  <conditionalFormatting sqref="C108:C109">
    <cfRule type="cellIs" dxfId="71" priority="25" operator="equal">
      <formula>0</formula>
    </cfRule>
  </conditionalFormatting>
  <conditionalFormatting sqref="C108:C109">
    <cfRule type="cellIs" dxfId="70" priority="24" operator="greaterThan">
      <formula>0</formula>
    </cfRule>
  </conditionalFormatting>
  <conditionalFormatting sqref="E144 E155:E162">
    <cfRule type="cellIs" dxfId="69" priority="23" operator="equal">
      <formula>0</formula>
    </cfRule>
  </conditionalFormatting>
  <conditionalFormatting sqref="E163">
    <cfRule type="cellIs" dxfId="68" priority="22" operator="greaterThanOrEqual">
      <formula>0</formula>
    </cfRule>
  </conditionalFormatting>
  <conditionalFormatting sqref="E163">
    <cfRule type="cellIs" dxfId="67" priority="21" operator="lessThan">
      <formula>0</formula>
    </cfRule>
  </conditionalFormatting>
  <conditionalFormatting sqref="E143">
    <cfRule type="cellIs" dxfId="66" priority="20" operator="greaterThanOrEqual">
      <formula>0</formula>
    </cfRule>
  </conditionalFormatting>
  <conditionalFormatting sqref="E143">
    <cfRule type="cellIs" dxfId="65" priority="19" operator="lessThan">
      <formula>0</formula>
    </cfRule>
  </conditionalFormatting>
  <conditionalFormatting sqref="E171 E182:E189">
    <cfRule type="cellIs" dxfId="64" priority="18" operator="equal">
      <formula>0</formula>
    </cfRule>
  </conditionalFormatting>
  <conditionalFormatting sqref="E171 E182:E189">
    <cfRule type="cellIs" dxfId="63" priority="17" operator="greaterThan">
      <formula>0</formula>
    </cfRule>
  </conditionalFormatting>
  <conditionalFormatting sqref="E190">
    <cfRule type="cellIs" dxfId="62" priority="16" operator="greaterThanOrEqual">
      <formula>0</formula>
    </cfRule>
  </conditionalFormatting>
  <conditionalFormatting sqref="E190">
    <cfRule type="cellIs" dxfId="61" priority="15" operator="lessThan">
      <formula>0</formula>
    </cfRule>
  </conditionalFormatting>
  <conditionalFormatting sqref="E170">
    <cfRule type="cellIs" dxfId="60" priority="14" operator="greaterThanOrEqual">
      <formula>0</formula>
    </cfRule>
  </conditionalFormatting>
  <conditionalFormatting sqref="E170">
    <cfRule type="cellIs" dxfId="59" priority="13" operator="lessThan">
      <formula>0</formula>
    </cfRule>
  </conditionalFormatting>
  <conditionalFormatting sqref="C5">
    <cfRule type="cellIs" dxfId="58" priority="12" operator="equal">
      <formula>0</formula>
    </cfRule>
  </conditionalFormatting>
  <conditionalFormatting sqref="C5">
    <cfRule type="cellIs" dxfId="57" priority="11" operator="greaterThan">
      <formula>0</formula>
    </cfRule>
  </conditionalFormatting>
  <conditionalFormatting sqref="C98:C107">
    <cfRule type="cellIs" dxfId="56" priority="10" operator="lessThan">
      <formula>0</formula>
    </cfRule>
  </conditionalFormatting>
  <conditionalFormatting sqref="C98:C107">
    <cfRule type="cellIs" dxfId="55" priority="9" operator="greaterThanOrEqual">
      <formula>0</formula>
    </cfRule>
  </conditionalFormatting>
  <conditionalFormatting sqref="E118:E127">
    <cfRule type="cellIs" dxfId="54" priority="8" operator="equal">
      <formula>0</formula>
    </cfRule>
  </conditionalFormatting>
  <conditionalFormatting sqref="E118:E127">
    <cfRule type="cellIs" dxfId="53" priority="7" operator="greaterThan">
      <formula>0</formula>
    </cfRule>
  </conditionalFormatting>
  <conditionalFormatting sqref="E145:E154">
    <cfRule type="cellIs" dxfId="52" priority="6" operator="equal">
      <formula>0</formula>
    </cfRule>
  </conditionalFormatting>
  <conditionalFormatting sqref="E145:E154">
    <cfRule type="cellIs" dxfId="51" priority="5" operator="greaterThan">
      <formula>0</formula>
    </cfRule>
  </conditionalFormatting>
  <conditionalFormatting sqref="E172:E181">
    <cfRule type="cellIs" dxfId="50" priority="4" operator="equal">
      <formula>0</formula>
    </cfRule>
  </conditionalFormatting>
  <conditionalFormatting sqref="E172:E181">
    <cfRule type="cellIs" dxfId="49" priority="3" operator="greaterThan">
      <formula>0</formula>
    </cfRule>
  </conditionalFormatting>
  <conditionalFormatting sqref="E116">
    <cfRule type="cellIs" dxfId="48" priority="2" operator="greaterThanOrEqual">
      <formula>0</formula>
    </cfRule>
  </conditionalFormatting>
  <conditionalFormatting sqref="E116">
    <cfRule type="cellIs" dxfId="47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164" workbookViewId="0">
      <selection activeCell="G132" sqref="G132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247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2028 to April 2028</v>
      </c>
      <c r="B1" s="247"/>
      <c r="C1" s="247"/>
      <c r="D1" s="247"/>
      <c r="E1" s="247"/>
      <c r="F1" s="247"/>
      <c r="G1" s="247"/>
      <c r="H1" s="46"/>
      <c r="I1" s="46"/>
    </row>
    <row r="2" spans="1:9" ht="24.75" customHeight="1">
      <c r="A2" s="203" t="s">
        <v>31</v>
      </c>
      <c r="B2" s="47" t="s">
        <v>158</v>
      </c>
      <c r="C2" s="205" cm="1">
        <f t="array" aca="1" ref="C2" ca="1">INDIRECT("'" &amp; Main!B9 &amp; "'!$C$15")</f>
        <v>22.9</v>
      </c>
      <c r="D2" s="205"/>
      <c r="E2" s="205"/>
      <c r="F2" s="205"/>
      <c r="G2" s="205"/>
      <c r="H2" s="46"/>
      <c r="I2" s="46"/>
    </row>
    <row r="3" spans="1:9" ht="24.75" customHeight="1">
      <c r="A3" s="204"/>
      <c r="B3" s="40" t="s">
        <v>159</v>
      </c>
      <c r="C3" s="206">
        <f>E190</f>
        <v>3859.7999999999984</v>
      </c>
      <c r="D3" s="206"/>
      <c r="E3" s="206"/>
      <c r="F3" s="206"/>
      <c r="G3" s="206"/>
      <c r="H3" s="46"/>
      <c r="I3" s="46"/>
    </row>
    <row r="4" spans="1:9" ht="24.75" customHeight="1">
      <c r="A4" s="244" t="s">
        <v>45</v>
      </c>
      <c r="B4" s="245"/>
      <c r="C4" s="207">
        <f ca="1">SUM(C2:G3)</f>
        <v>3882.6999999999985</v>
      </c>
      <c r="D4" s="207"/>
      <c r="E4" s="207"/>
      <c r="F4" s="207"/>
      <c r="G4" s="207"/>
      <c r="H4" s="43"/>
      <c r="I4" s="8"/>
    </row>
    <row r="5" spans="1:9" ht="24.75" customHeight="1">
      <c r="A5" s="246" t="s">
        <v>160</v>
      </c>
      <c r="B5" s="246"/>
      <c r="C5" s="208">
        <f>C108</f>
        <v>0</v>
      </c>
      <c r="D5" s="209"/>
      <c r="E5" s="209"/>
      <c r="F5" s="209"/>
      <c r="G5" s="209"/>
      <c r="H5" s="43"/>
      <c r="I5" s="8"/>
    </row>
    <row r="6" spans="1:9" ht="24.75" customHeight="1">
      <c r="A6" s="43"/>
      <c r="B6" s="43"/>
      <c r="C6" s="43"/>
      <c r="D6" s="43"/>
      <c r="E6" s="43"/>
      <c r="F6" s="43"/>
      <c r="G6" s="43"/>
      <c r="H6" s="43"/>
      <c r="I6" s="8"/>
    </row>
    <row r="7" spans="1:9" ht="24.75" customHeight="1">
      <c r="A7" s="43"/>
      <c r="B7" s="43"/>
      <c r="C7" s="43"/>
      <c r="D7" s="43"/>
      <c r="E7" s="43"/>
      <c r="F7" s="43"/>
      <c r="G7" s="43"/>
      <c r="H7" s="43"/>
      <c r="I7" s="8"/>
    </row>
    <row r="8" spans="1:9" ht="24.75" customHeight="1">
      <c r="A8" s="17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20 January 2028 - 19 February 2028 /  (Revenue / Deferred Debts Or Expenses)</v>
      </c>
      <c r="B8" s="173"/>
      <c r="C8" s="173"/>
      <c r="D8" s="173"/>
      <c r="E8" s="173"/>
      <c r="F8" s="173"/>
      <c r="G8" s="173"/>
      <c r="H8" s="43"/>
      <c r="I8" s="36"/>
    </row>
    <row r="9" spans="1:9" ht="24.75" customHeight="1">
      <c r="A9" s="114" t="s">
        <v>27</v>
      </c>
      <c r="B9" s="149" t="s">
        <v>46</v>
      </c>
      <c r="C9" s="149"/>
      <c r="D9" s="164" t="s">
        <v>47</v>
      </c>
      <c r="E9" s="164"/>
      <c r="F9" s="164" t="s">
        <v>48</v>
      </c>
      <c r="G9" s="164"/>
      <c r="H9" s="43"/>
      <c r="I9" s="8"/>
    </row>
    <row r="10" spans="1:9" ht="24.75" customHeight="1">
      <c r="A10" s="2" t="s">
        <v>352</v>
      </c>
      <c r="B10" s="167" t="s">
        <v>353</v>
      </c>
      <c r="C10" s="167"/>
      <c r="D10" s="167" t="s">
        <v>354</v>
      </c>
      <c r="E10" s="167"/>
      <c r="F10" s="168">
        <v>0</v>
      </c>
      <c r="G10" s="157"/>
      <c r="H10" s="43"/>
      <c r="I10" s="8"/>
    </row>
    <row r="11" spans="1:9" ht="24.75" customHeight="1">
      <c r="A11" s="2"/>
      <c r="B11" s="150" t="s">
        <v>52</v>
      </c>
      <c r="C11" s="151"/>
      <c r="D11" s="152"/>
      <c r="E11" s="153"/>
      <c r="F11" s="168">
        <v>0</v>
      </c>
      <c r="G11" s="157"/>
      <c r="H11" s="43"/>
      <c r="I11" s="8"/>
    </row>
    <row r="12" spans="1:9" ht="24.75" customHeight="1">
      <c r="A12" s="2"/>
      <c r="B12" s="150" t="s">
        <v>53</v>
      </c>
      <c r="C12" s="151"/>
      <c r="D12" s="152"/>
      <c r="E12" s="153"/>
      <c r="F12" s="168">
        <v>0</v>
      </c>
      <c r="G12" s="157"/>
      <c r="H12" s="43"/>
      <c r="I12" s="8"/>
    </row>
    <row r="13" spans="1:9" ht="24.75" customHeight="1">
      <c r="A13" s="2"/>
      <c r="B13" s="150" t="s">
        <v>54</v>
      </c>
      <c r="C13" s="151"/>
      <c r="D13" s="152"/>
      <c r="E13" s="153"/>
      <c r="F13" s="168">
        <v>0</v>
      </c>
      <c r="G13" s="157"/>
      <c r="H13" s="43"/>
      <c r="I13" s="8"/>
    </row>
    <row r="14" spans="1:9" ht="24.75" customHeight="1">
      <c r="A14" s="2"/>
      <c r="B14" s="150" t="s">
        <v>55</v>
      </c>
      <c r="C14" s="151"/>
      <c r="D14" s="152"/>
      <c r="E14" s="153"/>
      <c r="F14" s="168">
        <v>0</v>
      </c>
      <c r="G14" s="157"/>
      <c r="H14" s="43"/>
      <c r="I14" s="8"/>
    </row>
    <row r="15" spans="1:9" ht="24.75" customHeight="1">
      <c r="A15" s="2"/>
      <c r="B15" s="150" t="s">
        <v>44</v>
      </c>
      <c r="C15" s="151"/>
      <c r="D15" s="152"/>
      <c r="E15" s="153"/>
      <c r="F15" s="168">
        <v>0</v>
      </c>
      <c r="G15" s="157"/>
      <c r="H15" s="43"/>
      <c r="I15" s="8"/>
    </row>
    <row r="16" spans="1:9" ht="24.75" customHeight="1">
      <c r="A16" s="44"/>
      <c r="B16" s="220"/>
      <c r="C16" s="221"/>
      <c r="D16" s="160" t="s">
        <v>56</v>
      </c>
      <c r="E16" s="161"/>
      <c r="F16" s="162">
        <f>SUM(F10:G15)</f>
        <v>0</v>
      </c>
      <c r="G16" s="163"/>
      <c r="H16" s="43"/>
      <c r="I16" s="8"/>
    </row>
    <row r="17" spans="1:9" ht="24.75" customHeight="1">
      <c r="A17" s="43"/>
      <c r="B17" s="43"/>
      <c r="C17" s="43"/>
      <c r="D17" s="43"/>
      <c r="E17" s="43"/>
      <c r="F17" s="43"/>
      <c r="G17" s="43"/>
      <c r="H17" s="43"/>
      <c r="I17" s="8"/>
    </row>
    <row r="18" spans="1:9" ht="24.75" customHeight="1">
      <c r="A18" s="43"/>
      <c r="B18" s="43"/>
      <c r="C18" s="43"/>
      <c r="D18" s="43"/>
      <c r="E18" s="43"/>
      <c r="F18" s="43"/>
      <c r="G18" s="43"/>
      <c r="H18" s="43"/>
      <c r="I18" s="8"/>
    </row>
    <row r="19" spans="1:9" ht="24.75" customHeight="1">
      <c r="A19" s="43"/>
      <c r="B19" s="43"/>
      <c r="C19" s="43"/>
      <c r="D19" s="43"/>
      <c r="E19" s="43"/>
      <c r="F19" s="43"/>
      <c r="G19" s="43"/>
      <c r="H19" s="43"/>
      <c r="I19" s="8"/>
    </row>
    <row r="20" spans="1:9" ht="24.75" customHeight="1">
      <c r="A20" s="17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20 February 2028 - 19 March 2028 /  (Revenue / Deferred Debts Or Expenses)</v>
      </c>
      <c r="B20" s="173"/>
      <c r="C20" s="173"/>
      <c r="D20" s="173"/>
      <c r="E20" s="173"/>
      <c r="F20" s="173"/>
      <c r="G20" s="173"/>
      <c r="H20" s="43"/>
      <c r="I20" s="8"/>
    </row>
    <row r="21" spans="1:9" ht="24.75" customHeight="1">
      <c r="A21" s="114" t="s">
        <v>27</v>
      </c>
      <c r="B21" s="149" t="s">
        <v>46</v>
      </c>
      <c r="C21" s="149"/>
      <c r="D21" s="164" t="s">
        <v>47</v>
      </c>
      <c r="E21" s="164"/>
      <c r="F21" s="164" t="s">
        <v>48</v>
      </c>
      <c r="G21" s="164"/>
      <c r="H21" s="43"/>
      <c r="I21" s="8"/>
    </row>
    <row r="22" spans="1:9" ht="24.75" customHeight="1">
      <c r="A22" s="2" t="s">
        <v>355</v>
      </c>
      <c r="B22" s="167" t="s">
        <v>68</v>
      </c>
      <c r="C22" s="167"/>
      <c r="D22" s="167" t="s">
        <v>356</v>
      </c>
      <c r="E22" s="167"/>
      <c r="F22" s="168">
        <v>0</v>
      </c>
      <c r="G22" s="157"/>
      <c r="H22" s="43"/>
      <c r="I22" s="8"/>
    </row>
    <row r="23" spans="1:9" ht="24.75" customHeight="1">
      <c r="A23" s="2"/>
      <c r="B23" s="150" t="s">
        <v>52</v>
      </c>
      <c r="C23" s="151"/>
      <c r="D23" s="152"/>
      <c r="E23" s="153"/>
      <c r="F23" s="168">
        <v>0</v>
      </c>
      <c r="G23" s="157"/>
      <c r="H23" s="43"/>
      <c r="I23" s="8"/>
    </row>
    <row r="24" spans="1:9" ht="24.75" customHeight="1">
      <c r="A24" s="2"/>
      <c r="B24" s="150" t="s">
        <v>53</v>
      </c>
      <c r="C24" s="151"/>
      <c r="D24" s="152"/>
      <c r="E24" s="153"/>
      <c r="F24" s="168">
        <v>0</v>
      </c>
      <c r="G24" s="157"/>
      <c r="H24" s="43"/>
      <c r="I24" s="8"/>
    </row>
    <row r="25" spans="1:9" ht="24.75" customHeight="1">
      <c r="A25" s="2"/>
      <c r="B25" s="150" t="s">
        <v>54</v>
      </c>
      <c r="C25" s="151"/>
      <c r="D25" s="152"/>
      <c r="E25" s="153"/>
      <c r="F25" s="168">
        <v>0</v>
      </c>
      <c r="G25" s="157"/>
      <c r="H25" s="43"/>
      <c r="I25" s="8"/>
    </row>
    <row r="26" spans="1:9" ht="24.75" customHeight="1">
      <c r="A26" s="2"/>
      <c r="B26" s="150" t="s">
        <v>55</v>
      </c>
      <c r="C26" s="151"/>
      <c r="D26" s="152"/>
      <c r="E26" s="153"/>
      <c r="F26" s="168">
        <v>0</v>
      </c>
      <c r="G26" s="157"/>
      <c r="H26" s="43"/>
      <c r="I26" s="8"/>
    </row>
    <row r="27" spans="1:9" ht="24.75" customHeight="1">
      <c r="A27" s="2"/>
      <c r="B27" s="150" t="s">
        <v>44</v>
      </c>
      <c r="C27" s="151"/>
      <c r="D27" s="152"/>
      <c r="E27" s="153"/>
      <c r="F27" s="168">
        <v>0</v>
      </c>
      <c r="G27" s="157"/>
      <c r="H27" s="43"/>
      <c r="I27" s="8"/>
    </row>
    <row r="28" spans="1:9" ht="24.75" customHeight="1">
      <c r="A28" s="44"/>
      <c r="B28" s="220"/>
      <c r="C28" s="221"/>
      <c r="D28" s="160" t="s">
        <v>56</v>
      </c>
      <c r="E28" s="161"/>
      <c r="F28" s="162">
        <f>SUM(F22:G27)</f>
        <v>0</v>
      </c>
      <c r="G28" s="163"/>
      <c r="H28" s="43"/>
      <c r="I28" s="8"/>
    </row>
    <row r="29" spans="1:9" ht="24.75" customHeight="1">
      <c r="A29" s="43"/>
      <c r="B29" s="43"/>
      <c r="C29" s="43"/>
      <c r="D29" s="43"/>
      <c r="E29" s="43"/>
      <c r="F29" s="43"/>
      <c r="G29" s="43"/>
      <c r="H29" s="43"/>
      <c r="I29" s="8"/>
    </row>
    <row r="30" spans="1:9" ht="24.75" customHeight="1">
      <c r="A30" s="43"/>
      <c r="B30" s="43"/>
      <c r="C30" s="43"/>
      <c r="D30" s="43"/>
      <c r="E30" s="43"/>
      <c r="F30" s="43"/>
      <c r="G30" s="43"/>
      <c r="H30" s="43"/>
      <c r="I30" s="8"/>
    </row>
    <row r="31" spans="1:9" ht="24.75" customHeight="1">
      <c r="A31" s="43"/>
      <c r="B31" s="43"/>
      <c r="C31" s="43"/>
      <c r="D31" s="43"/>
      <c r="E31" s="43"/>
      <c r="F31" s="43"/>
      <c r="G31" s="43"/>
      <c r="H31" s="43"/>
      <c r="I31" s="8"/>
    </row>
    <row r="32" spans="1:9" ht="24.75" customHeight="1">
      <c r="A32" s="17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20 March 2028 - 19 April 2028 /  (Revenue / Deferred Debts Or Expenses)</v>
      </c>
      <c r="B32" s="173"/>
      <c r="C32" s="173"/>
      <c r="D32" s="173"/>
      <c r="E32" s="173"/>
      <c r="F32" s="173"/>
      <c r="G32" s="173"/>
      <c r="H32" s="43"/>
      <c r="I32" s="8"/>
    </row>
    <row r="33" spans="1:9" ht="24.75" customHeight="1">
      <c r="A33" s="114" t="s">
        <v>27</v>
      </c>
      <c r="B33" s="149" t="s">
        <v>46</v>
      </c>
      <c r="C33" s="149"/>
      <c r="D33" s="164" t="s">
        <v>47</v>
      </c>
      <c r="E33" s="164"/>
      <c r="F33" s="164" t="s">
        <v>48</v>
      </c>
      <c r="G33" s="164"/>
      <c r="H33" s="43"/>
      <c r="I33" s="8"/>
    </row>
    <row r="34" spans="1:9" ht="24.75" customHeight="1">
      <c r="A34" s="2" t="s">
        <v>357</v>
      </c>
      <c r="B34" s="167" t="s">
        <v>68</v>
      </c>
      <c r="C34" s="167"/>
      <c r="D34" s="167" t="s">
        <v>356</v>
      </c>
      <c r="E34" s="167"/>
      <c r="F34" s="168">
        <v>0</v>
      </c>
      <c r="G34" s="157"/>
      <c r="H34" s="43"/>
      <c r="I34" s="8"/>
    </row>
    <row r="35" spans="1:9" ht="24.75" customHeight="1">
      <c r="A35" s="2"/>
      <c r="B35" s="150" t="s">
        <v>52</v>
      </c>
      <c r="C35" s="151"/>
      <c r="D35" s="152"/>
      <c r="E35" s="153"/>
      <c r="F35" s="168">
        <v>0</v>
      </c>
      <c r="G35" s="157"/>
      <c r="H35" s="43"/>
      <c r="I35" s="8"/>
    </row>
    <row r="36" spans="1:9" ht="24.75" customHeight="1">
      <c r="A36" s="2"/>
      <c r="B36" s="150" t="s">
        <v>53</v>
      </c>
      <c r="C36" s="151"/>
      <c r="D36" s="152"/>
      <c r="E36" s="153"/>
      <c r="F36" s="168">
        <v>0</v>
      </c>
      <c r="G36" s="157"/>
      <c r="H36" s="43"/>
      <c r="I36" s="36"/>
    </row>
    <row r="37" spans="1:9" ht="24.75" customHeight="1">
      <c r="A37" s="2"/>
      <c r="B37" s="150" t="s">
        <v>54</v>
      </c>
      <c r="C37" s="151"/>
      <c r="D37" s="152"/>
      <c r="E37" s="153"/>
      <c r="F37" s="168">
        <v>0</v>
      </c>
      <c r="G37" s="157"/>
      <c r="H37" s="43"/>
      <c r="I37" s="8"/>
    </row>
    <row r="38" spans="1:9" ht="24.75" customHeight="1">
      <c r="A38" s="2"/>
      <c r="B38" s="150" t="s">
        <v>55</v>
      </c>
      <c r="C38" s="151"/>
      <c r="D38" s="152"/>
      <c r="E38" s="153"/>
      <c r="F38" s="168">
        <v>0</v>
      </c>
      <c r="G38" s="157"/>
      <c r="H38" s="43"/>
      <c r="I38" s="8"/>
    </row>
    <row r="39" spans="1:9" ht="24.75" customHeight="1">
      <c r="A39" s="2"/>
      <c r="B39" s="150" t="s">
        <v>44</v>
      </c>
      <c r="C39" s="151"/>
      <c r="D39" s="152"/>
      <c r="E39" s="153"/>
      <c r="F39" s="168">
        <v>0</v>
      </c>
      <c r="G39" s="157"/>
      <c r="H39" s="43"/>
      <c r="I39" s="8"/>
    </row>
    <row r="40" spans="1:9" ht="24.75" customHeight="1">
      <c r="A40" s="44"/>
      <c r="B40" s="220"/>
      <c r="C40" s="221"/>
      <c r="D40" s="160" t="s">
        <v>56</v>
      </c>
      <c r="E40" s="161"/>
      <c r="F40" s="162">
        <f>SUM(F34:G39)</f>
        <v>0</v>
      </c>
      <c r="G40" s="163"/>
      <c r="H40" s="43"/>
      <c r="I40" s="8"/>
    </row>
    <row r="41" spans="1:9" ht="24.75" customHeight="1">
      <c r="A41" s="43"/>
      <c r="B41" s="43"/>
      <c r="C41" s="43"/>
      <c r="D41" s="43"/>
      <c r="E41" s="43"/>
      <c r="F41" s="43"/>
      <c r="G41" s="43"/>
      <c r="H41" s="43"/>
      <c r="I41" s="8"/>
    </row>
    <row r="42" spans="1:9" ht="24.75" customHeight="1">
      <c r="A42" s="43"/>
      <c r="B42" s="43"/>
      <c r="C42" s="43"/>
      <c r="D42" s="43"/>
      <c r="E42" s="43"/>
      <c r="F42" s="43"/>
      <c r="G42" s="43"/>
      <c r="H42" s="43"/>
      <c r="I42" s="8"/>
    </row>
    <row r="43" spans="1:9" ht="24.75" customHeight="1">
      <c r="A43" s="43"/>
      <c r="B43" s="43"/>
      <c r="C43" s="43"/>
      <c r="D43" s="43"/>
      <c r="E43" s="43"/>
      <c r="F43" s="43"/>
      <c r="G43" s="43"/>
      <c r="H43" s="43"/>
      <c r="I43" s="8"/>
    </row>
    <row r="44" spans="1:9" ht="24.75" customHeight="1">
      <c r="A44" s="232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2028 to April 2028</v>
      </c>
      <c r="B44" s="233"/>
      <c r="C44" s="234"/>
      <c r="D44" s="43"/>
      <c r="E44" s="43"/>
      <c r="F44" s="43"/>
      <c r="G44" s="43"/>
      <c r="H44" s="43"/>
      <c r="I44" s="8"/>
    </row>
    <row r="45" spans="1:9" ht="24.75" customHeight="1">
      <c r="A45" s="45" t="s">
        <v>46</v>
      </c>
      <c r="B45" s="45" t="s">
        <v>47</v>
      </c>
      <c r="C45" s="115" t="s">
        <v>48</v>
      </c>
      <c r="D45" s="43"/>
      <c r="E45" s="43"/>
      <c r="F45" s="43"/>
      <c r="G45" s="43"/>
      <c r="H45" s="43"/>
      <c r="I45" s="8"/>
    </row>
    <row r="46" spans="1:9" ht="24.75" customHeight="1">
      <c r="A46" s="235" t="s">
        <v>75</v>
      </c>
      <c r="B46" s="236"/>
      <c r="C46" s="237"/>
      <c r="D46" s="43"/>
      <c r="E46" s="43"/>
      <c r="F46" s="43"/>
      <c r="G46" s="43"/>
      <c r="H46" s="43"/>
      <c r="I46" s="8"/>
    </row>
    <row r="47" spans="1:9" ht="24.75" customHeight="1">
      <c r="A47" s="17" t="s">
        <v>76</v>
      </c>
      <c r="B47" s="18"/>
      <c r="C47" s="27">
        <v>0</v>
      </c>
      <c r="D47" s="43"/>
      <c r="E47" s="43"/>
      <c r="F47" s="43"/>
      <c r="G47" s="43"/>
      <c r="H47" s="43"/>
      <c r="I47" s="8"/>
    </row>
    <row r="48" spans="1:9" ht="24.75" customHeight="1">
      <c r="A48" s="17" t="s">
        <v>358</v>
      </c>
      <c r="B48" s="18"/>
      <c r="C48" s="27">
        <v>0</v>
      </c>
      <c r="D48" s="43"/>
      <c r="E48" s="43"/>
      <c r="F48" s="43"/>
      <c r="G48" s="43"/>
      <c r="H48" s="43"/>
      <c r="I48" s="8"/>
    </row>
    <row r="49" spans="1:9" ht="24.75" customHeight="1">
      <c r="A49" s="32" t="s">
        <v>78</v>
      </c>
      <c r="B49" s="18"/>
      <c r="C49" s="27">
        <v>0</v>
      </c>
      <c r="D49" s="43"/>
      <c r="E49" s="43"/>
      <c r="F49" s="43"/>
      <c r="G49" s="43"/>
      <c r="H49" s="43"/>
      <c r="I49" s="8"/>
    </row>
    <row r="50" spans="1:9" ht="24.75" customHeight="1">
      <c r="A50" s="17" t="s">
        <v>52</v>
      </c>
      <c r="B50" s="31"/>
      <c r="C50" s="27">
        <v>0</v>
      </c>
      <c r="D50" s="43"/>
      <c r="E50" s="43"/>
      <c r="F50" s="43"/>
      <c r="G50" s="43"/>
      <c r="H50" s="43"/>
      <c r="I50" s="8"/>
    </row>
    <row r="51" spans="1:9" ht="24.75" customHeight="1">
      <c r="A51" s="26" t="s">
        <v>53</v>
      </c>
      <c r="B51" s="31"/>
      <c r="C51" s="27">
        <v>0</v>
      </c>
      <c r="D51" s="43"/>
      <c r="E51" s="43"/>
      <c r="F51" s="43"/>
      <c r="G51" s="43"/>
      <c r="H51" s="43"/>
      <c r="I51" s="8"/>
    </row>
    <row r="52" spans="1:9" ht="24.75" customHeight="1">
      <c r="A52" s="26" t="s">
        <v>54</v>
      </c>
      <c r="B52" s="31"/>
      <c r="C52" s="27">
        <v>0</v>
      </c>
      <c r="D52" s="43"/>
      <c r="E52" s="43"/>
      <c r="F52" s="43"/>
      <c r="G52" s="43"/>
      <c r="H52" s="43"/>
      <c r="I52" s="8"/>
    </row>
    <row r="53" spans="1:9" ht="24.75" customHeight="1">
      <c r="A53" s="26" t="s">
        <v>55</v>
      </c>
      <c r="B53" s="31"/>
      <c r="C53" s="27">
        <v>0</v>
      </c>
      <c r="D53" s="43"/>
      <c r="E53" s="43"/>
      <c r="F53" s="43"/>
      <c r="G53" s="43"/>
      <c r="H53" s="43"/>
      <c r="I53" s="8"/>
    </row>
    <row r="54" spans="1:9" ht="24.75" customHeight="1">
      <c r="A54" s="26" t="s">
        <v>44</v>
      </c>
      <c r="B54" s="31"/>
      <c r="C54" s="27">
        <v>0</v>
      </c>
      <c r="D54" s="43"/>
      <c r="E54" s="43"/>
      <c r="F54" s="43"/>
      <c r="G54" s="43"/>
      <c r="H54" s="43"/>
      <c r="I54" s="8"/>
    </row>
    <row r="55" spans="1:9" ht="24.75" customHeight="1">
      <c r="A55" s="33"/>
      <c r="B55" s="25" t="s">
        <v>79</v>
      </c>
      <c r="C55" s="27">
        <f>SUM(C47:C54)</f>
        <v>0</v>
      </c>
      <c r="D55" s="43"/>
      <c r="E55" s="43"/>
      <c r="F55" s="43"/>
      <c r="G55" s="43"/>
      <c r="H55" s="43"/>
      <c r="I55" s="8"/>
    </row>
    <row r="56" spans="1:9" ht="24.75" customHeight="1">
      <c r="A56" s="235" t="s">
        <v>80</v>
      </c>
      <c r="B56" s="236"/>
      <c r="C56" s="237"/>
      <c r="D56" s="43"/>
      <c r="E56" s="43"/>
      <c r="F56" s="43"/>
      <c r="G56" s="43"/>
      <c r="H56" s="43"/>
      <c r="I56" s="8"/>
    </row>
    <row r="57" spans="1:9" ht="24.75" customHeight="1">
      <c r="A57" s="17" t="s">
        <v>81</v>
      </c>
      <c r="B57" s="18"/>
      <c r="C57" s="27">
        <v>0</v>
      </c>
      <c r="D57" s="43"/>
      <c r="E57" s="43"/>
      <c r="F57" s="43"/>
      <c r="G57" s="43"/>
      <c r="H57" s="43"/>
      <c r="I57" s="8"/>
    </row>
    <row r="58" spans="1:9" ht="24.75" customHeight="1">
      <c r="A58" s="17" t="s">
        <v>82</v>
      </c>
      <c r="B58" s="18"/>
      <c r="C58" s="27">
        <v>0</v>
      </c>
      <c r="D58" s="43"/>
      <c r="E58" s="43"/>
      <c r="F58" s="43"/>
      <c r="G58" s="43"/>
      <c r="H58" s="43"/>
      <c r="I58" s="8"/>
    </row>
    <row r="59" spans="1:9" ht="24.75" customHeight="1">
      <c r="A59" s="17" t="s">
        <v>83</v>
      </c>
      <c r="B59" s="18"/>
      <c r="C59" s="27">
        <v>0</v>
      </c>
      <c r="D59" s="43"/>
      <c r="E59" s="43"/>
      <c r="F59" s="43"/>
      <c r="G59" s="43"/>
      <c r="H59" s="43"/>
      <c r="I59" s="8"/>
    </row>
    <row r="60" spans="1:9" ht="24.75" customHeight="1">
      <c r="A60" s="17" t="s">
        <v>84</v>
      </c>
      <c r="B60" s="18"/>
      <c r="C60" s="27">
        <v>0</v>
      </c>
      <c r="D60" s="43"/>
      <c r="E60" s="43"/>
      <c r="F60" s="43"/>
      <c r="G60" s="43"/>
      <c r="H60" s="43"/>
      <c r="I60" s="8"/>
    </row>
    <row r="61" spans="1:9" ht="24.75" customHeight="1">
      <c r="A61" s="17" t="s">
        <v>52</v>
      </c>
      <c r="B61" s="18"/>
      <c r="C61" s="27">
        <v>0</v>
      </c>
      <c r="D61" s="43"/>
      <c r="E61" s="43"/>
      <c r="F61" s="43"/>
      <c r="G61" s="43"/>
      <c r="H61" s="43"/>
      <c r="I61" s="8"/>
    </row>
    <row r="62" spans="1:9" ht="24.75" customHeight="1">
      <c r="A62" s="17" t="s">
        <v>53</v>
      </c>
      <c r="B62" s="18"/>
      <c r="C62" s="27">
        <v>0</v>
      </c>
      <c r="D62" s="43"/>
      <c r="E62" s="43"/>
      <c r="F62" s="43"/>
      <c r="G62" s="43"/>
      <c r="H62" s="43"/>
      <c r="I62" s="8"/>
    </row>
    <row r="63" spans="1:9" ht="24.75" customHeight="1">
      <c r="A63" s="17" t="s">
        <v>54</v>
      </c>
      <c r="B63" s="18"/>
      <c r="C63" s="27">
        <v>0</v>
      </c>
      <c r="D63" s="43"/>
      <c r="E63" s="43"/>
      <c r="F63" s="43"/>
      <c r="G63" s="43"/>
      <c r="H63" s="43"/>
      <c r="I63" s="8"/>
    </row>
    <row r="64" spans="1:9" ht="24.75" customHeight="1">
      <c r="A64" s="17" t="s">
        <v>55</v>
      </c>
      <c r="B64" s="18"/>
      <c r="C64" s="27">
        <v>0</v>
      </c>
      <c r="D64" s="43"/>
      <c r="E64" s="43"/>
      <c r="F64" s="43"/>
      <c r="G64" s="43"/>
      <c r="H64" s="43"/>
      <c r="I64" s="8"/>
    </row>
    <row r="65" spans="1:9" ht="24.75" customHeight="1">
      <c r="A65" s="17" t="s">
        <v>44</v>
      </c>
      <c r="B65" s="18"/>
      <c r="C65" s="27">
        <v>0</v>
      </c>
      <c r="D65" s="43"/>
      <c r="E65" s="43"/>
      <c r="F65" s="43"/>
      <c r="G65" s="43"/>
      <c r="H65" s="43"/>
      <c r="I65" s="8"/>
    </row>
    <row r="66" spans="1:9" ht="24.75" customHeight="1">
      <c r="A66" s="22"/>
      <c r="B66" s="25" t="s">
        <v>85</v>
      </c>
      <c r="C66" s="27">
        <f>SUM(C57:C65)</f>
        <v>0</v>
      </c>
      <c r="D66" s="43"/>
      <c r="E66" s="43"/>
      <c r="F66" s="43"/>
      <c r="G66" s="43"/>
      <c r="H66" s="43"/>
      <c r="I66" s="8"/>
    </row>
    <row r="67" spans="1:9" ht="24.75" customHeight="1">
      <c r="A67" s="235" t="s">
        <v>86</v>
      </c>
      <c r="B67" s="236"/>
      <c r="C67" s="237"/>
      <c r="D67" s="43"/>
      <c r="E67" s="43"/>
      <c r="F67" s="43"/>
      <c r="G67" s="43"/>
      <c r="H67" s="43"/>
      <c r="I67" s="8"/>
    </row>
    <row r="68" spans="1:9" ht="24.75" customHeight="1">
      <c r="A68" s="17" t="s">
        <v>87</v>
      </c>
      <c r="B68" s="18" t="s">
        <v>88</v>
      </c>
      <c r="C68" s="27">
        <v>0</v>
      </c>
      <c r="D68" s="43"/>
      <c r="E68" s="43"/>
      <c r="F68" s="43"/>
      <c r="G68" s="43"/>
      <c r="H68" s="43"/>
      <c r="I68" s="8"/>
    </row>
    <row r="69" spans="1:9" ht="24.75" customHeight="1">
      <c r="A69" s="17" t="s">
        <v>89</v>
      </c>
      <c r="B69" s="18" t="s">
        <v>90</v>
      </c>
      <c r="C69" s="27">
        <v>0</v>
      </c>
      <c r="D69" s="43"/>
      <c r="E69" s="43"/>
      <c r="F69" s="43"/>
      <c r="G69" s="43"/>
      <c r="H69" s="43"/>
      <c r="I69" s="8"/>
    </row>
    <row r="70" spans="1:9" ht="24.75" customHeight="1">
      <c r="A70" s="17" t="s">
        <v>52</v>
      </c>
      <c r="B70" s="18"/>
      <c r="C70" s="27">
        <v>0</v>
      </c>
      <c r="D70" s="43"/>
      <c r="E70" s="43"/>
      <c r="F70" s="43"/>
      <c r="G70" s="43"/>
      <c r="H70" s="43"/>
      <c r="I70" s="8"/>
    </row>
    <row r="71" spans="1:9" ht="24.75" customHeight="1">
      <c r="A71" s="17" t="s">
        <v>53</v>
      </c>
      <c r="B71" s="18"/>
      <c r="C71" s="27">
        <v>0</v>
      </c>
      <c r="D71" s="43"/>
      <c r="E71" s="43"/>
      <c r="F71" s="43"/>
      <c r="G71" s="43"/>
      <c r="H71" s="43"/>
      <c r="I71" s="8"/>
    </row>
    <row r="72" spans="1:9" ht="24.75" customHeight="1">
      <c r="A72" s="17" t="s">
        <v>54</v>
      </c>
      <c r="B72" s="18"/>
      <c r="C72" s="27">
        <v>0</v>
      </c>
      <c r="D72" s="43"/>
      <c r="E72" s="43"/>
      <c r="F72" s="43"/>
      <c r="G72" s="43"/>
      <c r="H72" s="43"/>
      <c r="I72" s="8"/>
    </row>
    <row r="73" spans="1:9" ht="24.75" customHeight="1">
      <c r="A73" s="17" t="s">
        <v>55</v>
      </c>
      <c r="B73" s="18"/>
      <c r="C73" s="27">
        <v>0</v>
      </c>
      <c r="D73" s="43"/>
      <c r="E73" s="43"/>
      <c r="F73" s="43"/>
      <c r="G73" s="43"/>
      <c r="H73" s="43"/>
      <c r="I73" s="8"/>
    </row>
    <row r="74" spans="1:9" ht="24.75" customHeight="1">
      <c r="A74" s="17" t="s">
        <v>44</v>
      </c>
      <c r="B74" s="18"/>
      <c r="C74" s="27">
        <v>0</v>
      </c>
      <c r="D74" s="43"/>
      <c r="E74" s="43"/>
      <c r="F74" s="43"/>
      <c r="G74" s="43"/>
      <c r="H74" s="43"/>
      <c r="I74" s="8"/>
    </row>
    <row r="75" spans="1:9" ht="24.75" customHeight="1">
      <c r="A75" s="22"/>
      <c r="B75" s="25" t="s">
        <v>91</v>
      </c>
      <c r="C75" s="27">
        <f>SUM(C68:C74)</f>
        <v>0</v>
      </c>
      <c r="D75" s="43"/>
      <c r="E75" s="43"/>
      <c r="F75" s="43"/>
      <c r="G75" s="43"/>
      <c r="H75" s="43"/>
      <c r="I75" s="8"/>
    </row>
    <row r="76" spans="1:9" ht="24.75" customHeight="1">
      <c r="A76" s="235" t="s">
        <v>92</v>
      </c>
      <c r="B76" s="236"/>
      <c r="C76" s="237"/>
      <c r="D76" s="43"/>
      <c r="E76" s="43"/>
      <c r="F76" s="43"/>
      <c r="G76" s="43"/>
      <c r="H76" s="43"/>
      <c r="I76" s="8"/>
    </row>
    <row r="77" spans="1:9" ht="24.75" customHeight="1">
      <c r="A77" s="17" t="s">
        <v>93</v>
      </c>
      <c r="B77" s="18" t="s">
        <v>94</v>
      </c>
      <c r="C77" s="27">
        <v>0</v>
      </c>
      <c r="D77" s="43"/>
      <c r="E77" s="43"/>
      <c r="F77" s="43"/>
      <c r="G77" s="43"/>
      <c r="H77" s="43"/>
      <c r="I77" s="8"/>
    </row>
    <row r="78" spans="1:9" ht="24.75" customHeight="1">
      <c r="A78" s="17" t="s">
        <v>95</v>
      </c>
      <c r="B78" s="18" t="s">
        <v>96</v>
      </c>
      <c r="C78" s="27">
        <v>0</v>
      </c>
      <c r="D78" s="43"/>
      <c r="E78" s="43"/>
      <c r="F78" s="43"/>
      <c r="G78" s="43"/>
      <c r="H78" s="43"/>
      <c r="I78" s="8"/>
    </row>
    <row r="79" spans="1:9" ht="24.75" customHeight="1">
      <c r="A79" s="17" t="s">
        <v>97</v>
      </c>
      <c r="B79" s="18" t="s">
        <v>98</v>
      </c>
      <c r="C79" s="27">
        <v>0</v>
      </c>
      <c r="D79" s="43"/>
      <c r="E79" s="43"/>
      <c r="F79" s="43"/>
      <c r="G79" s="43"/>
      <c r="H79" s="43"/>
      <c r="I79" s="8"/>
    </row>
    <row r="80" spans="1:9" ht="24.75" customHeight="1">
      <c r="A80" s="17" t="s">
        <v>52</v>
      </c>
      <c r="B80" s="18"/>
      <c r="C80" s="27">
        <v>0</v>
      </c>
      <c r="D80" s="43"/>
      <c r="E80" s="43"/>
      <c r="F80" s="43"/>
      <c r="G80" s="43"/>
      <c r="H80" s="43"/>
      <c r="I80" s="8"/>
    </row>
    <row r="81" spans="1:9" ht="24.75" customHeight="1">
      <c r="A81" s="17" t="s">
        <v>53</v>
      </c>
      <c r="B81" s="18"/>
      <c r="C81" s="27">
        <v>0</v>
      </c>
      <c r="D81" s="43"/>
      <c r="E81" s="43"/>
      <c r="F81" s="43"/>
      <c r="G81" s="43"/>
      <c r="H81" s="43"/>
      <c r="I81" s="8"/>
    </row>
    <row r="82" spans="1:9" ht="24.75" customHeight="1">
      <c r="A82" s="17" t="s">
        <v>54</v>
      </c>
      <c r="B82" s="18"/>
      <c r="C82" s="27">
        <v>0</v>
      </c>
      <c r="D82" s="43"/>
      <c r="E82" s="43"/>
      <c r="F82" s="43"/>
      <c r="G82" s="43"/>
      <c r="H82" s="43"/>
      <c r="I82" s="8"/>
    </row>
    <row r="83" spans="1:9" ht="24.75" customHeight="1">
      <c r="A83" s="17" t="s">
        <v>55</v>
      </c>
      <c r="B83" s="18"/>
      <c r="C83" s="27">
        <v>0</v>
      </c>
      <c r="D83" s="43"/>
      <c r="E83" s="43"/>
      <c r="F83" s="43"/>
      <c r="G83" s="43"/>
      <c r="H83" s="43"/>
      <c r="I83" s="8"/>
    </row>
    <row r="84" spans="1:9" ht="24.75" customHeight="1">
      <c r="A84" s="17" t="s">
        <v>44</v>
      </c>
      <c r="B84" s="18"/>
      <c r="C84" s="27">
        <v>0</v>
      </c>
      <c r="D84" s="43"/>
      <c r="E84" s="43"/>
      <c r="F84" s="43"/>
      <c r="G84" s="43"/>
      <c r="H84" s="43"/>
      <c r="I84" s="8"/>
    </row>
    <row r="85" spans="1:9" ht="24.75" customHeight="1">
      <c r="A85" s="22"/>
      <c r="B85" s="25" t="s">
        <v>99</v>
      </c>
      <c r="C85" s="27">
        <f>SUM(C77:C84)</f>
        <v>0</v>
      </c>
      <c r="D85" s="43"/>
      <c r="E85" s="43"/>
      <c r="F85" s="43"/>
      <c r="G85" s="43"/>
      <c r="H85" s="43"/>
      <c r="I85" s="8"/>
    </row>
    <row r="86" spans="1:9" ht="24.75" customHeight="1">
      <c r="A86" s="235" t="s">
        <v>100</v>
      </c>
      <c r="B86" s="236"/>
      <c r="C86" s="237"/>
      <c r="D86" s="43"/>
      <c r="E86" s="43"/>
      <c r="F86" s="43"/>
      <c r="G86" s="43"/>
      <c r="H86" s="43"/>
      <c r="I86" s="8"/>
    </row>
    <row r="87" spans="1:9" ht="24.75" customHeight="1">
      <c r="A87" s="17" t="s">
        <v>359</v>
      </c>
      <c r="B87" s="18"/>
      <c r="C87" s="27">
        <v>0</v>
      </c>
      <c r="D87" s="43"/>
      <c r="E87" s="43"/>
      <c r="F87" s="43"/>
      <c r="G87" s="43"/>
      <c r="H87" s="43"/>
      <c r="I87" s="8"/>
    </row>
    <row r="88" spans="1:9" ht="24.75" customHeight="1">
      <c r="A88" s="26" t="s">
        <v>360</v>
      </c>
      <c r="B88" s="18"/>
      <c r="C88" s="27">
        <v>0</v>
      </c>
      <c r="D88" s="43"/>
      <c r="E88" s="43"/>
      <c r="F88" s="43"/>
      <c r="G88" s="43"/>
      <c r="H88" s="43"/>
      <c r="I88" s="8"/>
    </row>
    <row r="89" spans="1:9" ht="24.75" customHeight="1">
      <c r="A89" s="17" t="s">
        <v>361</v>
      </c>
      <c r="B89" s="18"/>
      <c r="C89" s="27">
        <v>0</v>
      </c>
      <c r="D89" s="43"/>
      <c r="E89" s="43"/>
      <c r="F89" s="43"/>
      <c r="G89" s="43"/>
      <c r="H89" s="43"/>
      <c r="I89" s="8"/>
    </row>
    <row r="90" spans="1:9" ht="24.75" customHeight="1">
      <c r="A90" s="17" t="s">
        <v>52</v>
      </c>
      <c r="B90" s="18"/>
      <c r="C90" s="27">
        <v>0</v>
      </c>
      <c r="D90" s="43"/>
      <c r="E90" s="55"/>
      <c r="F90" s="43"/>
      <c r="G90" s="43"/>
      <c r="H90" s="43"/>
      <c r="I90" s="8"/>
    </row>
    <row r="91" spans="1:9" ht="24.75" customHeight="1">
      <c r="A91" s="17" t="s">
        <v>53</v>
      </c>
      <c r="B91" s="18"/>
      <c r="C91" s="27">
        <v>0</v>
      </c>
      <c r="D91" s="43"/>
      <c r="E91" s="43"/>
      <c r="F91" s="43"/>
      <c r="G91" s="43"/>
      <c r="H91" s="43"/>
      <c r="I91" s="8"/>
    </row>
    <row r="92" spans="1:9" ht="24.75" customHeight="1">
      <c r="A92" s="17" t="s">
        <v>54</v>
      </c>
      <c r="B92" s="18"/>
      <c r="C92" s="27">
        <v>0</v>
      </c>
      <c r="D92" s="43"/>
      <c r="E92" s="43"/>
      <c r="F92" s="43"/>
      <c r="G92" s="43"/>
      <c r="H92" s="43"/>
      <c r="I92" s="8"/>
    </row>
    <row r="93" spans="1:9" ht="24.75" customHeight="1">
      <c r="A93" s="17" t="s">
        <v>55</v>
      </c>
      <c r="B93" s="18"/>
      <c r="C93" s="27">
        <v>0</v>
      </c>
      <c r="D93" s="43"/>
      <c r="E93" s="43"/>
      <c r="F93" s="43"/>
      <c r="G93" s="43"/>
      <c r="H93" s="43"/>
      <c r="I93" s="8"/>
    </row>
    <row r="94" spans="1:9" ht="24.75" customHeight="1">
      <c r="A94" s="17" t="s">
        <v>44</v>
      </c>
      <c r="B94" s="18"/>
      <c r="C94" s="27">
        <v>0</v>
      </c>
      <c r="D94" s="43"/>
      <c r="E94" s="43"/>
      <c r="F94" s="43"/>
      <c r="G94" s="43"/>
      <c r="H94" s="43"/>
      <c r="I94" s="8"/>
    </row>
    <row r="95" spans="1:9" ht="24.75" customHeight="1">
      <c r="A95" s="26"/>
      <c r="B95" s="25" t="s">
        <v>109</v>
      </c>
      <c r="C95" s="27">
        <f>SUM(C87:C94)</f>
        <v>0</v>
      </c>
      <c r="D95" s="43"/>
      <c r="E95" s="43"/>
      <c r="F95" s="43"/>
      <c r="G95" s="43"/>
      <c r="H95" s="43"/>
      <c r="I95" s="8"/>
    </row>
    <row r="96" spans="1:9" ht="24.75" customHeight="1">
      <c r="A96" s="22"/>
      <c r="B96" s="25" t="s">
        <v>110</v>
      </c>
      <c r="C96" s="27">
        <f>C55+C66+C75+C85+C95</f>
        <v>0</v>
      </c>
      <c r="D96" s="43"/>
      <c r="E96" s="43"/>
      <c r="F96" s="43"/>
      <c r="G96" s="43"/>
      <c r="H96" s="43"/>
      <c r="I96" s="8"/>
    </row>
    <row r="97" spans="1:9" ht="24.75" customHeight="1">
      <c r="A97" s="235" t="s">
        <v>111</v>
      </c>
      <c r="B97" s="236"/>
      <c r="C97" s="237"/>
      <c r="D97" s="43"/>
      <c r="E97" s="43"/>
      <c r="F97" s="43"/>
      <c r="G97" s="43"/>
      <c r="H97" s="43"/>
      <c r="I97" s="8"/>
    </row>
    <row r="98" spans="1:9" ht="24.75" customHeight="1">
      <c r="A98" s="26" t="s">
        <v>52</v>
      </c>
      <c r="B98" s="18"/>
      <c r="C98" s="27">
        <f>(Forecast_15!C98)+SUM(E118+E145+E172)</f>
        <v>0</v>
      </c>
      <c r="D98" s="43"/>
      <c r="E98" s="54"/>
      <c r="F98" s="43"/>
      <c r="G98" s="43"/>
      <c r="H98" s="43"/>
      <c r="I98" s="8"/>
    </row>
    <row r="99" spans="1:9" ht="24.75" customHeight="1">
      <c r="A99" s="26" t="s">
        <v>53</v>
      </c>
      <c r="B99" s="18"/>
      <c r="C99" s="27">
        <f>(Forecast_15!C99)+SUM(E119+E146+E173)</f>
        <v>0</v>
      </c>
      <c r="D99" s="43"/>
      <c r="E99" s="43"/>
      <c r="F99" s="43"/>
      <c r="G99" s="43"/>
      <c r="H99" s="43"/>
      <c r="I99" s="8"/>
    </row>
    <row r="100" spans="1:9" ht="24.75" customHeight="1">
      <c r="A100" s="26" t="s">
        <v>54</v>
      </c>
      <c r="B100" s="18"/>
      <c r="C100" s="27">
        <f>(Forecast_15!C100)+SUM(E120+E147+E174)</f>
        <v>0</v>
      </c>
      <c r="D100" s="43"/>
      <c r="E100" s="43"/>
      <c r="F100" s="43"/>
      <c r="G100" s="43"/>
      <c r="H100" s="43"/>
      <c r="I100" s="8"/>
    </row>
    <row r="101" spans="1:9" ht="24.75" customHeight="1">
      <c r="A101" s="17" t="s">
        <v>55</v>
      </c>
      <c r="B101" s="18"/>
      <c r="C101" s="27">
        <f>(Forecast_15!C101)+SUM(E121+E148+E175)</f>
        <v>0</v>
      </c>
      <c r="D101" s="43"/>
      <c r="E101" s="43"/>
      <c r="F101" s="43"/>
      <c r="G101" s="43"/>
      <c r="H101" s="43"/>
      <c r="I101" s="8"/>
    </row>
    <row r="102" spans="1:9" ht="24.75" customHeight="1">
      <c r="A102" s="17" t="s">
        <v>44</v>
      </c>
      <c r="B102" s="18"/>
      <c r="C102" s="27">
        <f>(Forecast_15!C102)+SUM(E122+E149+E176)</f>
        <v>0</v>
      </c>
      <c r="D102" s="43"/>
      <c r="E102" s="43"/>
      <c r="F102" s="43"/>
      <c r="G102" s="43"/>
      <c r="H102" s="43"/>
      <c r="I102" s="8"/>
    </row>
    <row r="103" spans="1:9" ht="24.75" customHeight="1">
      <c r="A103" s="17" t="s">
        <v>117</v>
      </c>
      <c r="B103" s="18"/>
      <c r="C103" s="27">
        <f>(Forecast_15!C103)+SUM(E123+E150+E177)</f>
        <v>0</v>
      </c>
      <c r="D103" s="43"/>
      <c r="E103" s="43"/>
      <c r="F103" s="43"/>
      <c r="G103" s="43"/>
      <c r="H103" s="43"/>
      <c r="I103" s="8"/>
    </row>
    <row r="104" spans="1:9" ht="24.75" customHeight="1">
      <c r="A104" s="17" t="s">
        <v>118</v>
      </c>
      <c r="B104" s="18"/>
      <c r="C104" s="27">
        <f>(Forecast_15!C104)+SUM(E124+E151+E178)</f>
        <v>0</v>
      </c>
      <c r="D104" s="43"/>
      <c r="E104" s="43"/>
      <c r="F104" s="43"/>
      <c r="G104" s="43"/>
      <c r="H104" s="43"/>
      <c r="I104" s="8"/>
    </row>
    <row r="105" spans="1:9" ht="24.75" customHeight="1">
      <c r="A105" s="17" t="s">
        <v>119</v>
      </c>
      <c r="B105" s="18"/>
      <c r="C105" s="27">
        <f>(Forecast_15!C105)+SUM(E125+E152+E179)</f>
        <v>0</v>
      </c>
      <c r="D105" s="43"/>
      <c r="E105" s="43"/>
      <c r="F105" s="43"/>
      <c r="G105" s="43"/>
      <c r="H105" s="43"/>
      <c r="I105" s="8"/>
    </row>
    <row r="106" spans="1:9" ht="24.75" customHeight="1">
      <c r="A106" s="17" t="s">
        <v>120</v>
      </c>
      <c r="B106" s="18"/>
      <c r="C106" s="27">
        <f>(Forecast_15!C106)+SUM(E126+E153+E180)</f>
        <v>0</v>
      </c>
      <c r="D106" s="43"/>
      <c r="E106" s="43"/>
      <c r="F106" s="43"/>
      <c r="G106" s="43"/>
      <c r="H106" s="43"/>
      <c r="I106" s="8"/>
    </row>
    <row r="107" spans="1:9" ht="24.75" customHeight="1">
      <c r="A107" s="17" t="s">
        <v>121</v>
      </c>
      <c r="B107" s="18"/>
      <c r="C107" s="27">
        <f>(Forecast_15!C107)+SUM(E127+E154+E181)</f>
        <v>0</v>
      </c>
      <c r="D107" s="43"/>
      <c r="E107" s="43"/>
      <c r="F107" s="43"/>
      <c r="G107" s="43"/>
      <c r="H107" s="43"/>
      <c r="I107" s="8"/>
    </row>
    <row r="108" spans="1:9" ht="24.75" customHeight="1">
      <c r="A108" s="22"/>
      <c r="B108" s="25" t="s">
        <v>122</v>
      </c>
      <c r="C108" s="27">
        <f>SUM(C98:C102)</f>
        <v>0</v>
      </c>
      <c r="D108" s="43"/>
      <c r="E108" s="43"/>
      <c r="F108" s="43"/>
      <c r="G108" s="43"/>
      <c r="H108" s="43"/>
      <c r="I108" s="8"/>
    </row>
    <row r="109" spans="1:9" ht="24.75" customHeight="1">
      <c r="A109" s="22"/>
      <c r="B109" s="25" t="s">
        <v>123</v>
      </c>
      <c r="C109" s="27">
        <f>ABS(C96+ABS(C108))</f>
        <v>0</v>
      </c>
      <c r="D109" s="43"/>
      <c r="E109" s="43"/>
      <c r="F109" s="43"/>
      <c r="G109" s="43"/>
      <c r="H109" s="43"/>
      <c r="I109" s="8"/>
    </row>
    <row r="110" spans="1:9" ht="24.75" customHeight="1">
      <c r="A110" s="43"/>
      <c r="B110" s="43"/>
      <c r="C110" s="43"/>
      <c r="D110" s="43"/>
      <c r="E110" s="43"/>
      <c r="F110" s="43"/>
      <c r="G110" s="43"/>
      <c r="H110" s="43"/>
      <c r="I110" s="8"/>
    </row>
    <row r="111" spans="1:9" ht="24.75" customHeight="1">
      <c r="A111" s="43"/>
      <c r="B111" s="43"/>
      <c r="C111" s="43"/>
      <c r="D111" s="43"/>
      <c r="E111" s="43"/>
      <c r="F111" s="43"/>
      <c r="G111" s="43"/>
      <c r="H111" s="43"/>
      <c r="I111" s="8"/>
    </row>
    <row r="112" spans="1:9" ht="24.75" customHeight="1">
      <c r="A112" s="43"/>
      <c r="B112" s="43"/>
      <c r="C112" s="43"/>
      <c r="D112" s="43"/>
      <c r="E112" s="43"/>
      <c r="F112" s="43"/>
      <c r="G112" s="43"/>
      <c r="H112" s="43"/>
      <c r="I112" s="8"/>
    </row>
    <row r="113" spans="1:9" ht="24.75" customHeight="1">
      <c r="A113" s="43"/>
      <c r="B113" s="43"/>
      <c r="C113" s="43"/>
      <c r="D113" s="43"/>
      <c r="E113" s="43"/>
      <c r="F113" s="43"/>
      <c r="G113" s="43"/>
      <c r="H113" s="43"/>
      <c r="I113" s="8"/>
    </row>
    <row r="114" spans="1:9" ht="24.75" customHeight="1">
      <c r="A114" s="132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20 2028 to February 19 2028</v>
      </c>
      <c r="B114" s="133"/>
      <c r="C114" s="133"/>
      <c r="D114" s="133"/>
      <c r="E114" s="134"/>
      <c r="F114" s="43"/>
      <c r="G114" s="43"/>
      <c r="H114" s="43"/>
      <c r="I114" s="8"/>
    </row>
    <row r="115" spans="1:9" ht="24.75" customHeight="1">
      <c r="A115" s="132" t="s">
        <v>124</v>
      </c>
      <c r="B115" s="134"/>
      <c r="C115" s="132" t="s">
        <v>47</v>
      </c>
      <c r="D115" s="134"/>
      <c r="E115" s="28" t="s">
        <v>48</v>
      </c>
      <c r="F115" s="43"/>
      <c r="G115" s="43"/>
      <c r="H115" s="43"/>
      <c r="I115" s="8"/>
    </row>
    <row r="116" spans="1:9" ht="24.75" customHeight="1">
      <c r="A116" s="129" t="str">
        <f>"Balance Brought Forward From " &amp; IF(Main!B2,TEXT(EDATE(Main!B3,45)-1,"mmmm yyyy"),TEXT(Main!B3+((Main!B5-Main!B3)*45+44),"mmmm yyyy"))</f>
        <v>Balance Brought Forward From January 2028</v>
      </c>
      <c r="B116" s="130"/>
      <c r="C116" s="202"/>
      <c r="D116" s="202"/>
      <c r="E116" s="56">
        <f>Forecast_15!E190</f>
        <v>3859.7999999999984</v>
      </c>
      <c r="F116" s="43"/>
      <c r="G116" s="43"/>
      <c r="H116" s="43"/>
      <c r="I116" s="8"/>
    </row>
    <row r="117" spans="1:9" ht="24.75" customHeight="1">
      <c r="A117" s="48" t="s">
        <v>125</v>
      </c>
      <c r="B117" s="49"/>
      <c r="C117" s="200" t="s">
        <v>126</v>
      </c>
      <c r="D117" s="191"/>
      <c r="E117" s="41"/>
      <c r="F117" s="43"/>
      <c r="G117" s="43"/>
      <c r="H117" s="43"/>
      <c r="I117" s="8"/>
    </row>
    <row r="118" spans="1:9" ht="24.75" customHeight="1">
      <c r="A118" s="50"/>
      <c r="B118" s="51"/>
      <c r="C118" s="137" t="s">
        <v>127</v>
      </c>
      <c r="D118" s="138"/>
      <c r="E118" s="27">
        <v>0</v>
      </c>
      <c r="F118" s="43"/>
      <c r="G118" s="43"/>
      <c r="H118" s="43"/>
      <c r="I118" s="8"/>
    </row>
    <row r="119" spans="1:9" ht="24.75" customHeight="1">
      <c r="A119" s="50"/>
      <c r="B119" s="51"/>
      <c r="C119" s="137" t="s">
        <v>128</v>
      </c>
      <c r="D119" s="138"/>
      <c r="E119" s="27">
        <v>0</v>
      </c>
      <c r="F119" s="43"/>
      <c r="G119" s="43"/>
      <c r="H119" s="43"/>
      <c r="I119" s="8"/>
    </row>
    <row r="120" spans="1:9" ht="24.75" customHeight="1">
      <c r="A120" s="50"/>
      <c r="B120" s="51"/>
      <c r="C120" s="137" t="s">
        <v>129</v>
      </c>
      <c r="D120" s="138"/>
      <c r="E120" s="27">
        <v>0</v>
      </c>
      <c r="F120" s="43"/>
      <c r="G120" s="43"/>
      <c r="H120" s="43"/>
      <c r="I120" s="8"/>
    </row>
    <row r="121" spans="1:9" ht="24.75" customHeight="1">
      <c r="A121" s="50"/>
      <c r="B121" s="51"/>
      <c r="C121" s="137" t="s">
        <v>130</v>
      </c>
      <c r="D121" s="138"/>
      <c r="E121" s="27">
        <v>0</v>
      </c>
      <c r="F121" s="43"/>
      <c r="G121" s="43"/>
      <c r="H121" s="43"/>
      <c r="I121" s="8"/>
    </row>
    <row r="122" spans="1:9" ht="24.75" customHeight="1">
      <c r="A122" s="50"/>
      <c r="B122" s="51"/>
      <c r="C122" s="137" t="s">
        <v>131</v>
      </c>
      <c r="D122" s="138"/>
      <c r="E122" s="27">
        <v>0</v>
      </c>
      <c r="F122" s="43"/>
      <c r="G122" s="43"/>
      <c r="H122" s="43"/>
      <c r="I122" s="8"/>
    </row>
    <row r="123" spans="1:9" ht="24.75" customHeight="1">
      <c r="A123" s="50"/>
      <c r="B123" s="51"/>
      <c r="C123" s="137" t="s">
        <v>132</v>
      </c>
      <c r="D123" s="138"/>
      <c r="E123" s="27">
        <v>0</v>
      </c>
      <c r="F123" s="43"/>
      <c r="G123" s="43"/>
      <c r="H123" s="43"/>
      <c r="I123" s="8"/>
    </row>
    <row r="124" spans="1:9" ht="24.75" customHeight="1">
      <c r="A124" s="50"/>
      <c r="B124" s="51"/>
      <c r="C124" s="137" t="s">
        <v>133</v>
      </c>
      <c r="D124" s="138"/>
      <c r="E124" s="27">
        <v>0</v>
      </c>
      <c r="F124" s="43"/>
      <c r="G124" s="43"/>
      <c r="H124" s="43"/>
      <c r="I124" s="8"/>
    </row>
    <row r="125" spans="1:9" ht="24.75" customHeight="1">
      <c r="A125" s="50"/>
      <c r="B125" s="51"/>
      <c r="C125" s="137" t="s">
        <v>134</v>
      </c>
      <c r="D125" s="138"/>
      <c r="E125" s="27">
        <v>0</v>
      </c>
      <c r="F125" s="43"/>
      <c r="G125" s="43"/>
      <c r="H125" s="43"/>
      <c r="I125" s="8"/>
    </row>
    <row r="126" spans="1:9" ht="24.75" customHeight="1">
      <c r="A126" s="50"/>
      <c r="B126" s="51"/>
      <c r="C126" s="137" t="s">
        <v>135</v>
      </c>
      <c r="D126" s="138"/>
      <c r="E126" s="27">
        <v>0</v>
      </c>
      <c r="F126" s="43"/>
      <c r="G126" s="43"/>
      <c r="H126" s="43"/>
      <c r="I126" s="8"/>
    </row>
    <row r="127" spans="1:9" ht="24.75" customHeight="1">
      <c r="A127" s="50"/>
      <c r="B127" s="51"/>
      <c r="C127" s="137" t="s">
        <v>136</v>
      </c>
      <c r="D127" s="138"/>
      <c r="E127" s="27">
        <v>0</v>
      </c>
      <c r="F127" s="43"/>
      <c r="G127" s="43"/>
      <c r="H127" s="43"/>
      <c r="I127" s="8"/>
    </row>
    <row r="128" spans="1:9" ht="24.75" customHeight="1">
      <c r="A128" s="50"/>
      <c r="B128" s="51"/>
      <c r="C128" s="190" t="s">
        <v>137</v>
      </c>
      <c r="D128" s="191"/>
      <c r="E128" s="41"/>
      <c r="F128" s="43"/>
      <c r="G128" s="43"/>
      <c r="H128" s="43"/>
      <c r="I128" s="8"/>
    </row>
    <row r="129" spans="1:9" ht="24.75" customHeight="1">
      <c r="A129" s="50"/>
      <c r="B129" s="51"/>
      <c r="C129" s="147" t="s">
        <v>138</v>
      </c>
      <c r="D129" s="148"/>
      <c r="E129" s="29">
        <v>0</v>
      </c>
      <c r="F129" s="43"/>
      <c r="G129" s="43"/>
      <c r="H129" s="43"/>
      <c r="I129" s="8"/>
    </row>
    <row r="130" spans="1:9" ht="24.75" customHeight="1">
      <c r="A130" s="50"/>
      <c r="B130" s="51"/>
      <c r="C130" s="137" t="s">
        <v>127</v>
      </c>
      <c r="D130" s="138"/>
      <c r="E130" s="29">
        <v>0</v>
      </c>
      <c r="F130" s="43"/>
      <c r="G130" s="43"/>
      <c r="H130" s="43"/>
      <c r="I130" s="8"/>
    </row>
    <row r="131" spans="1:9" ht="24.75" customHeight="1">
      <c r="A131" s="50"/>
      <c r="B131" s="51"/>
      <c r="C131" s="137" t="s">
        <v>128</v>
      </c>
      <c r="D131" s="138"/>
      <c r="E131" s="29">
        <v>0</v>
      </c>
      <c r="F131" s="43"/>
      <c r="G131" s="43"/>
      <c r="H131" s="43"/>
      <c r="I131" s="8"/>
    </row>
    <row r="132" spans="1:9" ht="24.75" customHeight="1">
      <c r="A132" s="50"/>
      <c r="B132" s="51"/>
      <c r="C132" s="137" t="s">
        <v>129</v>
      </c>
      <c r="D132" s="138"/>
      <c r="E132" s="29">
        <v>0</v>
      </c>
      <c r="F132" s="43"/>
      <c r="G132" s="43"/>
      <c r="H132" s="43"/>
      <c r="I132" s="8"/>
    </row>
    <row r="133" spans="1:9" ht="24.75" customHeight="1">
      <c r="A133" s="50"/>
      <c r="B133" s="51"/>
      <c r="C133" s="137" t="s">
        <v>130</v>
      </c>
      <c r="D133" s="138"/>
      <c r="E133" s="29">
        <v>0</v>
      </c>
      <c r="F133" s="43"/>
      <c r="G133" s="43"/>
      <c r="H133" s="43"/>
      <c r="I133" s="8"/>
    </row>
    <row r="134" spans="1:9" ht="24.75" customHeight="1">
      <c r="A134" s="52"/>
      <c r="B134" s="53"/>
      <c r="C134" s="137" t="s">
        <v>131</v>
      </c>
      <c r="D134" s="138"/>
      <c r="E134" s="29">
        <v>0</v>
      </c>
      <c r="F134" s="43"/>
      <c r="G134" s="43"/>
      <c r="H134" s="43"/>
      <c r="I134" s="8"/>
    </row>
    <row r="135" spans="1:9" ht="24.75" customHeight="1">
      <c r="A135" s="129" t="s">
        <v>139</v>
      </c>
      <c r="B135" s="193"/>
      <c r="C135" s="194"/>
      <c r="D135" s="195"/>
      <c r="E135" s="29">
        <f>C96</f>
        <v>0</v>
      </c>
      <c r="F135" s="43"/>
      <c r="G135" s="43"/>
      <c r="H135" s="43"/>
      <c r="I135" s="8"/>
    </row>
    <row r="136" spans="1:9" ht="24.75" customHeight="1">
      <c r="A136" s="187"/>
      <c r="B136" s="188"/>
      <c r="C136" s="189" t="s">
        <v>140</v>
      </c>
      <c r="D136" s="189"/>
      <c r="E136" s="30">
        <f>(F16+E116)-(SUM(E118:E127)+SUM(E129:E135))</f>
        <v>3859.7999999999984</v>
      </c>
      <c r="F136" s="43"/>
      <c r="G136" s="43"/>
      <c r="H136" s="43"/>
      <c r="I136" s="8"/>
    </row>
    <row r="137" spans="1:9" ht="24.75" customHeight="1">
      <c r="A137" s="43"/>
      <c r="B137" s="43"/>
      <c r="C137" s="43"/>
      <c r="D137" s="43"/>
      <c r="E137" s="43"/>
      <c r="F137" s="43"/>
      <c r="G137" s="43"/>
      <c r="H137" s="43"/>
      <c r="I137" s="8"/>
    </row>
    <row r="138" spans="1:9" ht="24.75" customHeight="1">
      <c r="A138" s="43"/>
      <c r="B138" s="43"/>
      <c r="C138" s="43"/>
      <c r="D138" s="43"/>
      <c r="E138" s="43"/>
      <c r="F138" s="43"/>
      <c r="G138" s="43"/>
      <c r="H138" s="43"/>
      <c r="I138" s="8"/>
    </row>
    <row r="139" spans="1:9" ht="24.75" customHeight="1">
      <c r="A139" s="43"/>
      <c r="B139" s="43"/>
      <c r="C139" s="43"/>
      <c r="D139" s="43"/>
      <c r="E139" s="43"/>
      <c r="F139" s="43"/>
      <c r="G139" s="43"/>
      <c r="H139" s="43"/>
      <c r="I139" s="8"/>
    </row>
    <row r="140" spans="1:9" ht="24.75" customHeight="1">
      <c r="A140" s="43"/>
      <c r="B140" s="43"/>
      <c r="C140" s="43"/>
      <c r="D140" s="43"/>
      <c r="E140" s="43"/>
      <c r="F140" s="43"/>
      <c r="G140" s="43"/>
      <c r="H140" s="43"/>
      <c r="I140" s="8"/>
    </row>
    <row r="141" spans="1:9" ht="24.75" customHeight="1">
      <c r="A141" s="132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20 2028 to March 19 2028</v>
      </c>
      <c r="B141" s="133"/>
      <c r="C141" s="133"/>
      <c r="D141" s="133"/>
      <c r="E141" s="134"/>
      <c r="F141" s="43"/>
      <c r="G141" s="43"/>
      <c r="H141" s="43"/>
      <c r="I141" s="8"/>
    </row>
    <row r="142" spans="1:9" ht="24.75" customHeight="1">
      <c r="A142" s="132" t="s">
        <v>124</v>
      </c>
      <c r="B142" s="134"/>
      <c r="C142" s="135" t="s">
        <v>47</v>
      </c>
      <c r="D142" s="136"/>
      <c r="E142" s="38" t="s">
        <v>48</v>
      </c>
      <c r="F142" s="43"/>
      <c r="G142" s="43"/>
      <c r="H142" s="43"/>
      <c r="I142" s="8"/>
    </row>
    <row r="143" spans="1:9" ht="24.75" customHeight="1">
      <c r="A143" s="129" t="str">
        <f>"Balance Brought Forward From " &amp; IF(Main!B2,TEXT(EDATE(Main!B3,46)-1,"mmmm yyyy"),TEXT(Main!B3+((Main!B5-Main!B3)*46+45),"mmmm yyyy"))</f>
        <v>Balance Brought Forward From February 2028</v>
      </c>
      <c r="B143" s="130"/>
      <c r="C143" s="202"/>
      <c r="D143" s="202"/>
      <c r="E143" s="30">
        <f>E136</f>
        <v>3859.7999999999984</v>
      </c>
      <c r="F143" s="43"/>
      <c r="G143" s="43"/>
      <c r="H143" s="43"/>
      <c r="I143" s="8"/>
    </row>
    <row r="144" spans="1:9" ht="24.75" customHeight="1">
      <c r="A144" s="139" t="s">
        <v>125</v>
      </c>
      <c r="B144" s="140"/>
      <c r="C144" s="145" t="s">
        <v>126</v>
      </c>
      <c r="D144" s="146"/>
      <c r="E144" s="42"/>
      <c r="F144" s="43"/>
      <c r="G144" s="43"/>
      <c r="H144" s="43"/>
      <c r="I144" s="8"/>
    </row>
    <row r="145" spans="1:9" ht="24.75" customHeight="1">
      <c r="A145" s="141"/>
      <c r="B145" s="142"/>
      <c r="C145" s="137" t="s">
        <v>127</v>
      </c>
      <c r="D145" s="138"/>
      <c r="E145" s="27">
        <v>0</v>
      </c>
      <c r="F145" s="43"/>
      <c r="G145" s="43"/>
      <c r="H145" s="43"/>
      <c r="I145" s="8"/>
    </row>
    <row r="146" spans="1:9" ht="24.75" customHeight="1">
      <c r="A146" s="141"/>
      <c r="B146" s="142"/>
      <c r="C146" s="137" t="s">
        <v>128</v>
      </c>
      <c r="D146" s="138"/>
      <c r="E146" s="27">
        <v>0</v>
      </c>
      <c r="F146" s="43"/>
      <c r="G146" s="43"/>
      <c r="H146" s="43"/>
      <c r="I146" s="8"/>
    </row>
    <row r="147" spans="1:9" ht="24.75" customHeight="1">
      <c r="A147" s="141"/>
      <c r="B147" s="142"/>
      <c r="C147" s="137" t="s">
        <v>129</v>
      </c>
      <c r="D147" s="138"/>
      <c r="E147" s="27">
        <v>0</v>
      </c>
      <c r="F147" s="43"/>
      <c r="G147" s="43"/>
      <c r="H147" s="43"/>
      <c r="I147" s="8"/>
    </row>
    <row r="148" spans="1:9" ht="24.75" customHeight="1">
      <c r="A148" s="141"/>
      <c r="B148" s="142"/>
      <c r="C148" s="137" t="s">
        <v>130</v>
      </c>
      <c r="D148" s="138"/>
      <c r="E148" s="27">
        <v>0</v>
      </c>
      <c r="F148" s="43"/>
      <c r="G148" s="43"/>
      <c r="H148" s="43"/>
      <c r="I148" s="8"/>
    </row>
    <row r="149" spans="1:9" ht="24.75" customHeight="1">
      <c r="A149" s="141"/>
      <c r="B149" s="142"/>
      <c r="C149" s="137" t="s">
        <v>131</v>
      </c>
      <c r="D149" s="138"/>
      <c r="E149" s="27">
        <v>0</v>
      </c>
      <c r="F149" s="43"/>
      <c r="G149" s="43"/>
      <c r="H149" s="43"/>
      <c r="I149" s="8"/>
    </row>
    <row r="150" spans="1:9" ht="24.75" customHeight="1">
      <c r="A150" s="141"/>
      <c r="B150" s="142"/>
      <c r="C150" s="137" t="s">
        <v>132</v>
      </c>
      <c r="D150" s="138"/>
      <c r="E150" s="27">
        <v>0</v>
      </c>
      <c r="F150" s="43"/>
      <c r="G150" s="43"/>
      <c r="H150" s="43"/>
      <c r="I150" s="8"/>
    </row>
    <row r="151" spans="1:9" ht="24.75" customHeight="1">
      <c r="A151" s="141"/>
      <c r="B151" s="142"/>
      <c r="C151" s="137" t="s">
        <v>133</v>
      </c>
      <c r="D151" s="138"/>
      <c r="E151" s="27">
        <v>0</v>
      </c>
      <c r="F151" s="43"/>
      <c r="G151" s="43"/>
      <c r="H151" s="43"/>
      <c r="I151" s="8"/>
    </row>
    <row r="152" spans="1:9" ht="24.75" customHeight="1">
      <c r="A152" s="141"/>
      <c r="B152" s="142"/>
      <c r="C152" s="137" t="s">
        <v>134</v>
      </c>
      <c r="D152" s="138"/>
      <c r="E152" s="27">
        <v>0</v>
      </c>
      <c r="F152" s="43"/>
      <c r="G152" s="43"/>
      <c r="H152" s="43"/>
      <c r="I152" s="8"/>
    </row>
    <row r="153" spans="1:9" ht="24.75" customHeight="1">
      <c r="A153" s="141"/>
      <c r="B153" s="142"/>
      <c r="C153" s="137" t="s">
        <v>135</v>
      </c>
      <c r="D153" s="138"/>
      <c r="E153" s="27">
        <v>0</v>
      </c>
      <c r="F153" s="43"/>
      <c r="G153" s="43"/>
      <c r="H153" s="43"/>
      <c r="I153" s="8"/>
    </row>
    <row r="154" spans="1:9" ht="24.75" customHeight="1">
      <c r="A154" s="141"/>
      <c r="B154" s="142"/>
      <c r="C154" s="137" t="s">
        <v>136</v>
      </c>
      <c r="D154" s="138"/>
      <c r="E154" s="27">
        <v>0</v>
      </c>
      <c r="F154" s="43"/>
      <c r="G154" s="43"/>
      <c r="H154" s="43"/>
      <c r="I154" s="8"/>
    </row>
    <row r="155" spans="1:9" ht="24.75" customHeight="1">
      <c r="A155" s="141"/>
      <c r="B155" s="142"/>
      <c r="C155" s="190" t="s">
        <v>137</v>
      </c>
      <c r="D155" s="191"/>
      <c r="E155" s="41"/>
      <c r="F155" s="43"/>
      <c r="G155" s="43"/>
      <c r="H155" s="43"/>
      <c r="I155" s="8"/>
    </row>
    <row r="156" spans="1:9" ht="24.75" customHeight="1">
      <c r="A156" s="141"/>
      <c r="B156" s="142"/>
      <c r="C156" s="147" t="s">
        <v>362</v>
      </c>
      <c r="D156" s="148"/>
      <c r="E156" s="29">
        <v>0</v>
      </c>
      <c r="F156" s="43"/>
      <c r="G156" s="43"/>
      <c r="H156" s="43"/>
      <c r="I156" s="8"/>
    </row>
    <row r="157" spans="1:9" ht="24.75" customHeight="1">
      <c r="A157" s="141"/>
      <c r="B157" s="142"/>
      <c r="C157" s="137" t="s">
        <v>127</v>
      </c>
      <c r="D157" s="138"/>
      <c r="E157" s="29">
        <v>0</v>
      </c>
      <c r="F157" s="43"/>
      <c r="G157" s="43"/>
      <c r="H157" s="43"/>
      <c r="I157" s="8"/>
    </row>
    <row r="158" spans="1:9" ht="24.75" customHeight="1">
      <c r="A158" s="141"/>
      <c r="B158" s="142"/>
      <c r="C158" s="137" t="s">
        <v>128</v>
      </c>
      <c r="D158" s="138"/>
      <c r="E158" s="29">
        <v>0</v>
      </c>
      <c r="F158" s="43"/>
      <c r="G158" s="43"/>
      <c r="H158" s="43"/>
      <c r="I158" s="8"/>
    </row>
    <row r="159" spans="1:9" ht="24.75" customHeight="1">
      <c r="A159" s="141"/>
      <c r="B159" s="142"/>
      <c r="C159" s="137" t="s">
        <v>129</v>
      </c>
      <c r="D159" s="138"/>
      <c r="E159" s="29">
        <v>0</v>
      </c>
      <c r="F159" s="43"/>
      <c r="G159" s="43"/>
      <c r="H159" s="43"/>
      <c r="I159" s="8"/>
    </row>
    <row r="160" spans="1:9" ht="24.75" customHeight="1">
      <c r="A160" s="141"/>
      <c r="B160" s="142"/>
      <c r="C160" s="137" t="s">
        <v>130</v>
      </c>
      <c r="D160" s="138"/>
      <c r="E160" s="29">
        <v>0</v>
      </c>
      <c r="F160" s="43"/>
      <c r="G160" s="43"/>
      <c r="H160" s="43"/>
      <c r="I160" s="8"/>
    </row>
    <row r="161" spans="1:9" ht="24.75" customHeight="1">
      <c r="A161" s="143"/>
      <c r="B161" s="144"/>
      <c r="C161" s="137" t="s">
        <v>131</v>
      </c>
      <c r="D161" s="138"/>
      <c r="E161" s="29">
        <v>0</v>
      </c>
      <c r="F161" s="43"/>
      <c r="G161" s="43"/>
      <c r="H161" s="43"/>
      <c r="I161" s="8"/>
    </row>
    <row r="162" spans="1:9" ht="24.75" customHeight="1">
      <c r="A162" s="129" t="s">
        <v>139</v>
      </c>
      <c r="B162" s="193"/>
      <c r="C162" s="194"/>
      <c r="D162" s="195"/>
      <c r="E162" s="29">
        <f>C96</f>
        <v>0</v>
      </c>
      <c r="F162" s="43"/>
      <c r="G162" s="43"/>
      <c r="H162" s="43"/>
      <c r="I162" s="8"/>
    </row>
    <row r="163" spans="1:9" ht="24.75" customHeight="1">
      <c r="A163" s="187"/>
      <c r="B163" s="188"/>
      <c r="C163" s="189" t="s">
        <v>140</v>
      </c>
      <c r="D163" s="189"/>
      <c r="E163" s="39">
        <f>(F28+E143)-(SUM(E145:E154)+SUM(E156:E162))</f>
        <v>3859.7999999999984</v>
      </c>
      <c r="F163" s="43"/>
      <c r="G163" s="43"/>
      <c r="H163" s="43"/>
      <c r="I163" s="8"/>
    </row>
    <row r="164" spans="1:9" ht="24.75" customHeight="1">
      <c r="A164" s="43"/>
      <c r="B164" s="43"/>
      <c r="C164" s="43"/>
      <c r="D164" s="43"/>
      <c r="E164" s="43"/>
      <c r="F164" s="43"/>
      <c r="G164" s="43"/>
      <c r="H164" s="43"/>
      <c r="I164" s="8"/>
    </row>
    <row r="165" spans="1:9" ht="24.75" customHeight="1">
      <c r="A165" s="43"/>
      <c r="B165" s="43"/>
      <c r="C165" s="43"/>
      <c r="D165" s="43"/>
      <c r="E165" s="43"/>
      <c r="F165" s="43"/>
      <c r="G165" s="43"/>
      <c r="H165" s="43"/>
      <c r="I165" s="8"/>
    </row>
    <row r="166" spans="1:9" ht="24.75" customHeight="1">
      <c r="A166" s="43"/>
      <c r="B166" s="43"/>
      <c r="C166" s="43"/>
      <c r="D166" s="43"/>
      <c r="E166" s="43"/>
      <c r="F166" s="43"/>
      <c r="G166" s="43"/>
      <c r="H166" s="43"/>
      <c r="I166" s="8"/>
    </row>
    <row r="167" spans="1:9" ht="24.75" customHeight="1">
      <c r="A167" s="43"/>
      <c r="B167" s="43"/>
      <c r="C167" s="43"/>
      <c r="D167" s="43"/>
      <c r="E167" s="43"/>
      <c r="F167" s="43"/>
      <c r="G167" s="43"/>
      <c r="H167" s="43"/>
      <c r="I167" s="8"/>
    </row>
    <row r="168" spans="1:9" ht="24.75" customHeight="1">
      <c r="A168" s="132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20 2028 to April 19 2028</v>
      </c>
      <c r="B168" s="133"/>
      <c r="C168" s="133"/>
      <c r="D168" s="133"/>
      <c r="E168" s="134"/>
      <c r="F168" s="43"/>
      <c r="G168" s="43"/>
      <c r="H168" s="43"/>
      <c r="I168" s="8"/>
    </row>
    <row r="169" spans="1:9" ht="24.75" customHeight="1">
      <c r="A169" s="132" t="s">
        <v>124</v>
      </c>
      <c r="B169" s="134"/>
      <c r="C169" s="135" t="s">
        <v>47</v>
      </c>
      <c r="D169" s="136"/>
      <c r="E169" s="38" t="s">
        <v>48</v>
      </c>
      <c r="F169" s="43"/>
      <c r="G169" s="43"/>
      <c r="H169" s="43"/>
      <c r="I169" s="8"/>
    </row>
    <row r="170" spans="1:9" ht="24.75" customHeight="1">
      <c r="A170" s="129" t="str">
        <f>"Balance Brought Forward From " &amp;  IF(Main!B2,TEXT(EDATE(Main!B3,47)-1,"mmmm yyyy"),TEXT(Main!B3+((Main!B5-Main!B3)*47+46),"mmmm yyyy"))</f>
        <v>Balance Brought Forward From March 2028</v>
      </c>
      <c r="B170" s="130"/>
      <c r="C170" s="202"/>
      <c r="D170" s="202"/>
      <c r="E170" s="39">
        <f>E163</f>
        <v>3859.7999999999984</v>
      </c>
      <c r="F170" s="43"/>
      <c r="G170" s="43"/>
      <c r="H170" s="43"/>
      <c r="I170" s="8"/>
    </row>
    <row r="171" spans="1:9" ht="24.75" customHeight="1">
      <c r="A171" s="139" t="s">
        <v>125</v>
      </c>
      <c r="B171" s="140"/>
      <c r="C171" s="145" t="s">
        <v>126</v>
      </c>
      <c r="D171" s="146"/>
      <c r="E171" s="42"/>
      <c r="F171" s="43"/>
      <c r="G171" s="43"/>
      <c r="H171" s="43"/>
      <c r="I171" s="8"/>
    </row>
    <row r="172" spans="1:9" ht="24.75" customHeight="1">
      <c r="A172" s="141"/>
      <c r="B172" s="142"/>
      <c r="C172" s="137" t="s">
        <v>127</v>
      </c>
      <c r="D172" s="138"/>
      <c r="E172" s="27">
        <v>0</v>
      </c>
      <c r="F172" s="43"/>
      <c r="G172" s="43"/>
      <c r="H172" s="43"/>
      <c r="I172" s="8"/>
    </row>
    <row r="173" spans="1:9" ht="24.75" customHeight="1">
      <c r="A173" s="141"/>
      <c r="B173" s="142"/>
      <c r="C173" s="137" t="s">
        <v>128</v>
      </c>
      <c r="D173" s="138"/>
      <c r="E173" s="27">
        <v>0</v>
      </c>
      <c r="F173" s="43"/>
      <c r="G173" s="43"/>
      <c r="H173" s="43"/>
      <c r="I173" s="8"/>
    </row>
    <row r="174" spans="1:9" ht="24.75" customHeight="1">
      <c r="A174" s="141"/>
      <c r="B174" s="142"/>
      <c r="C174" s="137" t="s">
        <v>129</v>
      </c>
      <c r="D174" s="138"/>
      <c r="E174" s="27">
        <v>0</v>
      </c>
      <c r="F174" s="43"/>
      <c r="G174" s="43"/>
      <c r="H174" s="43"/>
      <c r="I174" s="8"/>
    </row>
    <row r="175" spans="1:9" ht="24.75" customHeight="1">
      <c r="A175" s="141"/>
      <c r="B175" s="142"/>
      <c r="C175" s="137" t="s">
        <v>130</v>
      </c>
      <c r="D175" s="138"/>
      <c r="E175" s="27">
        <v>0</v>
      </c>
      <c r="F175" s="43"/>
      <c r="G175" s="43"/>
      <c r="H175" s="43"/>
      <c r="I175" s="8"/>
    </row>
    <row r="176" spans="1:9" ht="24.75" customHeight="1">
      <c r="A176" s="141"/>
      <c r="B176" s="142"/>
      <c r="C176" s="137" t="s">
        <v>131</v>
      </c>
      <c r="D176" s="138"/>
      <c r="E176" s="27">
        <v>0</v>
      </c>
      <c r="F176" s="43"/>
      <c r="G176" s="43"/>
      <c r="H176" s="43"/>
      <c r="I176" s="8"/>
    </row>
    <row r="177" spans="1:9" ht="24.75" customHeight="1">
      <c r="A177" s="141"/>
      <c r="B177" s="142"/>
      <c r="C177" s="137" t="s">
        <v>132</v>
      </c>
      <c r="D177" s="138"/>
      <c r="E177" s="27">
        <v>0</v>
      </c>
      <c r="F177" s="43"/>
      <c r="G177" s="43"/>
      <c r="H177" s="43"/>
      <c r="I177" s="8"/>
    </row>
    <row r="178" spans="1:9" ht="24.75" customHeight="1">
      <c r="A178" s="141"/>
      <c r="B178" s="142"/>
      <c r="C178" s="137" t="s">
        <v>133</v>
      </c>
      <c r="D178" s="138"/>
      <c r="E178" s="27">
        <v>0</v>
      </c>
      <c r="F178" s="43"/>
      <c r="G178" s="43"/>
      <c r="H178" s="43"/>
      <c r="I178" s="8"/>
    </row>
    <row r="179" spans="1:9" ht="24.75" customHeight="1">
      <c r="A179" s="141"/>
      <c r="B179" s="142"/>
      <c r="C179" s="137" t="s">
        <v>134</v>
      </c>
      <c r="D179" s="138"/>
      <c r="E179" s="27">
        <v>0</v>
      </c>
      <c r="F179" s="43"/>
      <c r="G179" s="43"/>
      <c r="H179" s="43"/>
      <c r="I179" s="8"/>
    </row>
    <row r="180" spans="1:9" ht="24.75" customHeight="1">
      <c r="A180" s="141"/>
      <c r="B180" s="142"/>
      <c r="C180" s="137" t="s">
        <v>135</v>
      </c>
      <c r="D180" s="138"/>
      <c r="E180" s="27">
        <v>0</v>
      </c>
      <c r="F180" s="43"/>
      <c r="G180" s="43"/>
      <c r="H180" s="43"/>
      <c r="I180" s="8"/>
    </row>
    <row r="181" spans="1:9" ht="24.75" customHeight="1">
      <c r="A181" s="141"/>
      <c r="B181" s="142"/>
      <c r="C181" s="137" t="s">
        <v>136</v>
      </c>
      <c r="D181" s="138"/>
      <c r="E181" s="27">
        <v>0</v>
      </c>
      <c r="F181" s="43"/>
      <c r="G181" s="43"/>
      <c r="H181" s="43"/>
      <c r="I181" s="8"/>
    </row>
    <row r="182" spans="1:9">
      <c r="A182" s="141"/>
      <c r="B182" s="142"/>
      <c r="C182" s="190" t="s">
        <v>137</v>
      </c>
      <c r="D182" s="191"/>
      <c r="E182" s="41"/>
      <c r="F182" s="43"/>
      <c r="G182" s="43"/>
      <c r="H182" s="43"/>
      <c r="I182" s="8"/>
    </row>
    <row r="183" spans="1:9" ht="24.75" customHeight="1">
      <c r="A183" s="141"/>
      <c r="B183" s="142"/>
      <c r="C183" s="147" t="s">
        <v>362</v>
      </c>
      <c r="D183" s="148"/>
      <c r="E183" s="29">
        <v>0</v>
      </c>
      <c r="F183" s="43"/>
      <c r="G183" s="43"/>
      <c r="H183" s="43"/>
      <c r="I183" s="8"/>
    </row>
    <row r="184" spans="1:9" ht="24.75" customHeight="1">
      <c r="A184" s="141"/>
      <c r="B184" s="142"/>
      <c r="C184" s="137" t="s">
        <v>127</v>
      </c>
      <c r="D184" s="138"/>
      <c r="E184" s="29">
        <v>0</v>
      </c>
      <c r="F184" s="43"/>
      <c r="G184" s="43"/>
      <c r="H184" s="43"/>
      <c r="I184" s="8"/>
    </row>
    <row r="185" spans="1:9" ht="24.75" customHeight="1">
      <c r="A185" s="141"/>
      <c r="B185" s="142"/>
      <c r="C185" s="137" t="s">
        <v>128</v>
      </c>
      <c r="D185" s="138"/>
      <c r="E185" s="29">
        <v>0</v>
      </c>
      <c r="F185" s="43"/>
      <c r="G185" s="43"/>
      <c r="H185" s="43"/>
      <c r="I185" s="8"/>
    </row>
    <row r="186" spans="1:9" ht="24.75" customHeight="1">
      <c r="A186" s="141"/>
      <c r="B186" s="142"/>
      <c r="C186" s="137" t="s">
        <v>129</v>
      </c>
      <c r="D186" s="138"/>
      <c r="E186" s="29">
        <v>0</v>
      </c>
      <c r="F186" s="43"/>
      <c r="G186" s="43"/>
      <c r="H186" s="43"/>
      <c r="I186" s="8"/>
    </row>
    <row r="187" spans="1:9" ht="24.75" customHeight="1">
      <c r="A187" s="141"/>
      <c r="B187" s="142"/>
      <c r="C187" s="137" t="s">
        <v>130</v>
      </c>
      <c r="D187" s="138"/>
      <c r="E187" s="29">
        <v>0</v>
      </c>
      <c r="F187" s="43"/>
      <c r="G187" s="43"/>
      <c r="H187" s="43"/>
      <c r="I187" s="8"/>
    </row>
    <row r="188" spans="1:9" ht="24.75" customHeight="1">
      <c r="A188" s="143"/>
      <c r="B188" s="144"/>
      <c r="C188" s="137" t="s">
        <v>131</v>
      </c>
      <c r="D188" s="138"/>
      <c r="E188" s="29">
        <v>0</v>
      </c>
      <c r="F188" s="43"/>
      <c r="G188" s="43"/>
      <c r="H188" s="43"/>
      <c r="I188" s="8"/>
    </row>
    <row r="189" spans="1:9" ht="24.75" customHeight="1">
      <c r="A189" s="129" t="s">
        <v>139</v>
      </c>
      <c r="B189" s="193"/>
      <c r="C189" s="194"/>
      <c r="D189" s="195"/>
      <c r="E189" s="29">
        <f>C96</f>
        <v>0</v>
      </c>
      <c r="F189" s="43"/>
      <c r="G189" s="43"/>
      <c r="H189" s="43"/>
      <c r="I189" s="8"/>
    </row>
    <row r="190" spans="1:9" ht="24.75" customHeight="1">
      <c r="A190" s="187"/>
      <c r="B190" s="188"/>
      <c r="C190" s="189" t="s">
        <v>140</v>
      </c>
      <c r="D190" s="189"/>
      <c r="E190" s="39">
        <f>(F40+E170)-(SUM(E172:E181)+SUM(E183:E189))</f>
        <v>3859.7999999999984</v>
      </c>
      <c r="F190" s="43"/>
      <c r="G190" s="43"/>
      <c r="H190" s="43"/>
      <c r="I190" s="8"/>
    </row>
    <row r="191" spans="1:9" ht="24.75" customHeight="1">
      <c r="A191" s="43"/>
      <c r="B191" s="43"/>
      <c r="C191" s="43"/>
      <c r="D191" s="43"/>
      <c r="E191" s="43"/>
      <c r="F191" s="43"/>
      <c r="G191" s="43"/>
      <c r="H191" s="43"/>
      <c r="I191" s="8"/>
    </row>
    <row r="192" spans="1:9" ht="24.75" customHeight="1">
      <c r="A192" s="46"/>
      <c r="B192" s="46"/>
      <c r="C192" s="46"/>
      <c r="D192" s="46"/>
      <c r="E192" s="46"/>
      <c r="F192" s="46"/>
      <c r="G192" s="46"/>
      <c r="H192" s="46"/>
      <c r="I192" s="46"/>
    </row>
    <row r="193" spans="1:9">
      <c r="A193" s="46"/>
      <c r="B193" s="46"/>
      <c r="C193" s="46"/>
      <c r="D193" s="46"/>
      <c r="E193" s="46"/>
      <c r="F193" s="46"/>
      <c r="G193" s="46"/>
      <c r="H193" s="46"/>
      <c r="I193" s="46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6" priority="47" operator="equal">
      <formula>0</formula>
    </cfRule>
  </conditionalFormatting>
  <conditionalFormatting sqref="C47:C55 C85 C78:C79 C95:C96 E144 E155:E162">
    <cfRule type="cellIs" dxfId="45" priority="46" operator="greaterThan">
      <formula>0</formula>
    </cfRule>
  </conditionalFormatting>
  <conditionalFormatting sqref="C57:C66">
    <cfRule type="cellIs" dxfId="44" priority="45" operator="equal">
      <formula>0</formula>
    </cfRule>
  </conditionalFormatting>
  <conditionalFormatting sqref="C57:C66">
    <cfRule type="cellIs" dxfId="43" priority="44" operator="greaterThan">
      <formula>0</formula>
    </cfRule>
  </conditionalFormatting>
  <conditionalFormatting sqref="C68:C69">
    <cfRule type="cellIs" dxfId="42" priority="43" operator="equal">
      <formula>0</formula>
    </cfRule>
  </conditionalFormatting>
  <conditionalFormatting sqref="C68:C69">
    <cfRule type="cellIs" dxfId="41" priority="42" operator="greaterThan">
      <formula>0</formula>
    </cfRule>
  </conditionalFormatting>
  <conditionalFormatting sqref="C75">
    <cfRule type="cellIs" dxfId="40" priority="41" operator="equal">
      <formula>0</formula>
    </cfRule>
  </conditionalFormatting>
  <conditionalFormatting sqref="C75">
    <cfRule type="cellIs" dxfId="39" priority="40" operator="greaterThan">
      <formula>0</formula>
    </cfRule>
  </conditionalFormatting>
  <conditionalFormatting sqref="C77">
    <cfRule type="cellIs" dxfId="38" priority="39" operator="equal">
      <formula>0</formula>
    </cfRule>
  </conditionalFormatting>
  <conditionalFormatting sqref="C77">
    <cfRule type="cellIs" dxfId="37" priority="38" operator="greaterThan">
      <formula>0</formula>
    </cfRule>
  </conditionalFormatting>
  <conditionalFormatting sqref="C87:C89">
    <cfRule type="cellIs" dxfId="36" priority="37" operator="equal">
      <formula>0</formula>
    </cfRule>
  </conditionalFormatting>
  <conditionalFormatting sqref="C87:C89">
    <cfRule type="cellIs" dxfId="35" priority="36" operator="greaterThan">
      <formula>0</formula>
    </cfRule>
  </conditionalFormatting>
  <conditionalFormatting sqref="E117 E128:E135">
    <cfRule type="cellIs" dxfId="34" priority="35" operator="equal">
      <formula>0</formula>
    </cfRule>
  </conditionalFormatting>
  <conditionalFormatting sqref="E117 E128:E135">
    <cfRule type="cellIs" dxfId="33" priority="34" operator="greaterThan">
      <formula>0</formula>
    </cfRule>
  </conditionalFormatting>
  <conditionalFormatting sqref="E136">
    <cfRule type="cellIs" dxfId="32" priority="33" operator="greaterThanOrEqual">
      <formula>0</formula>
    </cfRule>
  </conditionalFormatting>
  <conditionalFormatting sqref="E136">
    <cfRule type="cellIs" dxfId="31" priority="32" operator="lessThan">
      <formula>0</formula>
    </cfRule>
  </conditionalFormatting>
  <conditionalFormatting sqref="C70:C74">
    <cfRule type="cellIs" dxfId="30" priority="31" operator="equal">
      <formula>0</formula>
    </cfRule>
  </conditionalFormatting>
  <conditionalFormatting sqref="C70:C74">
    <cfRule type="cellIs" dxfId="29" priority="30" operator="greaterThan">
      <formula>0</formula>
    </cfRule>
  </conditionalFormatting>
  <conditionalFormatting sqref="C80:C84">
    <cfRule type="cellIs" dxfId="28" priority="29" operator="equal">
      <formula>0</formula>
    </cfRule>
  </conditionalFormatting>
  <conditionalFormatting sqref="C80:C84">
    <cfRule type="cellIs" dxfId="27" priority="28" operator="greaterThan">
      <formula>0</formula>
    </cfRule>
  </conditionalFormatting>
  <conditionalFormatting sqref="C90:C94">
    <cfRule type="cellIs" dxfId="26" priority="27" operator="equal">
      <formula>0</formula>
    </cfRule>
  </conditionalFormatting>
  <conditionalFormatting sqref="C90:C94">
    <cfRule type="cellIs" dxfId="25" priority="26" operator="greaterThan">
      <formula>0</formula>
    </cfRule>
  </conditionalFormatting>
  <conditionalFormatting sqref="C108:C109">
    <cfRule type="cellIs" dxfId="24" priority="25" operator="equal">
      <formula>0</formula>
    </cfRule>
  </conditionalFormatting>
  <conditionalFormatting sqref="C108:C109">
    <cfRule type="cellIs" dxfId="23" priority="24" operator="greaterThan">
      <formula>0</formula>
    </cfRule>
  </conditionalFormatting>
  <conditionalFormatting sqref="E144 E155:E162">
    <cfRule type="cellIs" dxfId="22" priority="23" operator="equal">
      <formula>0</formula>
    </cfRule>
  </conditionalFormatting>
  <conditionalFormatting sqref="E163">
    <cfRule type="cellIs" dxfId="21" priority="22" operator="greaterThanOrEqual">
      <formula>0</formula>
    </cfRule>
  </conditionalFormatting>
  <conditionalFormatting sqref="E163">
    <cfRule type="cellIs" dxfId="20" priority="21" operator="lessThan">
      <formula>0</formula>
    </cfRule>
  </conditionalFormatting>
  <conditionalFormatting sqref="E143">
    <cfRule type="cellIs" dxfId="19" priority="20" operator="greaterThanOrEqual">
      <formula>0</formula>
    </cfRule>
  </conditionalFormatting>
  <conditionalFormatting sqref="E143">
    <cfRule type="cellIs" dxfId="18" priority="19" operator="lessThan">
      <formula>0</formula>
    </cfRule>
  </conditionalFormatting>
  <conditionalFormatting sqref="E171 E182:E189">
    <cfRule type="cellIs" dxfId="17" priority="18" operator="equal">
      <formula>0</formula>
    </cfRule>
  </conditionalFormatting>
  <conditionalFormatting sqref="E171 E182:E189">
    <cfRule type="cellIs" dxfId="16" priority="17" operator="greaterThan">
      <formula>0</formula>
    </cfRule>
  </conditionalFormatting>
  <conditionalFormatting sqref="E190">
    <cfRule type="cellIs" dxfId="15" priority="16" operator="greaterThanOrEqual">
      <formula>0</formula>
    </cfRule>
  </conditionalFormatting>
  <conditionalFormatting sqref="E190">
    <cfRule type="cellIs" dxfId="14" priority="15" operator="lessThan">
      <formula>0</formula>
    </cfRule>
  </conditionalFormatting>
  <conditionalFormatting sqref="E170">
    <cfRule type="cellIs" dxfId="13" priority="14" operator="greaterThanOrEqual">
      <formula>0</formula>
    </cfRule>
  </conditionalFormatting>
  <conditionalFormatting sqref="E170">
    <cfRule type="cellIs" dxfId="12" priority="13" operator="lessThan">
      <formula>0</formula>
    </cfRule>
  </conditionalFormatting>
  <conditionalFormatting sqref="C5">
    <cfRule type="cellIs" dxfId="11" priority="12" operator="equal">
      <formula>0</formula>
    </cfRule>
  </conditionalFormatting>
  <conditionalFormatting sqref="C5">
    <cfRule type="cellIs" dxfId="10" priority="11" operator="greaterThan">
      <formula>0</formula>
    </cfRule>
  </conditionalFormatting>
  <conditionalFormatting sqref="C98:C107">
    <cfRule type="cellIs" dxfId="9" priority="10" operator="lessThan">
      <formula>0</formula>
    </cfRule>
  </conditionalFormatting>
  <conditionalFormatting sqref="C98:C107">
    <cfRule type="cellIs" dxfId="8" priority="9" operator="greaterThanOrEqual">
      <formula>0</formula>
    </cfRule>
  </conditionalFormatting>
  <conditionalFormatting sqref="E118:E127">
    <cfRule type="cellIs" dxfId="7" priority="8" operator="equal">
      <formula>0</formula>
    </cfRule>
  </conditionalFormatting>
  <conditionalFormatting sqref="E118:E127">
    <cfRule type="cellIs" dxfId="6" priority="7" operator="greaterThan">
      <formula>0</formula>
    </cfRule>
  </conditionalFormatting>
  <conditionalFormatting sqref="E145:E154">
    <cfRule type="cellIs" dxfId="5" priority="6" operator="equal">
      <formula>0</formula>
    </cfRule>
  </conditionalFormatting>
  <conditionalFormatting sqref="E145:E154">
    <cfRule type="cellIs" dxfId="4" priority="5" operator="greaterThan">
      <formula>0</formula>
    </cfRule>
  </conditionalFormatting>
  <conditionalFormatting sqref="E172:E181">
    <cfRule type="cellIs" dxfId="3" priority="4" operator="equal">
      <formula>0</formula>
    </cfRule>
  </conditionalFormatting>
  <conditionalFormatting sqref="E172:E181">
    <cfRule type="cellIs" dxfId="2" priority="3" operator="greaterThan">
      <formula>0</formula>
    </cfRule>
  </conditionalFormatting>
  <conditionalFormatting sqref="E116">
    <cfRule type="cellIs" dxfId="1" priority="2" operator="greaterThanOrEqual">
      <formula>0</formula>
    </cfRule>
  </conditionalFormatting>
  <conditionalFormatting sqref="E11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2025-03-01T01:49:01Z</dcterms:modified>
  <cp:category/>
  <cp:contentStatus/>
</cp:coreProperties>
</file>