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 activeTab="5"/>
  </bookViews>
  <sheets>
    <sheet name="Cover Page" sheetId="18" r:id="rId1"/>
    <sheet name="Main" sheetId="3" r:id="rId2"/>
    <sheet name="April 2024 - June 2024" sheetId="1" r:id="rId3"/>
    <sheet name="July 2024 - September 2024" sheetId="2" r:id="rId4"/>
    <sheet name="October 2024 - December 2024" sheetId="4" r:id="rId5"/>
    <sheet name="January 2025 - March 2025" sheetId="5" r:id="rId6"/>
    <sheet name="April 2025 - June 2025" sheetId="6" r:id="rId7"/>
    <sheet name="July 2025 - September 2025" sheetId="7" r:id="rId8"/>
    <sheet name="October 2025 - December 2025" sheetId="8" r:id="rId9"/>
    <sheet name="January 2026 - March 2026" sheetId="9" r:id="rId10"/>
    <sheet name="April 2026 - June 2026" sheetId="10" r:id="rId11"/>
    <sheet name="July 2026 - September 2026" sheetId="11" r:id="rId12"/>
    <sheet name="October 2026 - December 2026" sheetId="12" r:id="rId13"/>
    <sheet name="January 2027 - March 2027" sheetId="13" r:id="rId14"/>
    <sheet name="April 2027 - June 2027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<sst xmlns="http://schemas.openxmlformats.org/spreadsheetml/2006/main" count="1984" uniqueCount="361">
  <si>
    <t>Income Forecast</t>
  </si>
  <si>
    <t>Your Personal Finance Organizer</t>
  </si>
  <si>
    <t>Money In Terms Of
(tens, hundred, thousands, millions)</t>
  </si>
  <si>
    <t>tens</t>
  </si>
  <si>
    <t>A Month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</si>
  <si>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</si>
  <si>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</si>
  <si>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</si>
  <si>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</si>
  <si>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April 2024 - June 2024</t>
  </si>
  <si>
    <t>July 2024 - September 2024</t>
  </si>
  <si>
    <t>October 2024 - December 2024</t>
  </si>
  <si>
    <t>January 2025 - March 2025</t>
  </si>
  <si>
    <t>April 2025 - June 2025</t>
  </si>
  <si>
    <t>July 2025 - September 2025</t>
  </si>
  <si>
    <t>October 2025 - December 2025</t>
  </si>
  <si>
    <t>January 2026 - March 2026</t>
  </si>
  <si>
    <t>April 2026 - June 2026</t>
  </si>
  <si>
    <t>July 2026 - September 2026</t>
  </si>
  <si>
    <t>October 2026 - December 2026</t>
  </si>
  <si>
    <t>January 2027 - March 2027</t>
  </si>
  <si>
    <t>April 2027 - June 2027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</si>
  <si>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</si>
  <si>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</si>
  <si>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</si>
  <si>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</si>
  <si>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</si>
  <si>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</si>
  <si>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</si>
  <si>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</si>
  <si>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</si>
  <si>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</si>
  <si>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</si>
  <si>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</si>
  <si>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</si>
  <si>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</si>
  <si>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</si>
  <si>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</si>
  <si>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</si>
  <si>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</si>
  <si>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</si>
  <si>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</si>
  <si>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</si>
  <si>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</si>
  <si>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</si>
  <si>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</si>
  <si>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Other 5</t>
  </si>
  <si>
    <t>Total</t>
  </si>
  <si>
    <t>Name</t>
  </si>
  <si>
    <t>Description</t>
  </si>
  <si>
    <t>Amount</t>
  </si>
  <si>
    <t>17th January 2025</t>
  </si>
  <si>
    <t>Social Welfare</t>
  </si>
  <si>
    <t>N/A</t>
  </si>
  <si>
    <t>Revenue Total</t>
  </si>
  <si>
    <t>20th May 2024</t>
  </si>
  <si>
    <t>04th June 2024</t>
  </si>
  <si>
    <t>Additional half month</t>
  </si>
  <si>
    <t>7th June 2024</t>
  </si>
  <si>
    <t>Sosim</t>
  </si>
  <si>
    <t xml:space="preserve">Sosim Prepaid	</t>
  </si>
  <si>
    <t>18th June 2024</t>
  </si>
  <si>
    <t>Google Play Store Add in Value</t>
  </si>
  <si>
    <t>Add in Value Used For Sportify Monthly Fee</t>
  </si>
  <si>
    <t>20th June 2024</t>
  </si>
  <si>
    <t>24th June 2024</t>
  </si>
  <si>
    <t>Salary</t>
  </si>
  <si>
    <t>Salary From 24th June to End Of June - No MPF Deduction (not over 3 months)</t>
  </si>
  <si>
    <t>15th July 2024</t>
  </si>
  <si>
    <t>Prepaid HGC BroadBand</t>
  </si>
  <si>
    <t>Prepaid China Mobile</t>
  </si>
  <si>
    <t>Last Salary</t>
  </si>
  <si>
    <t xml:space="preserve"> End Of Service - Last Salary Paid On 15th July 2024</t>
  </si>
  <si>
    <t>Mobile And Communications/ Housing Expenses</t>
  </si>
  <si>
    <t>Broadband</t>
  </si>
  <si>
    <t>China Mobile</t>
  </si>
  <si>
    <t>Telephone (Fixed Line)</t>
  </si>
  <si>
    <t>Total Expenses</t>
  </si>
  <si>
    <t>Credit Card Installments/Government Installments</t>
  </si>
  <si>
    <t>Citi Bank</t>
  </si>
  <si>
    <t xml:space="preserve">SC Bank </t>
  </si>
  <si>
    <t>Bank Of China</t>
  </si>
  <si>
    <t>HSBC</t>
  </si>
  <si>
    <t>Donation</t>
  </si>
  <si>
    <t>Traversy</t>
  </si>
  <si>
    <t>Traversy Media</t>
  </si>
  <si>
    <t>Orbis</t>
  </si>
  <si>
    <t>Orbis Eye Flight</t>
  </si>
  <si>
    <t>Total Donation</t>
  </si>
  <si>
    <t>Insurance (Personal / Properties / Medical)</t>
  </si>
  <si>
    <t>AIA</t>
  </si>
  <si>
    <t>Total Insurance</t>
  </si>
  <si>
    <t>Other Expenses</t>
  </si>
  <si>
    <t>Other Stuff</t>
  </si>
  <si>
    <t>Food, Transport….</t>
  </si>
  <si>
    <t>Entertainment</t>
  </si>
  <si>
    <t>Music</t>
  </si>
  <si>
    <t>Hair Cutting</t>
  </si>
  <si>
    <t>$420 for Hair Cut plus Color treatment</t>
  </si>
  <si>
    <t>Cigarettes</t>
  </si>
  <si>
    <t>30 packets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</si>
  <si>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</si>
  <si>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</si>
  <si>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</si>
  <si>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</si>
  <si>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</si>
  <si>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</si>
  <si>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</si>
  <si>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</si>
  <si>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</si>
  <si>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</si>
  <si>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</si>
  <si>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</si>
  <si>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</si>
  <si>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</si>
  <si>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Payback $0 to Mom</t>
  </si>
  <si>
    <t>Payback $1000 to Ng Wing Lam on 24th May 2024</t>
  </si>
  <si>
    <t>Additional Expense For Cigarette</t>
  </si>
  <si>
    <t>Sportify Music</t>
  </si>
  <si>
    <t>Hair Cutting And Bleaching</t>
  </si>
  <si>
    <t>Additional Expense
     - Expenses</t>
  </si>
  <si>
    <t>Payback $4500 to Mom</t>
  </si>
  <si>
    <t>Payback $4000 to Ng Wing Lam</t>
  </si>
  <si>
    <t>Additional Expense - Approximately</t>
  </si>
  <si>
    <t>Mom Salary For 7 days $2400 Per Month - $2400 / 30 days</t>
  </si>
  <si>
    <t>Half Day No Pay Leave</t>
  </si>
  <si>
    <t>Additional Expense - Cigarettes 20 Packets plus one packet</t>
  </si>
  <si>
    <t>Delonghi Agent</t>
  </si>
  <si>
    <t>Tp-link router</t>
  </si>
  <si>
    <t>Paid the Remaining Broadband Fees $187</t>
  </si>
  <si>
    <t>Shopping List for 18th July 2024 Approximately</t>
  </si>
  <si>
    <t>Additional Expense - Not Recorded</t>
  </si>
  <si>
    <t>Overall</t>
  </si>
  <si>
    <t>Forecasts</t>
  </si>
  <si>
    <t>Net Debts:</t>
  </si>
  <si>
    <t>20th July 2024</t>
  </si>
  <si>
    <t>Balance the expense for Hair Cutting And Bleaching</t>
  </si>
  <si>
    <t>Original Expense Hair Cutting And Bleaching Expense is $62</t>
  </si>
  <si>
    <t>12th August 2024</t>
  </si>
  <si>
    <t>Borrowed $1500 From Lawrence</t>
  </si>
  <si>
    <t>Total Revenue</t>
  </si>
  <si>
    <t>16th August 2024</t>
  </si>
  <si>
    <t>HGC BroadBand Fee</t>
  </si>
  <si>
    <t>Last Payment Prepaid HGC Broadband Fee</t>
  </si>
  <si>
    <t>China Mobile Fee</t>
  </si>
  <si>
    <t>Prepaid China Mobile Fee</t>
  </si>
  <si>
    <t>17th August 2024</t>
  </si>
  <si>
    <t>30 Packet of Cigarette</t>
  </si>
  <si>
    <t>Prepaid Cigarette Fee</t>
  </si>
  <si>
    <t>20th August 2024</t>
  </si>
  <si>
    <t>1st September 2024</t>
  </si>
  <si>
    <t>Switch to China Mobile Broadband</t>
  </si>
  <si>
    <t>31st August 2024</t>
  </si>
  <si>
    <t>Deduct 5% MPF</t>
  </si>
  <si>
    <t>20th September 2024</t>
  </si>
  <si>
    <t>Food And Transport Expense Switched to $600 to $330</t>
  </si>
  <si>
    <t>HGC BroadBand End Of Service</t>
  </si>
  <si>
    <t>Cancel Color Treatment</t>
  </si>
  <si>
    <t>21th September 2024</t>
  </si>
  <si>
    <t>Birthday Present From Lawrence</t>
  </si>
  <si>
    <t>3rd October 2024</t>
  </si>
  <si>
    <t>$100 From Lawrence</t>
  </si>
  <si>
    <t>Receive $100 HKD from Lawrence, no need to return back</t>
  </si>
  <si>
    <t>6th October 2024</t>
  </si>
  <si>
    <t>$500 From Lawrence</t>
  </si>
  <si>
    <t>Help Lawrence to print, scan the documents and export to PDF.</t>
  </si>
  <si>
    <t>Sell Safe to Mom</t>
  </si>
  <si>
    <t>Sell Safe to Mom of the price $800</t>
  </si>
  <si>
    <t>$52 for Hair Cut (One month per cut) plus Color treatment ($54 color treatment solution can use 2 times)</t>
  </si>
  <si>
    <t>30 Packets</t>
  </si>
  <si>
    <t>Payback $1000 to Mom</t>
  </si>
  <si>
    <t>Buy Microsoft Surface 13.8 Inches Laptop</t>
  </si>
  <si>
    <t>Gamble Lost</t>
  </si>
  <si>
    <t>Cigarette</t>
  </si>
  <si>
    <t>Nicotin Chew Gum</t>
  </si>
  <si>
    <t>Additional For Cigarette</t>
  </si>
  <si>
    <t>Prepaid HGC Broadband Fee</t>
  </si>
  <si>
    <t>Balance with the Total Asset</t>
  </si>
  <si>
    <t>Payback $500 to Lawrence</t>
  </si>
  <si>
    <t>Water Services Department</t>
  </si>
  <si>
    <t>Demand Rates and Government Rent</t>
  </si>
  <si>
    <t>Payback $1150 to Mom</t>
  </si>
  <si>
    <t>- Other 2</t>
  </si>
  <si>
    <t>- Other 4</t>
  </si>
  <si>
    <t>- Other 5</t>
  </si>
  <si>
    <t>- Other 6</t>
  </si>
  <si>
    <t>- Other 7</t>
  </si>
  <si>
    <t>- Other 8</t>
  </si>
  <si>
    <t>- Other 9</t>
  </si>
  <si>
    <t>- Other 10</t>
  </si>
  <si>
    <t>China Mobile broadband fee for 2 months</t>
  </si>
  <si>
    <t>HKT IDD last Payment $60</t>
  </si>
  <si>
    <t xml:space="preserve">Additional Expense:
     - Books From Amazon $927.22
     - $16 HKD For Bangkok Hotel Protection
     - Additional $3 HKD giving To Mom For Bangkok 
       Round trip Flight
     - Excess Expense -$0.3  </t>
  </si>
  <si>
    <t>31st October 2024</t>
  </si>
  <si>
    <t>26th September 2024</t>
  </si>
  <si>
    <t>China Mobile Broadband</t>
  </si>
  <si>
    <t>Prepaid October Broadband Fees</t>
  </si>
  <si>
    <t>18th October 2024</t>
  </si>
  <si>
    <t>Joox Refund - Total 3 Months</t>
  </si>
  <si>
    <t>Sportify Monthly Payment</t>
  </si>
  <si>
    <t>18th November 2024</t>
  </si>
  <si>
    <t>20th October 2024</t>
  </si>
  <si>
    <t>30th November 2024</t>
  </si>
  <si>
    <t>20th November 2024</t>
  </si>
  <si>
    <r>
      <rPr>
        <b/>
        <sz val="11"/>
        <color rgb="FF000000"/>
        <rFont val="Arial"/>
        <charset val="134"/>
      </rPr>
      <t>21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November 2024</t>
    </r>
  </si>
  <si>
    <t>Deduct 10 packet of Cigarette</t>
  </si>
  <si>
    <r>
      <rPr>
        <b/>
        <sz val="11"/>
        <color rgb="FF000000"/>
        <rFont val="Arial"/>
        <charset val="134"/>
      </rPr>
      <t>23</t>
    </r>
    <r>
      <rPr>
        <b/>
        <vertAlign val="superscript"/>
        <sz val="11"/>
        <color rgb="FF000000"/>
        <rFont val="Arial"/>
        <charset val="134"/>
      </rPr>
      <t>rd</t>
    </r>
    <r>
      <rPr>
        <b/>
        <sz val="11"/>
        <color rgb="FF000000"/>
        <rFont val="Arial"/>
        <charset val="134"/>
      </rPr>
      <t xml:space="preserve"> November 2024</t>
    </r>
  </si>
  <si>
    <t>WingOn Travel</t>
  </si>
  <si>
    <t>Bangkok Air ticket refund – Money is refund to Mother’s HSBC credit card account.</t>
  </si>
  <si>
    <r>
      <rPr>
        <b/>
        <sz val="11"/>
        <color rgb="FF000000"/>
        <rFont val="Arial"/>
        <charset val="134"/>
      </rPr>
      <t>29</t>
    </r>
    <r>
      <rPr>
        <b/>
        <vertAlign val="superscript"/>
        <sz val="11"/>
        <color rgb="FF000000"/>
        <rFont val="Arial"/>
        <charset val="134"/>
      </rPr>
      <t>rd</t>
    </r>
    <r>
      <rPr>
        <b/>
        <sz val="11"/>
        <color rgb="FF000000"/>
        <rFont val="Arial"/>
        <charset val="134"/>
      </rPr>
      <t xml:space="preserve"> November 2024</t>
    </r>
  </si>
  <si>
    <t>Give $500 without return</t>
  </si>
  <si>
    <t>2nd December 2024</t>
  </si>
  <si>
    <t>Return Taxi Remaining</t>
  </si>
  <si>
    <t>Receive $100 From Mom For return Taxi. Still remain $12.</t>
  </si>
  <si>
    <t>Remaining Add In Value For Octopus.</t>
  </si>
  <si>
    <t>Octopus Add In value $50 
1.  $9.5 For Water
2. -$8.6 Negative Deposit.
3. $4 round trip to hospital.
4. U-mart expenses $20.8
5. add in value $50
6. $4 round trip to Kowloon Hospital.
7. $4 round trip to East Kowloon Hospital.</t>
  </si>
  <si>
    <t>3rd December 2024</t>
  </si>
  <si>
    <t>Lawrence give $500 For Mother Hospital Expenses</t>
  </si>
  <si>
    <t>Alipay</t>
  </si>
  <si>
    <t>Alipay $3 discount plus $2.04 Alipay Points Used</t>
  </si>
  <si>
    <t>11th December 2024</t>
  </si>
  <si>
    <t>Borrow $1000 From Lawrence</t>
  </si>
  <si>
    <t>17th December 2024</t>
  </si>
  <si>
    <t>Lawrence give $600 For Mother Hospital Expenses</t>
  </si>
  <si>
    <t>31st December 2024</t>
  </si>
  <si>
    <t>Deduct Cigarette</t>
  </si>
  <si>
    <t>Deduct 30 packet of Cigarette</t>
  </si>
  <si>
    <t>20th December 2024</t>
  </si>
  <si>
    <t>Mother Owe Me $78.4 for Taxi to QE Hospital, Plus Give me $100 for Return Taxi to home from QE Hospital. 
Return Taxi Fee is $78.4, $12 remaining.
Therefore total Mom still owes me $78.4 - $12 which is equal to $66.4.
All this will be deduct from the debts.</t>
  </si>
  <si>
    <t>Food And Transport Expenses</t>
  </si>
  <si>
    <t>Deduct $200 From Food And Transport Expenses.</t>
  </si>
  <si>
    <r>
      <rPr>
        <b/>
        <sz val="11"/>
        <color rgb="FF000000"/>
        <rFont val="Arial"/>
        <charset val="134"/>
      </rPr>
      <t>25</t>
    </r>
    <r>
      <rPr>
        <b/>
        <vertAlign val="superscript"/>
        <sz val="11"/>
        <color rgb="FF000000"/>
        <rFont val="Arial"/>
        <charset val="134"/>
      </rPr>
      <t>th</t>
    </r>
    <r>
      <rPr>
        <b/>
        <sz val="11"/>
        <color rgb="FF000000"/>
        <rFont val="Arial"/>
        <charset val="134"/>
      </rPr>
      <t xml:space="preserve"> December 2024</t>
    </r>
  </si>
  <si>
    <t>Lawrence give $100 For Christmas</t>
  </si>
  <si>
    <r>
      <rPr>
        <b/>
        <sz val="11"/>
        <color rgb="FF000000"/>
        <rFont val="Arial"/>
        <charset val="134"/>
      </rPr>
      <t>27</t>
    </r>
    <r>
      <rPr>
        <b/>
        <vertAlign val="superscript"/>
        <sz val="11"/>
        <color rgb="FF000000"/>
        <rFont val="Arial"/>
        <charset val="134"/>
      </rPr>
      <t>th</t>
    </r>
    <r>
      <rPr>
        <b/>
        <sz val="11"/>
        <color rgb="FF000000"/>
        <rFont val="Arial"/>
        <charset val="134"/>
      </rPr>
      <t xml:space="preserve"> December 2024</t>
    </r>
  </si>
  <si>
    <t>Mother give $900 For Car License Renewal.</t>
  </si>
  <si>
    <r>
      <rPr>
        <b/>
        <sz val="11"/>
        <color rgb="FF000000"/>
        <rFont val="Arial"/>
        <charset val="134"/>
      </rPr>
      <t>28</t>
    </r>
    <r>
      <rPr>
        <b/>
        <vertAlign val="superscript"/>
        <sz val="11"/>
        <color rgb="FF000000"/>
        <rFont val="Arial"/>
        <charset val="134"/>
      </rPr>
      <t>th</t>
    </r>
    <r>
      <rPr>
        <b/>
        <sz val="11"/>
        <color rgb="FF000000"/>
        <rFont val="Arial"/>
        <charset val="134"/>
      </rPr>
      <t xml:space="preserve"> December 2024</t>
    </r>
  </si>
  <si>
    <t xml:space="preserve">Mother borrow $50 </t>
  </si>
  <si>
    <t>28th December 2024</t>
  </si>
  <si>
    <t>Mother give $16.14 coins</t>
  </si>
  <si>
    <r>
      <rPr>
        <b/>
        <sz val="11"/>
        <color rgb="FF000000"/>
        <rFont val="Arial"/>
        <charset val="134"/>
      </rPr>
      <t>31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December 2024</t>
    </r>
  </si>
  <si>
    <t xml:space="preserve">Lawrence give $50 For Octopus Add In Value </t>
  </si>
  <si>
    <r>
      <rPr>
        <b/>
        <sz val="11"/>
        <color rgb="FF000000"/>
        <rFont val="Arial"/>
        <charset val="134"/>
      </rPr>
      <t>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December 2024</t>
    </r>
  </si>
  <si>
    <t>Lawrence give $100 For the help of Carrying luggages to the bus station.</t>
  </si>
  <si>
    <t xml:space="preserve">Balance Assets </t>
  </si>
  <si>
    <t xml:space="preserve">Balance The Total Assets </t>
  </si>
  <si>
    <t>5G Plan</t>
  </si>
  <si>
    <t>Properties  Insurance</t>
  </si>
  <si>
    <t>Properties Taxes</t>
  </si>
  <si>
    <t>Properties including Owned And Rented</t>
  </si>
  <si>
    <t>Investment Taxes</t>
  </si>
  <si>
    <t>Stocks/Securities/Unit Trusts Taxes</t>
  </si>
  <si>
    <t xml:space="preserve">$52 for Hair Cut (One month per cut) </t>
  </si>
  <si>
    <t>Payback $200 to Lawrence</t>
  </si>
  <si>
    <t xml:space="preserve">Additional Expense 
 - Add In Value $50 For Octopus
 - Add In Value $150 For Google Play
 - Excess Expenses $451.7
</t>
  </si>
  <si>
    <t>Additional China Mobile Fee For Joox Refund $207 - $149</t>
  </si>
  <si>
    <t>Additional 20 packet of Cigarette</t>
  </si>
  <si>
    <t xml:space="preserve">Payback $0 to Mom </t>
  </si>
  <si>
    <t>Payback $300 to Lawrence</t>
  </si>
  <si>
    <r>
      <rPr>
        <sz val="11"/>
        <color rgb="FF000000"/>
        <rFont val="Arial"/>
        <charset val="134"/>
      </rPr>
      <t xml:space="preserve">Additional Expense     
-  China Mobile Broadband Fees $78   
-  additional cigarette charge $80
-  additional cigarette charge $300
- 28th-Nov additional nicotinell charge $263.9
- Add In Value $50 For Octopus Card
- Expenses For Mom $68.9 Taxi plus water $9.5
   Total Expenses: $68.9 + $9.5 which is equal </t>
    </r>
    <r>
      <rPr>
        <b/>
        <sz val="11"/>
        <color rgb="FFFF0000"/>
        <rFont val="Arial"/>
        <charset val="134"/>
      </rPr>
      <t xml:space="preserve">$78.4
</t>
    </r>
    <r>
      <rPr>
        <sz val="11"/>
        <color rgb="FF000000"/>
        <rFont val="Arial"/>
        <charset val="134"/>
      </rPr>
      <t>- 3rd December Mother QE Hospital Expenses $149
- Expenses For Nokia Phone $352
- 9th-December additional nicotinell charge $126.9
- additional electronic cigarette machine plus egg
   $610
- Add In Value $50 For Octopus Card
- Expenses For Mother Kowloon Hospital $230 
- Water Supplies Department Water Fees $122.2 
-  Excess Expenses $898.6</t>
    </r>
  </si>
  <si>
    <t>Additional expense for Mom $200</t>
  </si>
  <si>
    <t>Still owe Lawrence $351 after Mom QE Hospital Expenses.</t>
  </si>
  <si>
    <t>Payback Remaining Expenses From Mother Kowloon Hospital to Lawrence</t>
  </si>
  <si>
    <t>Additional Expense
  - China Mobile Broadband Fee $78
  - $2 Handling Fees For Add In Value For Octopus.
  - 27th December 2024 $900 Car License Renewal 
    (a gift from Mom)
  - Birdie Sim Card 3 months Fees ($50 per month)- $150
  - Additional Birdie Sim Card - $50
  - $2.5 Handling Fees For Add In Value For Octopus.</t>
  </si>
  <si>
    <t xml:space="preserve">Food And Transport Expenses
- Instant Noodles (1 box 30 packets) ~ $99
- Instant Noodles (20 packets) ~ $66
- Potatoes 17  ~ $36
- Campbell’s Chunky New England Clam Chowder
   505GM – 7 cans ~ $167.3 
- Vegetables 1.5kg ~ $18
- Onion 8  ~ $25
- OK Store expenses 20th December 2024 - $52
- Lindor X 2 - $78
- Coffee Mate $32
- Sausage X 2 - $40
- Congee X 4 - $19.6 
- Nugget X 2 - $38
- Hair Bleaching - $80.8
- U-Store - $66
- Best Mart - $19.9
- Best Mart – $65.8
- A1 Bakery - $39
- OK Store expenses $30
- Travel Expense For Driving License Renewal - $6
- Best Mart - $15
- Big C - $17
- Round Trip to Holywood Plaza $4
- Single Trip to North Temple Mall $2
- Welcome Supermarket – Mayonaise Paste $40
- Single Trip to North Temple Mall $2
- Brought Jelly From Chuk Yuen Plaza - $28.4
- Brought Ingredients For Green Curry Chicken - $33
- Round Trip to Hospital $4
- Best Mart - $19.9
- welcome expenses $40
- Transport Fees $2
- Round Trip to Robert Black Hospital $4
- Round Trip Fees for visiting dad $5
- Round Trip Fees to QE Hospital $4
- Round Trip Fees to East Kowloon Hospital $4
- Round Trip Fees to Hollywood Plaza $4
- Best Mart - $14
- Welcome plastic glove - $10
- $2 Phone Booth
</t>
  </si>
  <si>
    <t>20th January 2025</t>
  </si>
  <si>
    <t>31th January 2025</t>
  </si>
  <si>
    <t>29th January 2025</t>
  </si>
  <si>
    <t>Chineses New Year (Mother and Father)</t>
  </si>
  <si>
    <t>Chinese New Year Pocket Lai See</t>
  </si>
  <si>
    <t>28th January 2025</t>
  </si>
  <si>
    <t>Chineses New Year (Lawrence)</t>
  </si>
  <si>
    <t xml:space="preserve">Mother give me $2 </t>
  </si>
  <si>
    <t>OK Store</t>
  </si>
  <si>
    <t>Received Additional $1 when billed</t>
  </si>
  <si>
    <t>2nd Feburary 2025</t>
  </si>
  <si>
    <t>Borrow $500 From Mother for buying whey protein</t>
  </si>
  <si>
    <t>7th Feburary 2025</t>
  </si>
  <si>
    <t>yuu</t>
  </si>
  <si>
    <t>Newly added / remain yuu points</t>
  </si>
  <si>
    <t>Wellcome Supermarket</t>
  </si>
  <si>
    <t>Redeem Yuu Points</t>
  </si>
  <si>
    <t>8th Feburary 2025</t>
  </si>
  <si>
    <t>Remaining of $4.5 HK Dollar of $50 give by Mother</t>
  </si>
  <si>
    <t>18th Feburary 2025</t>
  </si>
  <si>
    <t xml:space="preserve">Newly added / remain yuu points	</t>
  </si>
  <si>
    <t>20th February 2025</t>
  </si>
  <si>
    <t>29th February 2025</t>
  </si>
  <si>
    <t>Cigarette Egg</t>
  </si>
  <si>
    <t>Brought in Advance</t>
  </si>
  <si>
    <t>Birdie Sim Card</t>
  </si>
  <si>
    <t>Pay in advance For Birdie Sim Card</t>
  </si>
  <si>
    <t>25th Feburary 2025</t>
  </si>
  <si>
    <t>Remaining of $16 HK Dollar of $100 give by Mother for visiting Dad.</t>
  </si>
  <si>
    <t>1st March 2025</t>
  </si>
  <si>
    <t xml:space="preserve">Borrowed $800 For Electronic Cigarettes </t>
  </si>
  <si>
    <t>31st March 2025</t>
  </si>
  <si>
    <t>600 Mb Data Plus 1000 minutes Voice</t>
  </si>
  <si>
    <t>$52 for Hair Cut (One month per cut)</t>
  </si>
  <si>
    <t>3 Packets – Buy 5 give 1</t>
  </si>
  <si>
    <t xml:space="preserve">Payback $1400 to Mom including $900 borrowed </t>
  </si>
  <si>
    <t>Additional Expense
    - Playstation Plus Subscribtion ~ $425
    - Street Fighter 6 ~ $229
    - EA Sports FC 25 ~ $219.6
    - Sonic Super stars ~ $135.2
    - HKTV Mall - Wireless wearable air pressure leg 
      massage machine ~ $499
    - Puma - Slippers ~ $159
    - Puma - Bag ~ $1
    - iHerbs - Whey Protein ~ $465.14</t>
  </si>
  <si>
    <r>
      <rPr>
        <sz val="11"/>
        <color rgb="FF000000"/>
        <rFont val="Arial"/>
        <charset val="134"/>
      </rPr>
      <t>Food And Transport Expenses
- Potatoes For Curry Chicken ~</t>
    </r>
    <r>
      <rPr>
        <sz val="11"/>
        <color rgb="FFFF0000"/>
        <rFont val="Arial"/>
        <charset val="134"/>
      </rPr>
      <t xml:space="preserve"> </t>
    </r>
    <r>
      <rPr>
        <sz val="11"/>
        <color rgb="FF000000"/>
        <rFont val="Arial"/>
        <charset val="134"/>
      </rPr>
      <t>$10
- Chicken Chops for Curry Chicken 2 Pieces ~ $20
- Curry 1 Bottle ~ $16.9
- Coconut Milk  ~ $8
- Vegetable 1kg  ~ $9
- Welcome Plastic Bag ~ $1
- OK Store coke ~ $20
- Ustore ~ $31.8
- 759 Store ~ $24.4
- OK Store pepsi coke ~ $13.5
- Wellcome Store evaporate milk ~ $11
- Wellcome Store condensed milk ~ $14
- single transport to temple mall ~ $2
- $10 charged for Hair Cut
- Service Charge for transfer coins to octopus ~ $2.8
- Round Trip Fees for visiting dad ~ $9.5
- Sau Tau Beijin Noodle ~ $15
- Select Choice Chicken Powder ~ $18
- Quaker Oat Meal 1000g ~ $26
- Longevity Filled Evaporated 400g ~ $11
- Eagle Condensed Milk 350g ~ $13
- Red Onion 1 piece ~ $5
- Chicken Chops 2 pieces ~ $23
- Single Trip to North Temple Mall ~ $2</t>
    </r>
  </si>
  <si>
    <t>Food And Transport Expenses
- Longevity Filled Evaporated 400g ~ $36
- Eagle Condensed Milk 350g ~ $28
- Chicken Chops ~ $24
- Welcome shopping ~ $56.8
- Round Trip to East Kowloon Hospital ~ $4
- Chicken Chops and Apples ~ $30
- Chicken Chops ~ $13
- Vegetables ~ $9
- Wellcome Supermarket Milk ~ $14.9
- Post Office Stamp ~ $3.3
- Single Trip from Fung Tak to Chuk Yuen ~ $2
- Chicken Chops ~ $11
- Vegetable ~ $12</t>
  </si>
  <si>
    <t>Payback $500 to Mom</t>
  </si>
  <si>
    <t>1. Additional Expense
- Brilliant Course Annually ~ $777.5
- Add Value For Google Play ~ $150 (don't need to
   include.)</t>
  </si>
  <si>
    <t>2. Food And Transport Expenses
- Chicken 6 piecies ~ $63
- Tangerines 9 ones ~ $20
- Milk 1 Litre 7 ~ $118.3
- Vegetables 1kg ~ $14
- Best Mart 360 peanuts ~ $25
- OK Convinient Store ~ $18.4
- Round Trip for visiting dad ~ $6
- Apples From Market ~ $20
- Vegetables 2kg From Market ~ $16
- Snacks From DS Groceries ~ $39
- Best Mart 360 and 759 Store ~ $65.6
- Market Chicken Chops ~ $17
- Market Kwun Kee ~ $21
- Transport Fee to East Kowloon Hospital $4
- Transport Fee Round Trip to Mong Kok $4
- Transport Fee from Kowloon Tong To WTS $2
- Ngan Lung Restaurant $55
- Oat meal $19</t>
  </si>
  <si>
    <t>3.. Food And Transport Expenses
- Brought Electronic Cigarettes Buds ~ $800
- Transport Fees For Electronic Buds ~ $50</t>
  </si>
  <si>
    <t>Payback $800 to Lawrence</t>
  </si>
  <si>
    <t>Additional Expense
    - Cigarette Egg - $0</t>
  </si>
  <si>
    <t>Food And Transport Expenses
Health Diet (Without Milk)
- Oats 1.5kg  ~ $27
- Chicken 15 piecies ~ $165
- Marie Biscuit 2 Packets ~ $36
- Vegetables 6kg ~ $48
- Apples 30 ones ~ $43
- Rice 5kg ~ $55</t>
  </si>
  <si>
    <t>30th April 2025</t>
  </si>
  <si>
    <t>Hospital Fees</t>
  </si>
  <si>
    <t>Robert Black Hospital Paid in advance</t>
  </si>
  <si>
    <t>31th May 2025</t>
  </si>
  <si>
    <t>Additional Half Month Of Allowance</t>
  </si>
  <si>
    <t>30th June 2025</t>
  </si>
  <si>
    <t>Payback $700 to Mom</t>
  </si>
  <si>
    <t>Additional Expense
    - Cigarette Egg - $800
    - See the psycharitic Doctor ~ $125</t>
  </si>
  <si>
    <t>Payback $2600 to Mom</t>
  </si>
  <si>
    <t>Additional Expense
    - Cigarette Egg - $0
    - See the psycharitic Doctor For Injection ~ $19
    - See the high blood pressure Doctor ~ $50</t>
  </si>
  <si>
    <t>Payback $600 to Mom</t>
  </si>
  <si>
    <t>Food And Transport Expenses
- Oats 1.5kg  ~ $27
- Chicken 15 piecies ~ $165
- Marie Biscuit 3 Packets ~ $49.7
- Vegetables 6kg ~ $48
- Apples 30 ones ~ $60
- Rice 5kg ~ $49</t>
  </si>
  <si>
    <t>31st July 2025</t>
  </si>
  <si>
    <t>Mother Salary</t>
  </si>
  <si>
    <t>Deferred Salary to next Month</t>
  </si>
  <si>
    <t>31st August 2025</t>
  </si>
  <si>
    <t>30th September 2025</t>
  </si>
  <si>
    <t>Total Insurace</t>
  </si>
  <si>
    <t>Music, travel….</t>
  </si>
  <si>
    <t>Payback $800 to Mom</t>
  </si>
  <si>
    <t>Additional Expense
    - Cigarette Egg - $800
    - See the psycharitic Doctor For Injection ~ $19
    - Add In value for Google Play ~ $150 (don't need to
   include.)</t>
  </si>
  <si>
    <t>Payback $1400 to Mom</t>
  </si>
  <si>
    <t>Payback $0 to Lawrence</t>
  </si>
  <si>
    <t>Additional Expense
    - Cigarette Egg - $0
    - See the psycharitic Doctor ~ $125
    - See the high blood pressure Doctor ~ $50</t>
  </si>
  <si>
    <t>Payback $883 to Mom</t>
  </si>
  <si>
    <t>31st October 2025</t>
  </si>
  <si>
    <t>31st November 2025</t>
  </si>
  <si>
    <t>30th December 2025</t>
  </si>
  <si>
    <t>Additional Expense
    - Cigarette Egg - $0
    - See the psycharitic Doctor ~ $125</t>
  </si>
  <si>
    <t>Additional Expense
    - Cigarette Egg - $0
    - Add In value for Google Play ~ $150 (don't need to
   include.)
    - See the psycharitic Doctor For Injection ~ $19
    - See the high blood pressure Doctor ~ $50</t>
  </si>
  <si>
    <t>31st January 2026</t>
  </si>
  <si>
    <t>28th February 2026</t>
  </si>
  <si>
    <t>31th March 2026</t>
  </si>
  <si>
    <t>Additional Expense
    - Cigarette Egg - $0
    - Add In value for Google Play ~ $150  (don't need to
   include.)
    - See the psycharitic Doctor For Injection ~ $19</t>
  </si>
  <si>
    <t>Additional Expense
    - Cigarette Egg - $0
    - See the psycharitic Doctor For Injection ~ $19</t>
  </si>
  <si>
    <t>30th April 2026</t>
  </si>
  <si>
    <t>31st May 2026</t>
  </si>
  <si>
    <t>30th June 2026</t>
  </si>
  <si>
    <t>- Other 1</t>
  </si>
  <si>
    <t>- Other 3</t>
  </si>
  <si>
    <t>Additional Expense
    - Add In value for Google Play ~ $150 (don't need to
   include.)
    - Cigarette Egg - $0
    - See the psycharitic Doctor ~ $125</t>
  </si>
  <si>
    <t>1. Additional Expense
    - Cigarette Egg - $0
    - See the psycharitic Doctor ~ $125</t>
  </si>
  <si>
    <t>31st July 2026</t>
  </si>
  <si>
    <t>31st August 2026</t>
  </si>
  <si>
    <t>30th September 2026</t>
  </si>
  <si>
    <t>1. Additional Expense
    - Cigarette Egg - $0
    - See the psycharitic Doctor For Injection ~ $19</t>
  </si>
  <si>
    <t>31st October 2026</t>
  </si>
  <si>
    <t>30th November 2026</t>
  </si>
  <si>
    <t>31st December 2026</t>
  </si>
  <si>
    <t>31st March 2026</t>
  </si>
  <si>
    <t>1. Additional Expense
    - Cigarette Egg - $0
    - See the psycharitic Doctor For Injection ~ $19
    - See the high blood pressure Doctor ~ $50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</si>
</sst>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50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color rgb="FFFF0000"/>
      <name val="Arial"/>
      <charset val="134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sz val="12"/>
      <color theme="1"/>
      <name val="宋体-简"/>
      <charset val="134"/>
    </font>
    <font>
      <sz val="12"/>
      <color theme="1"/>
      <name val="Arial Regular"/>
      <charset val="134"/>
    </font>
    <font>
      <b/>
      <sz val="11"/>
      <color theme="1"/>
      <name val="Arial"/>
      <charset val="134"/>
    </font>
    <font>
      <b/>
      <sz val="11"/>
      <name val="Arial"/>
      <charset val="134"/>
    </font>
    <font>
      <b/>
      <sz val="12"/>
      <color theme="0"/>
      <name val="Arial"/>
      <charset val="134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  <font>
      <b/>
      <vertAlign val="superscript"/>
      <sz val="11"/>
      <color rgb="FF000000"/>
      <name val="Arial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5" fillId="0" borderId="0" applyFont="0" applyFill="0" applyBorder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11" borderId="41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42" applyNumberFormat="0" applyFill="0" applyAlignment="0" applyProtection="0">
      <alignment vertical="center"/>
    </xf>
    <xf numFmtId="0" fontId="32" fillId="0" borderId="42" applyNumberFormat="0" applyFill="0" applyAlignment="0" applyProtection="0">
      <alignment vertical="center"/>
    </xf>
    <xf numFmtId="0" fontId="33" fillId="0" borderId="4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12" borderId="44" applyNumberFormat="0" applyAlignment="0" applyProtection="0">
      <alignment vertical="center"/>
    </xf>
    <xf numFmtId="0" fontId="35" fillId="13" borderId="45" applyNumberFormat="0" applyAlignment="0" applyProtection="0">
      <alignment vertical="center"/>
    </xf>
    <xf numFmtId="0" fontId="36" fillId="13" borderId="44" applyNumberFormat="0" applyAlignment="0" applyProtection="0">
      <alignment vertical="center"/>
    </xf>
    <xf numFmtId="0" fontId="37" fillId="14" borderId="46" applyNumberFormat="0" applyAlignment="0" applyProtection="0">
      <alignment vertical="center"/>
    </xf>
    <xf numFmtId="0" fontId="38" fillId="0" borderId="47" applyNumberFormat="0" applyFill="0" applyAlignment="0" applyProtection="0">
      <alignment vertical="center"/>
    </xf>
    <xf numFmtId="0" fontId="39" fillId="0" borderId="48" applyNumberFormat="0" applyFill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176" fontId="45" fillId="3" borderId="49">
      <alignment horizontal="center" vertical="center"/>
    </xf>
    <xf numFmtId="176" fontId="4" fillId="0" borderId="0" applyBorder="0" applyProtection="0">
      <alignment horizontal="center" vertical="center"/>
    </xf>
    <xf numFmtId="49" fontId="46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7" fillId="9" borderId="0" applyProtection="0">
      <alignment horizontal="center" vertical="center"/>
    </xf>
    <xf numFmtId="49" fontId="48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29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1" applyFont="1" applyFill="1" applyBorder="1" applyAlignment="1" applyProtection="1">
      <alignment horizontal="center" vertical="center" wrapText="1"/>
    </xf>
    <xf numFmtId="49" fontId="2" fillId="3" borderId="3" xfId="51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1" applyFont="1" applyFill="1" applyBorder="1" applyAlignment="1" applyProtection="1">
      <alignment horizontal="center" vertical="center" wrapText="1"/>
    </xf>
    <xf numFmtId="49" fontId="2" fillId="3" borderId="4" xfId="51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4" applyFont="1" applyBorder="1" applyAlignment="1" applyProtection="1">
      <alignment horizontal="center" vertical="center" wrapText="1"/>
    </xf>
    <xf numFmtId="49" fontId="8" fillId="5" borderId="1" xfId="54" applyFont="1" applyBorder="1" applyAlignment="1" applyProtection="1">
      <alignment horizontal="center" vertical="center"/>
    </xf>
    <xf numFmtId="49" fontId="2" fillId="0" borderId="1" xfId="51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5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177" fontId="5" fillId="0" borderId="1" xfId="0" applyNumberFormat="1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5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49" fontId="2" fillId="0" borderId="21" xfId="51" applyFont="1" applyBorder="1" applyAlignment="1" applyProtection="1">
      <alignment horizontal="center" vertical="center" wrapText="1"/>
    </xf>
    <xf numFmtId="49" fontId="11" fillId="0" borderId="1" xfId="52" applyFont="1" applyBorder="1" applyAlignment="1" applyProtection="1">
      <alignment horizontal="left" vertical="center" wrapText="1"/>
    </xf>
    <xf numFmtId="49" fontId="11" fillId="0" borderId="1" xfId="52" applyFont="1" applyBorder="1" applyAlignment="1" applyProtection="1">
      <alignment horizontal="left" vertical="center"/>
    </xf>
    <xf numFmtId="49" fontId="2" fillId="0" borderId="22" xfId="51" applyFont="1" applyBorder="1" applyAlignment="1" applyProtection="1">
      <alignment horizontal="left" vertical="center" wrapText="1"/>
    </xf>
    <xf numFmtId="49" fontId="11" fillId="0" borderId="22" xfId="52" applyFont="1" applyBorder="1" applyAlignment="1" applyProtection="1">
      <alignment horizontal="left" vertical="center" wrapText="1"/>
    </xf>
    <xf numFmtId="176" fontId="5" fillId="0" borderId="22" xfId="50" applyFont="1" applyBorder="1" applyAlignment="1" applyProtection="1">
      <alignment horizontal="right" vertical="center"/>
    </xf>
    <xf numFmtId="49" fontId="11" fillId="0" borderId="22" xfId="52" applyFont="1" applyBorder="1" applyProtection="1">
      <alignment horizontal="left" vertical="center"/>
    </xf>
    <xf numFmtId="49" fontId="2" fillId="3" borderId="22" xfId="51" applyFont="1" applyFill="1" applyBorder="1" applyAlignment="1" applyProtection="1">
      <alignment horizontal="left" vertical="center" wrapText="1"/>
    </xf>
    <xf numFmtId="49" fontId="11" fillId="3" borderId="22" xfId="52" applyFont="1" applyFill="1" applyBorder="1" applyProtection="1">
      <alignment horizontal="left" vertical="center"/>
    </xf>
    <xf numFmtId="49" fontId="2" fillId="0" borderId="22" xfId="51" applyFont="1" applyBorder="1" applyAlignment="1" applyProtection="1">
      <alignment horizontal="left" vertical="center"/>
    </xf>
    <xf numFmtId="49" fontId="13" fillId="0" borderId="22" xfId="52" applyFont="1" applyBorder="1" applyAlignment="1" applyProtection="1">
      <alignment horizontal="left" vertical="center" wrapText="1"/>
    </xf>
    <xf numFmtId="176" fontId="4" fillId="0" borderId="22" xfId="50" applyBorder="1" applyAlignment="1" applyProtection="1">
      <alignment horizontal="right" vertical="center"/>
    </xf>
    <xf numFmtId="176" fontId="5" fillId="0" borderId="22" xfId="50" applyFont="1" applyBorder="1" applyAlignment="1" applyProtection="1">
      <alignment vertical="center"/>
    </xf>
    <xf numFmtId="49" fontId="13" fillId="0" borderId="22" xfId="52" applyFont="1" applyBorder="1" applyAlignment="1" applyProtection="1">
      <alignment horizontal="left" vertical="center"/>
    </xf>
    <xf numFmtId="0" fontId="9" fillId="0" borderId="19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176" fontId="3" fillId="3" borderId="19" xfId="49" applyFont="1" applyBorder="1" applyAlignment="1">
      <alignment horizontal="center" vertical="center"/>
    </xf>
    <xf numFmtId="176" fontId="3" fillId="3" borderId="23" xfId="49" applyFont="1" applyBorder="1" applyAlignment="1">
      <alignment horizontal="center" vertical="center"/>
    </xf>
    <xf numFmtId="49" fontId="8" fillId="5" borderId="7" xfId="54" applyFont="1" applyBorder="1" applyAlignment="1" applyProtection="1">
      <alignment horizontal="center" vertical="center" wrapText="1"/>
    </xf>
    <xf numFmtId="49" fontId="8" fillId="5" borderId="7" xfId="54" applyFont="1" applyBorder="1" applyAlignment="1" applyProtection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176" fontId="7" fillId="4" borderId="0" xfId="49" applyFont="1" applyFill="1" applyBorder="1" applyAlignment="1">
      <alignment horizontal="center" vertical="center"/>
    </xf>
    <xf numFmtId="49" fontId="8" fillId="5" borderId="11" xfId="54" applyFont="1" applyBorder="1" applyAlignment="1" applyProtection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9" fillId="0" borderId="2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77" fontId="5" fillId="0" borderId="11" xfId="0" applyNumberFormat="1" applyFont="1" applyBorder="1" applyAlignment="1">
      <alignment horizontal="center" vertical="center"/>
    </xf>
    <xf numFmtId="177" fontId="5" fillId="0" borderId="12" xfId="0" applyNumberFormat="1" applyFont="1" applyBorder="1" applyAlignment="1">
      <alignment horizontal="center" vertical="center"/>
    </xf>
    <xf numFmtId="49" fontId="11" fillId="0" borderId="22" xfId="52" applyFont="1" applyBorder="1" applyAlignment="1" applyProtection="1">
      <alignment horizontal="left" vertical="center"/>
    </xf>
    <xf numFmtId="49" fontId="11" fillId="0" borderId="2" xfId="52" applyFont="1" applyBorder="1" applyAlignment="1" applyProtection="1">
      <alignment horizontal="left" vertical="center" wrapText="1"/>
    </xf>
    <xf numFmtId="49" fontId="11" fillId="0" borderId="2" xfId="52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11" fillId="0" borderId="21" xfId="52" applyFont="1" applyBorder="1" applyAlignment="1" applyProtection="1">
      <alignment horizontal="left" vertical="center" wrapText="1"/>
    </xf>
    <xf numFmtId="49" fontId="11" fillId="0" borderId="24" xfId="52" applyFont="1" applyBorder="1" applyAlignment="1" applyProtection="1">
      <alignment horizontal="left" vertical="center" wrapText="1"/>
    </xf>
    <xf numFmtId="178" fontId="9" fillId="0" borderId="8" xfId="0" applyNumberFormat="1" applyFont="1" applyBorder="1" applyAlignment="1">
      <alignment horizontal="right" vertical="center"/>
    </xf>
    <xf numFmtId="0" fontId="5" fillId="0" borderId="2" xfId="0" applyNumberFormat="1" applyFont="1" applyBorder="1" applyAlignment="1">
      <alignment horizontal="right" vertical="center"/>
    </xf>
    <xf numFmtId="177" fontId="5" fillId="0" borderId="1" xfId="0" applyNumberFormat="1" applyFont="1" applyBorder="1" applyAlignment="1">
      <alignment horizontal="right" vertical="center"/>
    </xf>
    <xf numFmtId="0" fontId="5" fillId="0" borderId="1" xfId="0" applyNumberFormat="1" applyFont="1" applyBorder="1" applyAlignment="1">
      <alignment horizontal="right" vertical="center"/>
    </xf>
    <xf numFmtId="177" fontId="5" fillId="0" borderId="7" xfId="0" applyNumberFormat="1" applyFont="1" applyBorder="1" applyAlignment="1">
      <alignment horizontal="right" vertical="center"/>
    </xf>
    <xf numFmtId="49" fontId="11" fillId="0" borderId="11" xfId="52" applyFont="1" applyBorder="1" applyAlignment="1" applyProtection="1">
      <alignment horizontal="left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49" fontId="5" fillId="0" borderId="19" xfId="55" applyFont="1" applyBorder="1" applyAlignment="1" applyProtection="1">
      <alignment horizontal="right" vertical="center" wrapText="1"/>
    </xf>
    <xf numFmtId="0" fontId="6" fillId="0" borderId="11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49" fontId="11" fillId="0" borderId="11" xfId="52" applyFont="1" applyBorder="1" applyAlignment="1" applyProtection="1">
      <alignment horizontal="left" vertical="center"/>
    </xf>
    <xf numFmtId="49" fontId="5" fillId="0" borderId="20" xfId="55" applyFont="1" applyBorder="1" applyAlignment="1" applyProtection="1">
      <alignment horizontal="right" vertical="center" wrapText="1"/>
    </xf>
    <xf numFmtId="176" fontId="3" fillId="3" borderId="25" xfId="49" applyFont="1" applyBorder="1" applyAlignment="1">
      <alignment horizontal="center" vertical="center"/>
    </xf>
    <xf numFmtId="176" fontId="3" fillId="3" borderId="26" xfId="49" applyFont="1" applyBorder="1" applyAlignment="1">
      <alignment horizontal="center" vertical="center"/>
    </xf>
    <xf numFmtId="49" fontId="11" fillId="0" borderId="8" xfId="52" applyFont="1" applyBorder="1" applyAlignment="1" applyProtection="1">
      <alignment horizontal="left" vertical="center"/>
    </xf>
    <xf numFmtId="49" fontId="11" fillId="0" borderId="24" xfId="52" applyFont="1" applyBorder="1" applyAlignment="1" applyProtection="1">
      <alignment horizontal="left" vertical="center"/>
    </xf>
    <xf numFmtId="49" fontId="11" fillId="0" borderId="1" xfId="52" applyFont="1" applyBorder="1" applyAlignment="1" applyProtection="1">
      <alignment horizontal="center" vertical="center" wrapText="1"/>
    </xf>
    <xf numFmtId="49" fontId="11" fillId="0" borderId="11" xfId="52" applyFont="1" applyBorder="1" applyAlignment="1" applyProtection="1">
      <alignment horizontal="center" vertical="center" wrapText="1"/>
    </xf>
    <xf numFmtId="49" fontId="11" fillId="0" borderId="1" xfId="52" applyFont="1" applyBorder="1" applyAlignment="1" applyProtection="1">
      <alignment horizontal="center" vertical="center"/>
    </xf>
    <xf numFmtId="49" fontId="2" fillId="0" borderId="1" xfId="52" applyFont="1" applyBorder="1" applyAlignment="1" applyProtection="1">
      <alignment horizontal="center" vertical="center" wrapText="1"/>
    </xf>
    <xf numFmtId="49" fontId="2" fillId="0" borderId="11" xfId="52" applyFont="1" applyBorder="1" applyAlignment="1" applyProtection="1">
      <alignment horizontal="center" vertical="center" wrapText="1"/>
    </xf>
    <xf numFmtId="49" fontId="11" fillId="0" borderId="21" xfId="52" applyFont="1" applyBorder="1" applyAlignment="1" applyProtection="1">
      <alignment horizontal="left" vertical="center"/>
    </xf>
    <xf numFmtId="49" fontId="11" fillId="0" borderId="11" xfId="52" applyFont="1" applyBorder="1" applyAlignment="1" applyProtection="1">
      <alignment horizontal="center" vertical="center"/>
    </xf>
    <xf numFmtId="177" fontId="5" fillId="0" borderId="1" xfId="0" applyNumberFormat="1" applyFont="1" applyBorder="1" applyAlignment="1">
      <alignment vertical="center" wrapText="1"/>
    </xf>
    <xf numFmtId="178" fontId="6" fillId="0" borderId="8" xfId="0" applyNumberFormat="1" applyFont="1" applyBorder="1" applyAlignment="1">
      <alignment horizontal="right" vertical="center"/>
    </xf>
    <xf numFmtId="49" fontId="2" fillId="0" borderId="22" xfId="52" applyFont="1" applyBorder="1" applyAlignment="1" applyProtection="1">
      <alignment horizontal="left" vertical="center"/>
    </xf>
    <xf numFmtId="49" fontId="2" fillId="0" borderId="22" xfId="52" applyFont="1" applyBorder="1" applyAlignment="1" applyProtection="1">
      <alignment horizontal="left" vertical="center" wrapText="1"/>
    </xf>
    <xf numFmtId="49" fontId="2" fillId="0" borderId="19" xfId="0" applyNumberFormat="1" applyFont="1" applyBorder="1" applyAlignment="1">
      <alignment vertical="center"/>
    </xf>
    <xf numFmtId="49" fontId="2" fillId="0" borderId="20" xfId="0" applyNumberFormat="1" applyFont="1" applyBorder="1" applyAlignment="1">
      <alignment vertical="center"/>
    </xf>
    <xf numFmtId="49" fontId="11" fillId="0" borderId="22" xfId="52" applyFont="1" applyBorder="1" applyAlignment="1" applyProtection="1">
      <alignment vertical="center" wrapText="1"/>
    </xf>
    <xf numFmtId="49" fontId="11" fillId="0" borderId="11" xfId="0" applyNumberFormat="1" applyFont="1" applyBorder="1" applyAlignment="1">
      <alignment vertical="center"/>
    </xf>
    <xf numFmtId="49" fontId="11" fillId="0" borderId="8" xfId="0" applyNumberFormat="1" applyFont="1" applyBorder="1" applyAlignment="1">
      <alignment vertical="center"/>
    </xf>
    <xf numFmtId="49" fontId="2" fillId="0" borderId="11" xfId="0" applyNumberFormat="1" applyFont="1" applyBorder="1" applyAlignment="1">
      <alignment vertical="center" wrapText="1"/>
    </xf>
    <xf numFmtId="49" fontId="2" fillId="0" borderId="8" xfId="0" applyNumberFormat="1" applyFont="1" applyBorder="1" applyAlignment="1">
      <alignment vertical="center"/>
    </xf>
    <xf numFmtId="49" fontId="2" fillId="0" borderId="22" xfId="52" applyFont="1" applyBorder="1" applyAlignment="1" applyProtection="1">
      <alignment vertical="center" wrapText="1"/>
    </xf>
    <xf numFmtId="49" fontId="2" fillId="0" borderId="22" xfId="51" applyFont="1" applyBorder="1" applyAlignment="1" applyProtection="1">
      <alignment horizontal="center" vertical="center" wrapText="1"/>
    </xf>
    <xf numFmtId="49" fontId="11" fillId="0" borderId="27" xfId="52" applyFont="1" applyBorder="1" applyAlignment="1" applyProtection="1">
      <alignment horizontal="left" vertical="center" wrapText="1"/>
    </xf>
    <xf numFmtId="49" fontId="11" fillId="0" borderId="15" xfId="52" applyFont="1" applyBorder="1" applyAlignment="1" applyProtection="1">
      <alignment horizontal="left" vertical="center" wrapText="1"/>
    </xf>
    <xf numFmtId="49" fontId="11" fillId="0" borderId="27" xfId="52" applyFont="1" applyBorder="1" applyAlignment="1" applyProtection="1">
      <alignment horizontal="left" vertical="center"/>
    </xf>
    <xf numFmtId="49" fontId="11" fillId="0" borderId="28" xfId="52" applyFont="1" applyBorder="1" applyAlignment="1" applyProtection="1">
      <alignment horizontal="left" vertical="center" wrapText="1"/>
    </xf>
    <xf numFmtId="49" fontId="11" fillId="0" borderId="29" xfId="52" applyFont="1" applyBorder="1" applyAlignment="1" applyProtection="1">
      <alignment horizontal="left" vertical="center" wrapText="1"/>
    </xf>
    <xf numFmtId="49" fontId="11" fillId="0" borderId="30" xfId="52" applyFont="1" applyBorder="1" applyAlignment="1" applyProtection="1">
      <alignment horizontal="center" vertical="center"/>
    </xf>
    <xf numFmtId="49" fontId="14" fillId="0" borderId="21" xfId="52" applyFont="1" applyBorder="1" applyAlignment="1" applyProtection="1">
      <alignment horizontal="left" vertical="center"/>
    </xf>
    <xf numFmtId="49" fontId="11" fillId="0" borderId="28" xfId="52" applyFont="1" applyBorder="1" applyAlignment="1" applyProtection="1">
      <alignment horizontal="left" vertical="center"/>
    </xf>
    <xf numFmtId="0" fontId="11" fillId="0" borderId="22" xfId="0" applyFont="1" applyBorder="1" applyAlignment="1">
      <alignment vertical="center"/>
    </xf>
    <xf numFmtId="177" fontId="5" fillId="0" borderId="1" xfId="0" applyNumberFormat="1" applyFont="1" applyBorder="1"/>
    <xf numFmtId="0" fontId="2" fillId="0" borderId="1" xfId="0" applyFont="1" applyBorder="1"/>
    <xf numFmtId="49" fontId="11" fillId="0" borderId="31" xfId="52" applyFont="1" applyBorder="1" applyAlignment="1" applyProtection="1">
      <alignment horizontal="left" vertical="center"/>
    </xf>
    <xf numFmtId="49" fontId="11" fillId="0" borderId="32" xfId="52" applyFont="1" applyBorder="1" applyAlignment="1" applyProtection="1">
      <alignment horizontal="left" vertical="center"/>
    </xf>
    <xf numFmtId="49" fontId="11" fillId="0" borderId="33" xfId="52" applyFont="1" applyBorder="1" applyAlignment="1" applyProtection="1">
      <alignment horizontal="center" vertical="center"/>
    </xf>
    <xf numFmtId="176" fontId="3" fillId="3" borderId="5" xfId="49" applyFont="1" applyBorder="1" applyAlignment="1">
      <alignment horizontal="center" vertical="center"/>
    </xf>
    <xf numFmtId="176" fontId="3" fillId="3" borderId="34" xfId="49" applyFont="1" applyBorder="1" applyAlignment="1">
      <alignment horizontal="center" vertical="center"/>
    </xf>
    <xf numFmtId="49" fontId="14" fillId="0" borderId="4" xfId="52" applyFont="1" applyBorder="1" applyAlignment="1" applyProtection="1">
      <alignment horizontal="left" vertical="center"/>
    </xf>
    <xf numFmtId="176" fontId="3" fillId="3" borderId="35" xfId="49" applyFont="1" applyBorder="1" applyAlignment="1">
      <alignment horizontal="center" vertical="center"/>
    </xf>
    <xf numFmtId="49" fontId="11" fillId="0" borderId="33" xfId="52" applyFont="1" applyBorder="1" applyAlignment="1" applyProtection="1">
      <alignment horizontal="left" vertical="center"/>
    </xf>
    <xf numFmtId="49" fontId="11" fillId="0" borderId="4" xfId="52" applyFont="1" applyBorder="1" applyAlignment="1" applyProtection="1">
      <alignment horizontal="left" vertical="center"/>
    </xf>
    <xf numFmtId="49" fontId="11" fillId="0" borderId="4" xfId="52" applyFont="1" applyBorder="1" applyAlignment="1" applyProtection="1">
      <alignment horizontal="left" vertical="center" wrapText="1"/>
    </xf>
    <xf numFmtId="0" fontId="10" fillId="6" borderId="5" xfId="0" applyFont="1" applyFill="1" applyBorder="1" applyAlignment="1">
      <alignment vertical="center" wrapText="1"/>
    </xf>
    <xf numFmtId="0" fontId="10" fillId="6" borderId="6" xfId="0" applyFont="1" applyFill="1" applyBorder="1" applyAlignment="1">
      <alignment vertical="center" wrapText="1"/>
    </xf>
    <xf numFmtId="0" fontId="10" fillId="6" borderId="16" xfId="0" applyFont="1" applyFill="1" applyBorder="1" applyAlignment="1">
      <alignment vertical="center" wrapText="1"/>
    </xf>
    <xf numFmtId="40" fontId="6" fillId="0" borderId="0" xfId="0" applyNumberFormat="1" applyFont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2" fillId="0" borderId="30" xfId="52" applyFont="1" applyBorder="1" applyAlignment="1" applyProtection="1">
      <alignment horizontal="left" vertical="center" wrapText="1"/>
    </xf>
    <xf numFmtId="49" fontId="2" fillId="0" borderId="33" xfId="52" applyFont="1" applyBorder="1" applyAlignment="1" applyProtection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0" borderId="0" xfId="0" applyFont="1"/>
    <xf numFmtId="0" fontId="15" fillId="8" borderId="1" xfId="0" applyFont="1" applyFill="1" applyBorder="1" applyAlignment="1">
      <alignment horizontal="center" vertical="center"/>
    </xf>
    <xf numFmtId="49" fontId="1" fillId="9" borderId="36" xfId="53" applyFont="1" applyBorder="1" applyAlignment="1" applyProtection="1">
      <alignment horizontal="center" vertical="center" wrapText="1"/>
    </xf>
    <xf numFmtId="49" fontId="1" fillId="9" borderId="3" xfId="53" applyFont="1" applyBorder="1" applyAlignment="1" applyProtection="1">
      <alignment horizontal="center" vertical="center" wrapText="1"/>
    </xf>
    <xf numFmtId="49" fontId="1" fillId="9" borderId="2" xfId="53" applyFont="1" applyBorder="1" applyAlignment="1" applyProtection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49" fontId="2" fillId="3" borderId="24" xfId="51" applyFont="1" applyFill="1" applyBorder="1" applyAlignment="1" applyProtection="1">
      <alignment horizontal="center" vertical="center" wrapText="1"/>
    </xf>
    <xf numFmtId="176" fontId="3" fillId="3" borderId="21" xfId="49" applyFont="1" applyBorder="1">
      <alignment horizontal="center" vertical="center"/>
    </xf>
    <xf numFmtId="49" fontId="2" fillId="3" borderId="5" xfId="51" applyFont="1" applyFill="1" applyBorder="1" applyAlignment="1" applyProtection="1">
      <alignment horizontal="center" vertical="center" wrapText="1"/>
    </xf>
    <xf numFmtId="49" fontId="2" fillId="3" borderId="17" xfId="51" applyFont="1" applyFill="1" applyBorder="1" applyAlignment="1" applyProtection="1">
      <alignment horizontal="center" vertical="center" wrapText="1"/>
    </xf>
    <xf numFmtId="49" fontId="2" fillId="3" borderId="37" xfId="51" applyFont="1" applyFill="1" applyBorder="1" applyAlignment="1" applyProtection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49" fontId="5" fillId="0" borderId="1" xfId="55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1" applyFont="1" applyFill="1" applyBorder="1" applyAlignment="1" applyProtection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7" fillId="0" borderId="11" xfId="0" applyFont="1" applyBorder="1" applyAlignment="1">
      <alignment horizontal="left" vertical="center" wrapText="1"/>
    </xf>
    <xf numFmtId="49" fontId="11" fillId="0" borderId="1" xfId="52" applyFont="1" applyBorder="1" applyProtection="1">
      <alignment horizontal="left" vertical="center"/>
    </xf>
    <xf numFmtId="49" fontId="2" fillId="0" borderId="1" xfId="51" applyFont="1" applyBorder="1" applyAlignment="1" applyProtection="1">
      <alignment horizontal="left" vertical="center" wrapText="1"/>
    </xf>
    <xf numFmtId="49" fontId="2" fillId="0" borderId="38" xfId="51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22" xfId="51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49" fontId="1" fillId="9" borderId="11" xfId="53" applyFont="1" applyBorder="1" applyAlignment="1" applyProtection="1">
      <alignment horizontal="center" vertical="center" wrapText="1"/>
    </xf>
    <xf numFmtId="49" fontId="1" fillId="9" borderId="7" xfId="53" applyFont="1" applyBorder="1" applyAlignment="1" applyProtection="1">
      <alignment horizontal="center" vertical="center" wrapText="1"/>
    </xf>
    <xf numFmtId="179" fontId="20" fillId="0" borderId="19" xfId="0" applyNumberFormat="1" applyFont="1" applyBorder="1" applyAlignment="1">
      <alignment horizontal="center" vertical="center"/>
    </xf>
    <xf numFmtId="177" fontId="20" fillId="0" borderId="1" xfId="0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/>
    </xf>
    <xf numFmtId="177" fontId="20" fillId="0" borderId="7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7" fontId="20" fillId="0" borderId="39" xfId="0" applyNumberFormat="1" applyFont="1" applyBorder="1" applyAlignment="1">
      <alignment horizontal="center" vertical="center"/>
    </xf>
    <xf numFmtId="49" fontId="1" fillId="9" borderId="5" xfId="53" applyFont="1" applyBorder="1" applyAlignment="1" applyProtection="1">
      <alignment horizontal="center" vertical="center" wrapText="1"/>
    </xf>
    <xf numFmtId="58" fontId="6" fillId="0" borderId="0" xfId="0" applyNumberFormat="1" applyFont="1"/>
    <xf numFmtId="0" fontId="20" fillId="0" borderId="7" xfId="0" applyFont="1" applyBorder="1" applyAlignment="1">
      <alignment horizontal="center" vertical="center"/>
    </xf>
    <xf numFmtId="177" fontId="20" fillId="0" borderId="8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10" fillId="6" borderId="5" xfId="0" applyFont="1" applyFill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0" fillId="6" borderId="5" xfId="0" applyFont="1" applyFill="1" applyBorder="1" applyAlignment="1">
      <alignment horizontal="left" wrapText="1"/>
    </xf>
    <xf numFmtId="0" fontId="10" fillId="6" borderId="6" xfId="0" applyFont="1" applyFill="1" applyBorder="1" applyAlignment="1">
      <alignment horizontal="left" wrapText="1"/>
    </xf>
    <xf numFmtId="0" fontId="10" fillId="6" borderId="34" xfId="0" applyFont="1" applyFill="1" applyBorder="1" applyAlignment="1">
      <alignment horizontal="left" wrapText="1"/>
    </xf>
    <xf numFmtId="0" fontId="11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40" xfId="49" applyFont="1" applyBorder="1" applyAlignment="1">
      <alignment horizontal="right" vertical="center"/>
    </xf>
    <xf numFmtId="176" fontId="3" fillId="3" borderId="22" xfId="49" applyFont="1" applyBorder="1" applyAlignment="1">
      <alignment horizontal="right" vertical="center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22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22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22" fillId="10" borderId="39" xfId="0" applyFont="1" applyFill="1" applyBorder="1" applyAlignment="1">
      <alignment horizontal="center" vertical="center" wrapText="1"/>
    </xf>
    <xf numFmtId="180" fontId="9" fillId="0" borderId="39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22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23" fillId="4" borderId="0" xfId="0" applyFont="1" applyFill="1" applyBorder="1" applyAlignment="1">
      <alignment horizontal="center"/>
    </xf>
    <xf numFmtId="0" fontId="24" fillId="4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Expense Value" xfId="50"/>
    <cellStyle name="Item Label" xfId="51"/>
    <cellStyle name="Item Text" xfId="52"/>
    <cellStyle name="Legend Sub Header" xfId="53"/>
    <cellStyle name="Revenue Header Font" xfId="54"/>
    <cellStyle name="Total Label" xfId="55"/>
  </cellStyles>
  <dxfs count="8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color rgb="FF5B9BD5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family val="0"/>
        <b val="1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workbookViewId="0">
      <selection activeCell="AC35" sqref="AC35"/>
    </sheetView>
  </sheetViews>
  <sheetFormatPr defaultColWidth="8.88888888888889" defaultRowHeight="17.6"/>
  <sheetData>
    <row r="1" spans="1:26">
      <c r="A1" s="296" t="s">
        <v>0</v>
      </c>
      <c r="B1" s="296"/>
      <c r="C1" s="296"/>
      <c r="D1" s="296"/>
      <c r="E1" s="296"/>
      <c r="F1" s="296"/>
      <c r="G1" s="296"/>
      <c r="H1" s="296"/>
      <c r="I1" s="296"/>
      <c r="J1" s="296"/>
      <c r="K1" s="296"/>
      <c r="L1" s="296"/>
      <c r="M1" s="296"/>
      <c r="N1" s="296"/>
      <c r="O1" s="296"/>
      <c r="P1" s="296"/>
      <c r="Q1" s="296"/>
      <c r="R1" s="296"/>
      <c r="S1" s="296"/>
      <c r="T1" s="296"/>
      <c r="U1" s="296"/>
      <c r="V1" s="296"/>
      <c r="W1" s="296"/>
      <c r="X1" s="296"/>
      <c r="Y1" s="296"/>
      <c r="Z1" s="296"/>
    </row>
    <row r="2" spans="1:26">
      <c r="A2" s="296"/>
      <c r="B2" s="296"/>
      <c r="C2" s="296"/>
      <c r="D2" s="296"/>
      <c r="E2" s="296"/>
      <c r="F2" s="296"/>
      <c r="G2" s="296"/>
      <c r="H2" s="296"/>
      <c r="I2" s="296"/>
      <c r="J2" s="296"/>
      <c r="K2" s="296"/>
      <c r="L2" s="296"/>
      <c r="M2" s="296"/>
      <c r="N2" s="296"/>
      <c r="O2" s="296"/>
      <c r="P2" s="296"/>
      <c r="Q2" s="296"/>
      <c r="R2" s="296"/>
      <c r="S2" s="296"/>
      <c r="T2" s="296"/>
      <c r="U2" s="296"/>
      <c r="V2" s="296"/>
      <c r="W2" s="296"/>
      <c r="X2" s="296"/>
      <c r="Y2" s="296"/>
      <c r="Z2" s="296"/>
    </row>
    <row r="3" spans="1:26">
      <c r="A3" s="296"/>
      <c r="B3" s="296"/>
      <c r="C3" s="296"/>
      <c r="D3" s="296"/>
      <c r="E3" s="296"/>
      <c r="F3" s="296"/>
      <c r="G3" s="296"/>
      <c r="H3" s="296"/>
      <c r="I3" s="296"/>
      <c r="J3" s="296"/>
      <c r="K3" s="296"/>
      <c r="L3" s="296"/>
      <c r="M3" s="296"/>
      <c r="N3" s="296"/>
      <c r="O3" s="296"/>
      <c r="P3" s="296"/>
      <c r="Q3" s="296"/>
      <c r="R3" s="296"/>
      <c r="S3" s="296"/>
      <c r="T3" s="296"/>
      <c r="U3" s="296"/>
      <c r="V3" s="296"/>
      <c r="W3" s="296"/>
      <c r="X3" s="296"/>
      <c r="Y3" s="296"/>
      <c r="Z3" s="296"/>
    </row>
    <row r="4" spans="1:26">
      <c r="A4" s="296"/>
      <c r="B4" s="296"/>
      <c r="C4" s="296"/>
      <c r="D4" s="296"/>
      <c r="E4" s="296"/>
      <c r="F4" s="296"/>
      <c r="G4" s="296"/>
      <c r="H4" s="296"/>
      <c r="I4" s="296"/>
      <c r="J4" s="296"/>
      <c r="K4" s="296"/>
      <c r="L4" s="296"/>
      <c r="M4" s="296"/>
      <c r="N4" s="296"/>
      <c r="O4" s="296"/>
      <c r="P4" s="296"/>
      <c r="Q4" s="296"/>
      <c r="R4" s="296"/>
      <c r="S4" s="296"/>
      <c r="T4" s="296"/>
      <c r="U4" s="296"/>
      <c r="V4" s="296"/>
      <c r="W4" s="296"/>
      <c r="X4" s="296"/>
      <c r="Y4" s="296"/>
      <c r="Z4" s="296"/>
    </row>
    <row r="5" spans="1:26">
      <c r="A5" s="296"/>
      <c r="B5" s="296"/>
      <c r="C5" s="296"/>
      <c r="D5" s="296"/>
      <c r="E5" s="296"/>
      <c r="F5" s="296"/>
      <c r="G5" s="296"/>
      <c r="H5" s="296"/>
      <c r="I5" s="296"/>
      <c r="J5" s="296"/>
      <c r="K5" s="296"/>
      <c r="L5" s="296"/>
      <c r="M5" s="296"/>
      <c r="N5" s="296"/>
      <c r="O5" s="296"/>
      <c r="P5" s="296"/>
      <c r="Q5" s="296"/>
      <c r="R5" s="296"/>
      <c r="S5" s="296"/>
      <c r="T5" s="296"/>
      <c r="U5" s="296"/>
      <c r="V5" s="296"/>
      <c r="W5" s="296"/>
      <c r="X5" s="296"/>
      <c r="Y5" s="296"/>
      <c r="Z5" s="296"/>
    </row>
    <row r="6" spans="1:26">
      <c r="A6" s="296"/>
      <c r="B6" s="296"/>
      <c r="C6" s="296"/>
      <c r="D6" s="296"/>
      <c r="E6" s="296"/>
      <c r="F6" s="296"/>
      <c r="G6" s="296"/>
      <c r="H6" s="296"/>
      <c r="I6" s="296"/>
      <c r="J6" s="296"/>
      <c r="K6" s="296"/>
      <c r="L6" s="296"/>
      <c r="M6" s="296"/>
      <c r="N6" s="296"/>
      <c r="O6" s="296"/>
      <c r="P6" s="296"/>
      <c r="Q6" s="296"/>
      <c r="R6" s="296"/>
      <c r="S6" s="296"/>
      <c r="T6" s="296"/>
      <c r="U6" s="296"/>
      <c r="V6" s="296"/>
      <c r="W6" s="296"/>
      <c r="X6" s="296"/>
      <c r="Y6" s="296"/>
      <c r="Z6" s="296"/>
    </row>
    <row r="7" spans="1:26">
      <c r="A7" s="296"/>
      <c r="B7" s="296"/>
      <c r="C7" s="296"/>
      <c r="D7" s="296"/>
      <c r="E7" s="296"/>
      <c r="F7" s="296"/>
      <c r="G7" s="296"/>
      <c r="H7" s="296"/>
      <c r="I7" s="296"/>
      <c r="J7" s="296"/>
      <c r="K7" s="296"/>
      <c r="L7" s="296"/>
      <c r="M7" s="296"/>
      <c r="N7" s="296"/>
      <c r="O7" s="296"/>
      <c r="P7" s="296"/>
      <c r="Q7" s="296"/>
      <c r="R7" s="296"/>
      <c r="S7" s="296"/>
      <c r="T7" s="296"/>
      <c r="U7" s="296"/>
      <c r="V7" s="296"/>
      <c r="W7" s="296"/>
      <c r="X7" s="296"/>
      <c r="Y7" s="296"/>
      <c r="Z7" s="296"/>
    </row>
    <row r="8" spans="1:26">
      <c r="A8" s="296"/>
      <c r="B8" s="296"/>
      <c r="C8" s="296"/>
      <c r="D8" s="296"/>
      <c r="E8" s="296"/>
      <c r="F8" s="296"/>
      <c r="G8" s="296"/>
      <c r="H8" s="296"/>
      <c r="I8" s="296"/>
      <c r="J8" s="296"/>
      <c r="K8" s="296"/>
      <c r="L8" s="296"/>
      <c r="M8" s="296"/>
      <c r="N8" s="296"/>
      <c r="O8" s="296"/>
      <c r="P8" s="296"/>
      <c r="Q8" s="296"/>
      <c r="R8" s="296"/>
      <c r="S8" s="296"/>
      <c r="T8" s="296"/>
      <c r="U8" s="296"/>
      <c r="V8" s="296"/>
      <c r="W8" s="296"/>
      <c r="X8" s="296"/>
      <c r="Y8" s="296"/>
      <c r="Z8" s="296"/>
    </row>
    <row r="9" spans="1:26">
      <c r="A9" s="296"/>
      <c r="B9" s="296"/>
      <c r="C9" s="296"/>
      <c r="D9" s="296"/>
      <c r="E9" s="296"/>
      <c r="F9" s="296"/>
      <c r="G9" s="296"/>
      <c r="H9" s="296"/>
      <c r="I9" s="296"/>
      <c r="J9" s="296"/>
      <c r="K9" s="296"/>
      <c r="L9" s="296"/>
      <c r="M9" s="296"/>
      <c r="N9" s="296"/>
      <c r="O9" s="296"/>
      <c r="P9" s="296"/>
      <c r="Q9" s="296"/>
      <c r="R9" s="296"/>
      <c r="S9" s="296"/>
      <c r="T9" s="296"/>
      <c r="U9" s="296"/>
      <c r="V9" s="296"/>
      <c r="W9" s="296"/>
      <c r="X9" s="296"/>
      <c r="Y9" s="296"/>
      <c r="Z9" s="296"/>
    </row>
    <row r="10" spans="1:26">
      <c r="A10" s="296"/>
      <c r="B10" s="296"/>
      <c r="C10" s="296"/>
      <c r="D10" s="296"/>
      <c r="E10" s="296"/>
      <c r="F10" s="296"/>
      <c r="G10" s="296"/>
      <c r="H10" s="296"/>
      <c r="I10" s="296"/>
      <c r="J10" s="296"/>
      <c r="K10" s="296"/>
      <c r="L10" s="296"/>
      <c r="M10" s="296"/>
      <c r="N10" s="296"/>
      <c r="O10" s="296"/>
      <c r="P10" s="296"/>
      <c r="Q10" s="296"/>
      <c r="R10" s="296"/>
      <c r="S10" s="296"/>
      <c r="T10" s="296"/>
      <c r="U10" s="296"/>
      <c r="V10" s="296"/>
      <c r="W10" s="296"/>
      <c r="X10" s="296"/>
      <c r="Y10" s="296"/>
      <c r="Z10" s="296"/>
    </row>
    <row r="11" spans="1:26">
      <c r="A11" s="296"/>
      <c r="B11" s="296"/>
      <c r="C11" s="296"/>
      <c r="D11" s="296"/>
      <c r="E11" s="296"/>
      <c r="F11" s="296"/>
      <c r="G11" s="296"/>
      <c r="H11" s="296"/>
      <c r="I11" s="296"/>
      <c r="J11" s="296"/>
      <c r="K11" s="296"/>
      <c r="L11" s="296"/>
      <c r="M11" s="296"/>
      <c r="N11" s="296"/>
      <c r="O11" s="296"/>
      <c r="P11" s="296"/>
      <c r="Q11" s="296"/>
      <c r="R11" s="296"/>
      <c r="S11" s="296"/>
      <c r="T11" s="296"/>
      <c r="U11" s="296"/>
      <c r="V11" s="296"/>
      <c r="W11" s="296"/>
      <c r="X11" s="296"/>
      <c r="Y11" s="296"/>
      <c r="Z11" s="296"/>
    </row>
    <row r="12" spans="1:26">
      <c r="A12" s="296"/>
      <c r="B12" s="296"/>
      <c r="C12" s="296"/>
      <c r="D12" s="296"/>
      <c r="E12" s="296"/>
      <c r="F12" s="296"/>
      <c r="G12" s="296"/>
      <c r="H12" s="296"/>
      <c r="I12" s="296"/>
      <c r="J12" s="296"/>
      <c r="K12" s="296"/>
      <c r="L12" s="296"/>
      <c r="M12" s="296"/>
      <c r="N12" s="296"/>
      <c r="O12" s="296"/>
      <c r="P12" s="296"/>
      <c r="Q12" s="296"/>
      <c r="R12" s="296"/>
      <c r="S12" s="296"/>
      <c r="T12" s="296"/>
      <c r="U12" s="296"/>
      <c r="V12" s="296"/>
      <c r="W12" s="296"/>
      <c r="X12" s="296"/>
      <c r="Y12" s="296"/>
      <c r="Z12" s="296"/>
    </row>
    <row r="13" spans="1:26">
      <c r="A13" s="296"/>
      <c r="B13" s="296"/>
      <c r="C13" s="296"/>
      <c r="D13" s="296"/>
      <c r="E13" s="296"/>
      <c r="F13" s="296"/>
      <c r="G13" s="296"/>
      <c r="H13" s="296"/>
      <c r="I13" s="296"/>
      <c r="J13" s="296"/>
      <c r="K13" s="296"/>
      <c r="L13" s="296"/>
      <c r="M13" s="296"/>
      <c r="N13" s="296"/>
      <c r="O13" s="296"/>
      <c r="P13" s="296"/>
      <c r="Q13" s="296"/>
      <c r="R13" s="296"/>
      <c r="S13" s="296"/>
      <c r="T13" s="296"/>
      <c r="U13" s="296"/>
      <c r="V13" s="296"/>
      <c r="W13" s="296"/>
      <c r="X13" s="296"/>
      <c r="Y13" s="296"/>
      <c r="Z13" s="296"/>
    </row>
    <row r="14" spans="1:26">
      <c r="A14" s="296"/>
      <c r="B14" s="296"/>
      <c r="C14" s="296"/>
      <c r="D14" s="296"/>
      <c r="E14" s="296"/>
      <c r="F14" s="296"/>
      <c r="G14" s="296"/>
      <c r="H14" s="296"/>
      <c r="I14" s="296"/>
      <c r="J14" s="296"/>
      <c r="K14" s="296"/>
      <c r="L14" s="296"/>
      <c r="M14" s="296"/>
      <c r="N14" s="296"/>
      <c r="O14" s="296"/>
      <c r="P14" s="296"/>
      <c r="Q14" s="296"/>
      <c r="R14" s="296"/>
      <c r="S14" s="296"/>
      <c r="T14" s="296"/>
      <c r="U14" s="296"/>
      <c r="V14" s="296"/>
      <c r="W14" s="296"/>
      <c r="X14" s="296"/>
      <c r="Y14" s="296"/>
      <c r="Z14" s="296"/>
    </row>
    <row r="15" spans="1:26">
      <c r="A15" s="296"/>
      <c r="B15" s="296"/>
      <c r="C15" s="296"/>
      <c r="D15" s="296"/>
      <c r="E15" s="296"/>
      <c r="F15" s="296"/>
      <c r="G15" s="296"/>
      <c r="H15" s="296"/>
      <c r="I15" s="296"/>
      <c r="J15" s="296"/>
      <c r="K15" s="296"/>
      <c r="L15" s="296"/>
      <c r="M15" s="296"/>
      <c r="N15" s="296"/>
      <c r="O15" s="296"/>
      <c r="P15" s="296"/>
      <c r="Q15" s="296"/>
      <c r="R15" s="296"/>
      <c r="S15" s="296"/>
      <c r="T15" s="296"/>
      <c r="U15" s="296"/>
      <c r="V15" s="296"/>
      <c r="W15" s="296"/>
      <c r="X15" s="296"/>
      <c r="Y15" s="296"/>
      <c r="Z15" s="296"/>
    </row>
    <row r="16" spans="1:26">
      <c r="A16" s="296"/>
      <c r="B16" s="296"/>
      <c r="C16" s="296"/>
      <c r="D16" s="296"/>
      <c r="E16" s="296"/>
      <c r="F16" s="296"/>
      <c r="G16" s="296"/>
      <c r="H16" s="296"/>
      <c r="I16" s="296"/>
      <c r="J16" s="296"/>
      <c r="K16" s="296"/>
      <c r="L16" s="296"/>
      <c r="M16" s="296"/>
      <c r="N16" s="296"/>
      <c r="O16" s="296"/>
      <c r="P16" s="296"/>
      <c r="Q16" s="296"/>
      <c r="R16" s="296"/>
      <c r="S16" s="296"/>
      <c r="T16" s="296"/>
      <c r="U16" s="296"/>
      <c r="V16" s="296"/>
      <c r="W16" s="296"/>
      <c r="X16" s="296"/>
      <c r="Y16" s="296"/>
      <c r="Z16" s="296"/>
    </row>
    <row r="17" spans="1:26">
      <c r="A17" s="296"/>
      <c r="B17" s="296"/>
      <c r="C17" s="296"/>
      <c r="D17" s="296"/>
      <c r="E17" s="296"/>
      <c r="F17" s="296"/>
      <c r="G17" s="296"/>
      <c r="H17" s="296"/>
      <c r="I17" s="296"/>
      <c r="J17" s="296"/>
      <c r="K17" s="296"/>
      <c r="L17" s="296"/>
      <c r="M17" s="296"/>
      <c r="N17" s="296"/>
      <c r="O17" s="296"/>
      <c r="P17" s="296"/>
      <c r="Q17" s="296"/>
      <c r="R17" s="296"/>
      <c r="S17" s="296"/>
      <c r="T17" s="296"/>
      <c r="U17" s="296"/>
      <c r="V17" s="296"/>
      <c r="W17" s="296"/>
      <c r="X17" s="296"/>
      <c r="Y17" s="296"/>
      <c r="Z17" s="296"/>
    </row>
    <row r="18" spans="1:26">
      <c r="A18" s="296"/>
      <c r="B18" s="296"/>
      <c r="C18" s="296"/>
      <c r="D18" s="296"/>
      <c r="E18" s="296"/>
      <c r="F18" s="296"/>
      <c r="G18" s="296"/>
      <c r="H18" s="296"/>
      <c r="I18" s="296"/>
      <c r="J18" s="296"/>
      <c r="K18" s="296"/>
      <c r="L18" s="296"/>
      <c r="M18" s="296"/>
      <c r="N18" s="296"/>
      <c r="O18" s="296"/>
      <c r="P18" s="296"/>
      <c r="Q18" s="296"/>
      <c r="R18" s="296"/>
      <c r="S18" s="296"/>
      <c r="T18" s="296"/>
      <c r="U18" s="296"/>
      <c r="V18" s="296"/>
      <c r="W18" s="296"/>
      <c r="X18" s="296"/>
      <c r="Y18" s="296"/>
      <c r="Z18" s="296"/>
    </row>
    <row r="19" spans="1:26">
      <c r="A19" s="296"/>
      <c r="B19" s="296"/>
      <c r="C19" s="296"/>
      <c r="D19" s="296"/>
      <c r="E19" s="296"/>
      <c r="F19" s="296"/>
      <c r="G19" s="296"/>
      <c r="H19" s="296"/>
      <c r="I19" s="296"/>
      <c r="J19" s="296"/>
      <c r="K19" s="296"/>
      <c r="L19" s="296"/>
      <c r="M19" s="296"/>
      <c r="N19" s="296"/>
      <c r="O19" s="296"/>
      <c r="P19" s="296"/>
      <c r="Q19" s="296"/>
      <c r="R19" s="296"/>
      <c r="S19" s="296"/>
      <c r="T19" s="296"/>
      <c r="U19" s="296"/>
      <c r="V19" s="296"/>
      <c r="W19" s="296"/>
      <c r="X19" s="296"/>
      <c r="Y19" s="296"/>
      <c r="Z19" s="296"/>
    </row>
    <row r="20" spans="1:26">
      <c r="A20" s="296"/>
      <c r="B20" s="296"/>
      <c r="C20" s="296"/>
      <c r="D20" s="296"/>
      <c r="E20" s="296"/>
      <c r="F20" s="296"/>
      <c r="G20" s="296"/>
      <c r="H20" s="296"/>
      <c r="I20" s="296"/>
      <c r="J20" s="296"/>
      <c r="K20" s="296"/>
      <c r="L20" s="296"/>
      <c r="M20" s="296"/>
      <c r="N20" s="296"/>
      <c r="O20" s="296"/>
      <c r="P20" s="296"/>
      <c r="Q20" s="296"/>
      <c r="R20" s="296"/>
      <c r="S20" s="296"/>
      <c r="T20" s="296"/>
      <c r="U20" s="296"/>
      <c r="V20" s="296"/>
      <c r="W20" s="296"/>
      <c r="X20" s="296"/>
      <c r="Y20" s="296"/>
      <c r="Z20" s="296"/>
    </row>
    <row r="21" spans="1:26">
      <c r="A21" s="296"/>
      <c r="B21" s="296"/>
      <c r="C21" s="296"/>
      <c r="D21" s="296"/>
      <c r="E21" s="296"/>
      <c r="F21" s="296"/>
      <c r="G21" s="296"/>
      <c r="H21" s="296"/>
      <c r="I21" s="296"/>
      <c r="J21" s="296"/>
      <c r="K21" s="296"/>
      <c r="L21" s="296"/>
      <c r="M21" s="296"/>
      <c r="N21" s="296"/>
      <c r="O21" s="296"/>
      <c r="P21" s="296"/>
      <c r="Q21" s="296"/>
      <c r="R21" s="296"/>
      <c r="S21" s="296"/>
      <c r="T21" s="296"/>
      <c r="U21" s="296"/>
      <c r="V21" s="296"/>
      <c r="W21" s="296"/>
      <c r="X21" s="296"/>
      <c r="Y21" s="296"/>
      <c r="Z21" s="296"/>
    </row>
    <row r="22" spans="1:26">
      <c r="A22" s="296"/>
      <c r="B22" s="296"/>
      <c r="C22" s="296"/>
      <c r="D22" s="296"/>
      <c r="E22" s="296"/>
      <c r="F22" s="296"/>
      <c r="G22" s="296"/>
      <c r="H22" s="296"/>
      <c r="I22" s="296"/>
      <c r="J22" s="296"/>
      <c r="K22" s="296"/>
      <c r="L22" s="296"/>
      <c r="M22" s="296"/>
      <c r="N22" s="296"/>
      <c r="O22" s="296"/>
      <c r="P22" s="296"/>
      <c r="Q22" s="296"/>
      <c r="R22" s="296"/>
      <c r="S22" s="296"/>
      <c r="T22" s="296"/>
      <c r="U22" s="296"/>
      <c r="V22" s="296"/>
      <c r="W22" s="296"/>
      <c r="X22" s="296"/>
      <c r="Y22" s="296"/>
      <c r="Z22" s="296"/>
    </row>
    <row r="23" spans="1:26">
      <c r="A23" s="296"/>
      <c r="B23" s="296"/>
      <c r="C23" s="296"/>
      <c r="D23" s="296"/>
      <c r="E23" s="296"/>
      <c r="F23" s="296"/>
      <c r="G23" s="296"/>
      <c r="H23" s="296"/>
      <c r="I23" s="296"/>
      <c r="J23" s="296"/>
      <c r="K23" s="296"/>
      <c r="L23" s="296"/>
      <c r="M23" s="296"/>
      <c r="N23" s="296"/>
      <c r="O23" s="296"/>
      <c r="P23" s="296"/>
      <c r="Q23" s="296"/>
      <c r="R23" s="296"/>
      <c r="S23" s="296"/>
      <c r="T23" s="296"/>
      <c r="U23" s="296"/>
      <c r="V23" s="296"/>
      <c r="W23" s="296"/>
      <c r="X23" s="296"/>
      <c r="Y23" s="296"/>
      <c r="Z23" s="296"/>
    </row>
    <row r="24" spans="1:26">
      <c r="A24" s="296"/>
      <c r="B24" s="296"/>
      <c r="C24" s="296"/>
      <c r="D24" s="296"/>
      <c r="E24" s="296"/>
      <c r="F24" s="296"/>
      <c r="G24" s="296"/>
      <c r="H24" s="296"/>
      <c r="I24" s="296"/>
      <c r="J24" s="296"/>
      <c r="K24" s="296"/>
      <c r="L24" s="296"/>
      <c r="M24" s="296"/>
      <c r="N24" s="296"/>
      <c r="O24" s="296"/>
      <c r="P24" s="296"/>
      <c r="Q24" s="296"/>
      <c r="R24" s="296"/>
      <c r="S24" s="296"/>
      <c r="T24" s="296"/>
      <c r="U24" s="296"/>
      <c r="V24" s="296"/>
      <c r="W24" s="296"/>
      <c r="X24" s="296"/>
      <c r="Y24" s="296"/>
      <c r="Z24" s="296"/>
    </row>
    <row r="25" spans="1:26">
      <c r="A25" s="296"/>
      <c r="B25" s="296"/>
      <c r="C25" s="296"/>
      <c r="D25" s="296"/>
      <c r="E25" s="296"/>
      <c r="F25" s="296"/>
      <c r="G25" s="296"/>
      <c r="H25" s="296"/>
      <c r="I25" s="296"/>
      <c r="J25" s="296"/>
      <c r="K25" s="296"/>
      <c r="L25" s="296"/>
      <c r="M25" s="296"/>
      <c r="N25" s="296"/>
      <c r="O25" s="296"/>
      <c r="P25" s="296"/>
      <c r="Q25" s="296"/>
      <c r="R25" s="296"/>
      <c r="S25" s="296"/>
      <c r="T25" s="296"/>
      <c r="U25" s="296"/>
      <c r="V25" s="296"/>
      <c r="W25" s="296"/>
      <c r="X25" s="296"/>
      <c r="Y25" s="296"/>
      <c r="Z25" s="296"/>
    </row>
    <row r="26" spans="1:26">
      <c r="A26" s="296"/>
      <c r="B26" s="296"/>
      <c r="C26" s="296"/>
      <c r="D26" s="296"/>
      <c r="E26" s="296"/>
      <c r="F26" s="296"/>
      <c r="G26" s="296"/>
      <c r="H26" s="296"/>
      <c r="I26" s="296"/>
      <c r="J26" s="296"/>
      <c r="K26" s="296"/>
      <c r="L26" s="296"/>
      <c r="M26" s="296"/>
      <c r="N26" s="296"/>
      <c r="O26" s="296"/>
      <c r="P26" s="296"/>
      <c r="Q26" s="296"/>
      <c r="R26" s="296"/>
      <c r="S26" s="296"/>
      <c r="T26" s="296"/>
      <c r="U26" s="296"/>
      <c r="V26" s="296"/>
      <c r="W26" s="296"/>
      <c r="X26" s="296"/>
      <c r="Y26" s="296"/>
      <c r="Z26" s="296"/>
    </row>
    <row r="27" spans="1:26">
      <c r="A27" s="296"/>
      <c r="B27" s="296"/>
      <c r="C27" s="296"/>
      <c r="D27" s="296"/>
      <c r="E27" s="296"/>
      <c r="F27" s="296"/>
      <c r="G27" s="296"/>
      <c r="H27" s="296"/>
      <c r="I27" s="296"/>
      <c r="J27" s="296"/>
      <c r="K27" s="296"/>
      <c r="L27" s="296"/>
      <c r="M27" s="296"/>
      <c r="N27" s="296"/>
      <c r="O27" s="296"/>
      <c r="P27" s="296"/>
      <c r="Q27" s="296"/>
      <c r="R27" s="296"/>
      <c r="S27" s="296"/>
      <c r="T27" s="296"/>
      <c r="U27" s="296"/>
      <c r="V27" s="296"/>
      <c r="W27" s="296"/>
      <c r="X27" s="296"/>
      <c r="Y27" s="296"/>
      <c r="Z27" s="296"/>
    </row>
    <row r="28" spans="1:26">
      <c r="A28" s="296"/>
      <c r="B28" s="296"/>
      <c r="C28" s="296"/>
      <c r="D28" s="296"/>
      <c r="E28" s="296"/>
      <c r="F28" s="296"/>
      <c r="G28" s="296"/>
      <c r="H28" s="296"/>
      <c r="I28" s="296"/>
      <c r="J28" s="296"/>
      <c r="K28" s="296"/>
      <c r="L28" s="296"/>
      <c r="M28" s="296"/>
      <c r="N28" s="29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  <c r="Z28" s="296"/>
    </row>
    <row r="29" spans="1:26">
      <c r="A29" s="296"/>
      <c r="B29" s="296"/>
      <c r="C29" s="296"/>
      <c r="D29" s="296"/>
      <c r="E29" s="296"/>
      <c r="F29" s="296"/>
      <c r="G29" s="296"/>
      <c r="H29" s="296"/>
      <c r="I29" s="296"/>
      <c r="J29" s="296"/>
      <c r="K29" s="296"/>
      <c r="L29" s="296"/>
      <c r="M29" s="296"/>
      <c r="N29" s="296"/>
      <c r="O29" s="296"/>
      <c r="P29" s="296"/>
      <c r="Q29" s="296"/>
      <c r="R29" s="296"/>
      <c r="S29" s="296"/>
      <c r="T29" s="296"/>
      <c r="U29" s="296"/>
      <c r="V29" s="296"/>
      <c r="W29" s="296"/>
      <c r="X29" s="296"/>
      <c r="Y29" s="296"/>
      <c r="Z29" s="296"/>
    </row>
    <row r="30" spans="1:26">
      <c r="A30" s="296"/>
      <c r="B30" s="296"/>
      <c r="C30" s="296"/>
      <c r="D30" s="296"/>
      <c r="E30" s="296"/>
      <c r="F30" s="296"/>
      <c r="G30" s="296"/>
      <c r="H30" s="296"/>
      <c r="I30" s="296"/>
      <c r="J30" s="296"/>
      <c r="K30" s="296"/>
      <c r="L30" s="296"/>
      <c r="M30" s="296"/>
      <c r="N30" s="296"/>
      <c r="O30" s="296"/>
      <c r="P30" s="296"/>
      <c r="Q30" s="296"/>
      <c r="R30" s="296"/>
      <c r="S30" s="296"/>
      <c r="T30" s="296"/>
      <c r="U30" s="296"/>
      <c r="V30" s="296"/>
      <c r="W30" s="296"/>
      <c r="X30" s="296"/>
      <c r="Y30" s="296"/>
      <c r="Z30" s="296"/>
    </row>
    <row r="31" spans="1:26">
      <c r="A31" s="296"/>
      <c r="B31" s="296"/>
      <c r="C31" s="296"/>
      <c r="D31" s="296"/>
      <c r="E31" s="296"/>
      <c r="F31" s="296"/>
      <c r="G31" s="296"/>
      <c r="H31" s="296"/>
      <c r="I31" s="296"/>
      <c r="J31" s="296"/>
      <c r="K31" s="296"/>
      <c r="L31" s="296"/>
      <c r="M31" s="296"/>
      <c r="N31" s="296"/>
      <c r="O31" s="296"/>
      <c r="P31" s="296"/>
      <c r="Q31" s="296"/>
      <c r="R31" s="296"/>
      <c r="S31" s="296"/>
      <c r="T31" s="296"/>
      <c r="U31" s="296"/>
      <c r="V31" s="296"/>
      <c r="W31" s="296"/>
      <c r="X31" s="296"/>
      <c r="Y31" s="296"/>
      <c r="Z31" s="296"/>
    </row>
    <row r="32" spans="1:26">
      <c r="A32" s="297" t="s">
        <v>1</v>
      </c>
      <c r="B32" s="297"/>
      <c r="C32" s="297"/>
      <c r="D32" s="297"/>
      <c r="E32" s="297"/>
      <c r="F32" s="297"/>
      <c r="G32" s="297"/>
      <c r="H32" s="297"/>
      <c r="I32" s="297"/>
      <c r="J32" s="297"/>
      <c r="K32" s="297"/>
      <c r="L32" s="297"/>
      <c r="M32" s="297"/>
      <c r="N32" s="297"/>
      <c r="O32" s="297"/>
      <c r="P32" s="297"/>
      <c r="Q32" s="297"/>
      <c r="R32" s="297"/>
      <c r="S32" s="297"/>
      <c r="T32" s="297"/>
      <c r="U32" s="297"/>
      <c r="V32" s="297"/>
      <c r="W32" s="297"/>
      <c r="X32" s="297"/>
      <c r="Y32" s="297"/>
      <c r="Z32" s="297"/>
    </row>
    <row r="33" spans="1:26">
      <c r="A33" s="297"/>
      <c r="B33" s="297"/>
      <c r="C33" s="297"/>
      <c r="D33" s="297"/>
      <c r="E33" s="297"/>
      <c r="F33" s="297"/>
      <c r="G33" s="297"/>
      <c r="H33" s="297"/>
      <c r="I33" s="297"/>
      <c r="J33" s="297"/>
      <c r="K33" s="297"/>
      <c r="L33" s="297"/>
      <c r="M33" s="297"/>
      <c r="N33" s="297"/>
      <c r="O33" s="297"/>
      <c r="P33" s="297"/>
      <c r="Q33" s="297"/>
      <c r="R33" s="297"/>
      <c r="S33" s="297"/>
      <c r="T33" s="297"/>
      <c r="U33" s="297"/>
      <c r="V33" s="297"/>
      <c r="W33" s="297"/>
      <c r="X33" s="297"/>
      <c r="Y33" s="297"/>
      <c r="Z33" s="297"/>
    </row>
    <row r="34" spans="1:26">
      <c r="A34" s="297"/>
      <c r="B34" s="297"/>
      <c r="C34" s="297"/>
      <c r="D34" s="297"/>
      <c r="E34" s="297"/>
      <c r="F34" s="297"/>
      <c r="G34" s="297"/>
      <c r="H34" s="297"/>
      <c r="I34" s="297"/>
      <c r="J34" s="297"/>
      <c r="K34" s="297"/>
      <c r="L34" s="297"/>
      <c r="M34" s="297"/>
      <c r="N34" s="297"/>
      <c r="O34" s="297"/>
      <c r="P34" s="297"/>
      <c r="Q34" s="297"/>
      <c r="R34" s="297"/>
      <c r="S34" s="297"/>
      <c r="T34" s="297"/>
      <c r="U34" s="297"/>
      <c r="V34" s="297"/>
      <c r="W34" s="297"/>
      <c r="X34" s="297"/>
      <c r="Y34" s="297"/>
      <c r="Z34" s="297"/>
    </row>
    <row r="35" spans="1:26">
      <c r="A35" s="297"/>
      <c r="B35" s="297"/>
      <c r="C35" s="297"/>
      <c r="D35" s="297"/>
      <c r="E35" s="297"/>
      <c r="F35" s="297"/>
      <c r="G35" s="297"/>
      <c r="H35" s="297"/>
      <c r="I35" s="297"/>
      <c r="J35" s="297"/>
      <c r="K35" s="297"/>
      <c r="L35" s="297"/>
      <c r="M35" s="297"/>
      <c r="N35" s="297"/>
      <c r="O35" s="297"/>
      <c r="P35" s="297"/>
      <c r="Q35" s="297"/>
      <c r="R35" s="297"/>
      <c r="S35" s="297"/>
      <c r="T35" s="297"/>
      <c r="U35" s="297"/>
      <c r="V35" s="297"/>
      <c r="W35" s="297"/>
      <c r="X35" s="297"/>
      <c r="Y35" s="297"/>
      <c r="Z35" s="297"/>
    </row>
    <row r="36" spans="1:26">
      <c r="A36" s="297"/>
      <c r="B36" s="297"/>
      <c r="C36" s="297"/>
      <c r="D36" s="297"/>
      <c r="E36" s="297"/>
      <c r="F36" s="297"/>
      <c r="G36" s="297"/>
      <c r="H36" s="297"/>
      <c r="I36" s="297"/>
      <c r="J36" s="297"/>
      <c r="K36" s="297"/>
      <c r="L36" s="297"/>
      <c r="M36" s="297"/>
      <c r="N36" s="297"/>
      <c r="O36" s="297"/>
      <c r="P36" s="297"/>
      <c r="Q36" s="297"/>
      <c r="R36" s="297"/>
      <c r="S36" s="297"/>
      <c r="T36" s="297"/>
      <c r="U36" s="297"/>
      <c r="V36" s="297"/>
      <c r="W36" s="297"/>
      <c r="X36" s="297"/>
      <c r="Y36" s="297"/>
      <c r="Z36" s="297"/>
    </row>
    <row r="37" spans="1:26">
      <c r="A37" s="297"/>
      <c r="B37" s="297"/>
      <c r="C37" s="297"/>
      <c r="D37" s="297"/>
      <c r="E37" s="297"/>
      <c r="F37" s="297"/>
      <c r="G37" s="297"/>
      <c r="H37" s="297"/>
      <c r="I37" s="297"/>
      <c r="J37" s="297"/>
      <c r="K37" s="297"/>
      <c r="L37" s="297"/>
      <c r="M37" s="297"/>
      <c r="N37" s="297"/>
      <c r="O37" s="297"/>
      <c r="P37" s="297"/>
      <c r="Q37" s="297"/>
      <c r="R37" s="297"/>
      <c r="S37" s="297"/>
      <c r="T37" s="297"/>
      <c r="U37" s="297"/>
      <c r="V37" s="297"/>
      <c r="W37" s="297"/>
      <c r="X37" s="297"/>
      <c r="Y37" s="297"/>
      <c r="Z37" s="297"/>
    </row>
    <row r="38" spans="1:26">
      <c r="A38" s="297"/>
      <c r="B38" s="297"/>
      <c r="C38" s="297"/>
      <c r="D38" s="297"/>
      <c r="E38" s="297"/>
      <c r="F38" s="297"/>
      <c r="G38" s="297"/>
      <c r="H38" s="297"/>
      <c r="I38" s="297"/>
      <c r="J38" s="297"/>
      <c r="K38" s="297"/>
      <c r="L38" s="297"/>
      <c r="M38" s="297"/>
      <c r="N38" s="297"/>
      <c r="O38" s="297"/>
      <c r="P38" s="297"/>
      <c r="Q38" s="297"/>
      <c r="R38" s="297"/>
      <c r="S38" s="297"/>
      <c r="T38" s="297"/>
      <c r="U38" s="297"/>
      <c r="V38" s="297"/>
      <c r="W38" s="297"/>
      <c r="X38" s="297"/>
      <c r="Y38" s="297"/>
      <c r="Z38" s="297"/>
    </row>
    <row r="39" spans="1:26">
      <c r="A39" s="297"/>
      <c r="B39" s="297"/>
      <c r="C39" s="297"/>
      <c r="D39" s="297"/>
      <c r="E39" s="297"/>
      <c r="F39" s="297"/>
      <c r="G39" s="297"/>
      <c r="H39" s="297"/>
      <c r="I39" s="297"/>
      <c r="J39" s="297"/>
      <c r="K39" s="297"/>
      <c r="L39" s="297"/>
      <c r="M39" s="297"/>
      <c r="N39" s="297"/>
      <c r="O39" s="297"/>
      <c r="P39" s="297"/>
      <c r="Q39" s="297"/>
      <c r="R39" s="297"/>
      <c r="S39" s="297"/>
      <c r="T39" s="297"/>
      <c r="U39" s="297"/>
      <c r="V39" s="297"/>
      <c r="W39" s="297"/>
      <c r="X39" s="297"/>
      <c r="Y39" s="297"/>
      <c r="Z39" s="297"/>
    </row>
    <row r="40" spans="1:26">
      <c r="A40" s="297"/>
      <c r="B40" s="297"/>
      <c r="C40" s="297"/>
      <c r="D40" s="297"/>
      <c r="E40" s="297"/>
      <c r="F40" s="297"/>
      <c r="G40" s="297"/>
      <c r="H40" s="297"/>
      <c r="I40" s="297"/>
      <c r="J40" s="297"/>
      <c r="K40" s="297"/>
      <c r="L40" s="297"/>
      <c r="M40" s="297"/>
      <c r="N40" s="297"/>
      <c r="O40" s="297"/>
      <c r="P40" s="297"/>
      <c r="Q40" s="297"/>
      <c r="R40" s="297"/>
      <c r="S40" s="297"/>
      <c r="T40" s="297"/>
      <c r="U40" s="297"/>
      <c r="V40" s="297"/>
      <c r="W40" s="297"/>
      <c r="X40" s="297"/>
      <c r="Y40" s="297"/>
      <c r="Z40" s="297"/>
    </row>
    <row r="41" spans="1:26">
      <c r="A41" s="297"/>
      <c r="B41" s="297"/>
      <c r="C41" s="297"/>
      <c r="D41" s="297"/>
      <c r="E41" s="297"/>
      <c r="F41" s="297"/>
      <c r="G41" s="297"/>
      <c r="H41" s="297"/>
      <c r="I41" s="297"/>
      <c r="J41" s="297"/>
      <c r="K41" s="297"/>
      <c r="L41" s="297"/>
      <c r="M41" s="297"/>
      <c r="N41" s="297"/>
      <c r="O41" s="297"/>
      <c r="P41" s="297"/>
      <c r="Q41" s="297"/>
      <c r="R41" s="297"/>
      <c r="S41" s="297"/>
      <c r="T41" s="297"/>
      <c r="U41" s="297"/>
      <c r="V41" s="297"/>
      <c r="W41" s="297"/>
      <c r="X41" s="297"/>
      <c r="Y41" s="297"/>
      <c r="Z41" s="297"/>
    </row>
    <row r="42" spans="1:26">
      <c r="A42" s="297"/>
      <c r="B42" s="297"/>
      <c r="C42" s="297"/>
      <c r="D42" s="297"/>
      <c r="E42" s="297"/>
      <c r="F42" s="297"/>
      <c r="G42" s="297"/>
      <c r="H42" s="297"/>
      <c r="I42" s="297"/>
      <c r="J42" s="297"/>
      <c r="K42" s="297"/>
      <c r="L42" s="297"/>
      <c r="M42" s="297"/>
      <c r="N42" s="297"/>
      <c r="O42" s="297"/>
      <c r="P42" s="297"/>
      <c r="Q42" s="297"/>
      <c r="R42" s="297"/>
      <c r="S42" s="297"/>
      <c r="T42" s="297"/>
      <c r="U42" s="297"/>
      <c r="V42" s="297"/>
      <c r="W42" s="297"/>
      <c r="X42" s="297"/>
      <c r="Y42" s="297"/>
      <c r="Z42" s="297"/>
    </row>
    <row r="43" spans="1:26">
      <c r="A43" s="297"/>
      <c r="B43" s="297"/>
      <c r="C43" s="297"/>
      <c r="D43" s="297"/>
      <c r="E43" s="297"/>
      <c r="F43" s="297"/>
      <c r="G43" s="297"/>
      <c r="H43" s="297"/>
      <c r="I43" s="297"/>
      <c r="J43" s="297"/>
      <c r="K43" s="297"/>
      <c r="L43" s="297"/>
      <c r="M43" s="297"/>
      <c r="N43" s="297"/>
      <c r="O43" s="297"/>
      <c r="P43" s="297"/>
      <c r="Q43" s="297"/>
      <c r="R43" s="297"/>
      <c r="S43" s="297"/>
      <c r="T43" s="297"/>
      <c r="U43" s="297"/>
      <c r="V43" s="297"/>
      <c r="W43" s="297"/>
      <c r="X43" s="297"/>
      <c r="Y43" s="297"/>
      <c r="Z43" s="297"/>
    </row>
    <row r="44" spans="1:26">
      <c r="A44" s="297"/>
      <c r="B44" s="297"/>
      <c r="C44" s="297"/>
      <c r="D44" s="297"/>
      <c r="E44" s="297"/>
      <c r="F44" s="297"/>
      <c r="G44" s="297"/>
      <c r="H44" s="297"/>
      <c r="I44" s="297"/>
      <c r="J44" s="297"/>
      <c r="K44" s="297"/>
      <c r="L44" s="297"/>
      <c r="M44" s="297"/>
      <c r="N44" s="297"/>
      <c r="O44" s="297"/>
      <c r="P44" s="297"/>
      <c r="Q44" s="297"/>
      <c r="R44" s="297"/>
      <c r="S44" s="297"/>
      <c r="T44" s="297"/>
      <c r="U44" s="297"/>
      <c r="V44" s="297"/>
      <c r="W44" s="297"/>
      <c r="X44" s="297"/>
      <c r="Y44" s="297"/>
      <c r="Z44" s="297"/>
    </row>
    <row r="45" spans="1:26">
      <c r="A45" s="297"/>
      <c r="B45" s="297"/>
      <c r="C45" s="297"/>
      <c r="D45" s="297"/>
      <c r="E45" s="297"/>
      <c r="F45" s="297"/>
      <c r="G45" s="297"/>
      <c r="H45" s="297"/>
      <c r="I45" s="297"/>
      <c r="J45" s="297"/>
      <c r="K45" s="297"/>
      <c r="L45" s="297"/>
      <c r="M45" s="297"/>
      <c r="N45" s="297"/>
      <c r="O45" s="297"/>
      <c r="P45" s="297"/>
      <c r="Q45" s="297"/>
      <c r="R45" s="297"/>
      <c r="S45" s="297"/>
      <c r="T45" s="297"/>
      <c r="U45" s="297"/>
      <c r="V45" s="297"/>
      <c r="W45" s="297"/>
      <c r="X45" s="297"/>
      <c r="Y45" s="297"/>
      <c r="Z45" s="297"/>
    </row>
    <row r="46" spans="1:26">
      <c r="A46" s="297"/>
      <c r="B46" s="297"/>
      <c r="C46" s="297"/>
      <c r="D46" s="297"/>
      <c r="E46" s="297"/>
      <c r="F46" s="297"/>
      <c r="G46" s="297"/>
      <c r="H46" s="297"/>
      <c r="I46" s="297"/>
      <c r="J46" s="297"/>
      <c r="K46" s="297"/>
      <c r="L46" s="297"/>
      <c r="M46" s="297"/>
      <c r="N46" s="297"/>
      <c r="O46" s="297"/>
      <c r="P46" s="297"/>
      <c r="Q46" s="297"/>
      <c r="R46" s="297"/>
      <c r="S46" s="297"/>
      <c r="T46" s="297"/>
      <c r="U46" s="297"/>
      <c r="V46" s="297"/>
      <c r="W46" s="297"/>
      <c r="X46" s="297"/>
      <c r="Y46" s="297"/>
      <c r="Z46" s="297"/>
    </row>
    <row r="47" spans="1:26">
      <c r="A47" s="297"/>
      <c r="B47" s="297"/>
      <c r="C47" s="297"/>
      <c r="D47" s="297"/>
      <c r="E47" s="297"/>
      <c r="F47" s="297"/>
      <c r="G47" s="297"/>
      <c r="H47" s="297"/>
      <c r="I47" s="297"/>
      <c r="J47" s="297"/>
      <c r="K47" s="297"/>
      <c r="L47" s="297"/>
      <c r="M47" s="297"/>
      <c r="N47" s="297"/>
      <c r="O47" s="297"/>
      <c r="P47" s="297"/>
      <c r="Q47" s="297"/>
      <c r="R47" s="297"/>
      <c r="S47" s="297"/>
      <c r="T47" s="297"/>
      <c r="U47" s="297"/>
      <c r="V47" s="297"/>
      <c r="W47" s="297"/>
      <c r="X47" s="297"/>
      <c r="Y47" s="297"/>
      <c r="Z47" s="297"/>
    </row>
    <row r="48" spans="1:26">
      <c r="A48" s="297"/>
      <c r="B48" s="297"/>
      <c r="C48" s="297"/>
      <c r="D48" s="297"/>
      <c r="E48" s="297"/>
      <c r="F48" s="297"/>
      <c r="G48" s="297"/>
      <c r="H48" s="297"/>
      <c r="I48" s="297"/>
      <c r="J48" s="297"/>
      <c r="K48" s="297"/>
      <c r="L48" s="297"/>
      <c r="M48" s="297"/>
      <c r="N48" s="297"/>
      <c r="O48" s="297"/>
      <c r="P48" s="297"/>
      <c r="Q48" s="297"/>
      <c r="R48" s="297"/>
      <c r="S48" s="297"/>
      <c r="T48" s="297"/>
      <c r="U48" s="297"/>
      <c r="V48" s="297"/>
      <c r="W48" s="297"/>
      <c r="X48" s="297"/>
      <c r="Y48" s="297"/>
      <c r="Z48" s="297"/>
    </row>
    <row r="49" spans="1:26">
      <c r="A49" s="297"/>
      <c r="B49" s="297"/>
      <c r="C49" s="297"/>
      <c r="D49" s="297"/>
      <c r="E49" s="297"/>
      <c r="F49" s="297"/>
      <c r="G49" s="297"/>
      <c r="H49" s="297"/>
      <c r="I49" s="297"/>
      <c r="J49" s="297"/>
      <c r="K49" s="297"/>
      <c r="L49" s="297"/>
      <c r="M49" s="297"/>
      <c r="N49" s="297"/>
      <c r="O49" s="297"/>
      <c r="P49" s="297"/>
      <c r="Q49" s="297"/>
      <c r="R49" s="297"/>
      <c r="S49" s="297"/>
      <c r="T49" s="297"/>
      <c r="U49" s="297"/>
      <c r="V49" s="297"/>
      <c r="W49" s="297"/>
      <c r="X49" s="297"/>
      <c r="Y49" s="297"/>
      <c r="Z49" s="297"/>
    </row>
    <row r="50" spans="1:26">
      <c r="A50" s="297"/>
      <c r="B50" s="297"/>
      <c r="C50" s="297"/>
      <c r="D50" s="297"/>
      <c r="E50" s="297"/>
      <c r="F50" s="297"/>
      <c r="G50" s="297"/>
      <c r="H50" s="297"/>
      <c r="I50" s="297"/>
      <c r="J50" s="297"/>
      <c r="K50" s="297"/>
      <c r="L50" s="297"/>
      <c r="M50" s="297"/>
      <c r="N50" s="297"/>
      <c r="O50" s="297"/>
      <c r="P50" s="297"/>
      <c r="Q50" s="297"/>
      <c r="R50" s="297"/>
      <c r="S50" s="297"/>
      <c r="T50" s="297"/>
      <c r="U50" s="297"/>
      <c r="V50" s="297"/>
      <c r="W50" s="297"/>
      <c r="X50" s="297"/>
      <c r="Y50" s="297"/>
      <c r="Z50" s="297"/>
    </row>
    <row r="51" spans="1:26">
      <c r="A51" s="297"/>
      <c r="B51" s="297"/>
      <c r="C51" s="297"/>
      <c r="D51" s="297"/>
      <c r="E51" s="297"/>
      <c r="F51" s="297"/>
      <c r="G51" s="297"/>
      <c r="H51" s="297"/>
      <c r="I51" s="297"/>
      <c r="J51" s="297"/>
      <c r="K51" s="297"/>
      <c r="L51" s="297"/>
      <c r="M51" s="297"/>
      <c r="N51" s="297"/>
      <c r="O51" s="297"/>
      <c r="P51" s="297"/>
      <c r="Q51" s="297"/>
      <c r="R51" s="297"/>
      <c r="S51" s="297"/>
      <c r="T51" s="297"/>
      <c r="U51" s="297"/>
      <c r="V51" s="297"/>
      <c r="W51" s="297"/>
      <c r="X51" s="297"/>
      <c r="Y51" s="297"/>
      <c r="Z51" s="297"/>
    </row>
    <row r="52" spans="1:26">
      <c r="A52" s="297"/>
      <c r="B52" s="297"/>
      <c r="C52" s="297"/>
      <c r="D52" s="297"/>
      <c r="E52" s="297"/>
      <c r="F52" s="297"/>
      <c r="G52" s="297"/>
      <c r="H52" s="297"/>
      <c r="I52" s="297"/>
      <c r="J52" s="297"/>
      <c r="K52" s="297"/>
      <c r="L52" s="297"/>
      <c r="M52" s="297"/>
      <c r="N52" s="297"/>
      <c r="O52" s="297"/>
      <c r="P52" s="297"/>
      <c r="Q52" s="297"/>
      <c r="R52" s="297"/>
      <c r="S52" s="297"/>
      <c r="T52" s="297"/>
      <c r="U52" s="297"/>
      <c r="V52" s="297"/>
      <c r="W52" s="297"/>
      <c r="X52" s="297"/>
      <c r="Y52" s="297"/>
      <c r="Z52" s="297"/>
    </row>
    <row r="53" spans="1:26">
      <c r="A53" s="297"/>
      <c r="B53" s="297"/>
      <c r="C53" s="297"/>
      <c r="D53" s="297"/>
      <c r="E53" s="297"/>
      <c r="F53" s="297"/>
      <c r="G53" s="297"/>
      <c r="H53" s="297"/>
      <c r="I53" s="297"/>
      <c r="J53" s="297"/>
      <c r="K53" s="297"/>
      <c r="L53" s="297"/>
      <c r="M53" s="297"/>
      <c r="N53" s="297"/>
      <c r="O53" s="297"/>
      <c r="P53" s="297"/>
      <c r="Q53" s="297"/>
      <c r="R53" s="297"/>
      <c r="S53" s="297"/>
      <c r="T53" s="297"/>
      <c r="U53" s="297"/>
      <c r="V53" s="297"/>
      <c r="W53" s="297"/>
      <c r="X53" s="297"/>
      <c r="Y53" s="297"/>
      <c r="Z53" s="297"/>
    </row>
    <row r="54" spans="1:26">
      <c r="A54" s="297"/>
      <c r="B54" s="297"/>
      <c r="C54" s="297"/>
      <c r="D54" s="297"/>
      <c r="E54" s="297"/>
      <c r="F54" s="297"/>
      <c r="G54" s="297"/>
      <c r="H54" s="297"/>
      <c r="I54" s="297"/>
      <c r="J54" s="297"/>
      <c r="K54" s="297"/>
      <c r="L54" s="297"/>
      <c r="M54" s="297"/>
      <c r="N54" s="297"/>
      <c r="O54" s="297"/>
      <c r="P54" s="297"/>
      <c r="Q54" s="297"/>
      <c r="R54" s="297"/>
      <c r="S54" s="297"/>
      <c r="T54" s="297"/>
      <c r="U54" s="297"/>
      <c r="V54" s="297"/>
      <c r="W54" s="297"/>
      <c r="X54" s="297"/>
      <c r="Y54" s="297"/>
      <c r="Z54" s="297"/>
    </row>
    <row r="55" spans="1:26">
      <c r="A55" s="297"/>
      <c r="B55" s="297"/>
      <c r="C55" s="297"/>
      <c r="D55" s="297"/>
      <c r="E55" s="297"/>
      <c r="F55" s="297"/>
      <c r="G55" s="297"/>
      <c r="H55" s="297"/>
      <c r="I55" s="297"/>
      <c r="J55" s="297"/>
      <c r="K55" s="297"/>
      <c r="L55" s="297"/>
      <c r="M55" s="297"/>
      <c r="N55" s="297"/>
      <c r="O55" s="297"/>
      <c r="P55" s="297"/>
      <c r="Q55" s="297"/>
      <c r="R55" s="297"/>
      <c r="S55" s="297"/>
      <c r="T55" s="297"/>
      <c r="U55" s="297"/>
      <c r="V55" s="297"/>
      <c r="W55" s="297"/>
      <c r="X55" s="297"/>
      <c r="Y55" s="297"/>
      <c r="Z55" s="297"/>
    </row>
    <row r="56" spans="1:26">
      <c r="A56" s="297"/>
      <c r="B56" s="297"/>
      <c r="C56" s="297"/>
      <c r="D56" s="297"/>
      <c r="E56" s="297"/>
      <c r="F56" s="297"/>
      <c r="G56" s="297"/>
      <c r="H56" s="297"/>
      <c r="I56" s="297"/>
      <c r="J56" s="297"/>
      <c r="K56" s="297"/>
      <c r="L56" s="297"/>
      <c r="M56" s="297"/>
      <c r="N56" s="297"/>
      <c r="O56" s="297"/>
      <c r="P56" s="297"/>
      <c r="Q56" s="297"/>
      <c r="R56" s="297"/>
      <c r="S56" s="297"/>
      <c r="T56" s="297"/>
      <c r="U56" s="297"/>
      <c r="V56" s="297"/>
      <c r="W56" s="297"/>
      <c r="X56" s="297"/>
      <c r="Y56" s="297"/>
      <c r="Z56" s="297"/>
    </row>
    <row r="57" spans="1:26">
      <c r="A57" s="297"/>
      <c r="B57" s="297"/>
      <c r="C57" s="297"/>
      <c r="D57" s="297"/>
      <c r="E57" s="297"/>
      <c r="F57" s="297"/>
      <c r="G57" s="297"/>
      <c r="H57" s="297"/>
      <c r="I57" s="297"/>
      <c r="J57" s="297"/>
      <c r="K57" s="297"/>
      <c r="L57" s="297"/>
      <c r="M57" s="297"/>
      <c r="N57" s="297"/>
      <c r="O57" s="297"/>
      <c r="P57" s="297"/>
      <c r="Q57" s="297"/>
      <c r="R57" s="297"/>
      <c r="S57" s="297"/>
      <c r="T57" s="297"/>
      <c r="U57" s="297"/>
      <c r="V57" s="297"/>
      <c r="W57" s="297"/>
      <c r="X57" s="297"/>
      <c r="Y57" s="297"/>
      <c r="Z57" s="297"/>
    </row>
    <row r="58" spans="1:26">
      <c r="A58" s="297"/>
      <c r="B58" s="297"/>
      <c r="C58" s="297"/>
      <c r="D58" s="297"/>
      <c r="E58" s="297"/>
      <c r="F58" s="297"/>
      <c r="G58" s="297"/>
      <c r="H58" s="297"/>
      <c r="I58" s="297"/>
      <c r="J58" s="297"/>
      <c r="K58" s="297"/>
      <c r="L58" s="297"/>
      <c r="M58" s="297"/>
      <c r="N58" s="297"/>
      <c r="O58" s="297"/>
      <c r="P58" s="297"/>
      <c r="Q58" s="297"/>
      <c r="R58" s="297"/>
      <c r="S58" s="297"/>
      <c r="T58" s="297"/>
      <c r="U58" s="297"/>
      <c r="V58" s="297"/>
      <c r="W58" s="297"/>
      <c r="X58" s="297"/>
      <c r="Y58" s="297"/>
      <c r="Z58" s="297"/>
    </row>
    <row r="59" spans="1:26">
      <c r="A59" s="297"/>
      <c r="B59" s="297"/>
      <c r="C59" s="297"/>
      <c r="D59" s="297"/>
      <c r="E59" s="297"/>
      <c r="F59" s="297"/>
      <c r="G59" s="297"/>
      <c r="H59" s="297"/>
      <c r="I59" s="297"/>
      <c r="J59" s="297"/>
      <c r="K59" s="297"/>
      <c r="L59" s="297"/>
      <c r="M59" s="297"/>
      <c r="N59" s="297"/>
      <c r="O59" s="297"/>
      <c r="P59" s="297"/>
      <c r="Q59" s="297"/>
      <c r="R59" s="297"/>
      <c r="S59" s="297"/>
      <c r="T59" s="297"/>
      <c r="U59" s="297"/>
      <c r="V59" s="297"/>
      <c r="W59" s="297"/>
      <c r="X59" s="297"/>
      <c r="Y59" s="297"/>
      <c r="Z59" s="297"/>
    </row>
    <row r="60" spans="1:26">
      <c r="A60" s="297"/>
      <c r="B60" s="297"/>
      <c r="C60" s="297"/>
      <c r="D60" s="297"/>
      <c r="E60" s="297"/>
      <c r="F60" s="297"/>
      <c r="G60" s="297"/>
      <c r="H60" s="297"/>
      <c r="I60" s="297"/>
      <c r="J60" s="297"/>
      <c r="K60" s="297"/>
      <c r="L60" s="297"/>
      <c r="M60" s="297"/>
      <c r="N60" s="297"/>
      <c r="O60" s="297"/>
      <c r="P60" s="297"/>
      <c r="Q60" s="297"/>
      <c r="R60" s="297"/>
      <c r="S60" s="297"/>
      <c r="T60" s="297"/>
      <c r="U60" s="297"/>
      <c r="V60" s="297"/>
      <c r="W60" s="297"/>
      <c r="X60" s="297"/>
      <c r="Y60" s="297"/>
      <c r="Z60" s="297"/>
    </row>
    <row r="61" spans="1:26">
      <c r="A61" s="297"/>
      <c r="B61" s="297"/>
      <c r="C61" s="297"/>
      <c r="D61" s="297"/>
      <c r="E61" s="297"/>
      <c r="F61" s="297"/>
      <c r="G61" s="297"/>
      <c r="H61" s="297"/>
      <c r="I61" s="297"/>
      <c r="J61" s="297"/>
      <c r="K61" s="297"/>
      <c r="L61" s="297"/>
      <c r="M61" s="297"/>
      <c r="N61" s="297"/>
      <c r="O61" s="297"/>
      <c r="P61" s="297"/>
      <c r="Q61" s="297"/>
      <c r="R61" s="297"/>
      <c r="S61" s="297"/>
      <c r="T61" s="297"/>
      <c r="U61" s="297"/>
      <c r="V61" s="297"/>
      <c r="W61" s="297"/>
      <c r="X61" s="297"/>
      <c r="Y61" s="297"/>
      <c r="Z61" s="297"/>
    </row>
    <row r="62" spans="1:26">
      <c r="A62" s="297"/>
      <c r="B62" s="297"/>
      <c r="C62" s="297"/>
      <c r="D62" s="297"/>
      <c r="E62" s="297"/>
      <c r="F62" s="297"/>
      <c r="G62" s="297"/>
      <c r="H62" s="297"/>
      <c r="I62" s="297"/>
      <c r="J62" s="297"/>
      <c r="K62" s="297"/>
      <c r="L62" s="297"/>
      <c r="M62" s="297"/>
      <c r="N62" s="297"/>
      <c r="O62" s="297"/>
      <c r="P62" s="297"/>
      <c r="Q62" s="297"/>
      <c r="R62" s="297"/>
      <c r="S62" s="297"/>
      <c r="T62" s="297"/>
      <c r="U62" s="297"/>
      <c r="V62" s="297"/>
      <c r="W62" s="297"/>
      <c r="X62" s="297"/>
      <c r="Y62" s="297"/>
      <c r="Z62" s="297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B9" sqref="B9:B11"/>
    </sheetView>
  </sheetViews>
  <sheetFormatPr defaultColWidth="9" defaultRowHeight="16.8" outlineLevelCol="1"/>
  <cols>
    <col min="1" max="1" width="43.25" style="276" customWidth="1"/>
    <col min="2" max="2" width="34.125" style="276" customWidth="1"/>
    <col min="3" max="16384" width="9" style="276"/>
  </cols>
  <sheetData>
    <row r="1" ht="45" customHeight="1" spans="1:2">
      <c r="A1" s="277" t="s">
        <v>2</v>
      </c>
      <c r="B1" s="278" t="s">
        <v>3</v>
      </c>
    </row>
    <row r="2" ht="45" customHeight="1" spans="1:2">
      <c r="A2" s="279" t="s">
        <v>4</v>
      </c>
      <c r="B2" s="280" t="b">
        <v>1</v>
      </c>
    </row>
    <row r="3" ht="36" customHeight="1" spans="1:2">
      <c r="A3" s="281" t="s">
        <v>5</v>
      </c>
      <c r="B3" s="282">
        <v>45402</v>
      </c>
    </row>
    <row r="4" ht="45" customHeight="1" spans="1:2">
      <c r="A4" s="277" t="s">
        <v>6</v>
      </c>
      <c r="B4" s="283" t="str">
        <f>IF(B2,TEXT(EDATE(B3,1)-1,"dd-mmm-yyyy"),B4)</f>
        <v>19-May-2024</v>
      </c>
    </row>
    <row r="5" ht="45" customHeight="1" spans="1:2">
      <c r="A5" s="279" t="s">
        <v>7</v>
      </c>
      <c r="B5" s="284">
        <v>45761</v>
      </c>
    </row>
    <row r="6" ht="45" customHeight="1" spans="1:2">
      <c r="A6" s="279"/>
      <c r="B6" s="284"/>
    </row>
    <row r="7" ht="24.75" customHeight="1" spans="1:2">
      <c r="A7" s="285"/>
      <c r="B7" s="286"/>
    </row>
    <row r="8" ht="30" customHeight="1" spans="1:2">
      <c r="A8" s="287" t="s">
        <v>8</v>
      </c>
      <c r="B8" s="287"/>
    </row>
    <row r="9" ht="20.25" customHeight="1" spans="1:2">
      <c r="A9" s="288" t="str">
        <f>TEXT(B3,"dd mmmm yyyy")&amp;" - "&amp;IF(B2,TEXT(EDATE(B3,1)-1,"dd mmmm yyyy"),TEXT(B3+B5-B3,"dd mmmm yyyy"))</f>
        <v>20 April 2024 - 19 May 2024</v>
      </c>
      <c r="B9" s="289" t="s">
        <v>9</v>
      </c>
    </row>
    <row r="10" ht="20.25" customHeight="1" spans="1:2">
      <c r="A10" s="280" t="str">
        <f>IF(B2,TEXT(EDATE(B3,1),"dd mmmm yyyy"),TEXT(B3+(B5-B3)+1,"dd mmmm yyyy"))&amp;" - "&amp;IF(B2,TEXT(EDATE(B3,2)-1,"dd mmmm yyyy"),TEXT(B3+(B5-B3)*2+1,"dd mmmm yyyy"))</f>
        <v>20 May 2024 - 19 June 2024</v>
      </c>
      <c r="B10" s="289"/>
    </row>
    <row r="11" ht="20.25" customHeight="1" spans="1:2">
      <c r="A11" s="280" t="str">
        <f>IF(B2,TEXT(EDATE(B3,2),"dd mmmm yyyy"),TEXT(B3+((B5-B3)*2)+2,"dd mmmm yyyy"))&amp;" - "&amp;IF(B2,TEXT(EDATE(B3,3)-1,"dd mmmm yyyy"),TEXT(B3+((B5-B3)*3+2),"dd mmmm yyyy"))</f>
        <v>20 June 2024 - 19 July 2024</v>
      </c>
      <c r="B11" s="290"/>
    </row>
    <row r="12" ht="20.25" customHeight="1" spans="1:2">
      <c r="A12" s="291" t="str">
        <f>IF(B2,TEXT(EDATE(B3,3),"dd mmmm yyyy"),TEXT(B3+((B5-B3)*3)+3,"dd mmmm yyyy"))&amp;" - "&amp;IF(B2,TEXT(EDATE(B3,4)-1,"dd mmmm yyyy"),TEXT(B3+(((B5-B3)*4)+3),"dd mmmm yyyy"))</f>
        <v>20 July 2024 - 19 August 2024</v>
      </c>
      <c r="B12" s="278" t="s">
        <v>10</v>
      </c>
    </row>
    <row r="13" ht="20.25" customHeight="1" spans="1:2">
      <c r="A13" s="291" t="str">
        <f>IF(B2,TEXT(EDATE(B3,4),"dd mmmm yyyy"),TEXT(B3+((B5-B3)*4)+4,"dd mmmm yyyy"))&amp;" - "&amp;IF(B2,TEXT(EDATE(B3,5)-1,"dd mmmm yyyy"),TEXT(B3+(((B5-B3)*5)+4),"dd mmmm yyyy"))</f>
        <v>20 August 2024 - 19 September 2024</v>
      </c>
      <c r="B13" s="292"/>
    </row>
    <row r="14" ht="20.25" customHeight="1" spans="1:2">
      <c r="A14" s="280" t="str">
        <f>IF(B2,TEXT(EDATE(B3,5),"dd mmmm yyyy"),TEXT(B3+((B5-B3)*5)+5,"dd mmmm yyyy"))&amp;" - "&amp;IF(B2,TEXT(EDATE(B3,6)-1,"dd mmmm yyyy"),TEXT(B3+(((B5-B3)*6)+5),"dd mmmm yyyy"))</f>
        <v>20 September 2024 - 19 October 2024</v>
      </c>
      <c r="B14" s="293"/>
    </row>
    <row r="15" ht="20.25" customHeight="1" spans="1:2">
      <c r="A15" s="280" t="str">
        <f>IF(B2,TEXT(EDATE(B3,6),"dd mmmm yyyy"),TEXT(B3+((B5-B3)*6)+6,"dd mmmm yyyy"))&amp;" - "&amp;IF(B2,TEXT(EDATE(B3,7)-1,"dd mmmm yyyy"),TEXT(B3+(((B5-B3)*7)+6),"dd mmmm yyyy"))</f>
        <v>20 October 2024 - 19 November 2024</v>
      </c>
      <c r="B15" s="278" t="s">
        <v>11</v>
      </c>
    </row>
    <row r="16" ht="20.25" customHeight="1" spans="1:2">
      <c r="A16" s="280" t="str">
        <f>IF(B2,TEXT(EDATE(B3,7),"dd mmmm yyyy"),TEXT(B3+((B5-B3)*7)+7,"dd mmmm yyyy"))&amp;" - "&amp;IF(B2,TEXT(EDATE(B3,8)-1,"dd mmmm yyyy"),TEXT(B3+(((B5-B3)*8)+7),"dd mmmm yyyy"))</f>
        <v>20 November 2024 - 19 December 2024</v>
      </c>
      <c r="B16" s="292"/>
    </row>
    <row r="17" ht="20.25" customHeight="1" spans="1:2">
      <c r="A17" s="280" t="str">
        <f>IF(B2,TEXT(EDATE(B3,8),"dd mmmm yyyy"),TEXT(B3+((B5-B3)*8)+8,"dd mmmm yyyy"))&amp;" - "&amp;IF(B2,TEXT(EDATE(B3,9)-1,"dd mmmm yyyy"),TEXT(B3+(((B5-B3)*9)+8),"dd mmmm yyyy"))</f>
        <v>20 December 2024 - 19 January 2025</v>
      </c>
      <c r="B17" s="293"/>
    </row>
    <row r="18" ht="20.25" customHeight="1" spans="1:2">
      <c r="A18" s="280" t="str">
        <f>IF(B2,TEXT(EDATE(B3,9),"dd mmmm yyyy"),TEXT(B3+((B5-B3)*9)+9,"dd mmmm yyyy"))&amp;" - "&amp;IF(B2,TEXT(EDATE(B3,10)-1,"dd mmmm yyyy"),TEXT(B3+(((B5-B3)*10)+9),"dd mmmm yyyy"))</f>
        <v>20 January 2025 - 19 February 2025</v>
      </c>
      <c r="B18" s="278" t="s">
        <v>12</v>
      </c>
    </row>
    <row r="19" ht="20.25" customHeight="1" spans="1:2">
      <c r="A19" s="280" t="str">
        <f>IF(B2,TEXT(EDATE(B3,10),"dd mmmm yyyy"),TEXT(B3+((B5-B3)*10)+10,"dd mmmm yyyy"))&amp;" - "&amp;IF(B2,TEXT(EDATE(B3,11)-1,"dd mmmm yyyy"),TEXT(B3+(((B5-B3)*11)+10),"dd mmmm yyyy"))</f>
        <v>20 February 2025 - 19 March 2025</v>
      </c>
      <c r="B19" s="292"/>
    </row>
    <row r="20" ht="20.25" customHeight="1" spans="1:2">
      <c r="A20" s="294" t="str">
        <f>IF(B2,TEXT(EDATE(B3,11),"dd mmmm yyyy"),TEXT(B3+((B5-B3)*11)+11,"dd mmmm yyyy"))&amp;" - "&amp;IF(B2,TEXT(EDATE(B3,12)-1,"dd mmmm yyyy"),TEXT(B3+(((B5-B3)*12)+11),"dd mmmm yyyy"))</f>
        <v>20 March 2025 - 19 April 2025</v>
      </c>
      <c r="B20" s="293"/>
    </row>
    <row r="21" ht="20.25" customHeight="1" spans="1:2">
      <c r="A21" s="295" t="str">
        <f>IF(B2,TEXT(EDATE(B3,12),"dd mmmm yyyy"),TEXT(B3+((B5-B3)*12)+12,"dd mmmm yyyy"))&amp;" - "&amp;IF(B2,TEXT(EDATE(B3,13)-1,"dd mmmm yyyy"),TEXT(B3+(((B5-B3)*13)+12),"dd mmmm yyyy"))</f>
        <v>20 April 2025 - 19 May 2025</v>
      </c>
      <c r="B21" s="280" t="s">
        <v>13</v>
      </c>
    </row>
    <row r="22" ht="20.25" customHeight="1" spans="1:2">
      <c r="A22" s="295" t="str">
        <f>IF(B2,TEXT(EDATE(B3,13),"dd mmmm yyyy"),TEXT(B3+((B5-B3)*13)+13,"dd mmmm yyyy"))&amp;" - "&amp;IF(B2,TEXT(EDATE(B3,14)-1,"dd mmmm yyyy"),TEXT(B3+(((B5-B3)*14)+13),"dd mmmm yyyy"))</f>
        <v>20 May 2025 - 19 June 2025</v>
      </c>
      <c r="B22" s="280"/>
    </row>
    <row r="23" ht="20.25" customHeight="1" spans="1:2">
      <c r="A23" s="294" t="str">
        <f>IF(B2,TEXT(EDATE(B3,14),"dd mmmm yyyy"),TEXT(B3+((B5-B3)*14)+14,"dd mmmm yyyy"))&amp;" - "&amp;IF(B2,TEXT(EDATE(B3,15)-1,"dd mmmm yyyy"),TEXT(B3+(((B5-B3)*15)+14),"dd mmmm yyyy"))</f>
        <v>20 June 2025 - 19 July 2025</v>
      </c>
      <c r="B23" s="278"/>
    </row>
    <row r="24" ht="20.25" customHeight="1" spans="1:2">
      <c r="A24" s="280" t="str">
        <f>IF(B2,TEXT(EDATE(B3,15),"dd mmmm yyyy"),TEXT(B3+((B5-B3)*15)+15,"dd mmmm yyyy"))&amp;" - "&amp;IF(B2,TEXT(EDATE(B3,16)-1,"dd mmmm yyyy"),TEXT(B3+(((B5-B3)*16)+15),"dd mmmm yyyy"))</f>
        <v>20 July 2025 - 19 August 2025</v>
      </c>
      <c r="B24" s="280" t="s">
        <v>14</v>
      </c>
    </row>
    <row r="25" ht="20.25" customHeight="1" spans="1:2">
      <c r="A25" s="280" t="str">
        <f>IF(B2,TEXT(EDATE(B3,16),"dd mmmm yyyy"),TEXT(B3+((B5-B3)*16)+16,"dd mmmm yyyy"))&amp;" - "&amp;IF(B2,TEXT(EDATE(B3,17)-1,"dd mmmm yyyy"),TEXT(B3+(((B5-B3)*17)+16),"dd mmmm yyyy"))</f>
        <v>20 August 2025 - 19 September 2025</v>
      </c>
      <c r="B25" s="280"/>
    </row>
    <row r="26" ht="20.25" customHeight="1" spans="1:2">
      <c r="A26" s="278" t="str">
        <f>IF(B2,TEXT(EDATE(B3,17),"dd mmmm yyyy"),TEXT(B3+((B5-B3)*17)+17,"dd mmmm yyyy"))&amp;" - "&amp;IF(B2,TEXT(EDATE(B3,18)-1,"dd mmmm yyyy"),TEXT(B3+(((B5-B3)*18)+17),"dd mmmm yyyy"))</f>
        <v>20 September 2025 - 19 October 2025</v>
      </c>
      <c r="B26" s="278"/>
    </row>
    <row r="27" ht="20.25" customHeight="1" spans="1:2">
      <c r="A27" s="280" t="str">
        <f>IF(B2,TEXT(EDATE(B3,18),"dd mmmm yyyy"),TEXT(B3+((B5-B3)*18)+18,"dd mmmm yyyy"))&amp;" - "&amp;IF(B2,TEXT(EDATE(B3,19)-1,"dd mmmm yyyy"),TEXT(B3+(((B5-B3)*19)+18),"dd mmmm yyyy"))</f>
        <v>20 October 2025 - 19 November 2025</v>
      </c>
      <c r="B27" s="280" t="s">
        <v>15</v>
      </c>
    </row>
    <row r="28" ht="20.25" customHeight="1" spans="1:2">
      <c r="A28" s="280" t="str">
        <f>IF(B2,TEXT(EDATE(B3,19),"dd mmmm yyyy"),TEXT(B3+((B5-B3)*19)+19,"dd mmmm yyyy"))&amp;" - "&amp;IF(B2,TEXT(EDATE(B3,20)-1,"dd mmmm yyyy"),TEXT(B3+(((B5-B3)*20)+19),"dd mmmm yyyy"))</f>
        <v>20 November 2025 - 19 December 2025</v>
      </c>
      <c r="B28" s="280"/>
    </row>
    <row r="29" ht="20.25" customHeight="1" spans="1:2">
      <c r="A29" s="278" t="str">
        <f>IF(B2,TEXT(EDATE(B3,20),"dd mmmm yyyy"),TEXT(B3+((B5-B3)*20)+20,"dd mmmm yyyy"))&amp;" - "&amp;IF(B2,TEXT(EDATE(B3,21)-1,"dd mmmm yyyy"),TEXT(B3+(((B5-B3)*21)+20),"dd mmmm yyyy"))</f>
        <v>20 December 2025 - 19 January 2026</v>
      </c>
      <c r="B29" s="278"/>
    </row>
    <row r="30" ht="20.25" customHeight="1" spans="1:2">
      <c r="A30" s="280" t="str">
        <f>IF(B2,TEXT(EDATE(B3,21),"dd mmmm yyyy"),TEXT(B3+((B5-B3)*21)+21,"dd mmmm yyyy"))&amp;" - "&amp;IF(B2,TEXT(EDATE(B3,22)-1,"dd mmmm yyyy"),TEXT(B3+(((B5-B3)*22)+21),"dd mmmm yyyy"))</f>
        <v>20 January 2026 - 19 February 2026</v>
      </c>
      <c r="B30" s="280" t="s">
        <v>16</v>
      </c>
    </row>
    <row r="31" ht="20.25" customHeight="1" spans="1:2">
      <c r="A31" s="280" t="str">
        <f>IF(B2,TEXT(EDATE(B3,22),"dd mmmm yyyy"),TEXT(B3+((B5-B3)*22)+22,"dd mmmm yyyy"))&amp;" - "&amp;IF(B2,TEXT(EDATE(B3,23)-1,"dd mmmm yyyy"),TEXT(B3+(((B5-B3)*23)+22),"dd mmmm yyyy"))</f>
        <v>20 February 2026 - 19 March 2026</v>
      </c>
      <c r="B31" s="280"/>
    </row>
    <row r="32" ht="20.25" customHeight="1" spans="1:2">
      <c r="A32" s="278" t="str">
        <f>IF(B2,TEXT(EDATE(B3,23),"dd mmmm yyyy"),TEXT(B3+((B5-B3)*23)+23,"dd mmmm yyyy"))&amp;" - "&amp;IF(B2,TEXT(EDATE(B3,24)-1,"dd mmmm yyyy"),TEXT(B3+(((B5-B3)*24)+23),"dd mmmm yyyy"))</f>
        <v>20 March 2026 - 19 April 2026</v>
      </c>
      <c r="B32" s="278"/>
    </row>
    <row r="33" ht="20.25" customHeight="1" spans="1:2">
      <c r="A33" s="280" t="str">
        <f>IF(B2,TEXT(EDATE(B3,24),"dd mmmm yyyy"),TEXT(B3+((B5-B3)*24)+24,"dd mmmm yyyy"))&amp;" - "&amp;IF(B2,TEXT(EDATE(B3,25)-1,"dd mmmm yyyy"),TEXT(B3+(((B5-B3)*25)+24),"dd mmmm yyyy"))</f>
        <v>20 April 2026 - 19 May 2026</v>
      </c>
      <c r="B33" s="280" t="s">
        <v>17</v>
      </c>
    </row>
    <row r="34" ht="20.25" customHeight="1" spans="1:2">
      <c r="A34" s="280" t="str">
        <f>IF(B2,TEXT(EDATE(B3,25),"dd mmmm yyyy"),TEXT(B3+((B5-B3)*25)+25,"dd mmmm yyyy"))&amp;" - "&amp;IF(B2,TEXT(EDATE(B3,26)-1,"dd mmmm yyyy"),TEXT(B3+(((B5-B3)*26)+25),"dd mmmm yyyy"))</f>
        <v>20 May 2026 - 19 June 2026</v>
      </c>
      <c r="B34" s="280"/>
    </row>
    <row r="35" ht="20.25" customHeight="1" spans="1:2">
      <c r="A35" s="278" t="str">
        <f>IF(B2,TEXT(EDATE(B3,26),"dd mmmm yyyy"),TEXT(B3+((B5-B3)*26)+26,"dd mmmm yyyy"))&amp;" - "&amp;IF(B2,TEXT(EDATE(B3,27)-1,"dd mmmm yyyy"),TEXT(B3+(((B5-B3)*27)+26),"dd mmmm yyyy"))</f>
        <v>20 June 2026 - 19 July 2026</v>
      </c>
      <c r="B35" s="278"/>
    </row>
    <row r="36" ht="20.25" customHeight="1" spans="1:2">
      <c r="A36" s="280" t="str">
        <f>IF(B2,TEXT(EDATE(B3,27),"dd mmmm yyyy"),TEXT(B3+((B5-B3)*27)+27,"dd mmmm yyyy"))&amp;" - "&amp;IF(B2,TEXT(EDATE(B3,28)-1,"dd mmmm yyyy"),TEXT(B3+(((B5-B3)*28)+27),"dd mmmm yyyy"))</f>
        <v>20 July 2026 - 19 August 2026</v>
      </c>
      <c r="B36" s="280" t="s">
        <v>18</v>
      </c>
    </row>
    <row r="37" ht="20.25" customHeight="1" spans="1:2">
      <c r="A37" s="280" t="str">
        <f>IF(B2,TEXT(EDATE(B3,28),"dd mmmm yyyy"),TEXT(B3+((B5-B3)*28)+28,"dd mmmm yyyy"))&amp;" - "&amp;IF(B2,TEXT(EDATE(B3,29)-1,"dd mmmm yyyy"),TEXT(B3+(((B5-B3)*29)+28),"dd mmmm yyyy"))</f>
        <v>20 August 2026 - 19 September 2026</v>
      </c>
      <c r="B37" s="280"/>
    </row>
    <row r="38" ht="20.25" customHeight="1" spans="1:2">
      <c r="A38" s="278" t="str">
        <f>IF(B2,TEXT(EDATE(B3,29),"dd mmmm yyyy"),TEXT(B3+((B5-B3)*29)+29,"dd mmmm yyyy"))&amp;" - "&amp;IF(B2,TEXT(EDATE(B3,30)-1,"dd mmmm yyyy"),TEXT(B3+(((B5-B3)*30)+29),"dd mmmm yyyy"))</f>
        <v>20 September 2026 - 19 October 2026</v>
      </c>
      <c r="B38" s="278"/>
    </row>
    <row r="39" ht="20.25" customHeight="1" spans="1:2">
      <c r="A39" s="280" t="str">
        <f>IF(B2,TEXT(EDATE(B3,30),"dd mmmm yyyy"),TEXT(B3+((B5-B3)*30)+30,"dd mmmm yyyy"))&amp;" - "&amp;IF(B2,TEXT(EDATE(B3,31)-1,"dd mmmm yyyy"),TEXT(B3+(((B5-B3)*31)+30),"dd mmmm yyyy"))</f>
        <v>20 October 2026 - 19 November 2026</v>
      </c>
      <c r="B39" s="280" t="s">
        <v>19</v>
      </c>
    </row>
    <row r="40" ht="20.25" customHeight="1" spans="1:2">
      <c r="A40" s="280" t="str">
        <f>IF(B2,TEXT(EDATE(B3,31),"dd mmmm yyyy"),TEXT(B3+((B5-B3)*31)+31,"dd mmmm yyyy"))&amp;" - "&amp;IF(B2,TEXT(EDATE(B3,32)-1,"dd mmmm yyyy"),TEXT(B3+(((B5-B3)*32)+31),"dd mmmm yyyy"))</f>
        <v>20 November 2026 - 19 December 2026</v>
      </c>
      <c r="B40" s="280"/>
    </row>
    <row r="41" ht="20.25" customHeight="1" spans="1:2">
      <c r="A41" s="278" t="str">
        <f>IF(B2,TEXT(EDATE(B3,32),"dd mmmm yyyy"),TEXT(B3+((B5-B3)*32)+32,"dd mmmm yyyy"))&amp;" - "&amp;IF(B2,TEXT(EDATE(B3,33)-1,"dd mmmm yyyy"),TEXT(B3+(((B5-B3)*33)+32),"dd mmmm yyyy"))</f>
        <v>20 December 2026 - 19 January 2027</v>
      </c>
      <c r="B41" s="278"/>
    </row>
    <row r="42" ht="20.25" customHeight="1" spans="1:2">
      <c r="A42" s="280" t="str">
        <f>IF(B2,TEXT(EDATE(B3,33),"dd mmmm yyyy"),TEXT(B3+((B5-B3)*33)+33,"dd mmmm yyyy"))&amp;" - "&amp;IF(B2,TEXT(EDATE(B3,34)-1,"dd mmmm yyyy"),TEXT(B3+(((B5-B3)*34)+33),"dd mmmm yyyy"))</f>
        <v>20 January 2027 - 19 February 2027</v>
      </c>
      <c r="B42" s="280" t="s">
        <v>20</v>
      </c>
    </row>
    <row r="43" ht="20.25" customHeight="1" spans="1:2">
      <c r="A43" s="280" t="str">
        <f>IF(B2,TEXT(EDATE(B3,34),"dd mmmm yyyy"),TEXT(B3+((B5-B3)*34)+34,"dd mmmm yyyy"))&amp;" - "&amp;IF(B2,TEXT(EDATE(B3,35)-1,"dd mmmm yyyy"),TEXT(B3+(((B5-B3)*35)+34),"dd mmmm yyyy"))</f>
        <v>20 February 2027 - 19 March 2027</v>
      </c>
      <c r="B43" s="280"/>
    </row>
    <row r="44" ht="20.25" customHeight="1" spans="1:2">
      <c r="A44" s="278" t="str">
        <f>IF(B2,TEXT(EDATE(B3,35),"dd mmmm yyyy"),TEXT(B3+((B5-B3)*35)+35,"dd mmmm yyyy"))&amp;" - "&amp;IF(B2,TEXT(EDATE(B3,36)-1,"dd mmmm yyyy"),TEXT(B3+(((B5-B3)*36)+35),"dd mmmm yyyy"))</f>
        <v>20 March 2027 - 19 April 2027</v>
      </c>
      <c r="B44" s="278"/>
    </row>
    <row r="45" ht="20.25" customHeight="1" spans="1:2">
      <c r="A45" s="280" t="str">
        <f>IF(B2,TEXT(EDATE(B3,36),"dd mmmm yyyy"),TEXT(B3+((B5-B3)*36)+36,"dd mmmm yyyy"))&amp;" - "&amp;IF(B2,TEXT(EDATE(B3,37)-1,"dd mmmm yyyy"),TEXT(B3+(((B5-B3)*37)+36),"dd mmmm yyyy"))</f>
        <v>20 April 2027 - 19 May 2027</v>
      </c>
      <c r="B45" s="280" t="s">
        <v>21</v>
      </c>
    </row>
    <row r="46" ht="20.25" customHeight="1" spans="1:2">
      <c r="A46" s="280" t="str">
        <f>IF(B2,TEXT(EDATE(B3,37),"dd mmmm yyyy"),TEXT(B3+((B5-B3)*37)+37,"dd mmmm yyyy"))&amp;" - "&amp;IF(B2,TEXT(EDATE(B3,38)-1,"dd mmmm yyyy"),TEXT(B3+(((B5-B3)*38)+37),"dd mmmm yyyy"))</f>
        <v>20 May 2027 - 19 June 2027</v>
      </c>
      <c r="B46" s="280"/>
    </row>
    <row r="47" ht="20.25" customHeight="1" spans="1:2">
      <c r="A47" s="278" t="str">
        <f>IF(B2,TEXT(EDATE(B3,38),"dd mmmm yyyy"),TEXT(B3+((B5-B3)*38)+38,"dd mmmm yyyy"))&amp;" - "&amp;IF(B2,TEXT(EDATE(B3,39)-1,"dd mmmm yyyy"),TEXT(B3+(((B5-B3)*39)+38),"dd mmmm yyyy"))</f>
        <v>20 June 2027 - 19 July 2027</v>
      </c>
      <c r="B47" s="278"/>
    </row>
    <row r="48" ht="20.25" customHeight="1" spans="1:2">
      <c r="A48" s="280" t="str">
        <f>IF(B2,TEXT(EDATE(B3,39),"dd mmmm yyyy"),TEXT(B3+((B5-B3)*39)+39,"dd mmmm yyyy"))&amp;" - "&amp;IF(B2,TEXT(EDATE(B3,40)-1,"dd mmmm yyyy"),TEXT(B3+(((B5-B3)*40)+39),"dd mmmm yyyy"))</f>
        <v>20 July 2027 - 19 August 2027</v>
      </c>
      <c r="B48" s="280" t="s">
        <v>22</v>
      </c>
    </row>
    <row r="49" ht="20.25" customHeight="1" spans="1:2">
      <c r="A49" s="280" t="str">
        <f>IF(B2,TEXT(EDATE(B3,40),"dd mmmm yyyy"),TEXT(B3+((B5-B3)*40)+40,"dd mmmm yyyy"))&amp;" - "&amp;IF(B2,TEXT(EDATE(B3,41)-1,"dd mmmm yyyy"),TEXT(B3+(((B5-B3)*41)+40),"dd mmmm yyyy"))</f>
        <v>20 August 2027 - 19 September 2027</v>
      </c>
      <c r="B49" s="280"/>
    </row>
    <row r="50" ht="20.25" customHeight="1" spans="1:2">
      <c r="A50" s="278" t="str">
        <f>IF(B2,TEXT(EDATE(B3,41),"dd mmmm yyyy"),TEXT(B3+((B5-B3)*41)+41,"dd mmmm yyyy"))&amp;" - "&amp;IF(B2,TEXT(EDATE(B3,42)-1,"dd mmmm yyyy"),TEXT(B3+(((B5-B3)*42)+41),"dd mmmm yyyy"))</f>
        <v>20 September 2027 - 19 October 2027</v>
      </c>
      <c r="B50" s="278"/>
    </row>
    <row r="51" ht="20.25" customHeight="1" spans="1:2">
      <c r="A51" s="280" t="str">
        <f>IF(B2,TEXT(EDATE(B3,42),"dd mmmm yyyy"),TEXT(B3+((B5-B3)*42)+42,"dd mmmm yyyy"))&amp;" - "&amp;IF(B2,TEXT(EDATE(B3,43)-1,"dd mmmm yyyy"),TEXT(B3+(((B5-B3)*43)+42),"dd mmmm yyyy"))</f>
        <v>20 October 2027 - 19 November 2027</v>
      </c>
      <c r="B51" s="280" t="s">
        <v>23</v>
      </c>
    </row>
    <row r="52" ht="20.25" customHeight="1" spans="1:2">
      <c r="A52" s="280" t="str">
        <f>IF(B2,TEXT(EDATE(B3,43),"dd mmmm yyyy"),TEXT(B3+((B5-B3)*43)+43,"dd mmmm yyyy"))&amp;" - "&amp;IF(B2,TEXT(EDATE(B3,44)-1,"dd mmmm yyyy"),TEXT(B3+(((B5-B3)*44)+43),"dd mmmm yyyy"))</f>
        <v>20 November 2027 - 19 December 2027</v>
      </c>
      <c r="B52" s="280"/>
    </row>
    <row r="53" ht="20.25" customHeight="1" spans="1:2">
      <c r="A53" s="278" t="str">
        <f>IF(B2,TEXT(EDATE(B3,44),"dd mmmm yyyy"),TEXT(B3+((B5-B3)*44)+44,"dd mmmm yyyy"))&amp;" - "&amp;IF(B2,TEXT(EDATE(B3,45)-1,"dd mmmm yyyy"),TEXT(B3+(((B5-B3)*45)+44),"dd mmmm yyyy"))</f>
        <v>20 December 2027 - 19 January 2028</v>
      </c>
      <c r="B53" s="278"/>
    </row>
    <row r="54" ht="20.25" customHeight="1" spans="1:2">
      <c r="A54" s="280" t="str">
        <f>IF(B2,TEXT(EDATE(B3,45),"dd mmmm yyyy"),TEXT(B3+((B5-B3)*45)+45,"dd mmmm yyyy"))&amp;" - "&amp;IF(B2,TEXT(EDATE(B3,46)-1,"dd mmmm yyyy"),TEXT(B3+(((B5-B3)*46)+45),"dd mmmm yyyy"))</f>
        <v>20 January 2028 - 19 February 2028</v>
      </c>
      <c r="B54" s="280" t="s">
        <v>24</v>
      </c>
    </row>
    <row r="55" ht="20.25" customHeight="1" spans="1:2">
      <c r="A55" s="280" t="str">
        <f>IF(B2,TEXT(EDATE(B3,46),"dd mmmm yyyy"),TEXT(B3+((B5-B3)*46)+46,"dd mmmm yyyy"))&amp;" - "&amp;IF(B2,TEXT(EDATE(B3,47)-1,"dd mmmm yyyy"),TEXT(B3+(((B5-B3)*47)+46),"dd mmmm yyyy"))</f>
        <v>20 February 2028 - 19 March 2028</v>
      </c>
      <c r="B55" s="280"/>
    </row>
    <row r="56" ht="20.25" customHeight="1" spans="1:2">
      <c r="A56" s="280" t="str">
        <f>IF(B2,TEXT(EDATE(B3,47),"dd mmmm yyyy"),TEXT(B3+((B5-B3)*47)+47,"dd mmmm yyyy"))&amp;" - "&amp;IF(B2,TEXT(EDATE(B3,48)-1,"dd mmmm yyyy"),TEXT(B3+(((B5-B3)*48)+47),"dd mmmm yyyy"))</f>
        <v>20 March 2028 - 19 April 2028</v>
      </c>
      <c r="B56" s="280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76" customFormat="1" ht="20.25" customHeight="1"/>
    <row r="66" s="276" customFormat="1" ht="20.25" customHeight="1"/>
    <row r="67" s="276" customFormat="1" ht="20.25" customHeight="1"/>
    <row r="68" s="276" customFormat="1" ht="20.25" customHeight="1"/>
    <row r="69" s="276" customFormat="1" ht="20.25" customHeight="1"/>
    <row r="70" s="276" customFormat="1" ht="20.25" customHeight="1"/>
    <row r="71" s="276" customFormat="1" ht="20.25" customHeight="1"/>
    <row r="72" s="276" customFormat="1" ht="20.25" customHeight="1"/>
    <row r="73" s="276" customFormat="1" ht="20.25" customHeight="1"/>
    <row r="74" s="276" customFormat="1" ht="20.25" customHeight="1"/>
    <row r="75" s="276" customFormat="1" ht="20.25" customHeight="1"/>
    <row r="76" s="276" customFormat="1" ht="20.25" customHeight="1"/>
    <row r="77" s="276" customFormat="1" ht="20.25" customHeight="1"/>
    <row r="78" s="276" customFormat="1" ht="20.25" customHeight="1"/>
    <row r="79" s="276" customFormat="1" ht="20.25" customHeight="1"/>
    <row r="80" s="276" customFormat="1" ht="20.25" customHeight="1"/>
    <row r="81" s="276" customFormat="1" ht="20.25" customHeight="1"/>
    <row r="82" s="276" customFormat="1" ht="20.25" customHeight="1"/>
    <row r="83" s="276" customFormat="1" ht="20.25" customHeight="1"/>
    <row r="84" s="276" customFormat="1" ht="20.25" customHeight="1"/>
    <row r="85" s="276" customFormat="1" ht="20.25" customHeight="1"/>
    <row r="86" s="276" customFormat="1" ht="20.25" customHeight="1"/>
    <row r="87" s="276" customFormat="1" ht="20.25" customHeight="1"/>
    <row r="88" s="276" customFormat="1" ht="20.25" customHeight="1"/>
    <row r="89" s="276" customFormat="1" ht="20.25" customHeight="1"/>
    <row r="90" s="276" customFormat="1" ht="20.25" customHeight="1"/>
    <row r="91" s="276" customFormat="1" ht="20.25" customHeight="1"/>
    <row r="92" s="276" customFormat="1" ht="20.25" customHeight="1"/>
    <row r="93" s="276" customFormat="1" ht="20.25" customHeight="1"/>
    <row r="94" s="276" customFormat="1" ht="20.25" customHeight="1"/>
    <row r="95" s="276" customFormat="1" ht="20.25" customHeight="1"/>
    <row r="96" s="276" customFormat="1" ht="20.25" customHeight="1"/>
    <row r="97" s="276" customFormat="1" ht="20.25" customHeight="1"/>
    <row r="98" s="276" customFormat="1" ht="20.25" customHeight="1"/>
    <row r="99" s="276" customFormat="1" ht="20.25" customHeight="1"/>
    <row r="100" s="276" customFormat="1" ht="20.25" customHeight="1"/>
    <row r="101" s="276" customFormat="1" ht="20.25" customHeight="1"/>
    <row r="102" s="276" customFormat="1" ht="20.25" customHeight="1"/>
    <row r="103" s="276" customFormat="1" ht="20.25" customHeight="1"/>
    <row r="104" s="276" customFormat="1" ht="20.25" customHeight="1"/>
    <row r="105" s="276" customFormat="1" ht="20.25" customHeight="1"/>
    <row r="106" s="276" customFormat="1" ht="20.25" customHeight="1"/>
    <row r="107" s="276" customFormat="1" ht="20.25" customHeight="1"/>
    <row r="108" s="276" customFormat="1" ht="20.25" customHeight="1"/>
    <row r="109" s="276" customFormat="1" ht="20.25" customHeight="1"/>
    <row r="110" s="276" customFormat="1" ht="20.25" customHeight="1"/>
    <row r="111" s="276" customFormat="1" ht="20.25" customHeight="1"/>
    <row r="112" s="276" customFormat="1" ht="20.25" customHeight="1"/>
    <row r="113" s="276" customFormat="1" ht="20.25" customHeight="1"/>
    <row r="114" s="276" customFormat="1" ht="20.25" customHeight="1"/>
    <row r="115" s="276" customFormat="1" ht="20.25" customHeight="1"/>
    <row r="116" s="276" customFormat="1" ht="20.25" customHeight="1"/>
    <row r="117" s="276" customFormat="1" ht="20.25" customHeight="1"/>
    <row r="118" s="276" customFormat="1" ht="20.25" customHeight="1"/>
    <row r="119" s="276" customFormat="1" ht="20.25" customHeight="1"/>
    <row r="120" s="276" customFormat="1" ht="20.25" customHeight="1"/>
    <row r="121" s="276" customFormat="1" ht="20.25" customHeight="1"/>
    <row r="122" s="276" customFormat="1" ht="20.25" customHeight="1"/>
    <row r="123" s="276" customFormat="1" ht="20.25" customHeight="1"/>
    <row r="124" s="276" customFormat="1" ht="20.25" customHeight="1"/>
    <row r="125" s="276" customFormat="1" ht="20.25" customHeight="1"/>
    <row r="126" s="276" customFormat="1" ht="20.25" customHeight="1"/>
    <row r="127" s="276" customFormat="1" ht="20.25" customHeight="1"/>
    <row r="129" s="276" customFormat="1" ht="20.25" customHeight="1"/>
    <row r="130" s="276" customFormat="1" ht="20.25" customHeight="1"/>
    <row r="131" s="276" customFormat="1" ht="20.25" customHeight="1"/>
    <row r="132" s="276" customFormat="1" ht="20.25" customHeight="1"/>
    <row r="133" s="276" customFormat="1" ht="20.25" customHeight="1"/>
    <row r="134" s="276" customFormat="1" ht="20.25" customHeight="1"/>
  </sheetData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211"/>
  <sheetViews>
    <sheetView workbookViewId="0">
      <selection activeCell="D4" sqref="D4:D17"/>
    </sheetView>
  </sheetViews>
  <sheetFormatPr defaultColWidth="9" defaultRowHeight="17.6"/>
  <cols>
    <col min="1" max="1" width="18.875" style="204" customWidth="1"/>
    <col min="2" max="2" width="25.625" style="204" customWidth="1"/>
    <col min="3" max="4" width="20.625" style="204" customWidth="1"/>
    <col min="5" max="5" width="25.625" style="204" customWidth="1"/>
    <col min="6" max="6" width="20.625" style="204" customWidth="1"/>
    <col min="7" max="7" width="9" style="204"/>
    <col min="8" max="8" width="23" style="204" customWidth="1"/>
    <col min="9" max="9" width="40.75" style="50" customWidth="1"/>
    <col min="10" max="10" width="28.625" style="204" customWidth="1"/>
    <col min="11" max="12" width="9" style="204"/>
    <col min="13" max="13" width="36.625" style="204" customWidth="1"/>
    <col min="14" max="14" width="21.125" style="204" customWidth="1"/>
    <col min="15" max="15" width="9" style="204"/>
    <col min="16" max="16" width="36" style="204" customWidth="1"/>
    <col min="17" max="16384" width="9" style="204"/>
  </cols>
  <sheetData>
    <row r="2" ht="36.75" customHeight="1" spans="1:14">
      <c r="A2" s="205" t="str">
        <f>"Forecasts For the Year "&amp;TEXT(Main!B3,"mmmm yyyy")&amp;" to "&amp;IF(Main!B2,TEXT(EDATE(Main!B3,3)-1,"mmmm yyyy"),TEXT(Main!B3+((Main!B5-Main!B3)*3+2),"mmmm yyyy"))</f>
        <v>Forecasts For the Year April 2024 to July 2024</v>
      </c>
      <c r="B2" s="205"/>
      <c r="C2" s="205"/>
      <c r="D2" s="205"/>
      <c r="E2" s="205"/>
      <c r="F2" s="205"/>
      <c r="I2" s="242" t="s">
        <v>25</v>
      </c>
      <c r="J2" s="242"/>
      <c r="M2" s="242" t="s">
        <v>26</v>
      </c>
      <c r="N2" s="242"/>
    </row>
    <row r="3" ht="36" customHeight="1" spans="1:16">
      <c r="A3" s="206" t="s">
        <v>27</v>
      </c>
      <c r="B3" s="207"/>
      <c r="C3" s="207"/>
      <c r="D3" s="208" t="s">
        <v>28</v>
      </c>
      <c r="E3" s="208"/>
      <c r="F3" s="208"/>
      <c r="I3" s="243" t="s">
        <v>29</v>
      </c>
      <c r="J3" s="244" t="s">
        <v>30</v>
      </c>
      <c r="M3" s="255" t="s">
        <v>31</v>
      </c>
      <c r="N3" s="244" t="s">
        <v>32</v>
      </c>
      <c r="P3" s="238"/>
    </row>
    <row r="4" ht="35.25" customHeight="1" spans="1:14">
      <c r="A4" s="209" t="s">
        <v>33</v>
      </c>
      <c r="B4" s="210" t="s">
        <v>34</v>
      </c>
      <c r="C4" s="211">
        <v>126</v>
      </c>
      <c r="D4" s="212" t="s">
        <v>33</v>
      </c>
      <c r="E4" s="5" t="s">
        <v>34</v>
      </c>
      <c r="F4" s="237">
        <v>226</v>
      </c>
      <c r="I4" s="245" t="str">
        <f>TEXT(Main!B3,"dd mmmm yyyy")&amp;" - "&amp;IF(Main!B2,TEXT(EDATE(Main!B3,1)-1,"dd mmmm yyyy"),TEXT(Main!B3+(Main!B5-Main!B3)*1,"dd mmmm yyyy"))</f>
        <v>20 April 2024 - 19 May 2024</v>
      </c>
      <c r="J4" s="246">
        <f>E151</f>
        <v>0</v>
      </c>
      <c r="M4" s="251" t="str">
        <f>TEXT(Main!B3,"dd mmmm yyyy")&amp;" - "&amp;IF(Main!B2,TEXT(EDATE(Main!B3,3)-1,"dd mmmm yyyy"),TEXT(Main!B3+((Main!B5-Main!B3)*3+2),"dd mmmm yyyy"))</f>
        <v>20 April 2024 - 19 July 2024</v>
      </c>
      <c r="N4" s="246">
        <f>-C124</f>
        <v>-24333</v>
      </c>
    </row>
    <row r="5" ht="35.25" customHeight="1" spans="1:14">
      <c r="A5" s="209"/>
      <c r="B5" s="210" t="s">
        <v>35</v>
      </c>
      <c r="C5" s="211">
        <v>20</v>
      </c>
      <c r="D5" s="213"/>
      <c r="E5" s="5" t="s">
        <v>35</v>
      </c>
      <c r="F5" s="237">
        <v>0</v>
      </c>
      <c r="I5" s="247" t="str">
        <f>IF(Main!B2,TEXT(EDATE(Main!B3,1),"dd mmmm yyyy"),TEXT(Main!B3+(Main!B5-Main!B3)+1,"dd mmmm yyyy"))&amp;" - "&amp;IF(Main!B2,TEXT(EDATE(Main!B3,2)-1,"dd mmmm yyyy"),TEXT(Main!B3+(Main!B5-Main!B3)*2+1,"dd mmmm yyyy"))</f>
        <v>20 May 2024 - 19 June 2024</v>
      </c>
      <c r="J5" s="246">
        <f>E178</f>
        <v>-416.68</v>
      </c>
      <c r="M5" s="251" t="str">
        <f>IF(Main!B2,TEXT(EDATE(Main!B3,3),"dd mmmm yyyy"),TEXT(Main!B3+((Main!B5-Main!B3)*3+3),"dd mmmm yyyy"))&amp;" - "&amp;IF(Main!B2,TEXT(EDATE(Main!B3,6)-1,"dd mmmm yyyy"),TEXT(Main!B3+((Main!B5-Main!B3)*6+5),"dd mmmm yyyy"))</f>
        <v>20 July 2024 - 19 October 2024</v>
      </c>
      <c r="N5" s="246">
        <f>'July 2024 - September 2024'!C5</f>
        <v>-11683</v>
      </c>
    </row>
    <row r="6" ht="35.25" customHeight="1" spans="1:16">
      <c r="A6" s="209"/>
      <c r="B6" s="210" t="s">
        <v>36</v>
      </c>
      <c r="C6" s="211">
        <v>0</v>
      </c>
      <c r="D6" s="213"/>
      <c r="E6" s="5" t="s">
        <v>36</v>
      </c>
      <c r="F6" s="237">
        <v>0</v>
      </c>
      <c r="I6" s="247" t="str">
        <f>IF(Main!B2,TEXT(EDATE(Main!B3,2),"dd mmmm yyyy"),TEXT(Main!B3+((Main!B5-Main!B3)*2)+2,"dd mmmm yyyy"))&amp;" - "&amp;IF(Main!B2,TEXT(EDATE(Main!B3,3)-1,"dd mmmm yyyy"),TEXT(Main!B3+((Main!B5-Main!B3)*3+2),"dd mmmm yyyy"))</f>
        <v>20 June 2024 - 19 July 2024</v>
      </c>
      <c r="J6" s="246">
        <f>E210</f>
        <v>3260.12</v>
      </c>
      <c r="M6" s="251" t="str">
        <f>IF(Main!B2,TEXT(EDATE(Main!B3,6),"dd mmmm yyyy"),TEXT(Main!B3+((Main!B5-Main!B3)*6+6),"dd mmmm yyyy"))&amp;" - "&amp;IF(Main!B2,TEXT(EDATE(Main!B3,9)-1,"dd mmmm yyyy"),TEXT(Main!B3+((Main!B5-Main!B3)*9+8),"dd mmmm yyyy"))</f>
        <v>20 October 2024 - 19 January 2025</v>
      </c>
      <c r="N6" s="246">
        <f>'October 2024 - December 2024'!C5</f>
        <v>-10683</v>
      </c>
      <c r="P6" s="256"/>
    </row>
    <row r="7" ht="35.25" customHeight="1" spans="1:14">
      <c r="A7" s="209"/>
      <c r="B7" s="210" t="s">
        <v>37</v>
      </c>
      <c r="C7" s="211">
        <v>0</v>
      </c>
      <c r="D7" s="213"/>
      <c r="E7" s="5" t="s">
        <v>37</v>
      </c>
      <c r="F7" s="237">
        <v>0</v>
      </c>
      <c r="I7" s="248" t="str">
        <f>IF(Main!B2,TEXT(EDATE(Main!B3,3),"dd mmmm yyyy"),TEXT(Main!B3+((Main!B5-Main!B3)*3)+3,"dd mmmm yyyy"))&amp;" - "&amp;IF(Main!B2,TEXT(EDATE(Main!B3,4)-1,"dd mmmm yyyy"),TEXT(Main!B3+((Main!B5-Main!B3)*4+3),"dd mmmm yyyy"))</f>
        <v>20 July 2024 - 19 August 2024</v>
      </c>
      <c r="J7" s="246">
        <f>'July 2024 - September 2024'!E147</f>
        <v>699.839999999998</v>
      </c>
      <c r="M7" s="251" t="str">
        <f>IF(Main!B2,TEXT(EDATE(Main!B3,9),"dd mmmm yyyy"),TEXT(Main!B3+((Main!B5-Main!B3)*9+9),"dd mmmm yyyy"))&amp;" - "&amp;IF(Main!B2,TEXT(EDATE(Main!B3,12)-1,"dd mmmm yyyy"),TEXT(Main!B3+((Main!B5-Main!B3)*12+11),"dd mmmm yyyy"))</f>
        <v>20 January 2025 - 19 April 2025</v>
      </c>
      <c r="N7" s="246">
        <f>'January 2025 - March 2025'!C5</f>
        <v>-6983</v>
      </c>
    </row>
    <row r="8" ht="35.25" customHeight="1" spans="1:14">
      <c r="A8" s="209"/>
      <c r="B8" s="210" t="s">
        <v>38</v>
      </c>
      <c r="C8" s="211">
        <v>0</v>
      </c>
      <c r="D8" s="213"/>
      <c r="E8" s="5" t="s">
        <v>38</v>
      </c>
      <c r="F8" s="237">
        <v>0</v>
      </c>
      <c r="I8" s="248" t="str">
        <f>IF(Main!B2,TEXT(EDATE(Main!B3,4),"dd mmmm yyyy"),TEXT(Main!B3+((Main!B5-Main!B3)*4)+4,"dd mmmm yyyy"))&amp;" - "&amp;IF(Main!B2,TEXT(EDATE(Main!B3,5)-1,"dd mmmm yyyy"),TEXT(Main!B3+((Main!B5-Main!B3)*5+4),"dd mmmm yyyy"))</f>
        <v>20 August 2024 - 19 September 2024</v>
      </c>
      <c r="J8" s="246">
        <f>'July 2024 - September 2024'!E174</f>
        <v>625.069999999998</v>
      </c>
      <c r="M8" s="251" t="str">
        <f>IF(Main!B2,TEXT(EDATE(Main!B3,12),"dd mmmm yyyy"),TEXT(Main!B3+((Main!B5-Main!B3)*12+12),"dd mmmm yyyy"))&amp;" - "&amp;IF(Main!B2,TEXT(EDATE(Main!B3,15)-1,"dd mmmm yyyy"),TEXT(Main!B3+((Main!B5-Main!B3)*15+14),"dd mmmm yyyy"))</f>
        <v>20 April 2025 - 19 July 2025</v>
      </c>
      <c r="N8" s="246">
        <f>'April 2025 - June 2025'!C5</f>
        <v>-3083</v>
      </c>
    </row>
    <row r="9" ht="45" customHeight="1" spans="1:14">
      <c r="A9" s="209"/>
      <c r="B9" s="210" t="s">
        <v>39</v>
      </c>
      <c r="C9" s="211">
        <v>0</v>
      </c>
      <c r="D9" s="213"/>
      <c r="E9" s="5" t="s">
        <v>39</v>
      </c>
      <c r="F9" s="237">
        <v>0</v>
      </c>
      <c r="H9" s="238"/>
      <c r="I9" s="247" t="str">
        <f>IF(Main!B2,TEXT(EDATE(Main!B3,5),"dd mmmm yyyy"),TEXT(Main!B3+((Main!B5-Main!B3)*5)+5,"dd mmmm yyyy"))&amp;" - "&amp;IF(Main!B2,TEXT(EDATE(Main!B3,6)-1,"dd mmmm yyyy"),TEXT(Main!B3+((Main!B5-Main!B3)*6+5),"dd mmmm yyyy"))</f>
        <v>20 September 2024 - 19 October 2024</v>
      </c>
      <c r="J9" s="246">
        <f>'July 2024 - September 2024'!E202</f>
        <v>502.709999999998</v>
      </c>
      <c r="M9" s="257" t="str">
        <f>IF(Main!B2,TEXT(EDATE(Main!B3,15),"dd mmmm yyyy"),TEXT(Main!B3+((Main!B5-Main!B3)*15+15),"dd mmmm yyyy"))&amp;" - "&amp;IF(Main!B2,TEXT(EDATE(Main!B3,18)-1,"dd mmmm yyyy"),TEXT(Main!B3+((Main!B5-Main!B3)*18+17),"dd mmmm yyyy"))</f>
        <v>20 July 2025 - 19 October 2025</v>
      </c>
      <c r="N9" s="246">
        <f>'July 2025 - September 2025'!C5</f>
        <v>0</v>
      </c>
    </row>
    <row r="10" ht="39.75" customHeight="1" spans="1:14">
      <c r="A10" s="209"/>
      <c r="B10" s="210" t="s">
        <v>40</v>
      </c>
      <c r="C10" s="211">
        <v>0</v>
      </c>
      <c r="D10" s="213"/>
      <c r="E10" s="5" t="s">
        <v>40</v>
      </c>
      <c r="F10" s="237">
        <v>0</v>
      </c>
      <c r="I10" s="247" t="str">
        <f>IF(Main!B2,TEXT(EDATE(Main!B3,6),"dd mmmm yyyy"),TEXT(Main!B3+((Main!B5-Main!B3)*6)+6,"dd mmmm yyyy"))&amp;" - "&amp;IF(Main!B2,TEXT(EDATE(Main!B3,7)-1,"dd mmmm yyyy"),TEXT(Main!B3+((Main!B5-Main!B3)*7+6),"dd mmmm yyyy"))</f>
        <v>20 October 2024 - 19 November 2024</v>
      </c>
      <c r="J10" s="246">
        <f>'October 2024 - December 2024'!E147</f>
        <v>125.159999999998</v>
      </c>
      <c r="M10" s="251" t="str">
        <f>IF(Main!B2,TEXT(EDATE(Main!B3,18),"dd mmmm yyyy"),TEXT(Main!B3+((Main!B5-Main!B3)*18+18),"dd mmmm yyyy"))&amp;" - "&amp;IF(Main!B2,TEXT(EDATE(Main!B3,21)-1,"dd mmmm yyyy"),TEXT(Main!B3+((Main!B5-Main!B3)*21+20),"dd mmmm yyyy"))</f>
        <v>20 October 2025 - 19 January 2026</v>
      </c>
      <c r="N10" s="258">
        <f ca="1">'October 2025 - December 2025'!C5</f>
        <v>0</v>
      </c>
    </row>
    <row r="11" ht="35.25" customHeight="1" spans="1:14">
      <c r="A11" s="209"/>
      <c r="B11" s="210" t="s">
        <v>41</v>
      </c>
      <c r="C11" s="211">
        <v>0</v>
      </c>
      <c r="D11" s="213"/>
      <c r="E11" s="5" t="s">
        <v>41</v>
      </c>
      <c r="F11" s="237">
        <v>0</v>
      </c>
      <c r="I11" s="247" t="str">
        <f>IF(Main!B2,TEXT(EDATE(Main!B3,7),"dd mmmm yyyy"),TEXT(Main!B3+((Main!B5-Main!B3)*7)+7,"dd mmmm yyyy"))&amp;" - "&amp;IF(Main!B2,TEXT(EDATE(Main!B3,8)-1,"dd mmmm yyyy"),TEXT(Main!B3+((Main!B5-Main!B3)*8+7),"dd mmmm yyyy"))</f>
        <v>20 November 2024 - 19 December 2024</v>
      </c>
      <c r="J11" s="246">
        <f>'October 2024 - December 2024'!E174</f>
        <v>229.399999999998</v>
      </c>
      <c r="M11" s="259" t="str">
        <f>IF(Main!B2,TEXT(EDATE(Main!B3,21),"dd mmmm yyyy"),TEXT(Main!B3+((Main!B5-Main!B3)*21+21),"dd mmmm yyyy"))&amp;" - "&amp;IF(Main!B2,TEXT(EDATE(Main!B3,24)-1,"dd mmmm yyyy"),TEXT(Main!B3+((Main!B5-Main!B3)*24+23),"dd mmmm yyyy"))</f>
        <v>20 January 2026 - 19 April 2026</v>
      </c>
      <c r="N11" s="246">
        <f ca="1">'January 2026 - March 2026'!C5</f>
        <v>0</v>
      </c>
    </row>
    <row r="12" ht="35.25" customHeight="1" spans="1:14">
      <c r="A12" s="209"/>
      <c r="B12" s="210" t="s">
        <v>42</v>
      </c>
      <c r="C12" s="211">
        <v>57.3</v>
      </c>
      <c r="D12" s="213"/>
      <c r="E12" s="5" t="s">
        <v>42</v>
      </c>
      <c r="F12" s="237">
        <v>51.3</v>
      </c>
      <c r="H12" s="238"/>
      <c r="I12" s="247" t="str">
        <f>IF(Main!B2,TEXT(EDATE(Main!B3,8),"dd mmmm yyyy"),TEXT(Main!B3+((Main!B5-Main!B3)*8)+8,"dd mmmm yyyy"))&amp;" - "&amp;IF(Main!B2,TEXT(EDATE(Main!B3,9)-1,"dd mmmm yyyy"),TEXT(Main!B3+((Main!B5-Main!B3)*9+8),"dd mmmm yyyy"))</f>
        <v>20 December 2024 - 19 January 2025</v>
      </c>
      <c r="J12" s="246">
        <f>'October 2024 - December 2024'!E201</f>
        <v>173.339999999998</v>
      </c>
      <c r="M12" s="251" t="str">
        <f>IF(Main!B2,TEXT(EDATE(Main!B3,24),"dd mmmm yyyy"),TEXT(Main!B3+((Main!B5-Main!B3)*24+24),"dd mmmm yyyy"))&amp;" - "&amp;IF(Main!B2,TEXT(EDATE(Main!B3,27)-1,"dd mmmm yyyy"),TEXT(Main!B3+((Main!B5-Main!B3)*27+26),"dd mmmm yyyy"))</f>
        <v>20 April 2026 - 19 July 2026</v>
      </c>
      <c r="N12" s="250">
        <f ca="1">'April 2026 - June 2026'!C5</f>
        <v>0</v>
      </c>
    </row>
    <row r="13" ht="35.25" customHeight="1" spans="1:14">
      <c r="A13" s="209"/>
      <c r="B13" s="210" t="s">
        <v>43</v>
      </c>
      <c r="C13" s="211">
        <v>138</v>
      </c>
      <c r="D13" s="213"/>
      <c r="E13" s="239" t="s">
        <v>43</v>
      </c>
      <c r="F13" s="237">
        <v>138</v>
      </c>
      <c r="I13" s="247" t="str">
        <f>IF(Main!B2,TEXT(EDATE(Main!B3,9),"dd mmmm yyyy"),TEXT(Main!B3+((Main!B5-Main!B3)*9)+9,"dd mmmm yyyy"))&amp;" - "&amp;IF(Main!B2,TEXT(EDATE(Main!B3,10)-1,"dd mmmm yyyy"),TEXT(Main!B3+((Main!B5-Main!B3)*10+9),"dd mmmm yyyy"))</f>
        <v>20 January 2025 - 19 February 2025</v>
      </c>
      <c r="J13" s="246">
        <f>'January 2025 - March 2025'!E141</f>
        <v>111.999999999998</v>
      </c>
      <c r="M13" s="247" t="str">
        <f>IF(Main!B2,TEXT(EDATE(Main!B3,27),"dd mmmm yyyy"),TEXT(Main!B3+((Main!B5-Main!B3)*27+27),"dd mmmm yyyy"))&amp;" - "&amp;IF(Main!B2,TEXT(EDATE(Main!B3,30)-1,"dd mmmm yyyy"),TEXT(Main!B3+((Main!B5-Main!B3)*30+29),"dd mmmm yyyy"))</f>
        <v>20 July 2026 - 19 October 2026</v>
      </c>
      <c r="N13" s="250">
        <f ca="1">'July 2026 - September 2026'!C5</f>
        <v>0</v>
      </c>
    </row>
    <row r="14" ht="35.25" customHeight="1" spans="1:14">
      <c r="A14" s="209"/>
      <c r="B14" s="210" t="s">
        <v>44</v>
      </c>
      <c r="C14" s="211">
        <v>7</v>
      </c>
      <c r="D14" s="213"/>
      <c r="E14" s="239" t="s">
        <v>44</v>
      </c>
      <c r="F14" s="237">
        <v>7</v>
      </c>
      <c r="I14" s="249" t="str">
        <f>IF(Main!B2,TEXT(EDATE(Main!B3,10),"dd mmmm yyyy"),TEXT(Main!B3+((Main!B5-Main!B3)*10)+10,"dd mmmm yyyy"))&amp;" - "&amp;IF(Main!B2,TEXT(EDATE(Main!B3,11)-1,"dd mmmm yyyy"),TEXT(Main!B3+((Main!B5-Main!B3)*11+10),"dd mmmm yyyy"))</f>
        <v>20 February 2025 - 19 March 2025</v>
      </c>
      <c r="J14" s="246">
        <f>'January 2025 - March 2025'!E168</f>
        <v>361.199999999998</v>
      </c>
      <c r="M14" s="247" t="str">
        <f>IF(Main!B2,TEXT(EDATE(Main!B3,30),"dd mmmm yyyy"),TEXT(Main!B3+((Main!B5-Main!B3)*30+30),"dd mmmm yyyy"))&amp;" - "&amp;IF(Main!B2,TEXT(EDATE(Main!B3,33)-1,"dd mmmm yyyy"),TEXT(Main!B3+((Main!B5-Main!B3)*33+32),"dd mmmm yyyy"))</f>
        <v>20 October 2026 - 19 January 2027</v>
      </c>
      <c r="N14" s="250">
        <f ca="1">'October 2026 - December 2026'!C5</f>
        <v>0</v>
      </c>
    </row>
    <row r="15" ht="35.25" customHeight="1" spans="1:14">
      <c r="A15" s="209"/>
      <c r="B15" s="210" t="s">
        <v>45</v>
      </c>
      <c r="C15" s="211">
        <v>12.9</v>
      </c>
      <c r="D15" s="213"/>
      <c r="E15" s="239" t="s">
        <v>45</v>
      </c>
      <c r="F15" s="237">
        <v>18.9</v>
      </c>
      <c r="I15" s="249" t="str">
        <f>IF(Main!B2,TEXT(EDATE(Main!B3,11),"dd mmmm yyyy"),TEXT(Main!B3+((Main!B5-Main!B3)*11)+11,"dd mmmm yyyy"))&amp;" - "&amp;IF(Main!B2,TEXT(EDATE(Main!B3,12)-1,"dd mmmm yyyy"),TEXT(Main!B3+((Main!B5-Main!B3)*12+11),"dd mmmm yyyy"))</f>
        <v>20 March 2025 - 19 April 2025</v>
      </c>
      <c r="J15" s="250">
        <f>'January 2025 - March 2025'!E195</f>
        <v>775.199999999998</v>
      </c>
      <c r="M15" s="247" t="str">
        <f>IF(Main!B2,TEXT(EDATE(Main!B3,33),"dd mmmm yyyy"),TEXT(Main!B3+((Main!B5-Main!B3)*33+33),"dd mmmm yyyy"))&amp;" - "&amp;IF(Main!B2,TEXT(EDATE(Main!B3,36)-1,"dd mmmm yyyy"),TEXT(Main!B3+((Main!B5-Main!B3)*36+35),"dd mmmm yyyy"))</f>
        <v>20 January 2027 - 19 April 2027</v>
      </c>
      <c r="N15" s="250">
        <f ca="1">'January 2027 - March 2027'!C5</f>
        <v>0</v>
      </c>
    </row>
    <row r="16" ht="35.25" customHeight="1" spans="1:14">
      <c r="A16" s="209"/>
      <c r="B16" s="214" t="s">
        <v>46</v>
      </c>
      <c r="C16" s="211">
        <v>0</v>
      </c>
      <c r="D16" s="213"/>
      <c r="E16" s="239" t="s">
        <v>46</v>
      </c>
      <c r="F16" s="237">
        <v>0</v>
      </c>
      <c r="I16" s="251" t="str">
        <f>IF(Main!B2,TEXT(EDATE(Main!B3,12),"dd mmmm yyyy"),TEXT(Main!B3+((Main!B5-Main!B3)*12)+12,"dd mmmm yyyy"))&amp;" - "&amp;IF(Main!B2,TEXT(EDATE(Main!B3,13)-1,"dd mmmm yyyy"),TEXT(Main!B3+((Main!B5-Main!B3)*13+12),"dd mmmm yyyy"))</f>
        <v>20 April 2025 - 19 May 2025</v>
      </c>
      <c r="J16" s="250">
        <f>'April 2025 - June 2025'!E136</f>
        <v>864.199999999998</v>
      </c>
      <c r="M16" s="247" t="str">
        <f>IF(Main!B2,TEXT(EDATE(Main!B3,36),"dd mmmm yyyy"),TEXT(Main!B3+((Main!B5-Main!B3)*36+36),"dd mmmm yyyy"))&amp;" - "&amp;IF(Main!B2,TEXT(EDATE(Main!B3,39)-1,"dd mmmm yyyy"),TEXT(Main!B3+((Main!B5-Main!B3)*39+38),"dd mmmm yyyy"))</f>
        <v>20 April 2027 - 19 July 2027</v>
      </c>
      <c r="N16" s="250">
        <f ca="1">'April 2027 - June 2027'!C5</f>
        <v>0</v>
      </c>
    </row>
    <row r="17" ht="35.25" customHeight="1" spans="1:14">
      <c r="A17" s="215"/>
      <c r="B17" s="216" t="s">
        <v>47</v>
      </c>
      <c r="C17" s="217">
        <f>SUM(C4:C16)</f>
        <v>361.2</v>
      </c>
      <c r="D17" s="218"/>
      <c r="E17" s="216" t="s">
        <v>47</v>
      </c>
      <c r="F17" s="240">
        <f>SUM(F4:F16)</f>
        <v>441.2</v>
      </c>
      <c r="I17" s="251" t="str">
        <f>IF(Main!B2,TEXT(EDATE(Main!B3,13),"dd mmmm yyyy"),TEXT(Main!B3+((Main!B5-Main!B3)*13)+13,"dd mmmm yyyy"))&amp;" - "&amp;IF(Main!B2,TEXT(EDATE(Main!B3,14)-1,"dd mmmm yyyy"),TEXT(Main!B3+((Main!B5-Main!B3)*14+13),"dd mmmm yyyy"))</f>
        <v>20 May 2025 - 19 June 2025</v>
      </c>
      <c r="J17" s="250">
        <f>'April 2025 - June 2025'!E163</f>
        <v>944.199999999998</v>
      </c>
      <c r="M17" s="247" t="str">
        <f>IF(Main!B2,TEXT(EDATE(Main!B3,39),"dd mmmm yyyy"),TEXT(Main!B3+((Main!B5-Main!B3)*39+39),"dd mmmm yyyy"))&amp;" - "&amp;IF(Main!B2,TEXT(EDATE(Main!B3,42)-1,"dd mmmm yyyy"),TEXT(Main!B3+((Main!B5-Main!B3)*42+41),"dd mmmm yyyy"))</f>
        <v>20 July 2027 - 19 October 2027</v>
      </c>
      <c r="N17" s="250">
        <f ca="1">Forecast_14!C5</f>
        <v>0</v>
      </c>
    </row>
    <row r="18" ht="35.25" customHeight="1" spans="9:14">
      <c r="I18" s="251" t="str">
        <f>IF(Main!B2,TEXT(EDATE(Main!B3,14),"dd mmmm yyyy"),TEXT(Main!B3+((Main!B5-Main!B3)*14)+14,"dd mmmm yyyy"))&amp;" - "&amp;IF(Main!B2,TEXT(EDATE(Main!B3,15)-1,"dd mmmm yyyy"),TEXT(Main!B3+((Main!B5-Main!B3)*15+14),"dd mmmm yyyy"))</f>
        <v>20 June 2025 - 19 July 2025</v>
      </c>
      <c r="J18" s="250">
        <f>'April 2025 - June 2025'!E190</f>
        <v>1108.5</v>
      </c>
      <c r="M18" s="247" t="str">
        <f>IF(Main!B2,TEXT(EDATE(Main!B3,42),"dd mmmm yyyy"),TEXT(Main!B3+((Main!B5-Main!B3)*42+42),"dd mmmm yyyy"))&amp;" - "&amp;IF(Main!B2,TEXT(EDATE(Main!B3,45)-1,"dd mmmm yyyy"),TEXT(Main!B3+((Main!B5-Main!B3)*45+44),"dd mmmm yyyy"))</f>
        <v>20 October 2027 - 19 January 2028</v>
      </c>
      <c r="N18" s="250">
        <f ca="1">Forecast_15!C5</f>
        <v>0</v>
      </c>
    </row>
    <row r="19" ht="35.25" customHeight="1" spans="9:14">
      <c r="I19" s="251" t="str">
        <f>IF(Main!B2,TEXT(EDATE(Main!B3,15),"dd mmmm yyyy"),TEXT(Main!B3+((Main!B5-Main!B3)*15)+15,"dd mmmm yyyy"))&amp;" - "&amp;IF(Main!B2,TEXT(EDATE(Main!B3,16)-1,"dd mmmm yyyy"),TEXT(Main!B3+((Main!B5-Main!B3)*16+15),"dd mmmm yyyy"))</f>
        <v>20 July 2025 - 19 August 2025</v>
      </c>
      <c r="J19" s="250">
        <f>'July 2025 - September 2025'!E136</f>
        <v>1203.5</v>
      </c>
      <c r="M19" s="247" t="str">
        <f>IF(Main!B2,TEXT(EDATE(Main!B3,45),"dd mmmm yyyy"),TEXT(Main!B3+((Main!B5-Main!B3)*45+45),"dd mmmm yyyy"))&amp;" - "&amp;IF(Main!B2,TEXT(EDATE(Main!B3,48)-1,"dd mmmm yyyy"),TEXT(Main!B3+((Main!B5-Main!B3)*48+47),"dd mmmm yyyy"))</f>
        <v>20 January 2028 - 19 April 2028</v>
      </c>
      <c r="N19" s="246">
        <f ca="1">Forecast_16!C5</f>
        <v>0</v>
      </c>
    </row>
    <row r="20" ht="33" customHeight="1" spans="9:10">
      <c r="I20" s="252" t="str">
        <f>IF(Main!B2,TEXT(EDATE(Main!B3,16),"dd mmmm yyyy"),TEXT(Main!B3+((Main!B5-Main!B3)*16)+16,"dd mmmm yyyy"))&amp;" - "&amp;IF(Main!B2,TEXT(EDATE(Main!B3,17)-1,"dd mmmm yyyy"),TEXT(Main!B3+((Main!B5-Main!B3)*17+16),"dd mmmm yyyy"))</f>
        <v>20 August 2025 - 19 September 2025</v>
      </c>
      <c r="J20" s="250">
        <f>'July 2025 - September 2025'!E163</f>
        <v>1342.5</v>
      </c>
    </row>
    <row r="21" ht="35.25" customHeight="1" spans="9:10">
      <c r="I21" s="253" t="str">
        <f>IF(Main!B2,TEXT(EDATE(Main!B3,17),"dd mmmm yyyy"),TEXT(Main!B3+((Main!B5-Main!B3)*17)+17,"dd mmmm yyyy"))&amp;" - "&amp;IF(Main!B2,TEXT(EDATE(Main!B3,18)-1,"dd mmmm yyyy"),TEXT(Main!B3+((Main!B5-Main!B3)*18+17),"dd mmmm yyyy"))</f>
        <v>20 September 2025 - 19 October 2025</v>
      </c>
      <c r="J21" s="250">
        <f>'July 2025 - September 2025'!E190</f>
        <v>1354.5</v>
      </c>
    </row>
    <row r="22" ht="35.25" customHeight="1" spans="9:10">
      <c r="I22" s="251" t="str">
        <f>IF(Main!B2,TEXT(EDATE(Main!B3,18),"dd mmmm yyyy"),TEXT(Main!B3+((Main!B5-Main!B3)*18)+18,"dd mmmm yyyy"))&amp;" - "&amp;IF(Main!B2,TEXT(EDATE(Main!B3,19)-1,"dd mmmm yyyy"),TEXT(Main!B3+((Main!B5-Main!B3)*19+18),"dd mmmm yyyy"))</f>
        <v>20 October 2025 - 19 November 2025</v>
      </c>
      <c r="J22" s="250">
        <f>'October 2025 - December 2025'!E136</f>
        <v>2943.5</v>
      </c>
    </row>
    <row r="23" ht="24.75" customHeight="1" spans="1:10">
      <c r="A23" s="15" t="str">
        <f>TEXT(Main!B3,"dd mmmm yyyy")&amp;" - "&amp;IF(Main!B2,TEXT(EDATE(Main!B3,1)-1,"dd mmmm yyyy"),TEXT(Main!B3+Main!B5-Main!B3,"dd mmmm yyyy"))&amp;" / "&amp;" (Revenue / Deferred Debts Or Expenses)"</f>
        <v>20 April 2024 - 19 May 2024 /  (Revenue / Deferred Debts Or Expenses)</v>
      </c>
      <c r="B23" s="16"/>
      <c r="C23" s="16"/>
      <c r="D23" s="16"/>
      <c r="E23" s="16"/>
      <c r="F23" s="16"/>
      <c r="G23" s="16"/>
      <c r="I23" s="251" t="str">
        <f>IF(Main!B2,TEXT(EDATE(Main!B3,19),"dd mmmm yyyy"),TEXT(Main!B3+((Main!B5-Main!B3)*19)+19,"dd mmmm yyyy"))&amp;" - "&amp;IF(Main!B2,TEXT(EDATE(Main!B3,20)-1,"dd mmmm yyyy"),TEXT(Main!B3+((Main!B5-Main!B3)*20+19),"dd mmmm yyyy"))</f>
        <v>20 November 2025 - 19 December 2025</v>
      </c>
      <c r="J23" s="250">
        <f>'October 2025 - December 2025'!E163</f>
        <v>4588.5</v>
      </c>
    </row>
    <row r="24" ht="24.75" customHeight="1" spans="1:10">
      <c r="A24" s="17" t="s">
        <v>29</v>
      </c>
      <c r="B24" s="17" t="s">
        <v>48</v>
      </c>
      <c r="C24" s="17"/>
      <c r="D24" s="18" t="s">
        <v>49</v>
      </c>
      <c r="E24" s="18"/>
      <c r="F24" s="18" t="s">
        <v>50</v>
      </c>
      <c r="G24" s="18"/>
      <c r="I24" s="251" t="str">
        <f>IF(Main!B2,TEXT(EDATE(Main!B3,20),"dd mmmm yyyy"),TEXT(Main!B3+((Main!B5-Main!B3)*20)+20,"dd mmmm yyyy"))&amp;" - "&amp;IF(Main!B2,TEXT(EDATE(Main!B3,21)-1,"dd mmmm yyyy"),TEXT(Main!B3+((Main!B5-Main!B3)*21+20),"dd mmmm yyyy"))</f>
        <v>20 December 2025 - 19 January 2026</v>
      </c>
      <c r="J24" s="250">
        <f>'October 2025 - December 2025'!E190</f>
        <v>6277.8</v>
      </c>
    </row>
    <row r="25" ht="34.5" customHeight="1" spans="1:10">
      <c r="A25" s="19" t="s">
        <v>51</v>
      </c>
      <c r="B25" s="219" t="s">
        <v>52</v>
      </c>
      <c r="C25" s="20"/>
      <c r="D25" s="20" t="s">
        <v>53</v>
      </c>
      <c r="E25" s="20"/>
      <c r="F25" s="44">
        <v>2405</v>
      </c>
      <c r="G25" s="45"/>
      <c r="I25" s="251" t="str">
        <f>IF(Main!B2,TEXT(EDATE(Main!B3,21),"dd mmmm yyyy"),TEXT(Main!B3+((Main!B5-Main!B3)*21)+21,"dd mmmm yyyy"))&amp;" - "&amp;IF(Main!B2,TEXT(EDATE(Main!B3,22)-1,"dd mmmm yyyy"),TEXT(Main!B3+((Main!B5-Main!B3)*22+21),"dd mmmm yyyy"))</f>
        <v>20 January 2026 - 19 February 2026</v>
      </c>
      <c r="J25" s="250">
        <f>'January 2026 - March 2026'!E136</f>
        <v>7972.8</v>
      </c>
    </row>
    <row r="26" ht="30" customHeight="1" spans="1:10">
      <c r="A26" s="19"/>
      <c r="B26" s="220"/>
      <c r="C26" s="221"/>
      <c r="D26" s="23"/>
      <c r="E26" s="46"/>
      <c r="F26" s="44">
        <v>0</v>
      </c>
      <c r="G26" s="45"/>
      <c r="I26" s="251" t="str">
        <f>IF(Main!B2,TEXT(EDATE(Main!B3,22),"dd mmmm yyyy"),TEXT(Main!B3+((Main!B5-Main!B3)*22)+22,"dd mmmm yyyy"))&amp;" - "&amp;IF(Main!B2,TEXT(EDATE(Main!B3,23)-1,"dd mmmm yyyy"),TEXT(Main!B3+((Main!B5-Main!B3)*23+22),"dd mmmm yyyy"))</f>
        <v>20 February 2026 - 19 March 2026</v>
      </c>
      <c r="J26" s="250">
        <f>'January 2026 - March 2026'!E163</f>
        <v>9511.8</v>
      </c>
    </row>
    <row r="27" ht="30" customHeight="1" spans="1:10">
      <c r="A27" s="19"/>
      <c r="B27" s="21"/>
      <c r="C27" s="22"/>
      <c r="D27" s="23"/>
      <c r="E27" s="46"/>
      <c r="F27" s="44">
        <v>0</v>
      </c>
      <c r="G27" s="45"/>
      <c r="I27" s="249" t="str">
        <f>IF(Main!B2,TEXT(EDATE(Main!B3,23),"dd mmmm yyyy"),TEXT(Main!B3+((Main!B5-Main!B3)*23)+23,"dd mmmm yyyy"))&amp;" - "&amp;IF(Main!B2,TEXT(EDATE(Main!B3,24)-1,"dd mmmm yyyy"),TEXT(Main!B3+((Main!B5-Main!B3)*24+23),"dd mmmm yyyy"))</f>
        <v>20 March 2026 - 19 April 2026</v>
      </c>
      <c r="J27" s="250">
        <f>'January 2026 - March 2026'!E190</f>
        <v>11206.8</v>
      </c>
    </row>
    <row r="28" ht="30" customHeight="1" spans="1:10">
      <c r="A28" s="19"/>
      <c r="B28" s="21"/>
      <c r="C28" s="22"/>
      <c r="D28" s="23"/>
      <c r="E28" s="46"/>
      <c r="F28" s="44">
        <v>0</v>
      </c>
      <c r="G28" s="45"/>
      <c r="I28" s="251" t="str">
        <f>IF(Main!B2,TEXT(EDATE(Main!B3,24),"dd mmmm yyyy"),TEXT(Main!B3+((Main!B5-Main!B3)*24)+24,"dd mmmm yyyy"))&amp;" - "&amp;IF(Main!B2,TEXT(EDATE(Main!B3,25)-1,"dd mmmm yyyy"),TEXT(Main!B3+((Main!B5-Main!B3)*25+24),"dd mmmm yyyy"))</f>
        <v>20 April 2026 - 19 May 2026</v>
      </c>
      <c r="J28" s="250">
        <f>'April 2026 - June 2026'!E136</f>
        <v>12795.8</v>
      </c>
    </row>
    <row r="29" ht="30" customHeight="1" spans="1:10">
      <c r="A29" s="19"/>
      <c r="B29" s="21"/>
      <c r="C29" s="22"/>
      <c r="D29" s="23"/>
      <c r="E29" s="46"/>
      <c r="F29" s="44">
        <v>0</v>
      </c>
      <c r="G29" s="45"/>
      <c r="I29" s="251" t="str">
        <f>IF(Main!B2,TEXT(EDATE(Main!B3,25),"dd mmmm yyyy"),TEXT(Main!B3+((Main!B5-Main!B3)*25)+25,"dd mmmm yyyy"))&amp;" - "&amp;IF(Main!B2,TEXT(EDATE(Main!B3,26)-1,"dd mmmm yyyy"),TEXT(Main!B3+((Main!B5-Main!B3)*26+25),"dd mmmm yyyy"))</f>
        <v>20 May 2026 - 19 June 2026</v>
      </c>
      <c r="J29" s="250">
        <f>'April 2026 - June 2026'!E163</f>
        <v>14440.8</v>
      </c>
    </row>
    <row r="30" ht="30" customHeight="1" spans="1:10">
      <c r="A30" s="19"/>
      <c r="B30" s="21"/>
      <c r="C30" s="22"/>
      <c r="D30" s="23"/>
      <c r="E30" s="46"/>
      <c r="F30" s="44">
        <v>0</v>
      </c>
      <c r="G30" s="45"/>
      <c r="I30" s="247" t="str">
        <f>IF(Main!B2,TEXT(EDATE(Main!B3,26),"dd mmmm yyyy"),TEXT(Main!B3+((Main!B5-Main!B3)*26)+26,"dd mmmm yyyy"))&amp;" - "&amp;IF(Main!B2,TEXT(EDATE(Main!B3,27)-1,"dd mmmm yyyy"),TEXT(Main!B3+((Main!B5-Main!B3)*27+26),"dd mmmm yyyy"))</f>
        <v>20 June 2026 - 19 July 2026</v>
      </c>
      <c r="J30" s="246">
        <f>'April 2026 - June 2026'!E190</f>
        <v>16029.8</v>
      </c>
    </row>
    <row r="31" ht="30" customHeight="1" spans="1:10">
      <c r="A31" s="222"/>
      <c r="B31" s="223"/>
      <c r="C31" s="224"/>
      <c r="D31" s="27" t="s">
        <v>54</v>
      </c>
      <c r="E31" s="47"/>
      <c r="F31" s="48">
        <f>SUM(F25:G30)</f>
        <v>2405</v>
      </c>
      <c r="G31" s="49"/>
      <c r="I31" s="251" t="str">
        <f>IF(Main!B2,TEXT(EDATE(Main!B3,27),"dd mmmm yyyy"),TEXT(Main!B3+((Main!B5-Main!B3)*27)+27,"dd mmmm yyyy"))&amp;" - "&amp;IF(Main!B2,TEXT(EDATE(Main!B3,28)-1,"dd mmmm yyyy"),TEXT(Main!B3+((Main!B5-Main!B3)*28+27),"dd mmmm yyyy"))</f>
        <v>20 July 2026 - 19 August 2026</v>
      </c>
      <c r="J31" s="254">
        <f>'July 2026 - September 2026'!E136</f>
        <v>17724.8</v>
      </c>
    </row>
    <row r="32" ht="30" customHeight="1" spans="9:10">
      <c r="I32" s="251" t="str">
        <f>IF(Main!B2,TEXT(EDATE(Main!B3,28),"dd mmmm yyyy"),TEXT(Main!B3+((Main!B5-Main!B3)*28)+28,"dd mmmm yyyy"))&amp;" - "&amp;IF(Main!B2,TEXT(EDATE(Main!B3,29)-1,"dd mmmm yyyy"),TEXT(Main!B3+((Main!B5-Main!B3)*29+28),"dd mmmm yyyy"))</f>
        <v>20 August 2026 - 19 September 2026</v>
      </c>
      <c r="J32" s="250">
        <f>'July 2026 - September 2026'!E163</f>
        <v>19263.8</v>
      </c>
    </row>
    <row r="33" ht="27.75" customHeight="1" spans="9:10">
      <c r="I33" s="251" t="str">
        <f>IF(Main!B2,TEXT(EDATE(Main!B3,29),"dd mmmm yyyy"),TEXT(Main!B3+((Main!B5-Main!B3)*29)+29,"dd mmmm yyyy"))&amp;" - "&amp;IF(Main!B2,TEXT(EDATE(Main!B3,30)-1,"dd mmmm yyyy"),TEXT(Main!B3+((Main!B5-Main!B3)*30+29),"dd mmmm yyyy"))</f>
        <v>20 September 2026 - 19 October 2026</v>
      </c>
      <c r="J33" s="250">
        <f>'July 2026 - September 2026'!E190</f>
        <v>20958.8</v>
      </c>
    </row>
    <row r="34" ht="30" customHeight="1" spans="9:10">
      <c r="I34" s="251" t="str">
        <f>IF(Main!B2,TEXT(EDATE(Main!B3,30),"dd mmmm yyyy"),TEXT(Main!B3+((Main!B5-Main!B3)*30)+30,"dd mmmm yyyy"))&amp;" - "&amp;IF(Main!B2,TEXT(EDATE(Main!B3,31)-1,"dd mmmm yyyy"),TEXT(Main!B3+((Main!B5-Main!B3)*31+30),"dd mmmm yyyy"))</f>
        <v>20 October 2026 - 19 November 2026</v>
      </c>
      <c r="J34" s="250">
        <f>'October 2026 - December 2026'!E136</f>
        <v>22547.8</v>
      </c>
    </row>
    <row r="35" ht="30" customHeight="1" spans="1:10">
      <c r="A35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May 2024 - 19 June 2024 (Revenue / Deferred Debts Or Expenses)</v>
      </c>
      <c r="B35" s="16"/>
      <c r="C35" s="16"/>
      <c r="D35" s="16"/>
      <c r="E35" s="16"/>
      <c r="F35" s="16"/>
      <c r="G35" s="16"/>
      <c r="I35" s="251" t="str">
        <f>IF(Main!B2,TEXT(EDATE(Main!B3,31),"dd mmmm yyyy"),TEXT(Main!B3+((Main!B5-Main!B3)*31)+31,"dd mmmm yyyy"))&amp;" - "&amp;IF(Main!B2,TEXT(EDATE(Main!B3,32)-1,"dd mmmm yyyy"),TEXT(Main!B3+((Main!B5-Main!B3)*32+31),"dd mmmm yyyy"))</f>
        <v>20 November 2026 - 19 December 2026</v>
      </c>
      <c r="J35" s="250">
        <f>'October 2026 - December 2026'!E163</f>
        <v>24192.8</v>
      </c>
    </row>
    <row r="36" ht="24.75" customHeight="1" spans="1:10">
      <c r="A36" s="17" t="s">
        <v>29</v>
      </c>
      <c r="B36" s="17" t="s">
        <v>48</v>
      </c>
      <c r="C36" s="17"/>
      <c r="D36" s="18" t="s">
        <v>49</v>
      </c>
      <c r="E36" s="18"/>
      <c r="F36" s="18" t="s">
        <v>50</v>
      </c>
      <c r="G36" s="18"/>
      <c r="I36" s="251" t="str">
        <f>IF(Main!B2,TEXT(EDATE(Main!B3,32),"dd mmmm yyyy"),TEXT(Main!B3+((Main!B5-Main!B3)*32)+32,"dd mmmm yyyy"))&amp;" - "&amp;IF(Main!B2,TEXT(EDATE(Main!B3,33)-1,"dd mmmm yyyy"),TEXT(Main!B3+((Main!B5-Main!B3)*33+32),"dd mmmm yyyy"))</f>
        <v>20 December 2026 - 19 January 2027</v>
      </c>
      <c r="J36" s="250">
        <f>'October 2026 - December 2026'!E190</f>
        <v>25781.8</v>
      </c>
    </row>
    <row r="37" ht="24.75" customHeight="1" spans="1:10">
      <c r="A37" s="19" t="s">
        <v>55</v>
      </c>
      <c r="B37" s="21" t="s">
        <v>52</v>
      </c>
      <c r="C37" s="22"/>
      <c r="D37" s="21" t="s">
        <v>53</v>
      </c>
      <c r="E37" s="22"/>
      <c r="F37" s="44">
        <v>2405</v>
      </c>
      <c r="G37" s="45"/>
      <c r="I37" s="251" t="str">
        <f>IF(Main!B2,TEXT(EDATE(Main!B3,33),"dd mmmm yyyy"),TEXT(Main!B3+((Main!B5-Main!B3)*33)+33,"dd mmmm yyyy"))&amp;" - "&amp;IF(Main!B2,TEXT(EDATE(Main!B3,34)-1,"dd mmmm yyyy"),TEXT(Main!B3+((Main!B5-Main!B3)*34+33),"dd mmmm yyyy"))</f>
        <v>20 January 2027 - 19 February 2027</v>
      </c>
      <c r="J37" s="250">
        <f>'January 2027 - March 2027'!E136</f>
        <v>27476.8</v>
      </c>
    </row>
    <row r="38" ht="24.75" customHeight="1" spans="1:10">
      <c r="A38" s="19" t="s">
        <v>56</v>
      </c>
      <c r="B38" s="21" t="s">
        <v>52</v>
      </c>
      <c r="C38" s="22"/>
      <c r="D38" s="128" t="s">
        <v>57</v>
      </c>
      <c r="E38" s="128"/>
      <c r="F38" s="44">
        <v>1035</v>
      </c>
      <c r="G38" s="45"/>
      <c r="I38" s="251" t="str">
        <f>IF(Main!B2,TEXT(EDATE(Main!B3,34),"dd mmmm yyyy"),TEXT(Main!B3+((Main!B5-Main!B3)*34)+34,"dd mmmm yyyy"))&amp;" - "&amp;IF(Main!B2,TEXT(EDATE(Main!B3,35)-1,"dd mmmm yyyy"),TEXT(Main!B3+((Main!B5-Main!B3)*35+34),"dd mmmm yyyy"))</f>
        <v>20 February 2027 - 19 March 2027</v>
      </c>
      <c r="J38" s="250">
        <f>'January 2027 - March 2027'!E163</f>
        <v>29015.8</v>
      </c>
    </row>
    <row r="39" ht="20.25" customHeight="1" spans="1:10">
      <c r="A39" s="19" t="s">
        <v>58</v>
      </c>
      <c r="B39" s="225" t="s">
        <v>59</v>
      </c>
      <c r="C39" s="22"/>
      <c r="D39" s="21" t="s">
        <v>60</v>
      </c>
      <c r="E39" s="22"/>
      <c r="F39" s="44">
        <v>50</v>
      </c>
      <c r="G39" s="45"/>
      <c r="I39" s="251" t="str">
        <f>IF(Main!B2,TEXT(EDATE(Main!B3,35),"dd mmmm yyyy"),TEXT(Main!B3+((Main!B5-Main!B3)*35)+35,"dd mmmm yyyy"))&amp;" - "&amp;IF(Main!B2,TEXT(EDATE(Main!B3,36)-1,"dd mmmm yyyy"),TEXT(Main!B3+((Main!B5-Main!B3)*36+35),"dd mmmm yyyy"))</f>
        <v>20 March 2027 - 19 April 2027</v>
      </c>
      <c r="J39" s="250">
        <f>'January 2027 - March 2027'!E190</f>
        <v>30710.8</v>
      </c>
    </row>
    <row r="40" ht="24.75" customHeight="1" spans="1:10">
      <c r="A40" s="19"/>
      <c r="B40" s="21"/>
      <c r="C40" s="22"/>
      <c r="D40" s="23"/>
      <c r="E40" s="46"/>
      <c r="F40" s="44">
        <v>0</v>
      </c>
      <c r="G40" s="45"/>
      <c r="I40" s="251" t="str">
        <f>IF(Main!B2,TEXT(EDATE(Main!B3,36),"dd mmmm yyyy"),TEXT(Main!B3+((Main!B5-Main!B3)*36)+36,"dd mmmm yyyy"))&amp;" - "&amp;IF(Main!B2,TEXT(EDATE(Main!B3,37)-1,"dd mmmm yyyy"),TEXT(Main!B3+((Main!B5-Main!B3)*37+36),"dd mmmm yyyy"))</f>
        <v>20 April 2027 - 19 May 2027</v>
      </c>
      <c r="J40" s="250">
        <f>'April 2027 - June 2027'!E136</f>
        <v>32299.8</v>
      </c>
    </row>
    <row r="41" ht="24.75" customHeight="1" spans="1:10">
      <c r="A41" s="19"/>
      <c r="B41" s="21"/>
      <c r="C41" s="22"/>
      <c r="D41" s="23"/>
      <c r="E41" s="46"/>
      <c r="F41" s="44">
        <v>0</v>
      </c>
      <c r="G41" s="45"/>
      <c r="I41" s="253" t="str">
        <f>IF(Main!B2,TEXT(EDATE(Main!B3,37),"dd mmmm yyyy"),TEXT(Main!B3+((Main!B5-Main!B3)*37)+37,"dd mmmm yyyy"))&amp;" - "&amp;IF(Main!B2,TEXT(EDATE(Main!B3,38)-1,"dd mmmm yyyy"),TEXT(Main!B3+((Main!B5-Main!B3)*38+37),"dd mmmm yyyy"))</f>
        <v>20 May 2027 - 19 June 2027</v>
      </c>
      <c r="J41" s="250">
        <f>'April 2027 - June 2027'!E163</f>
        <v>33944.8</v>
      </c>
    </row>
    <row r="42" ht="24.75" customHeight="1" spans="1:10">
      <c r="A42" s="19"/>
      <c r="B42" s="21"/>
      <c r="C42" s="22"/>
      <c r="D42" s="23"/>
      <c r="E42" s="46"/>
      <c r="F42" s="44">
        <v>0</v>
      </c>
      <c r="G42" s="45"/>
      <c r="I42" s="247" t="str">
        <f>IF(Main!B2,TEXT(EDATE(Main!B3,38),"dd mmmm yyyy"),TEXT(Main!B3+((Main!B5-Main!B3)*38)+38,"dd mmmm yyyy"))&amp;" - "&amp;IF(Main!B2,TEXT(EDATE(Main!B3,39)-1,"dd mmmm yyyy"),TEXT(Main!B3+((Main!B5-Main!B3)*39+38),"dd mmmm yyyy"))</f>
        <v>20 June 2027 - 19 July 2027</v>
      </c>
      <c r="J42" s="250">
        <f>'April 2027 - June 2027'!E190</f>
        <v>35533.8</v>
      </c>
    </row>
    <row r="43" ht="24.75" customHeight="1" spans="1:10">
      <c r="A43" s="222"/>
      <c r="B43" s="223"/>
      <c r="C43" s="224"/>
      <c r="D43" s="27" t="s">
        <v>54</v>
      </c>
      <c r="E43" s="47"/>
      <c r="F43" s="48">
        <f>SUM(F37:G42)</f>
        <v>3490</v>
      </c>
      <c r="G43" s="49"/>
      <c r="I43" s="247" t="str">
        <f>IF(Main!B2,TEXT(EDATE(Main!B3,39),"dd mmmm yyyy"),TEXT(Main!B3+((Main!B5-Main!B3)*39)+39,"dd mmmm yyyy"))&amp;" - "&amp;IF(Main!B2,TEXT(EDATE(Main!B3,40)-1,"dd mmmm yyyy"),TEXT(Main!B3+((Main!B5-Main!B3)*40+39),"dd mmmm yyyy"))</f>
        <v>20 July 2027 - 19 August 2027</v>
      </c>
      <c r="J43" s="250">
        <f>Forecast_14!E136</f>
        <v>35533.8</v>
      </c>
    </row>
    <row r="44" ht="24.75" customHeight="1" spans="9:10">
      <c r="I44" s="247" t="str">
        <f>IF(Main!B2,TEXT(EDATE(Main!B3,40),"dd mmmm yyyy"),TEXT(Main!B3+((Main!B5-Main!B3)*40)+40,"dd mmmm yyyy"))&amp;" - "&amp;IF(Main!B2,TEXT(EDATE(Main!B3,41)-1,"dd mmmm yyyy"),TEXT(Main!B3+((Main!B5-Main!B3)*41+40),"dd mmmm yyyy"))</f>
        <v>20 August 2027 - 19 September 2027</v>
      </c>
      <c r="J44" s="250">
        <f>Forecast_14!E163</f>
        <v>35533.8</v>
      </c>
    </row>
    <row r="45" ht="24.75" customHeight="1" spans="9:10">
      <c r="I45" s="247" t="str">
        <f>IF(Main!B2,TEXT(EDATE(Main!B3,41),"dd mmmm yyyy"),TEXT(Main!B3+((Main!B5-Main!B3)*41)+41,"dd mmmm yyyy"))&amp;" - "&amp;IF(Main!B2,TEXT(EDATE(Main!B3,42)-1,"dd mmmm yyyy"),TEXT(Main!B3+((Main!B5-Main!B3)*42+41),"dd mmmm yyyy"))</f>
        <v>20 September 2027 - 19 October 2027</v>
      </c>
      <c r="J45" s="250">
        <f>Forecast_14!E190</f>
        <v>35533.8</v>
      </c>
    </row>
    <row r="46" ht="24.75" customHeight="1" spans="9:10">
      <c r="I46" s="247" t="str">
        <f>IF(Main!B2,TEXT(EDATE(Main!B3,42),"dd mmmm yyyy"),TEXT(Main!B3+((Main!B5-Main!B3)*42)+42,"dd mmmm yyyy"))&amp;" - "&amp;IF(Main!B2,TEXT(EDATE(Main!B3,43)-1,"dd mmmm yyyy"),TEXT(Main!B3+((Main!B5-Main!B3)*43+42),"dd mmmm yyyy"))</f>
        <v>20 October 2027 - 19 November 2027</v>
      </c>
      <c r="J46" s="250">
        <f>Forecast_15!E136</f>
        <v>35533.8</v>
      </c>
    </row>
    <row r="47" ht="24.75" customHeight="1" spans="1:10">
      <c r="A47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June 2024 - 19 July 2024 (Revenue / Deferred Debts Or Expenses)</v>
      </c>
      <c r="B47" s="16"/>
      <c r="C47" s="16"/>
      <c r="D47" s="16"/>
      <c r="E47" s="16"/>
      <c r="F47" s="16"/>
      <c r="G47" s="16"/>
      <c r="I47" s="247" t="str">
        <f>IF(Main!B2,TEXT(EDATE(Main!B3,43),"dd mmmm yyyy"),TEXT(Main!B3+((Main!B5-Main!B3)*43)+43,"dd mmmm yyyy"))&amp;" - "&amp;IF(Main!B2,TEXT(EDATE(Main!B3,44)-1,"dd mmmm yyyy"),TEXT(Main!B3+((Main!B5-Main!B3)*44+43),"dd mmmm yyyy"))</f>
        <v>20 November 2027 - 19 December 2027</v>
      </c>
      <c r="J47" s="250">
        <f>Forecast_15!E163</f>
        <v>35533.8</v>
      </c>
    </row>
    <row r="48" ht="24.75" customHeight="1" spans="1:10">
      <c r="A48" s="17" t="s">
        <v>29</v>
      </c>
      <c r="B48" s="17" t="s">
        <v>48</v>
      </c>
      <c r="C48" s="17"/>
      <c r="D48" s="18" t="s">
        <v>49</v>
      </c>
      <c r="E48" s="18"/>
      <c r="F48" s="18" t="s">
        <v>50</v>
      </c>
      <c r="G48" s="18"/>
      <c r="I48" s="247" t="str">
        <f>IF(Main!B2,TEXT(EDATE(Main!B3,44),"dd mmmm yyyy"),TEXT(Main!B3+((Main!B5-Main!B3)*44)+44,"dd mmmm yyyy"))&amp;" - "&amp;IF(Main!B2,TEXT(EDATE(Main!B3,45)-1,"dd mmmm yyyy"),TEXT(Main!B3+((Main!B5-Main!B3)*45+44),"dd mmmm yyyy"))</f>
        <v>20 December 2027 - 19 January 2028</v>
      </c>
      <c r="J48" s="250">
        <f>Forecast_15!E190</f>
        <v>35533.8</v>
      </c>
    </row>
    <row r="49" ht="24.75" customHeight="1" spans="1:10">
      <c r="A49" s="98" t="s">
        <v>61</v>
      </c>
      <c r="B49" s="99" t="s">
        <v>62</v>
      </c>
      <c r="C49" s="99"/>
      <c r="D49" s="226" t="s">
        <v>63</v>
      </c>
      <c r="E49" s="226"/>
      <c r="F49" s="241">
        <v>150</v>
      </c>
      <c r="G49" s="45"/>
      <c r="I49" s="247" t="str">
        <f>IF(Main!B2,TEXT(EDATE(Main!B3,45),"dd mmmm yyyy"),TEXT(Main!B3+((Main!B5-Main!B3)*45)+45,"dd mmmm yyyy"))&amp;" - "&amp;IF(Main!B2,TEXT(EDATE(Main!B3,46)-1,"dd mmmm yyyy"),TEXT(Main!B3+((Main!B5-Main!B3)*46+45),"dd mmmm yyyy"))</f>
        <v>20 January 2028 - 19 February 2028</v>
      </c>
      <c r="J49" s="250">
        <f>Forecast_16!E136</f>
        <v>35533.8</v>
      </c>
    </row>
    <row r="50" ht="24.75" customHeight="1" spans="1:10">
      <c r="A50" s="98" t="s">
        <v>64</v>
      </c>
      <c r="B50" s="99" t="s">
        <v>52</v>
      </c>
      <c r="C50" s="99"/>
      <c r="D50" s="100" t="s">
        <v>53</v>
      </c>
      <c r="E50" s="100"/>
      <c r="F50" s="241">
        <v>2405</v>
      </c>
      <c r="G50" s="45"/>
      <c r="I50" s="247" t="str">
        <f>IF(Main!B2,TEXT(EDATE(Main!B3,46),"dd mmmm yyyy"),TEXT(Main!B3+((Main!B5-Main!B3)*46)+46,"dd mmmm yyyy"))&amp;" - "&amp;IF(Main!B2,TEXT(EDATE(Main!B3,47)-1,"dd mmmm yyyy"),TEXT(Main!B3+((Main!B5-Main!B3)*47+46),"dd mmmm yyyy"))</f>
        <v>20 February 2028 - 19 March 2028</v>
      </c>
      <c r="J50" s="250">
        <f>Forecast_16!E163</f>
        <v>35533.8</v>
      </c>
    </row>
    <row r="51" ht="50" customHeight="1" spans="1:10">
      <c r="A51" s="98" t="s">
        <v>65</v>
      </c>
      <c r="B51" s="99" t="s">
        <v>66</v>
      </c>
      <c r="C51" s="99"/>
      <c r="D51" s="99" t="s">
        <v>67</v>
      </c>
      <c r="E51" s="99"/>
      <c r="F51" s="241">
        <v>7700</v>
      </c>
      <c r="G51" s="45"/>
      <c r="I51" s="247" t="str">
        <f>IF(Main!B2,TEXT(EDATE(Main!B3,47),"dd mmmm yyyy"),TEXT(Main!B3+((Main!B5-Main!B3)*47)+47,"dd mmmm yyyy"))&amp;" - "&amp;IF(Main!B2,TEXT(EDATE(Main!B3,48)-1,"dd mmmm yyyy"),TEXT(Main!B3+((Main!B5-Main!B3)*48+47),"dd mmmm yyyy"))</f>
        <v>20 March 2028 - 19 April 2028</v>
      </c>
      <c r="J51" s="246">
        <f>Forecast_16!E190</f>
        <v>35533.8</v>
      </c>
    </row>
    <row r="52" ht="24.75" customHeight="1" spans="1:7">
      <c r="A52" s="98"/>
      <c r="B52" s="227"/>
      <c r="C52" s="227"/>
      <c r="D52" s="99"/>
      <c r="E52" s="99"/>
      <c r="F52" s="241">
        <v>0</v>
      </c>
      <c r="G52" s="45"/>
    </row>
    <row r="53" ht="24.75" customHeight="1" spans="1:7">
      <c r="A53" s="98" t="s">
        <v>68</v>
      </c>
      <c r="B53" s="99" t="s">
        <v>69</v>
      </c>
      <c r="C53" s="99"/>
      <c r="D53" s="100"/>
      <c r="E53" s="100"/>
      <c r="F53" s="241">
        <v>204</v>
      </c>
      <c r="G53" s="45"/>
    </row>
    <row r="54" ht="24.75" customHeight="1" spans="1:7">
      <c r="A54" s="98" t="s">
        <v>68</v>
      </c>
      <c r="B54" s="99" t="s">
        <v>70</v>
      </c>
      <c r="C54" s="99"/>
      <c r="D54" s="100"/>
      <c r="E54" s="100"/>
      <c r="F54" s="241">
        <v>207.5</v>
      </c>
      <c r="G54" s="45"/>
    </row>
    <row r="55" ht="24.75" customHeight="1" spans="1:7">
      <c r="A55" s="228" t="s">
        <v>68</v>
      </c>
      <c r="B55" s="99" t="s">
        <v>71</v>
      </c>
      <c r="C55" s="99"/>
      <c r="D55" s="99" t="s">
        <v>72</v>
      </c>
      <c r="E55" s="99"/>
      <c r="F55" s="241">
        <v>9350</v>
      </c>
      <c r="G55" s="45"/>
    </row>
    <row r="56" ht="24.75" customHeight="1" spans="1:7">
      <c r="A56" s="222"/>
      <c r="B56" s="223"/>
      <c r="C56" s="224"/>
      <c r="D56" s="27" t="s">
        <v>54</v>
      </c>
      <c r="E56" s="47"/>
      <c r="F56" s="48">
        <f>SUM(F49:G55)</f>
        <v>20016.5</v>
      </c>
      <c r="G56" s="49"/>
    </row>
    <row r="57" ht="24.75" customHeight="1"/>
    <row r="60" ht="20.4" spans="1:3">
      <c r="A60" s="229" t="str">
        <f>"Fixed Expense For the Year "&amp;TEXT(Main!B3,"mmmm yyyy")&amp;" - "&amp;IF(Main!B2,TEXT(EDATE(Main!B3,3)-1,"mmmm yyyy"),TEXT(Main!B3+((Main!B5-Main!B3)*3+2),"mmmm yyyy"))</f>
        <v>Fixed Expense For the Year April 2024 - July 2024</v>
      </c>
      <c r="B60" s="230"/>
      <c r="C60" s="231"/>
    </row>
    <row r="61" ht="21" spans="1:3">
      <c r="A61" s="232" t="s">
        <v>48</v>
      </c>
      <c r="B61" s="232" t="s">
        <v>49</v>
      </c>
      <c r="C61" s="233" t="s">
        <v>50</v>
      </c>
    </row>
    <row r="62" spans="1:3">
      <c r="A62" s="234" t="s">
        <v>73</v>
      </c>
      <c r="B62" s="235"/>
      <c r="C62" s="236"/>
    </row>
    <row r="63" spans="1:3">
      <c r="A63" s="35" t="s">
        <v>74</v>
      </c>
      <c r="B63" s="36"/>
      <c r="C63" s="180">
        <v>204</v>
      </c>
    </row>
    <row r="64" spans="1:3">
      <c r="A64" s="35" t="s">
        <v>75</v>
      </c>
      <c r="B64" s="36"/>
      <c r="C64" s="180">
        <v>197</v>
      </c>
    </row>
    <row r="65" ht="21" customHeight="1" spans="1:3">
      <c r="A65" s="38" t="s">
        <v>76</v>
      </c>
      <c r="B65" s="36"/>
      <c r="C65" s="180">
        <v>0</v>
      </c>
    </row>
    <row r="66" spans="1:3">
      <c r="A66" s="35" t="s">
        <v>59</v>
      </c>
      <c r="B66" s="39"/>
      <c r="C66" s="180">
        <v>42</v>
      </c>
    </row>
    <row r="67" spans="1:3">
      <c r="A67" s="181"/>
      <c r="B67" s="39"/>
      <c r="C67" s="180">
        <v>0</v>
      </c>
    </row>
    <row r="68" spans="1:3">
      <c r="A68" s="181"/>
      <c r="B68" s="39"/>
      <c r="C68" s="180">
        <v>0</v>
      </c>
    </row>
    <row r="69" spans="1:3">
      <c r="A69" s="181"/>
      <c r="B69" s="39"/>
      <c r="C69" s="180">
        <v>0</v>
      </c>
    </row>
    <row r="70" spans="1:3">
      <c r="A70" s="181"/>
      <c r="B70" s="39"/>
      <c r="C70" s="180">
        <v>0</v>
      </c>
    </row>
    <row r="71" spans="1:3">
      <c r="A71" s="41"/>
      <c r="B71" s="121" t="s">
        <v>77</v>
      </c>
      <c r="C71" s="260">
        <f>SUM(C63:C70)</f>
        <v>443</v>
      </c>
    </row>
    <row r="72" spans="1:3">
      <c r="A72" s="234" t="s">
        <v>78</v>
      </c>
      <c r="B72" s="235"/>
      <c r="C72" s="236"/>
    </row>
    <row r="73" spans="1:3">
      <c r="A73" s="35" t="s">
        <v>79</v>
      </c>
      <c r="B73" s="36"/>
      <c r="C73" s="260">
        <v>0</v>
      </c>
    </row>
    <row r="74" spans="1:3">
      <c r="A74" s="35" t="s">
        <v>80</v>
      </c>
      <c r="B74" s="36"/>
      <c r="C74" s="260">
        <v>0</v>
      </c>
    </row>
    <row r="75" spans="1:3">
      <c r="A75" s="35" t="s">
        <v>81</v>
      </c>
      <c r="B75" s="36"/>
      <c r="C75" s="260">
        <v>0</v>
      </c>
    </row>
    <row r="76" spans="1:3">
      <c r="A76" s="35" t="s">
        <v>82</v>
      </c>
      <c r="B76" s="36"/>
      <c r="C76" s="260">
        <v>0</v>
      </c>
    </row>
    <row r="77" spans="1:3">
      <c r="A77" s="35"/>
      <c r="B77" s="36"/>
      <c r="C77" s="260">
        <v>0</v>
      </c>
    </row>
    <row r="78" spans="1:3">
      <c r="A78" s="35"/>
      <c r="B78" s="36"/>
      <c r="C78" s="260">
        <v>0</v>
      </c>
    </row>
    <row r="79" spans="1:3">
      <c r="A79" s="35"/>
      <c r="B79" s="36"/>
      <c r="C79" s="260">
        <v>0</v>
      </c>
    </row>
    <row r="80" spans="1:3">
      <c r="A80" s="35"/>
      <c r="B80" s="36"/>
      <c r="C80" s="260">
        <v>0</v>
      </c>
    </row>
    <row r="81" spans="1:3">
      <c r="A81" s="35"/>
      <c r="B81" s="36"/>
      <c r="C81" s="260">
        <v>0</v>
      </c>
    </row>
    <row r="82" spans="1:3">
      <c r="A82" s="261"/>
      <c r="B82" s="262" t="s">
        <v>77</v>
      </c>
      <c r="C82" s="260">
        <f>SUM(C73:C81)</f>
        <v>0</v>
      </c>
    </row>
    <row r="83" spans="1:3">
      <c r="A83" s="263" t="s">
        <v>83</v>
      </c>
      <c r="B83" s="235"/>
      <c r="C83" s="236"/>
    </row>
    <row r="84" spans="1:3">
      <c r="A84" s="35" t="s">
        <v>84</v>
      </c>
      <c r="B84" s="39" t="s">
        <v>85</v>
      </c>
      <c r="C84" s="37">
        <v>0</v>
      </c>
    </row>
    <row r="85" spans="1:3">
      <c r="A85" s="264" t="s">
        <v>86</v>
      </c>
      <c r="B85" s="36" t="s">
        <v>87</v>
      </c>
      <c r="C85" s="37">
        <v>0</v>
      </c>
    </row>
    <row r="86" spans="1:3">
      <c r="A86" s="35"/>
      <c r="B86" s="36"/>
      <c r="C86" s="37">
        <v>0</v>
      </c>
    </row>
    <row r="87" spans="1:3">
      <c r="A87" s="35"/>
      <c r="B87" s="36"/>
      <c r="C87" s="37">
        <v>0</v>
      </c>
    </row>
    <row r="88" spans="1:3">
      <c r="A88" s="35"/>
      <c r="B88" s="36"/>
      <c r="C88" s="37">
        <v>0</v>
      </c>
    </row>
    <row r="89" spans="1:3">
      <c r="A89" s="35"/>
      <c r="B89" s="36"/>
      <c r="C89" s="37">
        <v>0</v>
      </c>
    </row>
    <row r="90" spans="1:3">
      <c r="A90" s="35"/>
      <c r="B90" s="36"/>
      <c r="C90" s="37">
        <v>0</v>
      </c>
    </row>
    <row r="91" spans="1:3">
      <c r="A91" s="261"/>
      <c r="B91" s="262" t="s">
        <v>88</v>
      </c>
      <c r="C91" s="37">
        <f>SUM(C84:C90)</f>
        <v>0</v>
      </c>
    </row>
    <row r="92" spans="1:3">
      <c r="A92" s="234" t="s">
        <v>89</v>
      </c>
      <c r="B92" s="235"/>
      <c r="C92" s="236"/>
    </row>
    <row r="93" spans="1:3">
      <c r="A93" s="265" t="s">
        <v>90</v>
      </c>
      <c r="B93" s="266"/>
      <c r="C93" s="260">
        <v>0</v>
      </c>
    </row>
    <row r="94" spans="1:3">
      <c r="A94" s="35"/>
      <c r="B94" s="36"/>
      <c r="C94" s="260">
        <v>0</v>
      </c>
    </row>
    <row r="95" spans="1:3">
      <c r="A95" s="35"/>
      <c r="B95" s="36"/>
      <c r="C95" s="260">
        <v>0</v>
      </c>
    </row>
    <row r="96" ht="15.75" customHeight="1" spans="1:3">
      <c r="A96" s="35"/>
      <c r="B96" s="36"/>
      <c r="C96" s="260">
        <v>0</v>
      </c>
    </row>
    <row r="97" spans="1:3">
      <c r="A97" s="35"/>
      <c r="B97" s="36"/>
      <c r="C97" s="260">
        <v>0</v>
      </c>
    </row>
    <row r="98" spans="1:3">
      <c r="A98" s="35"/>
      <c r="B98" s="36"/>
      <c r="C98" s="260">
        <v>0</v>
      </c>
    </row>
    <row r="99" spans="1:3">
      <c r="A99" s="35"/>
      <c r="B99" s="36"/>
      <c r="C99" s="260">
        <v>0</v>
      </c>
    </row>
    <row r="100" spans="1:3">
      <c r="A100" s="35"/>
      <c r="B100" s="36"/>
      <c r="C100" s="260">
        <v>0</v>
      </c>
    </row>
    <row r="101" spans="1:3">
      <c r="A101" s="52"/>
      <c r="B101" s="121" t="s">
        <v>91</v>
      </c>
      <c r="C101" s="37">
        <f>SUM(C93:C100)</f>
        <v>0</v>
      </c>
    </row>
    <row r="102" spans="1:3">
      <c r="A102" s="234" t="s">
        <v>92</v>
      </c>
      <c r="B102" s="235"/>
      <c r="C102" s="236"/>
    </row>
    <row r="103" spans="1:3">
      <c r="A103" s="35" t="s">
        <v>93</v>
      </c>
      <c r="B103" s="104" t="s">
        <v>94</v>
      </c>
      <c r="C103" s="103">
        <v>300</v>
      </c>
    </row>
    <row r="104" spans="1:3">
      <c r="A104" s="40" t="s">
        <v>95</v>
      </c>
      <c r="B104" s="104" t="s">
        <v>96</v>
      </c>
      <c r="C104" s="103">
        <v>0</v>
      </c>
    </row>
    <row r="105" ht="34" spans="1:3">
      <c r="A105" s="35" t="s">
        <v>97</v>
      </c>
      <c r="B105" s="102" t="s">
        <v>98</v>
      </c>
      <c r="C105" s="103">
        <v>0</v>
      </c>
    </row>
    <row r="106" spans="1:3">
      <c r="A106" s="35" t="s">
        <v>99</v>
      </c>
      <c r="B106" s="102" t="s">
        <v>100</v>
      </c>
      <c r="C106" s="103">
        <v>760</v>
      </c>
    </row>
    <row r="107" spans="1:3">
      <c r="A107" s="35"/>
      <c r="B107" s="36"/>
      <c r="C107" s="180">
        <v>0</v>
      </c>
    </row>
    <row r="108" spans="1:3">
      <c r="A108" s="35"/>
      <c r="B108" s="36"/>
      <c r="C108" s="180">
        <v>0</v>
      </c>
    </row>
    <row r="109" spans="1:3">
      <c r="A109" s="35"/>
      <c r="B109" s="36"/>
      <c r="C109" s="180">
        <v>0</v>
      </c>
    </row>
    <row r="110" spans="1:3">
      <c r="A110" s="35"/>
      <c r="B110" s="36"/>
      <c r="C110" s="180">
        <v>0</v>
      </c>
    </row>
    <row r="111" spans="1:3">
      <c r="A111" s="40"/>
      <c r="B111" s="121" t="s">
        <v>77</v>
      </c>
      <c r="C111" s="260">
        <f>SUM(C103:C110)</f>
        <v>1060</v>
      </c>
    </row>
    <row r="112" spans="1:3">
      <c r="A112" s="52"/>
      <c r="B112" s="121" t="s">
        <v>101</v>
      </c>
      <c r="C112" s="260">
        <f>C71+C82+C91+C101+C111</f>
        <v>1503</v>
      </c>
    </row>
    <row r="113" spans="1:3">
      <c r="A113" s="267" t="s">
        <v>102</v>
      </c>
      <c r="B113" s="268"/>
      <c r="C113" s="269"/>
    </row>
    <row r="114" spans="1:8">
      <c r="A114" s="107" t="s">
        <v>103</v>
      </c>
      <c r="B114" s="270"/>
      <c r="C114" s="271">
        <v>16033</v>
      </c>
      <c r="D114" s="14"/>
      <c r="E114" s="69"/>
      <c r="F114" s="14"/>
      <c r="G114" s="14"/>
      <c r="H114" s="14"/>
    </row>
    <row r="115" spans="1:8">
      <c r="A115" s="107" t="s">
        <v>104</v>
      </c>
      <c r="B115" s="36"/>
      <c r="C115" s="272">
        <f>5000</f>
        <v>5000</v>
      </c>
      <c r="D115" s="14"/>
      <c r="E115" s="14"/>
      <c r="F115" s="14"/>
      <c r="G115" s="14"/>
      <c r="H115" s="14"/>
    </row>
    <row r="116" spans="1:8">
      <c r="A116" s="107" t="s">
        <v>105</v>
      </c>
      <c r="B116" s="36"/>
      <c r="C116" s="273">
        <f>3300</f>
        <v>3300</v>
      </c>
      <c r="D116" s="14"/>
      <c r="E116" s="14"/>
      <c r="F116" s="14"/>
      <c r="G116" s="14"/>
      <c r="H116" s="14"/>
    </row>
    <row r="117" ht="34" spans="1:8">
      <c r="A117" s="101" t="s">
        <v>106</v>
      </c>
      <c r="B117" s="36"/>
      <c r="C117" s="273">
        <v>0</v>
      </c>
      <c r="D117" s="14"/>
      <c r="E117" s="14"/>
      <c r="F117" s="14"/>
      <c r="G117" s="14"/>
      <c r="H117" s="14"/>
    </row>
    <row r="118" ht="34" spans="1:8">
      <c r="A118" s="101" t="s">
        <v>107</v>
      </c>
      <c r="B118" s="36"/>
      <c r="C118" s="273">
        <v>0</v>
      </c>
      <c r="D118" s="14"/>
      <c r="E118" s="14"/>
      <c r="F118" s="14"/>
      <c r="G118" s="14"/>
      <c r="H118" s="14"/>
    </row>
    <row r="119" spans="1:8">
      <c r="A119" s="35"/>
      <c r="B119" s="36"/>
      <c r="C119" s="37">
        <v>0</v>
      </c>
      <c r="D119" s="14"/>
      <c r="E119" s="14"/>
      <c r="F119" s="14"/>
      <c r="G119" s="14"/>
      <c r="H119" s="14"/>
    </row>
    <row r="120" spans="1:8">
      <c r="A120" s="35"/>
      <c r="B120" s="36"/>
      <c r="C120" s="37">
        <v>0</v>
      </c>
      <c r="D120" s="14"/>
      <c r="E120" s="14"/>
      <c r="F120" s="14"/>
      <c r="G120" s="14"/>
      <c r="H120" s="14"/>
    </row>
    <row r="121" spans="1:8">
      <c r="A121" s="35"/>
      <c r="B121" s="36"/>
      <c r="C121" s="37">
        <v>0</v>
      </c>
      <c r="D121" s="14"/>
      <c r="E121" s="14"/>
      <c r="F121" s="14"/>
      <c r="G121" s="14"/>
      <c r="H121" s="14"/>
    </row>
    <row r="122" spans="1:8">
      <c r="A122" s="35"/>
      <c r="B122" s="36"/>
      <c r="C122" s="37">
        <v>0</v>
      </c>
      <c r="D122" s="14"/>
      <c r="E122" s="14"/>
      <c r="F122" s="14"/>
      <c r="G122" s="14"/>
      <c r="H122" s="14"/>
    </row>
    <row r="123" spans="1:8">
      <c r="A123" s="35"/>
      <c r="B123" s="36"/>
      <c r="C123" s="37">
        <v>0</v>
      </c>
      <c r="D123" s="14"/>
      <c r="E123" s="14"/>
      <c r="F123" s="14"/>
      <c r="G123" s="14"/>
      <c r="H123" s="14"/>
    </row>
    <row r="124" spans="1:3">
      <c r="A124" s="261"/>
      <c r="B124" s="262" t="s">
        <v>108</v>
      </c>
      <c r="C124" s="260">
        <f>SUM(C113:C123)</f>
        <v>24333</v>
      </c>
    </row>
    <row r="125" spans="1:3">
      <c r="A125" s="261"/>
      <c r="B125" s="262" t="s">
        <v>109</v>
      </c>
      <c r="C125" s="260">
        <f>ABS(C112+ABS(C124))</f>
        <v>25836</v>
      </c>
    </row>
    <row r="126" spans="5:5">
      <c r="E126" s="274"/>
    </row>
    <row r="127" spans="5:5">
      <c r="E127" s="274"/>
    </row>
    <row r="129" ht="45" customHeight="1"/>
    <row r="130" ht="45" customHeight="1" spans="1:5">
      <c r="A130" s="53" t="str">
        <f>"Debts Or Credits For the Comming "&amp;TEXT(Main!B3,"mmmm dd yyyy")&amp;" to "&amp;IF(Main!B2,TEXT(EDATE(Main!B3,1)-1,"mmmm dd yyyy"),TEXT(Main!B3+Main!B5-Main!B3,"dd mmmm yyyy"))</f>
        <v>Debts Or Credits For the Comming April 20 2024 to May 19 2024</v>
      </c>
      <c r="B130" s="54"/>
      <c r="C130" s="54"/>
      <c r="D130" s="54"/>
      <c r="E130" s="55"/>
    </row>
    <row r="131" ht="45" customHeight="1" spans="1:5">
      <c r="A131" s="53" t="s">
        <v>110</v>
      </c>
      <c r="B131" s="55"/>
      <c r="C131" s="53" t="s">
        <v>49</v>
      </c>
      <c r="D131" s="55"/>
      <c r="E131" s="70" t="s">
        <v>50</v>
      </c>
    </row>
    <row r="132" ht="24.75" customHeight="1" spans="1:5">
      <c r="A132" s="85" t="s">
        <v>92</v>
      </c>
      <c r="B132" s="86"/>
      <c r="C132" s="61" t="s">
        <v>111</v>
      </c>
      <c r="D132" s="62"/>
      <c r="E132" s="72"/>
    </row>
    <row r="133" ht="24.75" customHeight="1" spans="1:8">
      <c r="A133" s="89"/>
      <c r="B133" s="90"/>
      <c r="C133" s="65"/>
      <c r="D133" s="66"/>
      <c r="E133" s="37">
        <v>0</v>
      </c>
      <c r="F133" s="14"/>
      <c r="G133" s="14"/>
      <c r="H133" s="14"/>
    </row>
    <row r="134" ht="24.75" customHeight="1" spans="1:8">
      <c r="A134" s="89"/>
      <c r="B134" s="90"/>
      <c r="C134" s="65"/>
      <c r="D134" s="66"/>
      <c r="E134" s="37">
        <v>0</v>
      </c>
      <c r="F134" s="14"/>
      <c r="G134" s="14"/>
      <c r="H134" s="14"/>
    </row>
    <row r="135" ht="24.75" customHeight="1" spans="1:8">
      <c r="A135" s="89"/>
      <c r="B135" s="90"/>
      <c r="C135" s="65"/>
      <c r="D135" s="66"/>
      <c r="E135" s="37">
        <v>0</v>
      </c>
      <c r="F135" s="14"/>
      <c r="G135" s="14"/>
      <c r="H135" s="14"/>
    </row>
    <row r="136" ht="24.75" customHeight="1" spans="1:8">
      <c r="A136" s="89"/>
      <c r="B136" s="90"/>
      <c r="C136" s="65"/>
      <c r="D136" s="66"/>
      <c r="E136" s="37">
        <v>0</v>
      </c>
      <c r="F136" s="14"/>
      <c r="G136" s="14"/>
      <c r="H136" s="14"/>
    </row>
    <row r="137" ht="24.75" customHeight="1" spans="1:8">
      <c r="A137" s="89"/>
      <c r="B137" s="90"/>
      <c r="C137" s="65"/>
      <c r="D137" s="66"/>
      <c r="E137" s="37">
        <v>0</v>
      </c>
      <c r="F137" s="14"/>
      <c r="G137" s="14"/>
      <c r="H137" s="14"/>
    </row>
    <row r="138" ht="24.75" customHeight="1" spans="1:8">
      <c r="A138" s="89"/>
      <c r="B138" s="90"/>
      <c r="C138" s="65"/>
      <c r="D138" s="66"/>
      <c r="E138" s="37">
        <v>0</v>
      </c>
      <c r="F138" s="14"/>
      <c r="G138" s="14"/>
      <c r="H138" s="14"/>
    </row>
    <row r="139" ht="24.75" customHeight="1" spans="1:8">
      <c r="A139" s="89"/>
      <c r="B139" s="90"/>
      <c r="C139" s="65"/>
      <c r="D139" s="66"/>
      <c r="E139" s="37">
        <v>0</v>
      </c>
      <c r="F139" s="14"/>
      <c r="G139" s="14"/>
      <c r="H139" s="14"/>
    </row>
    <row r="140" ht="24.75" customHeight="1" spans="1:8">
      <c r="A140" s="89"/>
      <c r="B140" s="90"/>
      <c r="C140" s="65"/>
      <c r="D140" s="66"/>
      <c r="E140" s="37">
        <v>0</v>
      </c>
      <c r="F140" s="14"/>
      <c r="G140" s="14"/>
      <c r="H140" s="14"/>
    </row>
    <row r="141" ht="24.75" customHeight="1" spans="1:8">
      <c r="A141" s="89"/>
      <c r="B141" s="90"/>
      <c r="C141" s="65"/>
      <c r="D141" s="66"/>
      <c r="E141" s="37">
        <v>0</v>
      </c>
      <c r="F141" s="14"/>
      <c r="G141" s="14"/>
      <c r="H141" s="14"/>
    </row>
    <row r="142" ht="24.75" customHeight="1" spans="1:8">
      <c r="A142" s="89"/>
      <c r="B142" s="90"/>
      <c r="C142" s="65"/>
      <c r="D142" s="66"/>
      <c r="E142" s="37">
        <v>0</v>
      </c>
      <c r="F142" s="14"/>
      <c r="G142" s="14"/>
      <c r="H142" s="14"/>
    </row>
    <row r="143" ht="24.75" customHeight="1" spans="1:5">
      <c r="A143" s="89"/>
      <c r="B143" s="90"/>
      <c r="C143" s="67" t="s">
        <v>112</v>
      </c>
      <c r="D143" s="62"/>
      <c r="E143" s="72"/>
    </row>
    <row r="144" ht="45" customHeight="1" spans="1:5">
      <c r="A144" s="89"/>
      <c r="B144" s="90"/>
      <c r="C144" s="73"/>
      <c r="D144" s="74"/>
      <c r="E144" s="93">
        <v>0</v>
      </c>
    </row>
    <row r="145" ht="24.75" customHeight="1" spans="1:5">
      <c r="A145" s="89"/>
      <c r="B145" s="90"/>
      <c r="C145" s="65"/>
      <c r="D145" s="66"/>
      <c r="E145" s="93">
        <v>0</v>
      </c>
    </row>
    <row r="146" ht="24.75" customHeight="1" spans="1:5">
      <c r="A146" s="89"/>
      <c r="B146" s="90"/>
      <c r="C146" s="65"/>
      <c r="D146" s="66"/>
      <c r="E146" s="93">
        <v>0</v>
      </c>
    </row>
    <row r="147" ht="24" customHeight="1" spans="1:5">
      <c r="A147" s="89"/>
      <c r="B147" s="90"/>
      <c r="C147" s="65"/>
      <c r="D147" s="66"/>
      <c r="E147" s="93">
        <v>0</v>
      </c>
    </row>
    <row r="148" ht="24.75" customHeight="1" spans="1:5">
      <c r="A148" s="89"/>
      <c r="B148" s="90"/>
      <c r="C148" s="65"/>
      <c r="D148" s="66"/>
      <c r="E148" s="93">
        <v>0</v>
      </c>
    </row>
    <row r="149" ht="24.75" customHeight="1" spans="1:5">
      <c r="A149" s="91"/>
      <c r="B149" s="92"/>
      <c r="C149" s="65"/>
      <c r="D149" s="66"/>
      <c r="E149" s="93">
        <v>0</v>
      </c>
    </row>
    <row r="150" ht="24.75" customHeight="1" spans="1:5">
      <c r="A150" s="56" t="s">
        <v>113</v>
      </c>
      <c r="B150" s="77"/>
      <c r="C150" s="78"/>
      <c r="D150" s="79"/>
      <c r="E150" s="93">
        <f>C112</f>
        <v>1503</v>
      </c>
    </row>
    <row r="151" ht="45" customHeight="1" spans="1:5">
      <c r="A151" s="80"/>
      <c r="B151" s="81"/>
      <c r="C151" s="82" t="s">
        <v>114</v>
      </c>
      <c r="D151" s="82"/>
      <c r="E151" s="94">
        <v>0</v>
      </c>
    </row>
    <row r="152" ht="21.75" customHeight="1"/>
    <row r="156" ht="24.75" customHeight="1" spans="1:5">
      <c r="A156" s="53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20 2024 to 19 June 2024</v>
      </c>
      <c r="B156" s="54"/>
      <c r="C156" s="54"/>
      <c r="D156" s="54"/>
      <c r="E156" s="55"/>
    </row>
    <row r="157" ht="24.75" customHeight="1" spans="1:5">
      <c r="A157" s="53" t="s">
        <v>110</v>
      </c>
      <c r="B157" s="55"/>
      <c r="C157" s="83" t="s">
        <v>49</v>
      </c>
      <c r="D157" s="84"/>
      <c r="E157" s="95" t="s">
        <v>50</v>
      </c>
    </row>
    <row r="158" ht="24.75" customHeight="1" spans="1:5">
      <c r="A158" s="56" t="str">
        <f>"Balance Brought Forward From "&amp;IF(Main!B2,TEXT(EDATE(Main!B3,1)-1,"mmmm yyyy"),TEXT(Main!B3+Main!B5-Main!B3,"mmmm yyyy"))</f>
        <v>Balance Brought Forward From May 2024</v>
      </c>
      <c r="B158" s="57"/>
      <c r="C158" s="275"/>
      <c r="D158" s="275"/>
      <c r="E158" s="94">
        <f>E151</f>
        <v>0</v>
      </c>
    </row>
    <row r="159" ht="24.75" customHeight="1" spans="1:5">
      <c r="A159" s="85" t="s">
        <v>92</v>
      </c>
      <c r="B159" s="86"/>
      <c r="C159" s="87" t="s">
        <v>111</v>
      </c>
      <c r="D159" s="88"/>
      <c r="E159" s="96"/>
    </row>
    <row r="160" ht="24.75" customHeight="1" spans="1:8">
      <c r="A160" s="89"/>
      <c r="B160" s="90"/>
      <c r="C160" s="65" t="s">
        <v>115</v>
      </c>
      <c r="D160" s="66"/>
      <c r="E160" s="103">
        <v>0</v>
      </c>
      <c r="F160" s="14"/>
      <c r="G160" s="14"/>
      <c r="H160" s="14"/>
    </row>
    <row r="161" ht="24.75" customHeight="1" spans="1:8">
      <c r="A161" s="89"/>
      <c r="B161" s="90"/>
      <c r="C161" s="73" t="s">
        <v>116</v>
      </c>
      <c r="D161" s="74"/>
      <c r="E161" s="103">
        <v>1000</v>
      </c>
      <c r="F161" s="14"/>
      <c r="G161" s="14"/>
      <c r="H161" s="14"/>
    </row>
    <row r="162" ht="24.75" customHeight="1" spans="1:8">
      <c r="A162" s="89"/>
      <c r="B162" s="90"/>
      <c r="C162" s="65"/>
      <c r="D162" s="66"/>
      <c r="E162" s="37">
        <v>0</v>
      </c>
      <c r="F162" s="14"/>
      <c r="G162" s="14"/>
      <c r="H162" s="14"/>
    </row>
    <row r="163" ht="24.75" customHeight="1" spans="1:8">
      <c r="A163" s="89"/>
      <c r="B163" s="90"/>
      <c r="C163" s="65"/>
      <c r="D163" s="66"/>
      <c r="E163" s="37">
        <v>0</v>
      </c>
      <c r="F163" s="14"/>
      <c r="G163" s="14"/>
      <c r="H163" s="14"/>
    </row>
    <row r="164" ht="24.75" customHeight="1" spans="1:8">
      <c r="A164" s="89"/>
      <c r="B164" s="90"/>
      <c r="C164" s="65"/>
      <c r="D164" s="66"/>
      <c r="E164" s="37">
        <v>0</v>
      </c>
      <c r="F164" s="14"/>
      <c r="G164" s="14"/>
      <c r="H164" s="14"/>
    </row>
    <row r="165" ht="24.75" customHeight="1" spans="1:8">
      <c r="A165" s="89"/>
      <c r="B165" s="90"/>
      <c r="C165" s="65"/>
      <c r="D165" s="66"/>
      <c r="E165" s="37">
        <v>0</v>
      </c>
      <c r="F165" s="14"/>
      <c r="G165" s="14"/>
      <c r="H165" s="14"/>
    </row>
    <row r="166" ht="22.5" customHeight="1" spans="1:8">
      <c r="A166" s="89"/>
      <c r="B166" s="90"/>
      <c r="C166" s="65"/>
      <c r="D166" s="66"/>
      <c r="E166" s="37">
        <v>0</v>
      </c>
      <c r="F166" s="14"/>
      <c r="G166" s="14"/>
      <c r="H166" s="14"/>
    </row>
    <row r="167" ht="24.75" customHeight="1" spans="1:8">
      <c r="A167" s="89"/>
      <c r="B167" s="90"/>
      <c r="C167" s="65"/>
      <c r="D167" s="66"/>
      <c r="E167" s="37">
        <v>0</v>
      </c>
      <c r="F167" s="14"/>
      <c r="G167" s="14"/>
      <c r="H167" s="14"/>
    </row>
    <row r="168" ht="24.75" customHeight="1" spans="1:8">
      <c r="A168" s="89"/>
      <c r="B168" s="90"/>
      <c r="C168" s="65"/>
      <c r="D168" s="66"/>
      <c r="E168" s="37">
        <v>0</v>
      </c>
      <c r="F168" s="14"/>
      <c r="G168" s="14"/>
      <c r="H168" s="14"/>
    </row>
    <row r="169" ht="24.75" customHeight="1" spans="1:8">
      <c r="A169" s="89"/>
      <c r="B169" s="90"/>
      <c r="C169" s="65"/>
      <c r="D169" s="66"/>
      <c r="E169" s="37">
        <v>0</v>
      </c>
      <c r="F169" s="14"/>
      <c r="G169" s="14"/>
      <c r="H169" s="14"/>
    </row>
    <row r="170" ht="24.75" customHeight="1" spans="1:5">
      <c r="A170" s="89"/>
      <c r="B170" s="90"/>
      <c r="C170" s="67" t="s">
        <v>112</v>
      </c>
      <c r="D170" s="62"/>
      <c r="E170" s="72"/>
    </row>
    <row r="171" ht="24.75" customHeight="1" spans="1:5">
      <c r="A171" s="89"/>
      <c r="B171" s="90"/>
      <c r="C171" s="128" t="s">
        <v>117</v>
      </c>
      <c r="D171" s="128"/>
      <c r="E171" s="103">
        <v>140</v>
      </c>
    </row>
    <row r="172" ht="24.75" customHeight="1" spans="1:5">
      <c r="A172" s="89"/>
      <c r="B172" s="90"/>
      <c r="C172" s="128" t="s">
        <v>118</v>
      </c>
      <c r="D172" s="128"/>
      <c r="E172" s="103">
        <v>68</v>
      </c>
    </row>
    <row r="173" ht="24.75" customHeight="1" spans="1:5">
      <c r="A173" s="89"/>
      <c r="B173" s="90"/>
      <c r="C173" s="128" t="s">
        <v>119</v>
      </c>
      <c r="D173" s="128"/>
      <c r="E173" s="103">
        <v>420</v>
      </c>
    </row>
    <row r="174" ht="46.5" customHeight="1" spans="1:5">
      <c r="A174" s="89"/>
      <c r="B174" s="90"/>
      <c r="C174" s="102" t="s">
        <v>120</v>
      </c>
      <c r="D174" s="102"/>
      <c r="E174" s="103">
        <v>775.68</v>
      </c>
    </row>
    <row r="175" ht="24.75" customHeight="1" spans="1:5">
      <c r="A175" s="89"/>
      <c r="B175" s="90"/>
      <c r="C175" s="65"/>
      <c r="D175" s="66"/>
      <c r="E175" s="93">
        <v>0</v>
      </c>
    </row>
    <row r="176" ht="24.75" customHeight="1" spans="1:5">
      <c r="A176" s="91"/>
      <c r="B176" s="92"/>
      <c r="C176" s="65"/>
      <c r="D176" s="66"/>
      <c r="E176" s="93">
        <v>0</v>
      </c>
    </row>
    <row r="177" ht="24.75" customHeight="1" spans="1:5">
      <c r="A177" s="56" t="s">
        <v>113</v>
      </c>
      <c r="B177" s="77"/>
      <c r="C177" s="78"/>
      <c r="D177" s="79"/>
      <c r="E177" s="93">
        <f>C112</f>
        <v>1503</v>
      </c>
    </row>
    <row r="178" ht="24.75" customHeight="1" spans="1:5">
      <c r="A178" s="80"/>
      <c r="B178" s="81"/>
      <c r="C178" s="82" t="s">
        <v>114</v>
      </c>
      <c r="D178" s="82"/>
      <c r="E178" s="97">
        <f>(F43+E158)-(SUM(E161:E169)+SUM(E171:E177))</f>
        <v>-416.68</v>
      </c>
    </row>
    <row r="182" ht="24.75" customHeight="1"/>
    <row r="183" ht="24.75" customHeight="1" spans="1:5">
      <c r="A183" s="53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June 2024 to 19 July 2024</v>
      </c>
      <c r="B183" s="54"/>
      <c r="C183" s="54"/>
      <c r="D183" s="54"/>
      <c r="E183" s="55"/>
    </row>
    <row r="184" ht="24.75" customHeight="1" spans="1:5">
      <c r="A184" s="53" t="s">
        <v>110</v>
      </c>
      <c r="B184" s="55"/>
      <c r="C184" s="83" t="s">
        <v>49</v>
      </c>
      <c r="D184" s="84"/>
      <c r="E184" s="95" t="s">
        <v>50</v>
      </c>
    </row>
    <row r="185" ht="24.75" customHeight="1" spans="1:5">
      <c r="A185" s="56" t="str">
        <f>"Balance Brought Forward From "&amp;IF(Main!B2,TEXT(EDATE(Main!B3,2)-1,"mmmm yyyy"),TEXT(Main!B3+(Main!B5-Main!B3)*2+1,"mmmm yyyy"))</f>
        <v>Balance Brought Forward From June 2024</v>
      </c>
      <c r="B185" s="57"/>
      <c r="C185" s="275"/>
      <c r="D185" s="275"/>
      <c r="E185" s="97">
        <f>E178</f>
        <v>-416.68</v>
      </c>
    </row>
    <row r="186" ht="24.75" customHeight="1" spans="1:5">
      <c r="A186" s="85" t="s">
        <v>92</v>
      </c>
      <c r="B186" s="123"/>
      <c r="C186" s="87" t="s">
        <v>111</v>
      </c>
      <c r="D186" s="88"/>
      <c r="E186" s="96"/>
    </row>
    <row r="187" ht="24.75" customHeight="1" spans="1:8">
      <c r="A187" s="89"/>
      <c r="B187" s="124"/>
      <c r="C187" s="128" t="s">
        <v>121</v>
      </c>
      <c r="D187" s="128"/>
      <c r="E187" s="37">
        <v>4500</v>
      </c>
      <c r="F187" s="14"/>
      <c r="G187" s="14"/>
      <c r="H187" s="14"/>
    </row>
    <row r="188" ht="24.75" customHeight="1" spans="1:8">
      <c r="A188" s="89"/>
      <c r="B188" s="124"/>
      <c r="C188" s="65" t="s">
        <v>122</v>
      </c>
      <c r="D188" s="66"/>
      <c r="E188" s="37">
        <v>4000</v>
      </c>
      <c r="F188" s="14"/>
      <c r="G188" s="14"/>
      <c r="H188" s="14"/>
    </row>
    <row r="189" ht="24.75" customHeight="1" spans="1:8">
      <c r="A189" s="89"/>
      <c r="B189" s="124"/>
      <c r="C189" s="65"/>
      <c r="D189" s="66"/>
      <c r="E189" s="37">
        <v>0</v>
      </c>
      <c r="F189" s="14"/>
      <c r="G189" s="14"/>
      <c r="H189" s="14"/>
    </row>
    <row r="190" ht="24.75" customHeight="1" spans="1:8">
      <c r="A190" s="89"/>
      <c r="B190" s="124"/>
      <c r="C190" s="65"/>
      <c r="D190" s="66"/>
      <c r="E190" s="37">
        <v>0</v>
      </c>
      <c r="F190" s="14"/>
      <c r="G190" s="14"/>
      <c r="H190" s="14"/>
    </row>
    <row r="191" ht="24.75" customHeight="1" spans="1:8">
      <c r="A191" s="89"/>
      <c r="B191" s="124"/>
      <c r="C191" s="65"/>
      <c r="D191" s="66"/>
      <c r="E191" s="37">
        <v>0</v>
      </c>
      <c r="F191" s="14"/>
      <c r="G191" s="14"/>
      <c r="H191" s="14"/>
    </row>
    <row r="192" ht="24.75" customHeight="1" spans="1:8">
      <c r="A192" s="89"/>
      <c r="B192" s="124"/>
      <c r="C192" s="65"/>
      <c r="D192" s="66"/>
      <c r="E192" s="37">
        <v>0</v>
      </c>
      <c r="F192" s="14"/>
      <c r="G192" s="14"/>
      <c r="H192" s="14"/>
    </row>
    <row r="193" ht="24.75" customHeight="1" spans="1:8">
      <c r="A193" s="89"/>
      <c r="B193" s="124"/>
      <c r="C193" s="65"/>
      <c r="D193" s="66"/>
      <c r="E193" s="37">
        <v>0</v>
      </c>
      <c r="F193" s="14"/>
      <c r="G193" s="14"/>
      <c r="H193" s="14"/>
    </row>
    <row r="194" ht="24.75" customHeight="1" spans="1:8">
      <c r="A194" s="89"/>
      <c r="B194" s="124"/>
      <c r="C194" s="65"/>
      <c r="D194" s="66"/>
      <c r="E194" s="37">
        <v>0</v>
      </c>
      <c r="F194" s="14"/>
      <c r="G194" s="14"/>
      <c r="H194" s="14"/>
    </row>
    <row r="195" ht="24.75" customHeight="1" spans="1:8">
      <c r="A195" s="89"/>
      <c r="B195" s="124"/>
      <c r="C195" s="65"/>
      <c r="D195" s="66"/>
      <c r="E195" s="37">
        <v>0</v>
      </c>
      <c r="F195" s="14"/>
      <c r="G195" s="14"/>
      <c r="H195" s="14"/>
    </row>
    <row r="196" ht="24.75" customHeight="1" spans="1:8">
      <c r="A196" s="89"/>
      <c r="B196" s="124"/>
      <c r="C196" s="65"/>
      <c r="D196" s="66"/>
      <c r="E196" s="37">
        <v>0</v>
      </c>
      <c r="F196" s="14"/>
      <c r="G196" s="14"/>
      <c r="H196" s="14"/>
    </row>
    <row r="197" ht="24.75" customHeight="1" spans="1:5">
      <c r="A197" s="89"/>
      <c r="B197" s="124"/>
      <c r="C197" s="67" t="s">
        <v>112</v>
      </c>
      <c r="D197" s="62"/>
      <c r="E197" s="72"/>
    </row>
    <row r="198" ht="24.75" customHeight="1" spans="1:5">
      <c r="A198" s="89"/>
      <c r="B198" s="124"/>
      <c r="C198" s="128" t="s">
        <v>123</v>
      </c>
      <c r="D198" s="128"/>
      <c r="E198" s="103">
        <v>2254</v>
      </c>
    </row>
    <row r="199" ht="44.25" customHeight="1" spans="1:5">
      <c r="A199" s="89"/>
      <c r="B199" s="124"/>
      <c r="C199" s="102" t="s">
        <v>124</v>
      </c>
      <c r="D199" s="102"/>
      <c r="E199" s="103">
        <v>560</v>
      </c>
    </row>
    <row r="200" ht="24.75" customHeight="1" spans="1:5">
      <c r="A200" s="89"/>
      <c r="B200" s="124"/>
      <c r="C200" s="128" t="s">
        <v>125</v>
      </c>
      <c r="D200" s="128"/>
      <c r="E200" s="103">
        <v>0</v>
      </c>
    </row>
    <row r="201" ht="39" customHeight="1" spans="1:5">
      <c r="A201" s="89"/>
      <c r="B201" s="124"/>
      <c r="C201" s="102" t="s">
        <v>126</v>
      </c>
      <c r="D201" s="102"/>
      <c r="E201" s="103">
        <v>700</v>
      </c>
    </row>
    <row r="202" ht="24.75" customHeight="1" spans="1:5">
      <c r="A202" s="89"/>
      <c r="B202" s="124"/>
      <c r="C202" s="102" t="s">
        <v>127</v>
      </c>
      <c r="D202" s="102"/>
      <c r="E202" s="103">
        <v>498</v>
      </c>
    </row>
    <row r="203" ht="24.75" customHeight="1" spans="1:5">
      <c r="A203" s="89"/>
      <c r="B203" s="124"/>
      <c r="C203" s="128" t="s">
        <v>128</v>
      </c>
      <c r="D203" s="128"/>
      <c r="E203" s="103">
        <v>368</v>
      </c>
    </row>
    <row r="204" ht="24.75" customHeight="1" spans="1:5">
      <c r="A204" s="89"/>
      <c r="B204" s="124"/>
      <c r="C204" s="128" t="s">
        <v>69</v>
      </c>
      <c r="D204" s="128"/>
      <c r="E204" s="103">
        <v>204</v>
      </c>
    </row>
    <row r="205" ht="24.75" customHeight="1" spans="1:5">
      <c r="A205" s="89"/>
      <c r="B205" s="124"/>
      <c r="C205" s="128" t="s">
        <v>70</v>
      </c>
      <c r="D205" s="128"/>
      <c r="E205" s="103">
        <v>207.5</v>
      </c>
    </row>
    <row r="206" ht="24.75" customHeight="1" spans="1:5">
      <c r="A206" s="89"/>
      <c r="B206" s="124"/>
      <c r="C206" s="128" t="s">
        <v>129</v>
      </c>
      <c r="D206" s="128"/>
      <c r="E206" s="103">
        <v>187</v>
      </c>
    </row>
    <row r="207" ht="24.75" customHeight="1" spans="1:5">
      <c r="A207" s="89"/>
      <c r="B207" s="124"/>
      <c r="C207" s="128" t="s">
        <v>130</v>
      </c>
      <c r="D207" s="128"/>
      <c r="E207" s="103">
        <v>391.5</v>
      </c>
    </row>
    <row r="208" ht="24.75" customHeight="1" spans="1:5">
      <c r="A208" s="91"/>
      <c r="B208" s="125"/>
      <c r="C208" s="128" t="s">
        <v>131</v>
      </c>
      <c r="D208" s="128"/>
      <c r="E208" s="103">
        <v>966.7</v>
      </c>
    </row>
    <row r="209" ht="24.75" customHeight="1" spans="1:5">
      <c r="A209" s="56" t="s">
        <v>113</v>
      </c>
      <c r="B209" s="77"/>
      <c r="C209" s="78"/>
      <c r="D209" s="79"/>
      <c r="E209" s="93">
        <f>C112</f>
        <v>1503</v>
      </c>
    </row>
    <row r="210" ht="24.75" customHeight="1" spans="1:5">
      <c r="A210" s="80"/>
      <c r="B210" s="81"/>
      <c r="C210" s="82" t="s">
        <v>114</v>
      </c>
      <c r="D210" s="82"/>
      <c r="E210" s="97">
        <f>(F56+E185)-(SUM(E187:E196)+SUM(E198:E209))</f>
        <v>3260.12</v>
      </c>
    </row>
    <row r="211" ht="24.75" customHeight="1"/>
  </sheetData>
  <mergeCells count="178">
    <mergeCell ref="A2:F2"/>
    <mergeCell ref="I2:J2"/>
    <mergeCell ref="M2:N2"/>
    <mergeCell ref="A3:C3"/>
    <mergeCell ref="D3:F3"/>
    <mergeCell ref="A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A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A47:G47"/>
    <mergeCell ref="B48:C48"/>
    <mergeCell ref="D48:E48"/>
    <mergeCell ref="F48:G48"/>
    <mergeCell ref="B49:C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B55:C55"/>
    <mergeCell ref="D55:E55"/>
    <mergeCell ref="F55:G55"/>
    <mergeCell ref="B56:C56"/>
    <mergeCell ref="D56:E56"/>
    <mergeCell ref="F56:G56"/>
    <mergeCell ref="A60:C60"/>
    <mergeCell ref="A62:C62"/>
    <mergeCell ref="A72:C72"/>
    <mergeCell ref="A83:C83"/>
    <mergeCell ref="A92:C92"/>
    <mergeCell ref="A102:C102"/>
    <mergeCell ref="A113:C113"/>
    <mergeCell ref="A130:E130"/>
    <mergeCell ref="A131:B131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A150:B150"/>
    <mergeCell ref="C150:D150"/>
    <mergeCell ref="A151:B151"/>
    <mergeCell ref="C151:D151"/>
    <mergeCell ref="A156:E156"/>
    <mergeCell ref="A157:B157"/>
    <mergeCell ref="C157:D157"/>
    <mergeCell ref="A158:B158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A177:B177"/>
    <mergeCell ref="C177:D177"/>
    <mergeCell ref="A178:B178"/>
    <mergeCell ref="C178:D178"/>
    <mergeCell ref="A183:E183"/>
    <mergeCell ref="A184:B184"/>
    <mergeCell ref="C184:D184"/>
    <mergeCell ref="A185:B185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A209:B209"/>
    <mergeCell ref="C209:D209"/>
    <mergeCell ref="A210:B210"/>
    <mergeCell ref="C210:D210"/>
    <mergeCell ref="A4:A17"/>
    <mergeCell ref="D4:D17"/>
    <mergeCell ref="A186:B208"/>
    <mergeCell ref="A132:B149"/>
    <mergeCell ref="A159:B176"/>
  </mergeCells>
  <conditionalFormatting sqref="C91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3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E151">
    <cfRule type="cellIs" dxfId="2" priority="54" operator="greaterThanOrEqual">
      <formula>0</formula>
    </cfRule>
    <cfRule type="cellIs" dxfId="3" priority="53" operator="lessThan">
      <formula>0</formula>
    </cfRule>
  </conditionalFormatting>
  <conditionalFormatting sqref="E158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60">
    <cfRule type="cellIs" dxfId="4" priority="7" operator="equal">
      <formula>0</formula>
    </cfRule>
  </conditionalFormatting>
  <conditionalFormatting sqref="E178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E185">
    <cfRule type="cellIs" dxfId="2" priority="27" operator="greaterThanOrEqual">
      <formula>0</formula>
    </cfRule>
    <cfRule type="cellIs" dxfId="3" priority="26" operator="lessThan">
      <formula>0</formula>
    </cfRule>
  </conditionalFormatting>
  <conditionalFormatting sqref="E210">
    <cfRule type="cellIs" dxfId="2" priority="29" operator="greaterThanOrEqual">
      <formula>0</formula>
    </cfRule>
    <cfRule type="cellIs" dxfId="3" priority="28" operator="lessThan">
      <formula>0</formula>
    </cfRule>
  </conditionalFormatting>
  <conditionalFormatting sqref="C63:C70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73:C82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84:C8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86:C90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6:C100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103:C105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106:C11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124:C125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33:E142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62:E169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71:E176">
    <cfRule type="cellIs" dxfId="5" priority="6" operator="equal">
      <formula>0</formula>
    </cfRule>
    <cfRule type="cellIs" dxfId="1" priority="5" operator="greaterThan">
      <formula>0</formula>
    </cfRule>
  </conditionalFormatting>
  <conditionalFormatting sqref="E187:E188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E189:E196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98:E208">
    <cfRule type="cellIs" dxfId="5" priority="2" operator="equal">
      <formula>0</formula>
    </cfRule>
    <cfRule type="cellIs" dxfId="1" priority="1" operator="greaterThan">
      <formula>0</formula>
    </cfRule>
  </conditionalFormatting>
  <conditionalFormatting sqref="J4:J51">
    <cfRule type="cellIs" dxfId="5" priority="17" operator="greaterThanOrEqual">
      <formula>0</formula>
    </cfRule>
  </conditionalFormatting>
  <conditionalFormatting sqref="N4:N19">
    <cfRule type="cellIs" dxfId="5" priority="16" operator="greaterThanOrEqual">
      <formula>0</formula>
    </cfRule>
  </conditionalFormatting>
  <conditionalFormatting sqref="C71 C101 C94:C95 C111:C112 C114:C123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E132 E143:E150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E159 E170 E177">
    <cfRule type="cellIs" dxfId="5" priority="39" operator="equal">
      <formula>0</formula>
    </cfRule>
    <cfRule type="cellIs" dxfId="1" priority="38" operator="greaterThan">
      <formula>0</formula>
    </cfRule>
  </conditionalFormatting>
  <conditionalFormatting sqref="E186 E197 E209">
    <cfRule type="cellIs" dxfId="5" priority="31" operator="equal">
      <formula>0</formula>
    </cfRule>
    <cfRule type="cellIs" dxfId="1" priority="30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5"/>
  <sheetViews>
    <sheetView topLeftCell="A15" workbookViewId="0">
      <selection activeCell="H2" sqref="H2"/>
    </sheetView>
  </sheetViews>
  <sheetFormatPr defaultColWidth="9" defaultRowHeight="17.6"/>
  <cols>
    <col min="1" max="1" width="25" style="43" customWidth="1"/>
    <col min="2" max="2" width="20.625" style="43" customWidth="1"/>
    <col min="3" max="3" width="24.875" style="43" customWidth="1"/>
    <col min="4" max="6" width="20.625" style="43" customWidth="1"/>
    <col min="7" max="7" width="9" style="43"/>
    <col min="8" max="9" width="20.625" style="43" customWidth="1"/>
    <col min="10" max="16384" width="9" style="43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2024 to October 2024</v>
      </c>
      <c r="B1" s="1"/>
      <c r="C1" s="1"/>
      <c r="D1" s="1"/>
      <c r="E1" s="1"/>
      <c r="F1" s="1"/>
      <c r="G1" s="1"/>
    </row>
    <row r="2" ht="28.5" customHeight="1" spans="1:8">
      <c r="A2" s="2" t="s">
        <v>33</v>
      </c>
      <c r="B2" s="3" t="s">
        <v>132</v>
      </c>
      <c r="C2" s="4" cm="1">
        <f ca="1" t="array" ref="C2">INDIRECT("'"&amp;Main!B9&amp;"'!$C$15")</f>
        <v>12.9</v>
      </c>
      <c r="D2" s="4"/>
      <c r="E2" s="4"/>
      <c r="F2" s="4"/>
      <c r="G2" s="4"/>
      <c r="H2" s="43" cm="1">
        <f ca="1" t="array" ref="H2">INDIRECT("'"&amp;Main!B9&amp;"'!$C$15")</f>
        <v>12.9</v>
      </c>
    </row>
    <row r="3" ht="42" customHeight="1" spans="1:7">
      <c r="A3" s="5"/>
      <c r="B3" s="6" t="s">
        <v>133</v>
      </c>
      <c r="C3" s="7">
        <f>E202</f>
        <v>502.709999999998</v>
      </c>
      <c r="D3" s="7"/>
      <c r="E3" s="7"/>
      <c r="F3" s="7"/>
      <c r="G3" s="7"/>
    </row>
    <row r="4" spans="1:9">
      <c r="A4" s="8" t="s">
        <v>47</v>
      </c>
      <c r="B4" s="9"/>
      <c r="C4" s="10">
        <f ca="1">SUM(C2:G3)</f>
        <v>515.609999999998</v>
      </c>
      <c r="D4" s="10"/>
      <c r="E4" s="10"/>
      <c r="F4" s="10"/>
      <c r="G4" s="10"/>
      <c r="H4" s="14"/>
      <c r="I4" s="50"/>
    </row>
    <row r="5" spans="1:9">
      <c r="A5" s="11" t="s">
        <v>134</v>
      </c>
      <c r="B5" s="11"/>
      <c r="C5" s="12">
        <f>C115</f>
        <v>-11683</v>
      </c>
      <c r="D5" s="13"/>
      <c r="E5" s="13"/>
      <c r="F5" s="13"/>
      <c r="G5" s="13"/>
      <c r="H5" s="14"/>
      <c r="I5" s="50"/>
    </row>
    <row r="6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July 2024 - 19 August 2024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70" t="s">
        <v>135</v>
      </c>
      <c r="B10" s="171" t="s">
        <v>52</v>
      </c>
      <c r="C10" s="172"/>
      <c r="D10" s="173" t="s">
        <v>53</v>
      </c>
      <c r="E10" s="182"/>
      <c r="F10" s="44">
        <v>2405</v>
      </c>
      <c r="G10" s="45"/>
      <c r="H10" s="14"/>
      <c r="I10" s="50"/>
    </row>
    <row r="11" ht="24.75" customHeight="1" spans="1:9">
      <c r="A11" s="170"/>
      <c r="B11" s="132" t="s">
        <v>136</v>
      </c>
      <c r="C11" s="133"/>
      <c r="D11" s="156"/>
      <c r="E11" s="183"/>
      <c r="F11" s="44">
        <v>27</v>
      </c>
      <c r="G11" s="45"/>
      <c r="H11" s="14"/>
      <c r="I11" s="50"/>
    </row>
    <row r="12" ht="37.5" customHeight="1" spans="1:9">
      <c r="A12" s="170"/>
      <c r="B12" s="132" t="s">
        <v>137</v>
      </c>
      <c r="C12" s="133"/>
      <c r="D12" s="156"/>
      <c r="E12" s="183"/>
      <c r="F12" s="44">
        <v>17</v>
      </c>
      <c r="G12" s="45"/>
      <c r="H12" s="14"/>
      <c r="I12" s="50"/>
    </row>
    <row r="13" ht="24.75" customHeight="1" spans="1:9">
      <c r="A13" s="170" t="s">
        <v>138</v>
      </c>
      <c r="B13" s="174" t="s">
        <v>139</v>
      </c>
      <c r="C13" s="175"/>
      <c r="D13" s="156"/>
      <c r="E13" s="183"/>
      <c r="F13" s="44">
        <v>1500</v>
      </c>
      <c r="G13" s="45"/>
      <c r="H13" s="14"/>
      <c r="I13" s="50"/>
    </row>
    <row r="14" ht="24.75" customHeight="1" spans="1:9">
      <c r="A14" s="19"/>
      <c r="B14" s="21"/>
      <c r="C14" s="22"/>
      <c r="D14" s="176"/>
      <c r="E14" s="184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3949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August 2024 - 19 September 2024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70" t="s">
        <v>141</v>
      </c>
      <c r="B22" s="171" t="s">
        <v>142</v>
      </c>
      <c r="C22" s="172"/>
      <c r="D22" s="173" t="s">
        <v>143</v>
      </c>
      <c r="E22" s="182"/>
      <c r="F22" s="185">
        <v>204</v>
      </c>
      <c r="G22" s="186"/>
      <c r="H22" s="14"/>
      <c r="I22" s="50"/>
    </row>
    <row r="23" ht="24.75" customHeight="1" spans="1:9">
      <c r="A23" s="170" t="s">
        <v>141</v>
      </c>
      <c r="B23" s="132" t="s">
        <v>144</v>
      </c>
      <c r="C23" s="133"/>
      <c r="D23" s="177" t="s">
        <v>145</v>
      </c>
      <c r="E23" s="187"/>
      <c r="F23" s="7">
        <v>207.5</v>
      </c>
      <c r="G23" s="7"/>
      <c r="H23" s="14"/>
      <c r="I23" s="50"/>
    </row>
    <row r="24" ht="24.75" customHeight="1" spans="1:9">
      <c r="A24" s="170" t="s">
        <v>146</v>
      </c>
      <c r="B24" s="132" t="s">
        <v>147</v>
      </c>
      <c r="C24" s="133"/>
      <c r="D24" s="177" t="s">
        <v>148</v>
      </c>
      <c r="E24" s="187"/>
      <c r="F24" s="7">
        <v>900</v>
      </c>
      <c r="G24" s="7"/>
      <c r="H24" s="14"/>
      <c r="I24" s="50"/>
    </row>
    <row r="25" ht="24.75" customHeight="1" spans="1:9">
      <c r="A25" s="170" t="s">
        <v>149</v>
      </c>
      <c r="B25" s="132" t="s">
        <v>52</v>
      </c>
      <c r="C25" s="133"/>
      <c r="D25" s="156" t="s">
        <v>53</v>
      </c>
      <c r="E25" s="183"/>
      <c r="F25" s="114">
        <v>2405</v>
      </c>
      <c r="G25" s="115"/>
      <c r="H25" s="14"/>
      <c r="I25" s="50"/>
    </row>
    <row r="26" ht="24.75" customHeight="1" spans="1:9">
      <c r="A26" s="170" t="s">
        <v>150</v>
      </c>
      <c r="B26" s="132" t="s">
        <v>74</v>
      </c>
      <c r="C26" s="133"/>
      <c r="D26" s="156" t="s">
        <v>151</v>
      </c>
      <c r="E26" s="183"/>
      <c r="F26" s="44">
        <v>0</v>
      </c>
      <c r="G26" s="45"/>
      <c r="H26" s="14"/>
      <c r="I26" s="50"/>
    </row>
    <row r="27" ht="41.25" customHeight="1" spans="1:9">
      <c r="A27" s="170"/>
      <c r="B27" s="132" t="s">
        <v>137</v>
      </c>
      <c r="C27" s="133"/>
      <c r="D27" s="156"/>
      <c r="E27" s="183"/>
      <c r="F27" s="44">
        <v>17</v>
      </c>
      <c r="G27" s="45"/>
      <c r="H27" s="14"/>
      <c r="I27" s="50"/>
    </row>
    <row r="28" ht="24.75" customHeight="1" spans="1:9">
      <c r="A28" s="170"/>
      <c r="B28" s="132" t="s">
        <v>136</v>
      </c>
      <c r="C28" s="133"/>
      <c r="D28" s="156"/>
      <c r="E28" s="150"/>
      <c r="F28" s="188">
        <v>27</v>
      </c>
      <c r="G28" s="45"/>
      <c r="H28" s="14"/>
      <c r="I28" s="50"/>
    </row>
    <row r="29" ht="24.75" customHeight="1" spans="1:9">
      <c r="A29" s="170" t="s">
        <v>152</v>
      </c>
      <c r="B29" s="174" t="s">
        <v>66</v>
      </c>
      <c r="C29" s="175"/>
      <c r="D29" s="178" t="s">
        <v>153</v>
      </c>
      <c r="E29" s="189"/>
      <c r="F29" s="44">
        <v>0</v>
      </c>
      <c r="G29" s="45"/>
      <c r="H29" s="14"/>
      <c r="I29" s="50"/>
    </row>
    <row r="30" ht="24.75" customHeight="1" spans="1:9">
      <c r="A30" s="19"/>
      <c r="B30" s="112"/>
      <c r="C30" s="113"/>
      <c r="D30" s="23"/>
      <c r="E30" s="46"/>
      <c r="F30" s="44">
        <v>0</v>
      </c>
      <c r="G30" s="45"/>
      <c r="H30" s="14"/>
      <c r="I30" s="50"/>
    </row>
    <row r="31" ht="24.75" customHeight="1" spans="1:9">
      <c r="A31" s="24"/>
      <c r="B31" s="25"/>
      <c r="C31" s="26"/>
      <c r="D31" s="27" t="s">
        <v>140</v>
      </c>
      <c r="E31" s="47"/>
      <c r="F31" s="48">
        <f>SUM(F22:G30)</f>
        <v>3760.5</v>
      </c>
      <c r="G31" s="49"/>
      <c r="H31" s="14"/>
      <c r="I31" s="50"/>
    </row>
    <row r="32" ht="24.75" customHeight="1" spans="1:9">
      <c r="A32" s="14"/>
      <c r="B32" s="14"/>
      <c r="C32" s="14"/>
      <c r="D32" s="14"/>
      <c r="E32" s="14"/>
      <c r="F32" s="14"/>
      <c r="G32" s="14"/>
      <c r="H32" s="14"/>
      <c r="I32" s="50"/>
    </row>
    <row r="33" ht="24.75" customHeight="1" spans="1:9">
      <c r="A33" s="14"/>
      <c r="B33" s="14"/>
      <c r="C33" s="14"/>
      <c r="D33" s="14"/>
      <c r="E33" s="14"/>
      <c r="F33" s="14"/>
      <c r="G33" s="14"/>
      <c r="H33" s="14"/>
      <c r="I33" s="50"/>
    </row>
    <row r="34" ht="24.75" customHeight="1" spans="1:9">
      <c r="A34" s="14"/>
      <c r="B34" s="14"/>
      <c r="C34" s="14"/>
      <c r="D34" s="14"/>
      <c r="E34" s="14"/>
      <c r="F34" s="14"/>
      <c r="G34" s="14"/>
      <c r="H34" s="14"/>
      <c r="I34" s="50"/>
    </row>
    <row r="35" ht="24.75" customHeight="1" spans="1:9">
      <c r="A35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September 2024 - 19 October 2024 /  (Revenue / Deferred Debts Or Expenses)</v>
      </c>
      <c r="B35" s="16"/>
      <c r="C35" s="16"/>
      <c r="D35" s="16"/>
      <c r="E35" s="16"/>
      <c r="F35" s="16"/>
      <c r="G35" s="16"/>
      <c r="H35" s="14"/>
      <c r="I35" s="50"/>
    </row>
    <row r="36" ht="24.75" customHeight="1" spans="1:9">
      <c r="A36" s="17" t="s">
        <v>29</v>
      </c>
      <c r="B36" s="17" t="s">
        <v>48</v>
      </c>
      <c r="C36" s="17"/>
      <c r="D36" s="18" t="s">
        <v>49</v>
      </c>
      <c r="E36" s="18"/>
      <c r="F36" s="18" t="s">
        <v>50</v>
      </c>
      <c r="G36" s="18"/>
      <c r="H36" s="14"/>
      <c r="I36" s="50"/>
    </row>
    <row r="37" ht="24.75" customHeight="1" spans="1:9">
      <c r="A37" s="170" t="s">
        <v>154</v>
      </c>
      <c r="B37" s="171" t="s">
        <v>66</v>
      </c>
      <c r="C37" s="172"/>
      <c r="D37" s="173" t="s">
        <v>153</v>
      </c>
      <c r="E37" s="182"/>
      <c r="F37" s="185">
        <v>0</v>
      </c>
      <c r="G37" s="186"/>
      <c r="H37" s="14"/>
      <c r="I37" s="50"/>
    </row>
    <row r="38" ht="24.75" customHeight="1" spans="1:9">
      <c r="A38" s="170"/>
      <c r="B38" s="132" t="s">
        <v>155</v>
      </c>
      <c r="C38" s="133"/>
      <c r="D38" s="156"/>
      <c r="E38" s="190"/>
      <c r="F38" s="7">
        <v>270</v>
      </c>
      <c r="G38" s="7"/>
      <c r="H38" s="14"/>
      <c r="I38" s="50"/>
    </row>
    <row r="39" ht="24.75" customHeight="1" spans="1:9">
      <c r="A39" s="170" t="s">
        <v>154</v>
      </c>
      <c r="B39" s="132" t="s">
        <v>52</v>
      </c>
      <c r="C39" s="133"/>
      <c r="D39" s="156" t="s">
        <v>53</v>
      </c>
      <c r="E39" s="190"/>
      <c r="F39" s="7">
        <v>2405</v>
      </c>
      <c r="G39" s="7"/>
      <c r="H39" s="14"/>
      <c r="I39" s="50"/>
    </row>
    <row r="40" ht="24.75" customHeight="1" spans="1:9">
      <c r="A40" s="170"/>
      <c r="B40" s="132" t="s">
        <v>156</v>
      </c>
      <c r="C40" s="133"/>
      <c r="D40" s="156"/>
      <c r="E40" s="190"/>
      <c r="F40" s="7">
        <v>204</v>
      </c>
      <c r="G40" s="7"/>
      <c r="H40" s="14"/>
      <c r="I40" s="50"/>
    </row>
    <row r="41" ht="24.75" customHeight="1" spans="1:9">
      <c r="A41" s="170" t="s">
        <v>154</v>
      </c>
      <c r="B41" s="132" t="s">
        <v>157</v>
      </c>
      <c r="C41" s="133"/>
      <c r="D41" s="156"/>
      <c r="E41" s="183"/>
      <c r="F41" s="114">
        <v>27</v>
      </c>
      <c r="G41" s="115"/>
      <c r="H41" s="14"/>
      <c r="I41" s="50"/>
    </row>
    <row r="42" ht="24.75" customHeight="1" spans="1:9">
      <c r="A42" s="170" t="s">
        <v>158</v>
      </c>
      <c r="B42" s="132" t="s">
        <v>159</v>
      </c>
      <c r="C42" s="133"/>
      <c r="D42" s="156"/>
      <c r="E42" s="183"/>
      <c r="F42" s="185">
        <v>1000</v>
      </c>
      <c r="G42" s="186"/>
      <c r="H42" s="14"/>
      <c r="I42" s="51"/>
    </row>
    <row r="43" ht="39" customHeight="1" spans="1:9">
      <c r="A43" s="170" t="s">
        <v>160</v>
      </c>
      <c r="B43" s="132" t="s">
        <v>161</v>
      </c>
      <c r="C43" s="133"/>
      <c r="D43" s="132" t="s">
        <v>162</v>
      </c>
      <c r="E43" s="191"/>
      <c r="F43" s="7">
        <v>100</v>
      </c>
      <c r="G43" s="7"/>
      <c r="H43" s="14"/>
      <c r="I43" s="50"/>
    </row>
    <row r="44" ht="41.25" customHeight="1" spans="1:9">
      <c r="A44" s="170" t="s">
        <v>163</v>
      </c>
      <c r="B44" s="132" t="s">
        <v>164</v>
      </c>
      <c r="C44" s="133"/>
      <c r="D44" s="132" t="s">
        <v>165</v>
      </c>
      <c r="E44" s="191"/>
      <c r="F44" s="7">
        <v>500</v>
      </c>
      <c r="G44" s="7"/>
      <c r="H44" s="14"/>
      <c r="I44" s="50"/>
    </row>
    <row r="45" ht="24.75" customHeight="1" spans="1:9">
      <c r="A45" s="179"/>
      <c r="B45" s="174" t="s">
        <v>166</v>
      </c>
      <c r="C45" s="175"/>
      <c r="D45" s="178" t="s">
        <v>167</v>
      </c>
      <c r="E45" s="189"/>
      <c r="F45" s="114">
        <v>800</v>
      </c>
      <c r="G45" s="115"/>
      <c r="H45" s="14"/>
      <c r="I45" s="50"/>
    </row>
    <row r="46" ht="24.75" customHeight="1" spans="1:9">
      <c r="A46" s="19"/>
      <c r="B46" s="21"/>
      <c r="C46" s="22"/>
      <c r="D46" s="21"/>
      <c r="E46" s="22"/>
      <c r="F46" s="44">
        <v>0</v>
      </c>
      <c r="G46" s="45"/>
      <c r="H46" s="14"/>
      <c r="I46" s="50"/>
    </row>
    <row r="47" ht="24.75" customHeight="1" spans="1:9">
      <c r="A47" s="24"/>
      <c r="B47" s="25"/>
      <c r="C47" s="26"/>
      <c r="D47" s="27" t="s">
        <v>140</v>
      </c>
      <c r="E47" s="47"/>
      <c r="F47" s="48">
        <f>SUM(F37:G46)</f>
        <v>5306</v>
      </c>
      <c r="G47" s="49"/>
      <c r="H47" s="14"/>
      <c r="I47" s="50"/>
    </row>
    <row r="48" ht="24.75" customHeight="1" spans="1:9">
      <c r="A48" s="14"/>
      <c r="B48" s="14"/>
      <c r="C48" s="14"/>
      <c r="D48" s="14"/>
      <c r="E48" s="14"/>
      <c r="F48" s="14"/>
      <c r="G48" s="14"/>
      <c r="H48" s="14"/>
      <c r="I48" s="50"/>
    </row>
    <row r="49" ht="24.75" customHeight="1" spans="1:9">
      <c r="A49" s="14"/>
      <c r="B49" s="14"/>
      <c r="C49" s="14"/>
      <c r="D49" s="14"/>
      <c r="E49" s="14"/>
      <c r="F49" s="14"/>
      <c r="G49" s="14"/>
      <c r="H49" s="14"/>
      <c r="I49" s="50"/>
    </row>
    <row r="50" spans="1:9">
      <c r="A50" s="14"/>
      <c r="B50" s="14"/>
      <c r="C50" s="14"/>
      <c r="D50" s="14"/>
      <c r="E50" s="14"/>
      <c r="F50" s="14"/>
      <c r="G50" s="14"/>
      <c r="H50" s="14"/>
      <c r="I50" s="50"/>
    </row>
    <row r="51" ht="18" customHeight="1" spans="1:9">
      <c r="A51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2024 to October 2024</v>
      </c>
      <c r="B51" s="29"/>
      <c r="C51" s="30"/>
      <c r="D51" s="14"/>
      <c r="E51" s="14"/>
      <c r="F51" s="14"/>
      <c r="G51" s="14"/>
      <c r="H51" s="14"/>
      <c r="I51" s="50"/>
    </row>
    <row r="52" ht="21" spans="1:9">
      <c r="A52" s="31" t="s">
        <v>48</v>
      </c>
      <c r="B52" s="31" t="s">
        <v>49</v>
      </c>
      <c r="C52" s="1" t="s">
        <v>50</v>
      </c>
      <c r="D52" s="14"/>
      <c r="E52" s="14"/>
      <c r="F52" s="14"/>
      <c r="G52" s="14"/>
      <c r="H52" s="14"/>
      <c r="I52" s="50"/>
    </row>
    <row r="53" spans="1:9">
      <c r="A53" s="32" t="s">
        <v>73</v>
      </c>
      <c r="B53" s="33"/>
      <c r="C53" s="34"/>
      <c r="D53" s="14"/>
      <c r="E53" s="14"/>
      <c r="F53" s="14"/>
      <c r="G53" s="14"/>
      <c r="H53" s="14"/>
      <c r="I53" s="50"/>
    </row>
    <row r="54" spans="1:9">
      <c r="A54" s="35" t="s">
        <v>74</v>
      </c>
      <c r="B54" s="36"/>
      <c r="C54" s="180">
        <v>204</v>
      </c>
      <c r="D54" s="14"/>
      <c r="E54" s="14"/>
      <c r="F54" s="14"/>
      <c r="G54" s="14"/>
      <c r="H54" s="14"/>
      <c r="I54" s="50"/>
    </row>
    <row r="55" spans="1:9">
      <c r="A55" s="35" t="s">
        <v>75</v>
      </c>
      <c r="B55" s="36"/>
      <c r="C55" s="180">
        <v>207.5</v>
      </c>
      <c r="D55" s="14"/>
      <c r="E55" s="14"/>
      <c r="F55" s="14"/>
      <c r="G55" s="14"/>
      <c r="H55" s="14"/>
      <c r="I55" s="50"/>
    </row>
    <row r="56" spans="1:9">
      <c r="A56" s="38" t="s">
        <v>76</v>
      </c>
      <c r="B56" s="36"/>
      <c r="C56" s="180">
        <v>0</v>
      </c>
      <c r="D56" s="14"/>
      <c r="E56" s="14"/>
      <c r="F56" s="14"/>
      <c r="G56" s="14"/>
      <c r="H56" s="14"/>
      <c r="I56" s="50"/>
    </row>
    <row r="57" spans="1:9">
      <c r="A57" s="35" t="s">
        <v>59</v>
      </c>
      <c r="B57" s="39"/>
      <c r="C57" s="180">
        <v>0</v>
      </c>
      <c r="D57" s="14"/>
      <c r="E57" s="14"/>
      <c r="F57" s="14"/>
      <c r="G57" s="14"/>
      <c r="H57" s="14"/>
      <c r="I57" s="50"/>
    </row>
    <row r="58" spans="1:9">
      <c r="A58" s="181"/>
      <c r="B58" s="39"/>
      <c r="C58" s="180">
        <v>0</v>
      </c>
      <c r="D58" s="14"/>
      <c r="E58" s="14"/>
      <c r="F58" s="14"/>
      <c r="G58" s="14"/>
      <c r="H58" s="14"/>
      <c r="I58" s="50"/>
    </row>
    <row r="59" spans="1:9">
      <c r="A59" s="181"/>
      <c r="B59" s="39"/>
      <c r="C59" s="180">
        <v>0</v>
      </c>
      <c r="D59" s="14"/>
      <c r="E59" s="14"/>
      <c r="F59" s="14"/>
      <c r="G59" s="14"/>
      <c r="H59" s="14"/>
      <c r="I59" s="50"/>
    </row>
    <row r="60" spans="1:9">
      <c r="A60" s="181"/>
      <c r="B60" s="39"/>
      <c r="C60" s="180">
        <v>0</v>
      </c>
      <c r="D60" s="14"/>
      <c r="E60" s="14"/>
      <c r="F60" s="14"/>
      <c r="G60" s="14"/>
      <c r="H60" s="14"/>
      <c r="I60" s="50"/>
    </row>
    <row r="61" spans="1:9">
      <c r="A61" s="181"/>
      <c r="B61" s="39"/>
      <c r="C61" s="180">
        <v>0</v>
      </c>
      <c r="D61" s="14"/>
      <c r="E61" s="14"/>
      <c r="F61" s="14"/>
      <c r="G61" s="14"/>
      <c r="H61" s="14"/>
      <c r="I61" s="50"/>
    </row>
    <row r="62" spans="1:9">
      <c r="A62" s="41"/>
      <c r="B62" s="121" t="s">
        <v>77</v>
      </c>
      <c r="C62" s="37">
        <f>SUM(C54:C61)</f>
        <v>411.5</v>
      </c>
      <c r="D62" s="14"/>
      <c r="E62" s="14"/>
      <c r="F62" s="14"/>
      <c r="G62" s="14"/>
      <c r="H62" s="14"/>
      <c r="I62" s="50"/>
    </row>
    <row r="63" spans="1:9">
      <c r="A63" s="32" t="s">
        <v>78</v>
      </c>
      <c r="B63" s="33"/>
      <c r="C63" s="34"/>
      <c r="D63" s="14"/>
      <c r="E63" s="14"/>
      <c r="F63" s="14"/>
      <c r="G63" s="14"/>
      <c r="H63" s="14"/>
      <c r="I63" s="50"/>
    </row>
    <row r="64" spans="1:9">
      <c r="A64" s="35" t="s">
        <v>79</v>
      </c>
      <c r="B64" s="36"/>
      <c r="C64" s="37">
        <v>0</v>
      </c>
      <c r="D64" s="14"/>
      <c r="E64" s="14"/>
      <c r="F64" s="14"/>
      <c r="G64" s="14"/>
      <c r="H64" s="14"/>
      <c r="I64" s="50"/>
    </row>
    <row r="65" spans="1:9">
      <c r="A65" s="35" t="s">
        <v>80</v>
      </c>
      <c r="B65" s="36"/>
      <c r="C65" s="37">
        <v>0</v>
      </c>
      <c r="D65" s="14"/>
      <c r="E65" s="14"/>
      <c r="F65" s="14"/>
      <c r="G65" s="14"/>
      <c r="H65" s="14"/>
      <c r="I65" s="50"/>
    </row>
    <row r="66" spans="1:9">
      <c r="A66" s="35" t="s">
        <v>81</v>
      </c>
      <c r="B66" s="36"/>
      <c r="C66" s="37">
        <v>0</v>
      </c>
      <c r="D66" s="14"/>
      <c r="E66" s="14"/>
      <c r="F66" s="14"/>
      <c r="G66" s="14"/>
      <c r="H66" s="14"/>
      <c r="I66" s="50"/>
    </row>
    <row r="67" spans="1:9">
      <c r="A67" s="35" t="s">
        <v>82</v>
      </c>
      <c r="B67" s="36"/>
      <c r="C67" s="37">
        <v>0</v>
      </c>
      <c r="D67" s="14"/>
      <c r="E67" s="14"/>
      <c r="F67" s="14"/>
      <c r="G67" s="14"/>
      <c r="H67" s="14"/>
      <c r="I67" s="50"/>
    </row>
    <row r="68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spans="1:9">
      <c r="A73" s="52"/>
      <c r="B73" s="121" t="s">
        <v>77</v>
      </c>
      <c r="C73" s="37">
        <f>SUM(C64:C72)</f>
        <v>0</v>
      </c>
      <c r="D73" s="14"/>
      <c r="E73" s="14"/>
      <c r="F73" s="14"/>
      <c r="G73" s="14"/>
      <c r="H73" s="14"/>
      <c r="I73" s="50"/>
    </row>
    <row r="74" spans="1:9">
      <c r="A74" s="32" t="s">
        <v>83</v>
      </c>
      <c r="B74" s="33"/>
      <c r="C74" s="34"/>
      <c r="D74" s="14"/>
      <c r="E74" s="14"/>
      <c r="F74" s="14"/>
      <c r="G74" s="14"/>
      <c r="H74" s="14"/>
      <c r="I74" s="50"/>
    </row>
    <row r="75" spans="1:9">
      <c r="A75" s="35" t="s">
        <v>84</v>
      </c>
      <c r="B75" s="36" t="s">
        <v>85</v>
      </c>
      <c r="C75" s="37">
        <v>0</v>
      </c>
      <c r="D75" s="14"/>
      <c r="E75" s="14"/>
      <c r="F75" s="14"/>
      <c r="G75" s="14"/>
      <c r="H75" s="14"/>
      <c r="I75" s="50"/>
    </row>
    <row r="76" spans="1:9">
      <c r="A76" s="35" t="s">
        <v>86</v>
      </c>
      <c r="B76" s="36" t="s">
        <v>87</v>
      </c>
      <c r="C76" s="37">
        <v>0</v>
      </c>
      <c r="D76" s="14"/>
      <c r="E76" s="14"/>
      <c r="F76" s="14"/>
      <c r="G76" s="14"/>
      <c r="H76" s="14"/>
      <c r="I76" s="50"/>
    </row>
    <row r="77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spans="1:9">
      <c r="A82" s="52"/>
      <c r="B82" s="121" t="s">
        <v>88</v>
      </c>
      <c r="C82" s="37">
        <f>SUM(C75:C81)</f>
        <v>0</v>
      </c>
      <c r="D82" s="14"/>
      <c r="E82" s="14"/>
      <c r="F82" s="14"/>
      <c r="G82" s="14"/>
      <c r="H82" s="14"/>
      <c r="I82" s="50"/>
    </row>
    <row r="83" spans="1:9">
      <c r="A83" s="32" t="s">
        <v>89</v>
      </c>
      <c r="B83" s="33"/>
      <c r="C83" s="34"/>
      <c r="D83" s="14"/>
      <c r="E83" s="14"/>
      <c r="F83" s="14"/>
      <c r="G83" s="14"/>
      <c r="H83" s="14"/>
      <c r="I83" s="50"/>
    </row>
    <row r="84" spans="1:9">
      <c r="A84" s="35" t="s">
        <v>90</v>
      </c>
      <c r="B84" s="36"/>
      <c r="C84" s="37">
        <v>0</v>
      </c>
      <c r="D84" s="14"/>
      <c r="E84" s="14"/>
      <c r="F84" s="14"/>
      <c r="G84" s="14"/>
      <c r="H84" s="14"/>
      <c r="I84" s="50"/>
    </row>
    <row r="85" spans="1:9">
      <c r="A85" s="35"/>
      <c r="B85" s="36"/>
      <c r="C85" s="37">
        <v>0</v>
      </c>
      <c r="D85" s="14"/>
      <c r="E85" s="14"/>
      <c r="F85" s="14"/>
      <c r="G85" s="14"/>
      <c r="H85" s="14"/>
      <c r="I85" s="50"/>
    </row>
    <row r="86" spans="1:9">
      <c r="A86" s="35"/>
      <c r="B86" s="36"/>
      <c r="C86" s="37">
        <v>0</v>
      </c>
      <c r="D86" s="14"/>
      <c r="E86" s="14"/>
      <c r="F86" s="14"/>
      <c r="G86" s="14"/>
      <c r="H86" s="14"/>
      <c r="I86" s="50"/>
    </row>
    <row r="87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spans="1:9">
      <c r="A88" s="35"/>
      <c r="B88" s="36"/>
      <c r="C88" s="37">
        <v>0</v>
      </c>
      <c r="D88" s="14"/>
      <c r="E88" s="14"/>
      <c r="F88" s="14"/>
      <c r="G88" s="14"/>
      <c r="H88" s="14"/>
      <c r="I88" s="50"/>
    </row>
    <row r="89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spans="1:9">
      <c r="A90" s="35"/>
      <c r="B90" s="36"/>
      <c r="C90" s="37">
        <v>0</v>
      </c>
      <c r="D90" s="14"/>
      <c r="E90" s="14"/>
      <c r="F90" s="14"/>
      <c r="G90" s="14"/>
      <c r="H90" s="14"/>
      <c r="I90" s="50"/>
    </row>
    <row r="9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spans="1:9">
      <c r="A92" s="52"/>
      <c r="B92" s="121" t="s">
        <v>91</v>
      </c>
      <c r="C92" s="37">
        <f>SUM(C84:C91)</f>
        <v>0</v>
      </c>
      <c r="D92" s="14"/>
      <c r="E92" s="14"/>
      <c r="F92" s="14"/>
      <c r="G92" s="14"/>
      <c r="H92" s="14"/>
      <c r="I92" s="50"/>
    </row>
    <row r="93" spans="1:9">
      <c r="A93" s="32" t="s">
        <v>92</v>
      </c>
      <c r="B93" s="33"/>
      <c r="C93" s="34"/>
      <c r="D93" s="14"/>
      <c r="E93" s="14"/>
      <c r="F93" s="14"/>
      <c r="G93" s="14"/>
      <c r="H93" s="14"/>
      <c r="I93" s="50"/>
    </row>
    <row r="94" ht="20.25" customHeight="1" spans="1:9">
      <c r="A94" s="101" t="s">
        <v>93</v>
      </c>
      <c r="B94" s="104" t="s">
        <v>94</v>
      </c>
      <c r="C94" s="103">
        <v>600</v>
      </c>
      <c r="D94" s="14"/>
      <c r="E94" s="14"/>
      <c r="F94" s="14"/>
      <c r="G94" s="14"/>
      <c r="H94" s="14"/>
      <c r="I94" s="50"/>
    </row>
    <row r="95" ht="20.25" customHeight="1" spans="1:9">
      <c r="A95" s="105" t="s">
        <v>95</v>
      </c>
      <c r="B95" s="106" t="s">
        <v>96</v>
      </c>
      <c r="C95" s="103">
        <v>68</v>
      </c>
      <c r="D95" s="14"/>
      <c r="E95" s="14"/>
      <c r="F95" s="14"/>
      <c r="G95" s="14"/>
      <c r="H95" s="14"/>
      <c r="I95" s="50"/>
    </row>
    <row r="96" ht="78.75" customHeight="1" spans="1:9">
      <c r="A96" s="101" t="s">
        <v>97</v>
      </c>
      <c r="B96" s="102" t="s">
        <v>168</v>
      </c>
      <c r="C96" s="103">
        <v>79</v>
      </c>
      <c r="D96" s="14"/>
      <c r="E96" s="14"/>
      <c r="F96" s="14"/>
      <c r="G96" s="14"/>
      <c r="H96" s="14"/>
      <c r="I96" s="50"/>
    </row>
    <row r="97" ht="24.75" customHeight="1" spans="1:9">
      <c r="A97" s="101" t="s">
        <v>99</v>
      </c>
      <c r="B97" s="102" t="s">
        <v>169</v>
      </c>
      <c r="C97" s="103">
        <v>870</v>
      </c>
      <c r="D97" s="14"/>
      <c r="E97" s="68"/>
      <c r="F97" s="14"/>
      <c r="G97" s="14"/>
      <c r="H97" s="14"/>
      <c r="I97" s="50"/>
    </row>
    <row r="98" ht="20.25" customHeight="1" spans="1:9">
      <c r="A98" s="35"/>
      <c r="B98" s="36"/>
      <c r="C98" s="37">
        <v>0</v>
      </c>
      <c r="D98" s="14"/>
      <c r="E98" s="14"/>
      <c r="F98" s="14"/>
      <c r="G98" s="14"/>
      <c r="H98" s="14"/>
      <c r="I98" s="50"/>
    </row>
    <row r="99" ht="20.25" customHeight="1" spans="1:9">
      <c r="A99" s="35"/>
      <c r="B99" s="36"/>
      <c r="C99" s="37">
        <v>0</v>
      </c>
      <c r="D99" s="14"/>
      <c r="E99" s="14"/>
      <c r="F99" s="14"/>
      <c r="G99" s="14"/>
      <c r="H99" s="14"/>
      <c r="I99" s="50"/>
    </row>
    <row r="100" ht="20.25" customHeight="1" spans="1:9">
      <c r="A100" s="35"/>
      <c r="B100" s="36"/>
      <c r="C100" s="37">
        <v>0</v>
      </c>
      <c r="D100" s="14"/>
      <c r="E100" s="14"/>
      <c r="F100" s="14"/>
      <c r="G100" s="14"/>
      <c r="H100" s="14"/>
      <c r="I100" s="50"/>
    </row>
    <row r="101" ht="20.25" customHeight="1" spans="1:9">
      <c r="A101" s="35"/>
      <c r="B101" s="36"/>
      <c r="C101" s="37">
        <v>0</v>
      </c>
      <c r="D101" s="14"/>
      <c r="E101" s="14"/>
      <c r="F101" s="14"/>
      <c r="G101" s="14"/>
      <c r="H101" s="14"/>
      <c r="I101" s="50"/>
    </row>
    <row r="102" spans="1:9">
      <c r="A102" s="40"/>
      <c r="B102" s="121" t="s">
        <v>77</v>
      </c>
      <c r="C102" s="37">
        <f>SUM(C94:C101)</f>
        <v>1617</v>
      </c>
      <c r="D102" s="14"/>
      <c r="E102" s="14"/>
      <c r="F102" s="14"/>
      <c r="G102" s="14"/>
      <c r="H102" s="14"/>
      <c r="I102" s="50"/>
    </row>
    <row r="103" spans="1:9">
      <c r="A103" s="52"/>
      <c r="B103" s="121" t="s">
        <v>101</v>
      </c>
      <c r="C103" s="37">
        <f>C62+C73+C82+C92+C102</f>
        <v>2028.5</v>
      </c>
      <c r="D103" s="14"/>
      <c r="E103" s="14"/>
      <c r="F103" s="14"/>
      <c r="G103" s="14"/>
      <c r="H103" s="14"/>
      <c r="I103" s="50"/>
    </row>
    <row r="104" spans="1:9">
      <c r="A104" s="192" t="s">
        <v>102</v>
      </c>
      <c r="B104" s="193"/>
      <c r="C104" s="194"/>
      <c r="D104" s="14"/>
      <c r="E104" s="14"/>
      <c r="F104" s="14"/>
      <c r="G104" s="14"/>
      <c r="H104" s="14"/>
      <c r="I104" s="50"/>
    </row>
    <row r="105" spans="1:9">
      <c r="A105" s="107" t="s">
        <v>103</v>
      </c>
      <c r="B105" s="36"/>
      <c r="C105" s="37">
        <f>((('April 2024 - June 2024'!E133+'April 2024 - June 2024'!E160+'April 2024 - June 2024'!E187))+SUM(E125+E156+E183))-'April 2024 - June 2024'!C114</f>
        <v>-9383</v>
      </c>
      <c r="D105" s="14"/>
      <c r="E105" s="69"/>
      <c r="F105" s="14"/>
      <c r="G105" s="14"/>
      <c r="H105" s="14"/>
      <c r="I105" s="50"/>
    </row>
    <row r="106" spans="1:9">
      <c r="A106" s="107" t="s">
        <v>104</v>
      </c>
      <c r="B106" s="36"/>
      <c r="C106" s="37">
        <f>((('April 2024 - June 2024'!E134+'April 2024 - June 2024'!E161+'April 2024 - June 2024'!E188))+SUM(E126+E157+E184))-'April 2024 - June 2024'!C115</f>
        <v>0</v>
      </c>
      <c r="D106" s="14"/>
      <c r="E106" s="14"/>
      <c r="F106" s="14"/>
      <c r="G106" s="14"/>
      <c r="H106" s="14"/>
      <c r="I106" s="50"/>
    </row>
    <row r="107" spans="1:9">
      <c r="A107" s="107" t="s">
        <v>105</v>
      </c>
      <c r="B107" s="36"/>
      <c r="C107" s="37">
        <f>(((('April 2024 - June 2024'!E135+'April 2024 - June 2024'!E162+'April 2024 - June 2024'!E189)))+SUM(E127+E158+E185))-'April 2024 - June 2024'!C116</f>
        <v>-2300</v>
      </c>
      <c r="D107" s="14"/>
      <c r="E107" s="14"/>
      <c r="F107" s="14"/>
      <c r="G107" s="14"/>
      <c r="H107" s="14"/>
      <c r="I107" s="50"/>
    </row>
    <row r="108" ht="58.5" customHeight="1" spans="1:9">
      <c r="A108" s="101" t="s">
        <v>106</v>
      </c>
      <c r="B108" s="36"/>
      <c r="C108" s="37">
        <f>(((('April 2024 - June 2024'!E136+'April 2024 - June 2024'!E163+'April 2024 - June 2024'!E190)))+SUM(E128+E159+E186))-'April 2024 - June 2024'!C117</f>
        <v>0</v>
      </c>
      <c r="D108" s="14"/>
      <c r="E108" s="14"/>
      <c r="F108" s="14"/>
      <c r="G108" s="14"/>
      <c r="H108" s="14"/>
      <c r="I108" s="50"/>
    </row>
    <row r="109" ht="42" customHeight="1" spans="1:9">
      <c r="A109" s="101" t="s">
        <v>107</v>
      </c>
      <c r="B109" s="36"/>
      <c r="C109" s="37">
        <f>(((('April 2024 - June 2024'!E137+'April 2024 - June 2024'!E164+'April 2024 - June 2024'!E191)))+SUM(E129+E160+E187))-'April 2024 - June 2024'!C118</f>
        <v>0</v>
      </c>
      <c r="D109" s="14"/>
      <c r="E109" s="195"/>
      <c r="F109" s="14"/>
      <c r="G109" s="14"/>
      <c r="H109" s="14"/>
      <c r="I109" s="50"/>
    </row>
    <row r="110" spans="1:9">
      <c r="A110" s="35"/>
      <c r="B110" s="36"/>
      <c r="C110" s="37">
        <f>(((('April 2024 - June 2024'!E138+'April 2024 - June 2024'!E165+'April 2024 - June 2024'!E192)))+SUM(E130+E161+E188))-'April 2024 - June 2024'!C119</f>
        <v>0</v>
      </c>
      <c r="D110" s="14"/>
      <c r="E110" s="14"/>
      <c r="F110" s="14"/>
      <c r="G110" s="14"/>
      <c r="H110" s="14"/>
      <c r="I110" s="50"/>
    </row>
    <row r="111" spans="1:9">
      <c r="A111" s="35"/>
      <c r="B111" s="36"/>
      <c r="C111" s="37">
        <f>(((('April 2024 - June 2024'!E139+'April 2024 - June 2024'!E166+'April 2024 - June 2024'!E192)))+SUM(E131+E162+E189))-'April 2024 - June 2024'!C120</f>
        <v>0</v>
      </c>
      <c r="D111" s="14"/>
      <c r="E111" s="14"/>
      <c r="F111" s="14"/>
      <c r="G111" s="14"/>
      <c r="H111" s="14"/>
      <c r="I111" s="50"/>
    </row>
    <row r="112" spans="1:9">
      <c r="A112" s="35"/>
      <c r="B112" s="36"/>
      <c r="C112" s="37">
        <f>(((('April 2024 - June 2024'!E140+'April 2024 - June 2024'!E167+'April 2024 - June 2024'!E194)))+SUM(E132+E163+E190))-'April 2024 - June 2024'!C121</f>
        <v>0</v>
      </c>
      <c r="D112" s="14"/>
      <c r="E112" s="14"/>
      <c r="F112" s="14"/>
      <c r="G112" s="14"/>
      <c r="H112" s="14"/>
      <c r="I112" s="50"/>
    </row>
    <row r="113" spans="1:9">
      <c r="A113" s="35"/>
      <c r="B113" s="36"/>
      <c r="C113" s="37">
        <f>(((('April 2024 - June 2024'!E141+'April 2024 - June 2024'!E168+'April 2024 - June 2024'!E195)))+SUM(E133+E164+E191))-'April 2024 - June 2024'!C122</f>
        <v>0</v>
      </c>
      <c r="D113" s="14"/>
      <c r="E113" s="14"/>
      <c r="F113" s="14"/>
      <c r="G113" s="14"/>
      <c r="H113" s="14"/>
      <c r="I113" s="50"/>
    </row>
    <row r="114" spans="1:9">
      <c r="A114" s="35"/>
      <c r="B114" s="36"/>
      <c r="C114" s="37">
        <f>(((('April 2024 - June 2024'!E142+'April 2024 - June 2024'!E169+'April 2024 - June 2024'!E196)))+SUM(E134+E165+E192))-'April 2024 - June 2024'!C123</f>
        <v>0</v>
      </c>
      <c r="D114" s="14"/>
      <c r="E114" s="14"/>
      <c r="F114" s="14"/>
      <c r="G114" s="14"/>
      <c r="H114" s="14"/>
      <c r="I114" s="50"/>
    </row>
    <row r="115" spans="1:9">
      <c r="A115" s="52"/>
      <c r="B115" s="121" t="s">
        <v>108</v>
      </c>
      <c r="C115" s="37">
        <f>SUM(C105:C114)</f>
        <v>-11683</v>
      </c>
      <c r="D115" s="14"/>
      <c r="E115" s="14"/>
      <c r="F115" s="14"/>
      <c r="G115" s="14"/>
      <c r="H115" s="14"/>
      <c r="I115" s="50"/>
    </row>
    <row r="116" spans="1:9">
      <c r="A116" s="52"/>
      <c r="B116" s="121" t="s">
        <v>109</v>
      </c>
      <c r="C116" s="37">
        <f>ABS(C103+ABS(C115))</f>
        <v>13711.5</v>
      </c>
      <c r="D116" s="14"/>
      <c r="E116" s="14"/>
      <c r="F116" s="14"/>
      <c r="G116" s="14"/>
      <c r="H116" s="14"/>
      <c r="I116" s="50"/>
    </row>
    <row r="117" spans="1:9">
      <c r="A117" s="14"/>
      <c r="B117" s="14"/>
      <c r="C117" s="14"/>
      <c r="D117" s="14"/>
      <c r="E117" s="14"/>
      <c r="F117" s="14"/>
      <c r="G117" s="14"/>
      <c r="H117" s="14"/>
      <c r="I117" s="50"/>
    </row>
    <row r="118" spans="1:9">
      <c r="A118" s="14"/>
      <c r="B118" s="14"/>
      <c r="C118" s="14"/>
      <c r="D118" s="14"/>
      <c r="E118" s="14"/>
      <c r="F118" s="14"/>
      <c r="G118" s="14"/>
      <c r="H118" s="14"/>
      <c r="I118" s="50"/>
    </row>
    <row r="119" ht="24.75" customHeight="1" spans="1:9">
      <c r="A119" s="14"/>
      <c r="B119" s="14"/>
      <c r="C119" s="14"/>
      <c r="D119" s="14"/>
      <c r="E119" s="14"/>
      <c r="F119" s="14"/>
      <c r="G119" s="14"/>
      <c r="H119" s="14"/>
      <c r="I119" s="50"/>
    </row>
    <row r="120" ht="24.75" customHeight="1" spans="1:9">
      <c r="A120" s="14"/>
      <c r="B120" s="14"/>
      <c r="C120" s="14"/>
      <c r="D120" s="14"/>
      <c r="E120" s="14"/>
      <c r="F120" s="14"/>
      <c r="G120" s="14"/>
      <c r="H120" s="14"/>
      <c r="I120" s="50"/>
    </row>
    <row r="121" ht="24.75" customHeight="1" spans="1:9">
      <c r="A121" s="53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20 2024 to August 19 2024</v>
      </c>
      <c r="B121" s="54"/>
      <c r="C121" s="54"/>
      <c r="D121" s="54"/>
      <c r="E121" s="55"/>
      <c r="F121" s="14"/>
      <c r="G121" s="14"/>
      <c r="H121" s="14"/>
      <c r="I121" s="50"/>
    </row>
    <row r="122" ht="24.75" customHeight="1" spans="1:9">
      <c r="A122" s="53" t="s">
        <v>110</v>
      </c>
      <c r="B122" s="55"/>
      <c r="C122" s="53" t="s">
        <v>49</v>
      </c>
      <c r="D122" s="55"/>
      <c r="E122" s="70" t="s">
        <v>50</v>
      </c>
      <c r="F122" s="14"/>
      <c r="G122" s="14"/>
      <c r="H122" s="14"/>
      <c r="I122" s="50"/>
    </row>
    <row r="123" ht="24.75" customHeight="1" spans="1:9">
      <c r="A123" s="56" t="str">
        <f>"Balance Brought Forward From "&amp;IF(Main!B2,TEXT(EDATE(Main!B3,3)-1,"mmmm yyyy"),TEXT(Main!B3+((Main!B5-Main!B3)*3+3),"mmmm yyyy"))</f>
        <v>Balance Brought Forward From July 2024</v>
      </c>
      <c r="B123" s="57"/>
      <c r="C123" s="58"/>
      <c r="D123" s="58"/>
      <c r="E123" s="94">
        <f>'April 2024 - June 2024'!E210</f>
        <v>3260.12</v>
      </c>
      <c r="F123" s="14"/>
      <c r="G123" s="14"/>
      <c r="H123" s="68"/>
      <c r="I123" s="50"/>
    </row>
    <row r="124" ht="24.75" customHeight="1" spans="1:9">
      <c r="A124" s="85" t="s">
        <v>92</v>
      </c>
      <c r="B124" s="123"/>
      <c r="C124" s="61" t="s">
        <v>111</v>
      </c>
      <c r="D124" s="62"/>
      <c r="E124" s="72"/>
      <c r="F124" s="14"/>
      <c r="G124" s="14"/>
      <c r="H124" s="14"/>
      <c r="I124" s="50"/>
    </row>
    <row r="125" ht="29.25" customHeight="1" spans="1:9">
      <c r="A125" s="89"/>
      <c r="B125" s="124"/>
      <c r="C125" s="65" t="s">
        <v>170</v>
      </c>
      <c r="D125" s="66"/>
      <c r="E125" s="37">
        <v>1000</v>
      </c>
      <c r="F125" s="14"/>
      <c r="G125" s="14"/>
      <c r="H125" s="14"/>
      <c r="I125" s="50"/>
    </row>
    <row r="126" ht="29.25" customHeight="1" spans="1:9">
      <c r="A126" s="89"/>
      <c r="B126" s="124"/>
      <c r="C126" s="65"/>
      <c r="D126" s="66"/>
      <c r="E126" s="37">
        <v>0</v>
      </c>
      <c r="F126" s="14"/>
      <c r="G126" s="14"/>
      <c r="H126" s="14"/>
      <c r="I126" s="50"/>
    </row>
    <row r="127" ht="29.25" customHeight="1" spans="1:9">
      <c r="A127" s="89"/>
      <c r="B127" s="124"/>
      <c r="C127" s="65"/>
      <c r="D127" s="66"/>
      <c r="E127" s="37">
        <v>0</v>
      </c>
      <c r="F127" s="14"/>
      <c r="G127" s="14"/>
      <c r="H127" s="14"/>
      <c r="I127" s="50"/>
    </row>
    <row r="128" ht="29.25" customHeight="1" spans="1:9">
      <c r="A128" s="89"/>
      <c r="B128" s="124"/>
      <c r="C128" s="65"/>
      <c r="D128" s="66"/>
      <c r="E128" s="37">
        <v>0</v>
      </c>
      <c r="F128" s="14"/>
      <c r="G128" s="14"/>
      <c r="H128" s="14"/>
      <c r="I128" s="50"/>
    </row>
    <row r="129" ht="24.75" customHeight="1" spans="1:9">
      <c r="A129" s="89"/>
      <c r="B129" s="124"/>
      <c r="C129" s="65"/>
      <c r="D129" s="66"/>
      <c r="E129" s="37">
        <v>0</v>
      </c>
      <c r="F129" s="14"/>
      <c r="G129" s="14"/>
      <c r="H129" s="14"/>
      <c r="I129" s="50"/>
    </row>
    <row r="130" ht="24.75" customHeight="1" spans="1:9">
      <c r="A130" s="89"/>
      <c r="B130" s="124"/>
      <c r="C130" s="65"/>
      <c r="D130" s="66"/>
      <c r="E130" s="37">
        <v>0</v>
      </c>
      <c r="F130" s="14"/>
      <c r="G130" s="14"/>
      <c r="H130" s="14"/>
      <c r="I130" s="50"/>
    </row>
    <row r="131" ht="24.75" customHeight="1" spans="1:9">
      <c r="A131" s="89"/>
      <c r="B131" s="124"/>
      <c r="C131" s="65"/>
      <c r="D131" s="66"/>
      <c r="E131" s="37">
        <v>0</v>
      </c>
      <c r="F131" s="14"/>
      <c r="G131" s="14"/>
      <c r="H131" s="14"/>
      <c r="I131" s="50"/>
    </row>
    <row r="132" ht="24.75" customHeight="1" spans="1:9">
      <c r="A132" s="89"/>
      <c r="B132" s="124"/>
      <c r="C132" s="65"/>
      <c r="D132" s="66"/>
      <c r="E132" s="37">
        <v>0</v>
      </c>
      <c r="F132" s="14"/>
      <c r="G132" s="14"/>
      <c r="H132" s="14"/>
      <c r="I132" s="50"/>
    </row>
    <row r="133" ht="24.75" customHeight="1" spans="1:9">
      <c r="A133" s="89"/>
      <c r="B133" s="124"/>
      <c r="C133" s="65"/>
      <c r="D133" s="66"/>
      <c r="E133" s="37">
        <v>0</v>
      </c>
      <c r="F133" s="14"/>
      <c r="G133" s="14"/>
      <c r="H133" s="14"/>
      <c r="I133" s="50"/>
    </row>
    <row r="134" ht="24.75" customHeight="1" spans="1:9">
      <c r="A134" s="89"/>
      <c r="B134" s="124"/>
      <c r="C134" s="65"/>
      <c r="D134" s="66"/>
      <c r="E134" s="37">
        <v>0</v>
      </c>
      <c r="F134" s="14"/>
      <c r="G134" s="14"/>
      <c r="H134" s="14"/>
      <c r="I134" s="50"/>
    </row>
    <row r="135" ht="24.75" customHeight="1" spans="1:9">
      <c r="A135" s="89"/>
      <c r="B135" s="124"/>
      <c r="C135" s="67" t="s">
        <v>112</v>
      </c>
      <c r="D135" s="62"/>
      <c r="E135" s="72"/>
      <c r="F135" s="14"/>
      <c r="G135" s="14"/>
      <c r="H135" s="14"/>
      <c r="I135" s="50"/>
    </row>
    <row r="136" ht="40.5" customHeight="1" spans="1:9">
      <c r="A136" s="89"/>
      <c r="B136" s="124"/>
      <c r="C136" s="128" t="s">
        <v>171</v>
      </c>
      <c r="D136" s="128"/>
      <c r="E136" s="103">
        <v>0</v>
      </c>
      <c r="F136" s="14"/>
      <c r="G136" s="14"/>
      <c r="H136" s="14"/>
      <c r="I136" s="50"/>
    </row>
    <row r="137" ht="40.5" customHeight="1" spans="1:9">
      <c r="A137" s="89"/>
      <c r="B137" s="124"/>
      <c r="C137" s="128" t="s">
        <v>123</v>
      </c>
      <c r="D137" s="128"/>
      <c r="E137" s="103">
        <v>788</v>
      </c>
      <c r="F137" s="14"/>
      <c r="G137" s="14"/>
      <c r="H137" s="14"/>
      <c r="I137" s="50"/>
    </row>
    <row r="138" ht="40.5" customHeight="1" spans="1:9">
      <c r="A138" s="89"/>
      <c r="B138" s="124"/>
      <c r="C138" s="128" t="s">
        <v>172</v>
      </c>
      <c r="D138" s="128"/>
      <c r="E138" s="103">
        <v>318</v>
      </c>
      <c r="F138" s="14"/>
      <c r="G138" s="14"/>
      <c r="H138" s="14"/>
      <c r="I138" s="50"/>
    </row>
    <row r="139" ht="40.5" customHeight="1" spans="1:9">
      <c r="A139" s="89"/>
      <c r="B139" s="124"/>
      <c r="C139" s="128" t="s">
        <v>173</v>
      </c>
      <c r="D139" s="128"/>
      <c r="E139" s="103">
        <v>600</v>
      </c>
      <c r="F139" s="14"/>
      <c r="G139" s="14"/>
      <c r="H139" s="14"/>
      <c r="I139" s="50"/>
    </row>
    <row r="140" ht="24.75" customHeight="1" spans="1:9">
      <c r="A140" s="89"/>
      <c r="B140" s="124"/>
      <c r="C140" s="128" t="s">
        <v>174</v>
      </c>
      <c r="D140" s="128"/>
      <c r="E140" s="103">
        <v>264</v>
      </c>
      <c r="F140" s="14"/>
      <c r="G140" s="14"/>
      <c r="H140" s="14"/>
      <c r="I140" s="50"/>
    </row>
    <row r="141" ht="24.75" customHeight="1" spans="1:9">
      <c r="A141" s="89"/>
      <c r="B141" s="124"/>
      <c r="C141" s="128" t="s">
        <v>175</v>
      </c>
      <c r="D141" s="128"/>
      <c r="E141" s="103">
        <v>60</v>
      </c>
      <c r="F141" s="14"/>
      <c r="G141" s="14"/>
      <c r="H141" s="14"/>
      <c r="I141" s="50"/>
    </row>
    <row r="142" ht="24.75" customHeight="1" spans="1:9">
      <c r="A142" s="89"/>
      <c r="B142" s="124"/>
      <c r="C142" s="128" t="s">
        <v>147</v>
      </c>
      <c r="D142" s="128"/>
      <c r="E142" s="103">
        <v>900</v>
      </c>
      <c r="F142" s="14"/>
      <c r="G142" s="14"/>
      <c r="H142" s="14"/>
      <c r="I142" s="50"/>
    </row>
    <row r="143" ht="24.75" customHeight="1" spans="1:9">
      <c r="A143" s="89"/>
      <c r="B143" s="124"/>
      <c r="C143" s="128" t="s">
        <v>176</v>
      </c>
      <c r="D143" s="128"/>
      <c r="E143" s="103">
        <v>204</v>
      </c>
      <c r="F143" s="14"/>
      <c r="G143" s="14"/>
      <c r="H143" s="14"/>
      <c r="I143" s="50"/>
    </row>
    <row r="144" ht="24.75" customHeight="1" spans="1:9">
      <c r="A144" s="89"/>
      <c r="B144" s="124"/>
      <c r="C144" s="128" t="s">
        <v>145</v>
      </c>
      <c r="D144" s="128"/>
      <c r="E144" s="103">
        <v>207.5</v>
      </c>
      <c r="F144" s="14"/>
      <c r="G144" s="14"/>
      <c r="H144" s="14"/>
      <c r="I144" s="50"/>
    </row>
    <row r="145" ht="24.75" customHeight="1" spans="1:9">
      <c r="A145" s="91"/>
      <c r="B145" s="125"/>
      <c r="C145" s="160" t="s">
        <v>177</v>
      </c>
      <c r="D145" s="160"/>
      <c r="E145" s="103">
        <v>139.28</v>
      </c>
      <c r="F145" s="14"/>
      <c r="G145" s="14"/>
      <c r="H145" s="14"/>
      <c r="I145" s="50"/>
    </row>
    <row r="146" ht="24.75" customHeight="1" spans="1:9">
      <c r="A146" s="56" t="s">
        <v>113</v>
      </c>
      <c r="B146" s="77"/>
      <c r="C146" s="78"/>
      <c r="D146" s="79"/>
      <c r="E146" s="93">
        <f>C103</f>
        <v>2028.5</v>
      </c>
      <c r="F146" s="14"/>
      <c r="G146" s="14"/>
      <c r="H146" s="14"/>
      <c r="I146" s="50"/>
    </row>
    <row r="147" ht="24.75" customHeight="1" spans="1:9">
      <c r="A147" s="80"/>
      <c r="B147" s="81"/>
      <c r="C147" s="82" t="s">
        <v>114</v>
      </c>
      <c r="D147" s="82"/>
      <c r="E147" s="94">
        <f>(F16+E123)-(SUM(E125:E134)+SUM(E136:E146))</f>
        <v>699.839999999998</v>
      </c>
      <c r="F147" s="14"/>
      <c r="G147" s="14"/>
      <c r="H147" s="14"/>
      <c r="I147" s="50"/>
    </row>
    <row r="148" ht="24.75" customHeight="1" spans="1:9">
      <c r="A148" s="14"/>
      <c r="B148" s="14"/>
      <c r="C148" s="14"/>
      <c r="D148" s="14"/>
      <c r="E148" s="14"/>
      <c r="F148" s="14"/>
      <c r="G148" s="14"/>
      <c r="H148" s="14"/>
      <c r="I148" s="50"/>
    </row>
    <row r="149" ht="24.75" customHeight="1" spans="1:9">
      <c r="A149" s="14"/>
      <c r="B149" s="14"/>
      <c r="C149" s="14"/>
      <c r="D149" s="14"/>
      <c r="E149" s="14"/>
      <c r="F149" s="14"/>
      <c r="G149" s="14"/>
      <c r="H149" s="14"/>
      <c r="I149" s="50"/>
    </row>
    <row r="150" ht="24.75" customHeight="1" spans="1:9">
      <c r="A150" s="14"/>
      <c r="B150" s="14"/>
      <c r="C150" s="14"/>
      <c r="D150" s="14"/>
      <c r="E150" s="14"/>
      <c r="F150" s="14"/>
      <c r="G150" s="14"/>
      <c r="H150" s="14"/>
      <c r="I150" s="50"/>
    </row>
    <row r="151" ht="24.75" customHeight="1" spans="1:9">
      <c r="A151" s="14"/>
      <c r="B151" s="14"/>
      <c r="C151" s="14"/>
      <c r="D151" s="14"/>
      <c r="E151" s="14"/>
      <c r="F151" s="14"/>
      <c r="G151" s="14"/>
      <c r="H151" s="14"/>
      <c r="I151" s="50"/>
    </row>
    <row r="152" ht="24.75" customHeight="1" spans="1:9">
      <c r="A152" s="53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20 2024 to September 19 2024</v>
      </c>
      <c r="B152" s="54"/>
      <c r="C152" s="54"/>
      <c r="D152" s="54"/>
      <c r="E152" s="55"/>
      <c r="F152" s="14"/>
      <c r="G152" s="14"/>
      <c r="H152" s="14"/>
      <c r="I152" s="50"/>
    </row>
    <row r="153" ht="24.75" customHeight="1" spans="1:9">
      <c r="A153" s="53" t="s">
        <v>110</v>
      </c>
      <c r="B153" s="55"/>
      <c r="C153" s="83" t="s">
        <v>49</v>
      </c>
      <c r="D153" s="84"/>
      <c r="E153" s="95" t="s">
        <v>50</v>
      </c>
      <c r="F153" s="14"/>
      <c r="G153" s="14"/>
      <c r="H153" s="14"/>
      <c r="I153" s="50"/>
    </row>
    <row r="154" ht="24.75" customHeight="1" spans="1:9">
      <c r="A154" s="56" t="str">
        <f>"Balance Brought Forward From "&amp;IF(Main!B2,TEXT(EDATE(Main!B3,4)-1,"mmmm yyyy"),TEXT(Main!B3+((Main!B5-Main!B3)*4+3),"mmmm yyyy"))</f>
        <v>Balance Brought Forward From August 2024</v>
      </c>
      <c r="B154" s="57"/>
      <c r="C154" s="58"/>
      <c r="D154" s="58"/>
      <c r="E154" s="94">
        <f>E147</f>
        <v>699.839999999998</v>
      </c>
      <c r="F154" s="14"/>
      <c r="G154" s="14"/>
      <c r="H154" s="14"/>
      <c r="I154" s="50"/>
    </row>
    <row r="155" ht="24.75" customHeight="1" spans="1:9">
      <c r="A155" s="85" t="s">
        <v>92</v>
      </c>
      <c r="B155" s="86"/>
      <c r="C155" s="87" t="s">
        <v>111</v>
      </c>
      <c r="D155" s="88"/>
      <c r="E155" s="96"/>
      <c r="F155" s="14"/>
      <c r="G155" s="14"/>
      <c r="H155" s="14"/>
      <c r="I155" s="50"/>
    </row>
    <row r="156" ht="24.75" customHeight="1" spans="1:9">
      <c r="A156" s="89"/>
      <c r="B156" s="90"/>
      <c r="C156" s="65"/>
      <c r="D156" s="66"/>
      <c r="E156" s="37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37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 t="s">
        <v>178</v>
      </c>
      <c r="D158" s="66"/>
      <c r="E158" s="37">
        <v>500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37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37">
        <v>0</v>
      </c>
      <c r="F160" s="14"/>
      <c r="G160" s="14"/>
      <c r="H160" s="14"/>
      <c r="I160" s="50"/>
    </row>
    <row r="161" ht="24.75" customHeight="1" spans="1:9">
      <c r="A161" s="89"/>
      <c r="B161" s="90"/>
      <c r="C161" s="65"/>
      <c r="D161" s="66"/>
      <c r="E161" s="37">
        <v>0</v>
      </c>
      <c r="F161" s="14"/>
      <c r="G161" s="14"/>
      <c r="H161" s="14"/>
      <c r="I161" s="50"/>
    </row>
    <row r="162" ht="24.75" customHeight="1" spans="1:9">
      <c r="A162" s="89"/>
      <c r="B162" s="90"/>
      <c r="C162" s="65"/>
      <c r="D162" s="66"/>
      <c r="E162" s="37">
        <v>0</v>
      </c>
      <c r="F162" s="14"/>
      <c r="G162" s="14"/>
      <c r="H162" s="14"/>
      <c r="I162" s="50"/>
    </row>
    <row r="163" ht="24.75" customHeight="1" spans="1:9">
      <c r="A163" s="89"/>
      <c r="B163" s="90"/>
      <c r="C163" s="65"/>
      <c r="D163" s="66"/>
      <c r="E163" s="37">
        <v>0</v>
      </c>
      <c r="F163" s="14"/>
      <c r="G163" s="14"/>
      <c r="H163" s="14"/>
      <c r="I163" s="50"/>
    </row>
    <row r="164" ht="24.75" customHeight="1" spans="1:9">
      <c r="A164" s="89"/>
      <c r="B164" s="90"/>
      <c r="C164" s="65"/>
      <c r="D164" s="66"/>
      <c r="E164" s="37">
        <v>0</v>
      </c>
      <c r="F164" s="14"/>
      <c r="G164" s="14"/>
      <c r="H164" s="14"/>
      <c r="I164" s="50"/>
    </row>
    <row r="165" ht="24.75" customHeight="1" spans="1:9">
      <c r="A165" s="89"/>
      <c r="B165" s="90"/>
      <c r="C165" s="65"/>
      <c r="D165" s="66"/>
      <c r="E165" s="37">
        <v>0</v>
      </c>
      <c r="F165" s="14"/>
      <c r="G165" s="14"/>
      <c r="H165" s="14"/>
      <c r="I165" s="50"/>
    </row>
    <row r="166" ht="24.75" customHeight="1" spans="1:9">
      <c r="A166" s="89"/>
      <c r="B166" s="90"/>
      <c r="C166" s="67" t="s">
        <v>112</v>
      </c>
      <c r="D166" s="62"/>
      <c r="E166" s="72"/>
      <c r="F166" s="14"/>
      <c r="G166" s="14"/>
      <c r="H166" s="14"/>
      <c r="I166" s="50"/>
    </row>
    <row r="167" ht="24.75" customHeight="1" spans="1:9">
      <c r="A167" s="89"/>
      <c r="B167" s="90"/>
      <c r="C167" s="128" t="s">
        <v>123</v>
      </c>
      <c r="D167" s="128"/>
      <c r="E167" s="103">
        <v>72</v>
      </c>
      <c r="F167" s="14"/>
      <c r="G167" s="14"/>
      <c r="H167" s="14"/>
      <c r="I167" s="50"/>
    </row>
    <row r="168" ht="24.75" customHeight="1" spans="1:9">
      <c r="A168" s="89"/>
      <c r="B168" s="90"/>
      <c r="C168" s="128" t="s">
        <v>179</v>
      </c>
      <c r="D168" s="128"/>
      <c r="E168" s="103">
        <v>55.3</v>
      </c>
      <c r="F168" s="14"/>
      <c r="G168" s="14"/>
      <c r="H168" s="14"/>
      <c r="I168" s="50"/>
    </row>
    <row r="169" ht="24.75" customHeight="1" spans="1:9">
      <c r="A169" s="89"/>
      <c r="B169" s="90"/>
      <c r="C169" s="128" t="s">
        <v>180</v>
      </c>
      <c r="D169" s="128"/>
      <c r="E169" s="103">
        <v>85</v>
      </c>
      <c r="F169" s="14"/>
      <c r="G169" s="14"/>
      <c r="H169" s="14"/>
      <c r="I169" s="50"/>
    </row>
    <row r="170" ht="24.75" customHeight="1" spans="1:9">
      <c r="A170" s="89"/>
      <c r="B170" s="90"/>
      <c r="C170" s="128" t="s">
        <v>175</v>
      </c>
      <c r="D170" s="128"/>
      <c r="E170" s="103">
        <v>630</v>
      </c>
      <c r="F170" s="14"/>
      <c r="G170" s="14"/>
      <c r="H170" s="14"/>
      <c r="I170" s="50"/>
    </row>
    <row r="171" ht="24.75" customHeight="1" spans="1:9">
      <c r="A171" s="89"/>
      <c r="B171" s="90"/>
      <c r="C171" s="160" t="s">
        <v>177</v>
      </c>
      <c r="D171" s="160"/>
      <c r="E171" s="103">
        <v>464.47</v>
      </c>
      <c r="F171" s="14"/>
      <c r="G171" s="14"/>
      <c r="H171" s="14"/>
      <c r="I171" s="50"/>
    </row>
    <row r="172" ht="24.75" customHeight="1" spans="1:9">
      <c r="A172" s="91"/>
      <c r="B172" s="92"/>
      <c r="C172" s="65"/>
      <c r="D172" s="66"/>
      <c r="E172" s="93">
        <v>0</v>
      </c>
      <c r="F172" s="14"/>
      <c r="G172" s="14"/>
      <c r="H172" s="14"/>
      <c r="I172" s="50"/>
    </row>
    <row r="173" ht="24.75" customHeight="1" spans="1:9">
      <c r="A173" s="56" t="s">
        <v>113</v>
      </c>
      <c r="B173" s="77"/>
      <c r="C173" s="78"/>
      <c r="D173" s="79"/>
      <c r="E173" s="93">
        <f>C103</f>
        <v>2028.5</v>
      </c>
      <c r="F173" s="14"/>
      <c r="G173" s="14"/>
      <c r="H173" s="14"/>
      <c r="I173" s="50"/>
    </row>
    <row r="174" ht="24.75" customHeight="1" spans="1:9">
      <c r="A174" s="80"/>
      <c r="B174" s="81"/>
      <c r="C174" s="82" t="s">
        <v>114</v>
      </c>
      <c r="D174" s="82"/>
      <c r="E174" s="97">
        <f>(F31+E154)-(SUM(E156:E165)+SUM(E167:E173))</f>
        <v>625.069999999998</v>
      </c>
      <c r="F174" s="14"/>
      <c r="G174" s="14"/>
      <c r="H174" s="14"/>
      <c r="I174" s="50"/>
    </row>
    <row r="175" ht="24.75" customHeight="1" spans="1:9">
      <c r="A175" s="14"/>
      <c r="B175" s="14"/>
      <c r="C175" s="14"/>
      <c r="D175" s="14"/>
      <c r="E175" s="14"/>
      <c r="F175" s="14"/>
      <c r="G175" s="14"/>
      <c r="H175" s="14"/>
      <c r="I175" s="50"/>
    </row>
    <row r="176" ht="24.75" customHeight="1" spans="1:9">
      <c r="A176" s="14"/>
      <c r="B176" s="14"/>
      <c r="C176" s="14"/>
      <c r="D176" s="14"/>
      <c r="E176" s="14"/>
      <c r="F176" s="14"/>
      <c r="G176" s="14"/>
      <c r="H176" s="14"/>
      <c r="I176" s="50"/>
    </row>
    <row r="177" ht="24.75" customHeight="1" spans="1:9">
      <c r="A177" s="14"/>
      <c r="B177" s="14"/>
      <c r="C177" s="14"/>
      <c r="D177" s="14"/>
      <c r="E177" s="14"/>
      <c r="F177" s="14"/>
      <c r="G177" s="14"/>
      <c r="H177" s="14"/>
      <c r="I177" s="50"/>
    </row>
    <row r="178" ht="24.75" customHeight="1" spans="1:9">
      <c r="A178" s="14"/>
      <c r="B178" s="14"/>
      <c r="C178" s="14"/>
      <c r="D178" s="14"/>
      <c r="E178" s="14"/>
      <c r="F178" s="14"/>
      <c r="G178" s="14"/>
      <c r="H178" s="14"/>
      <c r="I178" s="50"/>
    </row>
    <row r="179" ht="24.75" customHeight="1" spans="1:9">
      <c r="A179" s="53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20 2024 to October 19 2024</v>
      </c>
      <c r="B179" s="54"/>
      <c r="C179" s="54"/>
      <c r="D179" s="54"/>
      <c r="E179" s="55"/>
      <c r="F179" s="14"/>
      <c r="G179" s="14"/>
      <c r="H179" s="14"/>
      <c r="I179" s="50"/>
    </row>
    <row r="180" ht="24.75" customHeight="1" spans="1:9">
      <c r="A180" s="53" t="s">
        <v>110</v>
      </c>
      <c r="B180" s="55"/>
      <c r="C180" s="83" t="s">
        <v>49</v>
      </c>
      <c r="D180" s="84"/>
      <c r="E180" s="95" t="s">
        <v>50</v>
      </c>
      <c r="F180" s="14"/>
      <c r="G180" s="14"/>
      <c r="H180" s="14"/>
      <c r="I180" s="50"/>
    </row>
    <row r="181" ht="24.75" customHeight="1" spans="1:9">
      <c r="A181" s="56" t="str">
        <f>"Balance Brought Forward From "&amp;IF(Main!B2,TEXT(EDATE(Main!B3,5)-1,"mmmm yyyy"),TEXT(Main!B3+((Main!B5-Main!B3)*5+4),"mmmm yyyy"))</f>
        <v>Balance Brought Forward From September 2024</v>
      </c>
      <c r="B181" s="57"/>
      <c r="C181" s="58"/>
      <c r="D181" s="58"/>
      <c r="E181" s="97">
        <f>E174</f>
        <v>625.069999999998</v>
      </c>
      <c r="F181" s="14"/>
      <c r="G181" s="14"/>
      <c r="H181" s="14"/>
      <c r="I181" s="50"/>
    </row>
    <row r="182" ht="24.75" customHeight="1" spans="1:9">
      <c r="A182" s="196" t="s">
        <v>92</v>
      </c>
      <c r="B182" s="197"/>
      <c r="C182" s="87" t="s">
        <v>111</v>
      </c>
      <c r="D182" s="88"/>
      <c r="E182" s="96"/>
      <c r="F182" s="14"/>
      <c r="G182" s="14"/>
      <c r="H182" s="14"/>
      <c r="I182" s="50"/>
    </row>
    <row r="183" ht="24.75" customHeight="1" spans="1:9">
      <c r="A183" s="198"/>
      <c r="B183" s="199"/>
      <c r="C183" s="128" t="s">
        <v>181</v>
      </c>
      <c r="D183" s="128"/>
      <c r="E183" s="37">
        <v>1150</v>
      </c>
      <c r="F183" s="14"/>
      <c r="G183" s="14"/>
      <c r="H183" s="14"/>
      <c r="I183" s="50"/>
    </row>
    <row r="184" ht="24.75" customHeight="1" spans="1:9">
      <c r="A184" s="198"/>
      <c r="B184" s="199"/>
      <c r="C184" s="65" t="s">
        <v>182</v>
      </c>
      <c r="D184" s="66"/>
      <c r="E184" s="37">
        <v>0</v>
      </c>
      <c r="F184" s="14"/>
      <c r="G184" s="14"/>
      <c r="H184" s="14"/>
      <c r="I184" s="50"/>
    </row>
    <row r="185" ht="24.75" customHeight="1" spans="1:9">
      <c r="A185" s="198"/>
      <c r="B185" s="199"/>
      <c r="C185" s="128" t="s">
        <v>178</v>
      </c>
      <c r="D185" s="128"/>
      <c r="E185" s="37">
        <v>500</v>
      </c>
      <c r="F185" s="14"/>
      <c r="G185" s="14"/>
      <c r="H185" s="14"/>
      <c r="I185" s="50"/>
    </row>
    <row r="186" ht="24.75" customHeight="1" spans="1:9">
      <c r="A186" s="198"/>
      <c r="B186" s="199"/>
      <c r="C186" s="65" t="s">
        <v>183</v>
      </c>
      <c r="D186" s="66"/>
      <c r="E186" s="37">
        <v>0</v>
      </c>
      <c r="F186" s="14"/>
      <c r="G186" s="14"/>
      <c r="H186" s="14"/>
      <c r="I186" s="50"/>
    </row>
    <row r="187" ht="24.75" customHeight="1" spans="1:9">
      <c r="A187" s="198"/>
      <c r="B187" s="199"/>
      <c r="C187" s="65" t="s">
        <v>184</v>
      </c>
      <c r="D187" s="66"/>
      <c r="E187" s="37">
        <v>0</v>
      </c>
      <c r="F187" s="14"/>
      <c r="G187" s="14"/>
      <c r="H187" s="14"/>
      <c r="I187" s="50"/>
    </row>
    <row r="188" ht="24.75" customHeight="1" spans="1:9">
      <c r="A188" s="198"/>
      <c r="B188" s="199"/>
      <c r="C188" s="65" t="s">
        <v>185</v>
      </c>
      <c r="D188" s="66"/>
      <c r="E188" s="37">
        <v>0</v>
      </c>
      <c r="F188" s="14"/>
      <c r="G188" s="14"/>
      <c r="H188" s="14"/>
      <c r="I188" s="50"/>
    </row>
    <row r="189" ht="24.75" customHeight="1" spans="1:9">
      <c r="A189" s="198"/>
      <c r="B189" s="199"/>
      <c r="C189" s="65" t="s">
        <v>186</v>
      </c>
      <c r="D189" s="66"/>
      <c r="E189" s="37">
        <v>0</v>
      </c>
      <c r="F189" s="14"/>
      <c r="G189" s="14"/>
      <c r="H189" s="14"/>
      <c r="I189" s="50"/>
    </row>
    <row r="190" ht="24.75" customHeight="1" spans="1:9">
      <c r="A190" s="198"/>
      <c r="B190" s="199"/>
      <c r="C190" s="65" t="s">
        <v>187</v>
      </c>
      <c r="D190" s="66"/>
      <c r="E190" s="37">
        <v>0</v>
      </c>
      <c r="F190" s="14"/>
      <c r="G190" s="14"/>
      <c r="H190" s="14"/>
      <c r="I190" s="50"/>
    </row>
    <row r="191" ht="24.75" customHeight="1" spans="1:9">
      <c r="A191" s="198"/>
      <c r="B191" s="199"/>
      <c r="C191" s="65" t="s">
        <v>188</v>
      </c>
      <c r="D191" s="66"/>
      <c r="E191" s="37">
        <v>0</v>
      </c>
      <c r="F191" s="14"/>
      <c r="G191" s="14"/>
      <c r="H191" s="14"/>
      <c r="I191" s="50"/>
    </row>
    <row r="192" ht="24.75" customHeight="1" spans="1:9">
      <c r="A192" s="198"/>
      <c r="B192" s="199"/>
      <c r="C192" s="65" t="s">
        <v>189</v>
      </c>
      <c r="D192" s="66"/>
      <c r="E192" s="37">
        <v>0</v>
      </c>
      <c r="F192" s="14"/>
      <c r="G192" s="14"/>
      <c r="H192" s="14"/>
      <c r="I192" s="50"/>
    </row>
    <row r="193" ht="24.75" customHeight="1" spans="1:9">
      <c r="A193" s="198"/>
      <c r="B193" s="199"/>
      <c r="C193" s="67" t="s">
        <v>112</v>
      </c>
      <c r="D193" s="62"/>
      <c r="E193" s="72"/>
      <c r="F193" s="14"/>
      <c r="G193" s="14"/>
      <c r="H193" s="14"/>
      <c r="I193" s="50"/>
    </row>
    <row r="194" ht="24.75" customHeight="1" spans="1:9">
      <c r="A194" s="198"/>
      <c r="B194" s="199"/>
      <c r="C194" s="128" t="s">
        <v>175</v>
      </c>
      <c r="D194" s="128"/>
      <c r="E194" s="103">
        <v>30</v>
      </c>
      <c r="F194" s="14"/>
      <c r="G194" s="14"/>
      <c r="H194" s="14"/>
      <c r="I194" s="50"/>
    </row>
    <row r="195" ht="24.75" customHeight="1" spans="1:9">
      <c r="A195" s="198"/>
      <c r="B195" s="199"/>
      <c r="C195" s="128" t="s">
        <v>190</v>
      </c>
      <c r="D195" s="128"/>
      <c r="E195" s="103">
        <v>130.84</v>
      </c>
      <c r="F195" s="14"/>
      <c r="G195" s="14"/>
      <c r="H195" s="14"/>
      <c r="I195" s="50"/>
    </row>
    <row r="196" ht="24.75" customHeight="1" spans="1:9">
      <c r="A196" s="198"/>
      <c r="B196" s="199"/>
      <c r="C196" s="128" t="s">
        <v>191</v>
      </c>
      <c r="D196" s="128"/>
      <c r="E196" s="103">
        <v>60</v>
      </c>
      <c r="F196" s="14"/>
      <c r="G196" s="14"/>
      <c r="H196" s="14"/>
      <c r="I196" s="50"/>
    </row>
    <row r="197" ht="96" customHeight="1" spans="1:9">
      <c r="A197" s="198"/>
      <c r="B197" s="199"/>
      <c r="C197" s="102" t="s">
        <v>192</v>
      </c>
      <c r="D197" s="102"/>
      <c r="E197" s="103">
        <v>919.52</v>
      </c>
      <c r="F197" s="14"/>
      <c r="G197" s="14"/>
      <c r="H197" s="14"/>
      <c r="I197" s="50"/>
    </row>
    <row r="198" ht="24.75" customHeight="1" spans="1:9">
      <c r="A198" s="198"/>
      <c r="B198" s="199"/>
      <c r="C198" s="102" t="s">
        <v>175</v>
      </c>
      <c r="D198" s="102"/>
      <c r="E198" s="103">
        <v>600</v>
      </c>
      <c r="F198" s="14"/>
      <c r="G198" s="14"/>
      <c r="H198" s="14"/>
      <c r="I198" s="50"/>
    </row>
    <row r="199" ht="24.75" customHeight="1" spans="1:9">
      <c r="A199" s="198"/>
      <c r="B199" s="199"/>
      <c r="C199" s="200" t="s">
        <v>177</v>
      </c>
      <c r="D199" s="201"/>
      <c r="E199" s="103">
        <v>9.5</v>
      </c>
      <c r="F199" s="14"/>
      <c r="G199" s="14"/>
      <c r="H199" s="14"/>
      <c r="I199" s="50"/>
    </row>
    <row r="200" ht="24.75" customHeight="1" spans="1:9">
      <c r="A200" s="202"/>
      <c r="B200" s="203"/>
      <c r="C200" s="65" t="s">
        <v>184</v>
      </c>
      <c r="D200" s="66"/>
      <c r="E200" s="93">
        <v>0</v>
      </c>
      <c r="F200" s="14"/>
      <c r="G200" s="14"/>
      <c r="H200" s="14"/>
      <c r="I200" s="50"/>
    </row>
    <row r="201" ht="24.75" customHeight="1" spans="1:9">
      <c r="A201" s="56" t="s">
        <v>113</v>
      </c>
      <c r="B201" s="77"/>
      <c r="C201" s="78"/>
      <c r="D201" s="79"/>
      <c r="E201" s="93">
        <f>C103</f>
        <v>2028.5</v>
      </c>
      <c r="F201" s="14"/>
      <c r="G201" s="14"/>
      <c r="H201" s="14"/>
      <c r="I201" s="50"/>
    </row>
    <row r="202" ht="24.75" customHeight="1" spans="1:9">
      <c r="A202" s="80"/>
      <c r="B202" s="81"/>
      <c r="C202" s="82" t="s">
        <v>114</v>
      </c>
      <c r="D202" s="82"/>
      <c r="E202" s="97">
        <f>(F47+E181)-(SUM(E183:E192)+SUM(E194:E201))</f>
        <v>502.709999999998</v>
      </c>
      <c r="F202" s="14"/>
      <c r="G202" s="14"/>
      <c r="H202" s="14"/>
      <c r="I202" s="50"/>
    </row>
    <row r="203" ht="24.75" customHeight="1" spans="1:9">
      <c r="A203" s="14"/>
      <c r="B203" s="14"/>
      <c r="C203" s="14"/>
      <c r="D203" s="14"/>
      <c r="E203" s="14"/>
      <c r="F203" s="14"/>
      <c r="G203" s="14"/>
      <c r="H203" s="14"/>
      <c r="I203" s="50"/>
    </row>
    <row r="205" ht="24.75" customHeight="1"/>
  </sheetData>
  <mergeCells count="200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A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B46:C46"/>
    <mergeCell ref="D46:E46"/>
    <mergeCell ref="F46:G46"/>
    <mergeCell ref="B47:C47"/>
    <mergeCell ref="D47:E47"/>
    <mergeCell ref="F47:G47"/>
    <mergeCell ref="A51:C51"/>
    <mergeCell ref="A53:C53"/>
    <mergeCell ref="A63:C63"/>
    <mergeCell ref="A74:C74"/>
    <mergeCell ref="A83:C83"/>
    <mergeCell ref="A93:C93"/>
    <mergeCell ref="A104:C104"/>
    <mergeCell ref="A121:E121"/>
    <mergeCell ref="A122:B122"/>
    <mergeCell ref="C122:D122"/>
    <mergeCell ref="A123:B123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A146:B146"/>
    <mergeCell ref="C146:D146"/>
    <mergeCell ref="A147:B147"/>
    <mergeCell ref="C147:D147"/>
    <mergeCell ref="A152:E152"/>
    <mergeCell ref="A153:B153"/>
    <mergeCell ref="C153:D153"/>
    <mergeCell ref="A154:B154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A173:B173"/>
    <mergeCell ref="C173:D173"/>
    <mergeCell ref="A174:B174"/>
    <mergeCell ref="C174:D174"/>
    <mergeCell ref="A179:E179"/>
    <mergeCell ref="A180:B180"/>
    <mergeCell ref="C180:D180"/>
    <mergeCell ref="A181:B181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A201:B201"/>
    <mergeCell ref="C201:D201"/>
    <mergeCell ref="A202:B202"/>
    <mergeCell ref="C202:D202"/>
    <mergeCell ref="A2:A3"/>
    <mergeCell ref="A182:B200"/>
    <mergeCell ref="A124:B145"/>
    <mergeCell ref="A155:B172"/>
  </mergeCells>
  <conditionalFormatting sqref="C5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D42">
    <cfRule type="cellIs" dxfId="4" priority="18" operator="equal">
      <formula>0</formula>
    </cfRule>
  </conditionalFormatting>
  <conditionalFormatting sqref="C82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E123">
    <cfRule type="cellIs" dxfId="2" priority="21" operator="greaterThanOrEqual">
      <formula>0</formula>
    </cfRule>
    <cfRule type="cellIs" dxfId="3" priority="20" operator="lessThan">
      <formula>0</formula>
    </cfRule>
  </conditionalFormatting>
  <conditionalFormatting sqref="E12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E147">
    <cfRule type="cellIs" dxfId="2" priority="55" operator="greaterThanOrEqual">
      <formula>0</formula>
    </cfRule>
    <cfRule type="cellIs" dxfId="3" priority="54" operator="lessThan">
      <formula>0</formula>
    </cfRule>
  </conditionalFormatting>
  <conditionalFormatting sqref="E154">
    <cfRule type="cellIs" dxfId="2" priority="39" operator="greaterThanOrEqual">
      <formula>0</formula>
    </cfRule>
    <cfRule type="cellIs" dxfId="3" priority="38" operator="lessThan">
      <formula>0</formula>
    </cfRule>
  </conditionalFormatting>
  <conditionalFormatting sqref="E158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74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81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200">
    <cfRule type="cellIs" dxfId="5" priority="3" operator="equal">
      <formula>0</formula>
    </cfRule>
    <cfRule type="cellIs" dxfId="1" priority="2" operator="greaterThan">
      <formula>0</formula>
    </cfRule>
  </conditionalFormatting>
  <conditionalFormatting sqref="E202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C54:C61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64:C73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75:C76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77:C81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87:C91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94:C97">
    <cfRule type="cellIs" dxfId="4" priority="13" operator="equal">
      <formula>0</formula>
    </cfRule>
  </conditionalFormatting>
  <conditionalFormatting sqref="C98:C101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105:C114">
    <cfRule type="cellIs" dxfId="1" priority="29" operator="lessThan">
      <formula>0</formula>
    </cfRule>
    <cfRule type="cellIs" dxfId="5" priority="28" operator="greaterThanOrEqual">
      <formula>0</formula>
    </cfRule>
  </conditionalFormatting>
  <conditionalFormatting sqref="C115:C116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E126:E13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36:E145">
    <cfRule type="cellIs" dxfId="4" priority="10" operator="equal">
      <formula>0</formula>
    </cfRule>
  </conditionalFormatting>
  <conditionalFormatting sqref="E167:E168">
    <cfRule type="cellIs" dxfId="4" priority="7" operator="equal">
      <formula>0</formula>
    </cfRule>
  </conditionalFormatting>
  <conditionalFormatting sqref="E169:E171">
    <cfRule type="cellIs" dxfId="4" priority="6" operator="equal">
      <formula>0</formula>
    </cfRule>
  </conditionalFormatting>
  <conditionalFormatting sqref="E183:E185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86:E192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94:E199">
    <cfRule type="cellIs" dxfId="4" priority="1" operator="equal">
      <formula>0</formula>
    </cfRule>
  </conditionalFormatting>
  <conditionalFormatting sqref="C62 C92 C85:C86 C102:C103">
    <cfRule type="cellIs" dxfId="0" priority="69" operator="equal">
      <formula>0</formula>
    </cfRule>
  </conditionalFormatting>
  <conditionalFormatting sqref="C62 C92 C85:C86 C102:C103 E155 E166 E172:E173">
    <cfRule type="cellIs" dxfId="1" priority="68" operator="greaterThan">
      <formula>0</formula>
    </cfRule>
  </conditionalFormatting>
  <conditionalFormatting sqref="E124 E135 E146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E155 E166 E172:E173">
    <cfRule type="cellIs" dxfId="5" priority="43" operator="equal">
      <formula>0</formula>
    </cfRule>
  </conditionalFormatting>
  <conditionalFormatting sqref="E156:E157 E159:E165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82 E193 E201">
    <cfRule type="cellIs" dxfId="5" priority="37" operator="equal">
      <formula>0</formula>
    </cfRule>
    <cfRule type="cellIs" dxfId="1" priority="36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3"/>
  <sheetViews>
    <sheetView topLeftCell="A194" workbookViewId="0">
      <selection activeCell="A97" sqref="A97:C97"/>
    </sheetView>
  </sheetViews>
  <sheetFormatPr defaultColWidth="9" defaultRowHeight="17.6"/>
  <cols>
    <col min="1" max="2" width="20.625" style="43" customWidth="1"/>
    <col min="3" max="3" width="24.125" style="43" customWidth="1"/>
    <col min="4" max="6" width="20.625" style="43" customWidth="1"/>
    <col min="7" max="7" width="8.75" style="43" customWidth="1"/>
    <col min="8" max="8" width="15.625" style="43" customWidth="1"/>
    <col min="9" max="16384" width="9" style="43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2024 to January 2025</v>
      </c>
      <c r="B1" s="1"/>
      <c r="C1" s="1"/>
      <c r="D1" s="1"/>
      <c r="E1" s="1"/>
      <c r="F1" s="1"/>
      <c r="G1" s="1"/>
    </row>
    <row r="2" ht="30" customHeight="1" spans="1:7">
      <c r="A2" s="2" t="s">
        <v>33</v>
      </c>
      <c r="B2" s="3" t="s">
        <v>132</v>
      </c>
      <c r="C2" s="4" cm="1">
        <f ca="1" t="array" ref="C2">INDIRECT("'"&amp;Main!B9&amp;"'!$C$15")</f>
        <v>12.9</v>
      </c>
      <c r="D2" s="4"/>
      <c r="E2" s="4"/>
      <c r="F2" s="4"/>
      <c r="G2" s="4"/>
    </row>
    <row r="3" ht="30" customHeight="1" spans="1:7">
      <c r="A3" s="5"/>
      <c r="B3" s="6" t="s">
        <v>133</v>
      </c>
      <c r="C3" s="7">
        <f>E201</f>
        <v>173.339999999998</v>
      </c>
      <c r="D3" s="7"/>
      <c r="E3" s="7"/>
      <c r="F3" s="7"/>
      <c r="G3" s="7"/>
    </row>
    <row r="4" ht="30" customHeight="1" spans="1:9">
      <c r="A4" s="8" t="s">
        <v>47</v>
      </c>
      <c r="B4" s="9"/>
      <c r="C4" s="10">
        <f ca="1">SUM(C2:G3)</f>
        <v>186.239999999998</v>
      </c>
      <c r="D4" s="10"/>
      <c r="E4" s="10"/>
      <c r="F4" s="10"/>
      <c r="G4" s="10"/>
      <c r="H4" s="14"/>
      <c r="I4" s="50"/>
    </row>
    <row r="5" ht="30" customHeight="1" spans="1:9">
      <c r="A5" s="11" t="s">
        <v>134</v>
      </c>
      <c r="B5" s="11"/>
      <c r="C5" s="12">
        <f>C119</f>
        <v>-10683</v>
      </c>
      <c r="D5" s="13"/>
      <c r="E5" s="13"/>
      <c r="F5" s="13"/>
      <c r="G5" s="13"/>
      <c r="H5" s="14"/>
      <c r="I5" s="50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October 2024 - 19 November 2024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30" customHeight="1" spans="1:9">
      <c r="A9" s="17" t="s">
        <v>29</v>
      </c>
      <c r="B9" s="116" t="s">
        <v>48</v>
      </c>
      <c r="C9" s="116"/>
      <c r="D9" s="18" t="s">
        <v>49</v>
      </c>
      <c r="E9" s="18"/>
      <c r="F9" s="117" t="s">
        <v>50</v>
      </c>
      <c r="G9" s="117"/>
      <c r="H9" s="14"/>
      <c r="I9" s="50"/>
    </row>
    <row r="10" ht="30" customHeight="1" spans="1:9">
      <c r="A10" s="98" t="s">
        <v>193</v>
      </c>
      <c r="B10" s="99" t="s">
        <v>66</v>
      </c>
      <c r="C10" s="99"/>
      <c r="D10" s="150" t="s">
        <v>153</v>
      </c>
      <c r="E10" s="156"/>
      <c r="F10" s="7">
        <v>0</v>
      </c>
      <c r="G10" s="7"/>
      <c r="H10" s="14"/>
      <c r="I10" s="50"/>
    </row>
    <row r="11" ht="30" customHeight="1" spans="1:9">
      <c r="A11" s="98" t="s">
        <v>194</v>
      </c>
      <c r="B11" s="99" t="s">
        <v>195</v>
      </c>
      <c r="C11" s="99"/>
      <c r="D11" s="150" t="s">
        <v>196</v>
      </c>
      <c r="E11" s="156"/>
      <c r="F11" s="7">
        <v>78</v>
      </c>
      <c r="G11" s="7"/>
      <c r="H11" s="14"/>
      <c r="I11" s="50"/>
    </row>
    <row r="12" ht="30" customHeight="1" spans="1:9">
      <c r="A12" s="98" t="s">
        <v>197</v>
      </c>
      <c r="B12" s="99" t="s">
        <v>75</v>
      </c>
      <c r="C12" s="99"/>
      <c r="D12" s="150" t="s">
        <v>198</v>
      </c>
      <c r="E12" s="156"/>
      <c r="F12" s="7">
        <v>174</v>
      </c>
      <c r="G12" s="7"/>
      <c r="H12" s="14"/>
      <c r="I12" s="50"/>
    </row>
    <row r="13" ht="30" customHeight="1" spans="1:9">
      <c r="A13" s="98" t="s">
        <v>197</v>
      </c>
      <c r="B13" s="99" t="s">
        <v>199</v>
      </c>
      <c r="C13" s="99"/>
      <c r="D13" s="150" t="s">
        <v>53</v>
      </c>
      <c r="E13" s="156"/>
      <c r="F13" s="7">
        <v>68</v>
      </c>
      <c r="G13" s="7"/>
      <c r="H13" s="14"/>
      <c r="I13" s="50"/>
    </row>
    <row r="14" ht="30" customHeight="1" spans="1:9">
      <c r="A14" s="98" t="s">
        <v>200</v>
      </c>
      <c r="B14" s="99" t="s">
        <v>199</v>
      </c>
      <c r="C14" s="99"/>
      <c r="D14" s="150" t="s">
        <v>53</v>
      </c>
      <c r="E14" s="156"/>
      <c r="F14" s="7">
        <v>68</v>
      </c>
      <c r="G14" s="7"/>
      <c r="H14" s="14"/>
      <c r="I14" s="50"/>
    </row>
    <row r="15" ht="30" customHeight="1" spans="1:9">
      <c r="A15" s="98" t="s">
        <v>201</v>
      </c>
      <c r="B15" s="99" t="s">
        <v>52</v>
      </c>
      <c r="C15" s="99"/>
      <c r="D15" s="150" t="s">
        <v>53</v>
      </c>
      <c r="E15" s="156"/>
      <c r="F15" s="7">
        <v>2405</v>
      </c>
      <c r="G15" s="7"/>
      <c r="H15" s="14"/>
      <c r="I15" s="50"/>
    </row>
    <row r="16" ht="30" customHeight="1" spans="1:9">
      <c r="A16" s="24"/>
      <c r="B16" s="140"/>
      <c r="C16" s="141"/>
      <c r="D16" s="27" t="s">
        <v>140</v>
      </c>
      <c r="E16" s="47"/>
      <c r="F16" s="147">
        <f>SUM(F10:G15)</f>
        <v>2793</v>
      </c>
      <c r="G16" s="148"/>
      <c r="H16" s="14"/>
      <c r="I16" s="50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November 2024 - 19 December 2024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30" customHeight="1" spans="1:9">
      <c r="A21" s="17" t="s">
        <v>29</v>
      </c>
      <c r="B21" s="116" t="s">
        <v>48</v>
      </c>
      <c r="C21" s="116"/>
      <c r="D21" s="117" t="s">
        <v>49</v>
      </c>
      <c r="E21" s="117"/>
      <c r="F21" s="117" t="s">
        <v>50</v>
      </c>
      <c r="G21" s="117"/>
      <c r="H21" s="14"/>
      <c r="I21" s="50"/>
    </row>
    <row r="22" ht="29.25" customHeight="1" spans="1:9">
      <c r="A22" s="98" t="s">
        <v>202</v>
      </c>
      <c r="B22" s="99" t="s">
        <v>66</v>
      </c>
      <c r="C22" s="139"/>
      <c r="D22" s="100" t="s">
        <v>153</v>
      </c>
      <c r="E22" s="145"/>
      <c r="F22" s="7">
        <v>0</v>
      </c>
      <c r="G22" s="7"/>
      <c r="H22" s="14"/>
      <c r="I22" s="50"/>
    </row>
    <row r="23" ht="29.25" customHeight="1" spans="1:9">
      <c r="A23" s="98" t="s">
        <v>203</v>
      </c>
      <c r="B23" s="99" t="s">
        <v>52</v>
      </c>
      <c r="C23" s="139"/>
      <c r="D23" s="100" t="s">
        <v>53</v>
      </c>
      <c r="E23" s="145"/>
      <c r="F23" s="7">
        <v>2405</v>
      </c>
      <c r="G23" s="7"/>
      <c r="H23" s="14"/>
      <c r="I23" s="50"/>
    </row>
    <row r="24" ht="29.25" customHeight="1" spans="1:9">
      <c r="A24" s="98" t="s">
        <v>204</v>
      </c>
      <c r="B24" s="99" t="s">
        <v>173</v>
      </c>
      <c r="C24" s="139"/>
      <c r="D24" s="100" t="s">
        <v>205</v>
      </c>
      <c r="E24" s="145"/>
      <c r="F24" s="7">
        <v>300</v>
      </c>
      <c r="G24" s="7"/>
      <c r="H24" s="14"/>
      <c r="I24" s="50"/>
    </row>
    <row r="25" ht="29.25" customHeight="1" spans="1:9">
      <c r="A25" s="98" t="s">
        <v>206</v>
      </c>
      <c r="B25" s="99" t="s">
        <v>207</v>
      </c>
      <c r="C25" s="139"/>
      <c r="D25" s="99" t="s">
        <v>208</v>
      </c>
      <c r="E25" s="139"/>
      <c r="F25" s="7">
        <v>0</v>
      </c>
      <c r="G25" s="7"/>
      <c r="H25" s="14"/>
      <c r="I25" s="50"/>
    </row>
    <row r="26" ht="29.25" customHeight="1" spans="1:9">
      <c r="A26" s="98" t="s">
        <v>209</v>
      </c>
      <c r="B26" s="99" t="s">
        <v>103</v>
      </c>
      <c r="C26" s="139"/>
      <c r="D26" s="99" t="s">
        <v>210</v>
      </c>
      <c r="E26" s="139"/>
      <c r="F26" s="7">
        <v>500</v>
      </c>
      <c r="G26" s="7"/>
      <c r="H26" s="14"/>
      <c r="I26" s="50"/>
    </row>
    <row r="27" ht="29.25" customHeight="1" spans="1:9">
      <c r="A27" s="98" t="s">
        <v>211</v>
      </c>
      <c r="B27" s="99" t="s">
        <v>212</v>
      </c>
      <c r="C27" s="139"/>
      <c r="D27" s="99" t="s">
        <v>213</v>
      </c>
      <c r="E27" s="139"/>
      <c r="F27" s="7">
        <v>12</v>
      </c>
      <c r="G27" s="7"/>
      <c r="H27" s="14"/>
      <c r="I27" s="50"/>
    </row>
    <row r="28" ht="137.25" customHeight="1" spans="1:9">
      <c r="A28" s="98" t="s">
        <v>211</v>
      </c>
      <c r="B28" s="99" t="s">
        <v>214</v>
      </c>
      <c r="C28" s="139"/>
      <c r="D28" s="99" t="s">
        <v>215</v>
      </c>
      <c r="E28" s="139"/>
      <c r="F28" s="7">
        <v>49.1</v>
      </c>
      <c r="G28" s="7"/>
      <c r="H28" s="14"/>
      <c r="I28" s="50"/>
    </row>
    <row r="29" ht="29.25" customHeight="1" spans="1:9">
      <c r="A29" s="98" t="s">
        <v>216</v>
      </c>
      <c r="B29" s="99" t="s">
        <v>105</v>
      </c>
      <c r="C29" s="139"/>
      <c r="D29" s="99" t="s">
        <v>217</v>
      </c>
      <c r="E29" s="139"/>
      <c r="F29" s="7">
        <v>500</v>
      </c>
      <c r="G29" s="7"/>
      <c r="H29" s="14"/>
      <c r="I29" s="50"/>
    </row>
    <row r="30" ht="29.25" customHeight="1" spans="1:9">
      <c r="A30" s="98" t="s">
        <v>216</v>
      </c>
      <c r="B30" s="99" t="s">
        <v>218</v>
      </c>
      <c r="C30" s="139"/>
      <c r="D30" s="99" t="s">
        <v>219</v>
      </c>
      <c r="E30" s="139"/>
      <c r="F30" s="7">
        <v>5.04</v>
      </c>
      <c r="G30" s="7"/>
      <c r="H30" s="14"/>
      <c r="I30" s="50"/>
    </row>
    <row r="31" ht="29.25" customHeight="1" spans="1:9">
      <c r="A31" s="98" t="s">
        <v>220</v>
      </c>
      <c r="B31" s="99" t="s">
        <v>105</v>
      </c>
      <c r="C31" s="139"/>
      <c r="D31" s="99" t="s">
        <v>221</v>
      </c>
      <c r="E31" s="139"/>
      <c r="F31" s="7">
        <v>1000</v>
      </c>
      <c r="G31" s="7"/>
      <c r="H31" s="14"/>
      <c r="I31" s="50"/>
    </row>
    <row r="32" ht="29.25" customHeight="1" spans="1:9">
      <c r="A32" s="98" t="s">
        <v>222</v>
      </c>
      <c r="B32" s="99" t="s">
        <v>105</v>
      </c>
      <c r="C32" s="139"/>
      <c r="D32" s="99" t="s">
        <v>223</v>
      </c>
      <c r="E32" s="99"/>
      <c r="F32" s="114">
        <v>600</v>
      </c>
      <c r="G32" s="115"/>
      <c r="H32" s="14"/>
      <c r="I32" s="50"/>
    </row>
    <row r="33" ht="30" customHeight="1" spans="1:9">
      <c r="A33" s="24"/>
      <c r="B33" s="140"/>
      <c r="C33" s="141"/>
      <c r="D33" s="142" t="s">
        <v>140</v>
      </c>
      <c r="E33" s="146"/>
      <c r="F33" s="48">
        <f>SUM(F22:G32)</f>
        <v>5371.14</v>
      </c>
      <c r="G33" s="49"/>
      <c r="H33" s="14"/>
      <c r="I33" s="50"/>
    </row>
    <row r="34" ht="30" customHeight="1" spans="1:9">
      <c r="A34" s="14"/>
      <c r="B34" s="14"/>
      <c r="C34" s="14"/>
      <c r="D34" s="14"/>
      <c r="E34" s="14"/>
      <c r="F34" s="14"/>
      <c r="G34" s="14"/>
      <c r="H34" s="14"/>
      <c r="I34" s="50"/>
    </row>
    <row r="35" ht="30" customHeight="1" spans="1:9">
      <c r="A35" s="14"/>
      <c r="B35" s="14"/>
      <c r="C35" s="14"/>
      <c r="D35" s="14"/>
      <c r="E35" s="14"/>
      <c r="F35" s="14"/>
      <c r="G35" s="14"/>
      <c r="H35" s="14"/>
      <c r="I35" s="50"/>
    </row>
    <row r="36" ht="30" customHeight="1" spans="1:9">
      <c r="A36" s="14"/>
      <c r="B36" s="14"/>
      <c r="C36" s="14"/>
      <c r="D36" s="14"/>
      <c r="E36" s="14"/>
      <c r="F36" s="14"/>
      <c r="G36" s="14"/>
      <c r="H36" s="14"/>
      <c r="I36" s="50"/>
    </row>
    <row r="37" ht="30" customHeight="1" spans="1:9">
      <c r="A37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December 2024 - 19 January 2025 /  (Revenue / Deferred Debts Or Expenses)</v>
      </c>
      <c r="B37" s="16"/>
      <c r="C37" s="16"/>
      <c r="D37" s="16"/>
      <c r="E37" s="16"/>
      <c r="F37" s="16"/>
      <c r="G37" s="16"/>
      <c r="H37" s="14"/>
      <c r="I37" s="50"/>
    </row>
    <row r="38" ht="30" customHeight="1" spans="1:9">
      <c r="A38" s="17" t="s">
        <v>29</v>
      </c>
      <c r="B38" s="116" t="s">
        <v>48</v>
      </c>
      <c r="C38" s="116"/>
      <c r="D38" s="117" t="s">
        <v>49</v>
      </c>
      <c r="E38" s="117"/>
      <c r="F38" s="117" t="s">
        <v>50</v>
      </c>
      <c r="G38" s="117"/>
      <c r="H38" s="14"/>
      <c r="I38" s="50"/>
    </row>
    <row r="39" ht="30" customHeight="1" spans="1:9">
      <c r="A39" s="98" t="s">
        <v>224</v>
      </c>
      <c r="B39" s="151" t="s">
        <v>66</v>
      </c>
      <c r="C39" s="152"/>
      <c r="D39" s="153" t="s">
        <v>153</v>
      </c>
      <c r="E39" s="157"/>
      <c r="F39" s="7">
        <v>0</v>
      </c>
      <c r="G39" s="7"/>
      <c r="H39" s="14"/>
      <c r="I39" s="50"/>
    </row>
    <row r="40" ht="30" customHeight="1" spans="1:9">
      <c r="A40" s="98"/>
      <c r="B40" s="151" t="s">
        <v>225</v>
      </c>
      <c r="C40" s="152"/>
      <c r="D40" s="153" t="s">
        <v>226</v>
      </c>
      <c r="E40" s="157"/>
      <c r="F40" s="7">
        <v>900</v>
      </c>
      <c r="G40" s="7"/>
      <c r="H40" s="14"/>
      <c r="I40" s="50"/>
    </row>
    <row r="41" ht="30" customHeight="1" spans="1:9">
      <c r="A41" s="98" t="s">
        <v>227</v>
      </c>
      <c r="B41" s="151" t="s">
        <v>52</v>
      </c>
      <c r="C41" s="152"/>
      <c r="D41" s="153" t="s">
        <v>53</v>
      </c>
      <c r="E41" s="157"/>
      <c r="F41" s="7">
        <v>2405</v>
      </c>
      <c r="G41" s="7"/>
      <c r="H41" s="14"/>
      <c r="I41" s="50"/>
    </row>
    <row r="42" ht="30" customHeight="1" spans="1:9">
      <c r="A42" s="98"/>
      <c r="B42" s="151" t="s">
        <v>103</v>
      </c>
      <c r="C42" s="152"/>
      <c r="D42" s="151" t="s">
        <v>228</v>
      </c>
      <c r="E42" s="152"/>
      <c r="F42" s="7">
        <v>66.4</v>
      </c>
      <c r="G42" s="7"/>
      <c r="H42" s="14"/>
      <c r="I42" s="50"/>
    </row>
    <row r="43" ht="30" customHeight="1" spans="1:9">
      <c r="A43" s="98" t="s">
        <v>227</v>
      </c>
      <c r="B43" s="151" t="s">
        <v>229</v>
      </c>
      <c r="C43" s="152"/>
      <c r="D43" s="151" t="s">
        <v>230</v>
      </c>
      <c r="E43" s="152"/>
      <c r="F43" s="7">
        <v>200</v>
      </c>
      <c r="G43" s="7"/>
      <c r="H43" s="14"/>
      <c r="I43" s="50"/>
    </row>
    <row r="44" ht="30" customHeight="1" spans="1:9">
      <c r="A44" s="98" t="s">
        <v>231</v>
      </c>
      <c r="B44" s="151" t="s">
        <v>105</v>
      </c>
      <c r="C44" s="152"/>
      <c r="D44" s="151" t="s">
        <v>232</v>
      </c>
      <c r="E44" s="152"/>
      <c r="F44" s="7">
        <v>100</v>
      </c>
      <c r="G44" s="7"/>
      <c r="H44" s="14"/>
      <c r="I44" s="50"/>
    </row>
    <row r="45" ht="30" customHeight="1" spans="1:9">
      <c r="A45" s="98" t="s">
        <v>233</v>
      </c>
      <c r="B45" s="151" t="s">
        <v>103</v>
      </c>
      <c r="C45" s="152"/>
      <c r="D45" s="151" t="s">
        <v>234</v>
      </c>
      <c r="E45" s="152"/>
      <c r="F45" s="7">
        <v>900</v>
      </c>
      <c r="G45" s="7"/>
      <c r="H45" s="14"/>
      <c r="I45" s="51"/>
    </row>
    <row r="46" ht="30" customHeight="1" spans="1:9">
      <c r="A46" s="98" t="s">
        <v>235</v>
      </c>
      <c r="B46" s="151" t="s">
        <v>103</v>
      </c>
      <c r="C46" s="152"/>
      <c r="D46" s="151" t="s">
        <v>236</v>
      </c>
      <c r="E46" s="152"/>
      <c r="F46" s="7">
        <v>50</v>
      </c>
      <c r="G46" s="7"/>
      <c r="H46" s="14"/>
      <c r="I46" s="50"/>
    </row>
    <row r="47" ht="30" customHeight="1" spans="1:9">
      <c r="A47" s="98" t="s">
        <v>237</v>
      </c>
      <c r="B47" s="151" t="s">
        <v>103</v>
      </c>
      <c r="C47" s="152"/>
      <c r="D47" s="151" t="s">
        <v>238</v>
      </c>
      <c r="E47" s="152"/>
      <c r="F47" s="7">
        <v>16.14</v>
      </c>
      <c r="G47" s="7"/>
      <c r="H47" s="14"/>
      <c r="I47" s="50"/>
    </row>
    <row r="48" ht="30" customHeight="1" spans="1:9">
      <c r="A48" s="98" t="s">
        <v>239</v>
      </c>
      <c r="B48" s="151" t="s">
        <v>105</v>
      </c>
      <c r="C48" s="152"/>
      <c r="D48" s="151" t="s">
        <v>240</v>
      </c>
      <c r="E48" s="152"/>
      <c r="F48" s="7">
        <v>50</v>
      </c>
      <c r="G48" s="7"/>
      <c r="H48" s="14"/>
      <c r="I48" s="50"/>
    </row>
    <row r="49" ht="30" customHeight="1" spans="1:9">
      <c r="A49" s="98" t="s">
        <v>241</v>
      </c>
      <c r="B49" s="151" t="s">
        <v>105</v>
      </c>
      <c r="C49" s="152"/>
      <c r="D49" s="151" t="s">
        <v>242</v>
      </c>
      <c r="E49" s="152"/>
      <c r="F49" s="7">
        <v>100</v>
      </c>
      <c r="G49" s="7"/>
      <c r="H49" s="14"/>
      <c r="I49" s="50"/>
    </row>
    <row r="50" ht="30" customHeight="1" spans="1:9">
      <c r="A50" s="98"/>
      <c r="B50" s="154" t="s">
        <v>243</v>
      </c>
      <c r="C50" s="155"/>
      <c r="D50" s="154" t="s">
        <v>244</v>
      </c>
      <c r="E50" s="155"/>
      <c r="F50" s="7">
        <v>229.6</v>
      </c>
      <c r="G50" s="7"/>
      <c r="H50" s="14"/>
      <c r="I50" s="50"/>
    </row>
    <row r="51" ht="30" customHeight="1" spans="1:9">
      <c r="A51" s="24"/>
      <c r="B51" s="140"/>
      <c r="C51" s="141"/>
      <c r="D51" s="142" t="s">
        <v>140</v>
      </c>
      <c r="E51" s="146"/>
      <c r="F51" s="147">
        <f>SUM(F39:G50)</f>
        <v>5017.14</v>
      </c>
      <c r="G51" s="148"/>
      <c r="H51" s="14"/>
      <c r="I51" s="50"/>
    </row>
    <row r="52" ht="30" customHeight="1" spans="1:9">
      <c r="A52" s="14"/>
      <c r="B52" s="14"/>
      <c r="C52" s="14"/>
      <c r="D52" s="14"/>
      <c r="E52" s="14"/>
      <c r="F52" s="14"/>
      <c r="G52" s="14"/>
      <c r="H52" s="14"/>
      <c r="I52" s="50"/>
    </row>
    <row r="53" ht="30" customHeight="1" spans="1:9">
      <c r="A53" s="14"/>
      <c r="B53" s="14"/>
      <c r="C53" s="14"/>
      <c r="D53" s="14"/>
      <c r="E53" s="14"/>
      <c r="F53" s="14"/>
      <c r="G53" s="14"/>
      <c r="H53" s="14"/>
      <c r="I53" s="50"/>
    </row>
    <row r="54" ht="30" customHeight="1" spans="1:9">
      <c r="A54" s="14"/>
      <c r="B54" s="14"/>
      <c r="C54" s="14"/>
      <c r="D54" s="14"/>
      <c r="E54" s="14"/>
      <c r="F54" s="14"/>
      <c r="G54" s="14"/>
      <c r="H54" s="14"/>
      <c r="I54" s="50"/>
    </row>
    <row r="55" ht="30" customHeight="1" spans="1:9">
      <c r="A55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2024 to January 2025</v>
      </c>
      <c r="B55" s="29"/>
      <c r="C55" s="30"/>
      <c r="D55" s="14"/>
      <c r="E55" s="14"/>
      <c r="F55" s="14"/>
      <c r="G55" s="14"/>
      <c r="H55" s="14"/>
      <c r="I55" s="50"/>
    </row>
    <row r="56" ht="30" customHeight="1" spans="1:9">
      <c r="A56" s="31" t="s">
        <v>48</v>
      </c>
      <c r="B56" s="31" t="s">
        <v>49</v>
      </c>
      <c r="C56" s="1" t="s">
        <v>50</v>
      </c>
      <c r="D56" s="14"/>
      <c r="E56" s="14"/>
      <c r="F56" s="14"/>
      <c r="G56" s="14"/>
      <c r="H56" s="14"/>
      <c r="I56" s="50"/>
    </row>
    <row r="57" ht="30" customHeight="1" spans="1:9">
      <c r="A57" s="32" t="s">
        <v>73</v>
      </c>
      <c r="B57" s="33"/>
      <c r="C57" s="34"/>
      <c r="D57" s="14"/>
      <c r="E57" s="14"/>
      <c r="F57" s="14"/>
      <c r="G57" s="14"/>
      <c r="H57" s="14"/>
      <c r="I57" s="50"/>
    </row>
    <row r="58" ht="30" customHeight="1" spans="1:9">
      <c r="A58" s="101" t="s">
        <v>195</v>
      </c>
      <c r="B58" s="128"/>
      <c r="C58" s="103">
        <v>0</v>
      </c>
      <c r="D58" s="14"/>
      <c r="E58" s="14"/>
      <c r="F58" s="14"/>
      <c r="G58" s="14"/>
      <c r="H58" s="14"/>
      <c r="I58" s="50"/>
    </row>
    <row r="59" ht="30" customHeight="1" spans="1:9">
      <c r="A59" s="101" t="s">
        <v>59</v>
      </c>
      <c r="B59" s="128"/>
      <c r="C59" s="103">
        <v>0</v>
      </c>
      <c r="D59" s="14"/>
      <c r="E59" s="14"/>
      <c r="F59" s="14"/>
      <c r="G59" s="14"/>
      <c r="H59" s="14"/>
      <c r="I59" s="50"/>
    </row>
    <row r="60" ht="30" customHeight="1" spans="1:9">
      <c r="A60" s="101" t="s">
        <v>75</v>
      </c>
      <c r="B60" s="128" t="s">
        <v>245</v>
      </c>
      <c r="C60" s="103">
        <v>149</v>
      </c>
      <c r="D60" s="14"/>
      <c r="E60" s="14"/>
      <c r="F60" s="14"/>
      <c r="G60" s="14"/>
      <c r="H60" s="14"/>
      <c r="I60" s="50"/>
    </row>
    <row r="61" ht="30" customHeight="1" spans="1:9">
      <c r="A61" s="35"/>
      <c r="B61" s="39"/>
      <c r="C61" s="37">
        <v>0</v>
      </c>
      <c r="D61" s="14"/>
      <c r="E61" s="14"/>
      <c r="F61" s="14"/>
      <c r="G61" s="14"/>
      <c r="H61" s="14"/>
      <c r="I61" s="50"/>
    </row>
    <row r="62" ht="30" customHeight="1" spans="1:9">
      <c r="A62" s="40"/>
      <c r="B62" s="39"/>
      <c r="C62" s="37">
        <v>0</v>
      </c>
      <c r="D62" s="14"/>
      <c r="E62" s="14"/>
      <c r="F62" s="14"/>
      <c r="G62" s="14"/>
      <c r="H62" s="14"/>
      <c r="I62" s="50"/>
    </row>
    <row r="63" ht="30" customHeight="1" spans="1:9">
      <c r="A63" s="40"/>
      <c r="B63" s="39"/>
      <c r="C63" s="37">
        <v>0</v>
      </c>
      <c r="D63" s="14"/>
      <c r="E63" s="14"/>
      <c r="F63" s="14"/>
      <c r="G63" s="14"/>
      <c r="H63" s="14"/>
      <c r="I63" s="50"/>
    </row>
    <row r="64" ht="30" customHeight="1" spans="1:9">
      <c r="A64" s="40"/>
      <c r="B64" s="39"/>
      <c r="C64" s="37">
        <v>0</v>
      </c>
      <c r="D64" s="14"/>
      <c r="E64" s="14"/>
      <c r="F64" s="14"/>
      <c r="G64" s="14"/>
      <c r="H64" s="14"/>
      <c r="I64" s="50"/>
    </row>
    <row r="65" ht="30" customHeight="1" spans="1:9">
      <c r="A65" s="40"/>
      <c r="B65" s="39"/>
      <c r="C65" s="37">
        <v>0</v>
      </c>
      <c r="D65" s="14"/>
      <c r="E65" s="14"/>
      <c r="F65" s="14"/>
      <c r="G65" s="14"/>
      <c r="H65" s="14"/>
      <c r="I65" s="50"/>
    </row>
    <row r="66" ht="30" customHeight="1" spans="1:9">
      <c r="A66" s="41"/>
      <c r="B66" s="121" t="s">
        <v>77</v>
      </c>
      <c r="C66" s="37">
        <f>SUM(C58:C65)</f>
        <v>149</v>
      </c>
      <c r="D66" s="14"/>
      <c r="E66" s="14"/>
      <c r="F66" s="14"/>
      <c r="G66" s="14"/>
      <c r="H66" s="14"/>
      <c r="I66" s="50"/>
    </row>
    <row r="67" ht="30" customHeight="1" spans="1:9">
      <c r="A67" s="32" t="s">
        <v>78</v>
      </c>
      <c r="B67" s="33"/>
      <c r="C67" s="34"/>
      <c r="D67" s="14"/>
      <c r="E67" s="14"/>
      <c r="F67" s="14"/>
      <c r="G67" s="14"/>
      <c r="H67" s="14"/>
      <c r="I67" s="50"/>
    </row>
    <row r="68" ht="30" customHeight="1" spans="1:9">
      <c r="A68" s="35" t="s">
        <v>79</v>
      </c>
      <c r="B68" s="36"/>
      <c r="C68" s="37">
        <v>0</v>
      </c>
      <c r="D68" s="14"/>
      <c r="E68" s="14"/>
      <c r="F68" s="14"/>
      <c r="G68" s="14"/>
      <c r="H68" s="14"/>
      <c r="I68" s="50"/>
    </row>
    <row r="69" ht="30" customHeight="1" spans="1:9">
      <c r="A69" s="35" t="s">
        <v>80</v>
      </c>
      <c r="B69" s="36"/>
      <c r="C69" s="37">
        <v>0</v>
      </c>
      <c r="D69" s="14"/>
      <c r="E69" s="14"/>
      <c r="F69" s="14"/>
      <c r="G69" s="14"/>
      <c r="H69" s="14"/>
      <c r="I69" s="50"/>
    </row>
    <row r="70" ht="30" customHeight="1" spans="1:9">
      <c r="A70" s="35" t="s">
        <v>81</v>
      </c>
      <c r="B70" s="36"/>
      <c r="C70" s="37">
        <v>0</v>
      </c>
      <c r="D70" s="14"/>
      <c r="E70" s="14"/>
      <c r="F70" s="14"/>
      <c r="G70" s="14"/>
      <c r="H70" s="14"/>
      <c r="I70" s="50"/>
    </row>
    <row r="71" ht="30" customHeight="1" spans="1:9">
      <c r="A71" s="35" t="s">
        <v>82</v>
      </c>
      <c r="B71" s="36"/>
      <c r="C71" s="37">
        <v>0</v>
      </c>
      <c r="D71" s="14"/>
      <c r="E71" s="14"/>
      <c r="F71" s="14"/>
      <c r="G71" s="14"/>
      <c r="H71" s="14"/>
      <c r="I71" s="50"/>
    </row>
    <row r="72" ht="30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30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30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30" customHeight="1" spans="1:9">
      <c r="A75" s="35"/>
      <c r="B75" s="36"/>
      <c r="C75" s="37">
        <v>0</v>
      </c>
      <c r="D75" s="14"/>
      <c r="E75" s="14"/>
      <c r="F75" s="14"/>
      <c r="G75" s="14"/>
      <c r="H75" s="14"/>
      <c r="I75" s="50"/>
    </row>
    <row r="76" ht="30" customHeight="1" spans="1:9">
      <c r="A76" s="35"/>
      <c r="B76" s="36"/>
      <c r="C76" s="37">
        <v>0</v>
      </c>
      <c r="D76" s="14"/>
      <c r="E76" s="14"/>
      <c r="F76" s="14"/>
      <c r="G76" s="14"/>
      <c r="H76" s="14"/>
      <c r="I76" s="50"/>
    </row>
    <row r="77" ht="30" customHeight="1" spans="1:9">
      <c r="A77" s="52"/>
      <c r="B77" s="121" t="s">
        <v>77</v>
      </c>
      <c r="C77" s="37">
        <f>SUM(C68:C76)</f>
        <v>0</v>
      </c>
      <c r="D77" s="14"/>
      <c r="E77" s="14"/>
      <c r="F77" s="14"/>
      <c r="G77" s="14"/>
      <c r="H77" s="14"/>
      <c r="I77" s="50"/>
    </row>
    <row r="78" ht="30" customHeight="1" spans="1:9">
      <c r="A78" s="32" t="s">
        <v>83</v>
      </c>
      <c r="B78" s="33"/>
      <c r="C78" s="34"/>
      <c r="D78" s="14"/>
      <c r="E78" s="14"/>
      <c r="F78" s="14"/>
      <c r="G78" s="14"/>
      <c r="H78" s="14"/>
      <c r="I78" s="50"/>
    </row>
    <row r="79" ht="30" customHeight="1" spans="1:9">
      <c r="A79" s="35" t="s">
        <v>84</v>
      </c>
      <c r="B79" s="36" t="s">
        <v>85</v>
      </c>
      <c r="C79" s="37">
        <v>0</v>
      </c>
      <c r="D79" s="14"/>
      <c r="E79" s="14"/>
      <c r="F79" s="14"/>
      <c r="G79" s="14"/>
      <c r="H79" s="14"/>
      <c r="I79" s="50"/>
    </row>
    <row r="80" ht="30" customHeight="1" spans="1:9">
      <c r="A80" s="35" t="s">
        <v>86</v>
      </c>
      <c r="B80" s="36" t="s">
        <v>87</v>
      </c>
      <c r="C80" s="37">
        <v>0</v>
      </c>
      <c r="D80" s="14"/>
      <c r="E80" s="14"/>
      <c r="F80" s="14"/>
      <c r="G80" s="14"/>
      <c r="H80" s="14"/>
      <c r="I80" s="50"/>
    </row>
    <row r="81" ht="30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30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30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30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30" customHeight="1" spans="1:9">
      <c r="A85" s="35"/>
      <c r="B85" s="36"/>
      <c r="C85" s="37">
        <v>0</v>
      </c>
      <c r="D85" s="14"/>
      <c r="E85" s="14"/>
      <c r="F85" s="14"/>
      <c r="G85" s="14"/>
      <c r="H85" s="14"/>
      <c r="I85" s="50"/>
    </row>
    <row r="86" ht="30" customHeight="1" spans="1:9">
      <c r="A86" s="52"/>
      <c r="B86" s="121" t="s">
        <v>77</v>
      </c>
      <c r="C86" s="37">
        <f>SUM(C79:C85)</f>
        <v>0</v>
      </c>
      <c r="D86" s="14"/>
      <c r="E86" s="14"/>
      <c r="F86" s="14"/>
      <c r="G86" s="14"/>
      <c r="H86" s="14"/>
      <c r="I86" s="50"/>
    </row>
    <row r="87" ht="30" customHeight="1" spans="1:9">
      <c r="A87" s="32" t="s">
        <v>89</v>
      </c>
      <c r="B87" s="33"/>
      <c r="C87" s="34"/>
      <c r="D87" s="14"/>
      <c r="E87" s="14"/>
      <c r="F87" s="14"/>
      <c r="G87" s="14"/>
      <c r="H87" s="14"/>
      <c r="I87" s="50"/>
    </row>
    <row r="88" ht="30" customHeight="1" spans="1:9">
      <c r="A88" s="35" t="s">
        <v>90</v>
      </c>
      <c r="B88" s="36" t="s">
        <v>246</v>
      </c>
      <c r="C88" s="37">
        <v>0</v>
      </c>
      <c r="D88" s="14"/>
      <c r="E88" s="14"/>
      <c r="F88" s="14"/>
      <c r="G88" s="14"/>
      <c r="H88" s="14"/>
      <c r="I88" s="50"/>
    </row>
    <row r="89" ht="30" customHeight="1" spans="1:9">
      <c r="A89" s="35" t="s">
        <v>247</v>
      </c>
      <c r="B89" s="36" t="s">
        <v>248</v>
      </c>
      <c r="C89" s="37">
        <v>0</v>
      </c>
      <c r="D89" s="14"/>
      <c r="E89" s="14"/>
      <c r="F89" s="14"/>
      <c r="G89" s="14"/>
      <c r="H89" s="14"/>
      <c r="I89" s="50"/>
    </row>
    <row r="90" ht="30" customHeight="1" spans="1:9">
      <c r="A90" s="35" t="s">
        <v>249</v>
      </c>
      <c r="B90" s="36" t="s">
        <v>250</v>
      </c>
      <c r="C90" s="37">
        <v>0</v>
      </c>
      <c r="D90" s="14"/>
      <c r="E90" s="14"/>
      <c r="F90" s="14"/>
      <c r="G90" s="14"/>
      <c r="H90" s="14"/>
      <c r="I90" s="50"/>
    </row>
    <row r="91" ht="30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30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30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30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30" customHeight="1" spans="1:9">
      <c r="A95" s="35"/>
      <c r="B95" s="36"/>
      <c r="C95" s="37">
        <v>0</v>
      </c>
      <c r="D95" s="14"/>
      <c r="E95" s="14"/>
      <c r="F95" s="14"/>
      <c r="G95" s="14"/>
      <c r="H95" s="14"/>
      <c r="I95" s="50"/>
    </row>
    <row r="96" ht="30" customHeight="1" spans="1:9">
      <c r="A96" s="52"/>
      <c r="B96" s="121" t="s">
        <v>91</v>
      </c>
      <c r="C96" s="37">
        <f>SUM(C88:C95)</f>
        <v>0</v>
      </c>
      <c r="D96" s="14"/>
      <c r="E96" s="14"/>
      <c r="F96" s="14"/>
      <c r="G96" s="14"/>
      <c r="H96" s="14"/>
      <c r="I96" s="50"/>
    </row>
    <row r="97" ht="30" customHeight="1" spans="1:9">
      <c r="A97" s="32" t="s">
        <v>92</v>
      </c>
      <c r="B97" s="33"/>
      <c r="C97" s="34"/>
      <c r="D97" s="14"/>
      <c r="E97" s="14"/>
      <c r="F97" s="14"/>
      <c r="G97" s="14"/>
      <c r="H97" s="14"/>
      <c r="I97" s="50"/>
    </row>
    <row r="98" ht="30" customHeight="1" spans="1:9">
      <c r="A98" s="101" t="s">
        <v>93</v>
      </c>
      <c r="B98" s="104" t="s">
        <v>94</v>
      </c>
      <c r="C98" s="103">
        <v>200</v>
      </c>
      <c r="D98" s="14"/>
      <c r="E98" s="14"/>
      <c r="F98" s="14"/>
      <c r="G98" s="14"/>
      <c r="H98" s="14"/>
      <c r="I98" s="50"/>
    </row>
    <row r="99" ht="30" customHeight="1" spans="1:9">
      <c r="A99" s="105" t="s">
        <v>95</v>
      </c>
      <c r="B99" s="104" t="s">
        <v>96</v>
      </c>
      <c r="C99" s="103">
        <v>68</v>
      </c>
      <c r="D99" s="14"/>
      <c r="E99" s="14"/>
      <c r="F99" s="14"/>
      <c r="G99" s="14"/>
      <c r="H99" s="14"/>
      <c r="I99" s="50"/>
    </row>
    <row r="100" ht="30" customHeight="1" spans="1:9">
      <c r="A100" s="101" t="s">
        <v>97</v>
      </c>
      <c r="B100" s="102" t="s">
        <v>251</v>
      </c>
      <c r="C100" s="103">
        <v>52</v>
      </c>
      <c r="D100" s="14"/>
      <c r="E100" s="14"/>
      <c r="F100" s="14"/>
      <c r="G100" s="14"/>
      <c r="H100" s="14"/>
      <c r="I100" s="50"/>
    </row>
    <row r="101" ht="30" customHeight="1" spans="1:9">
      <c r="A101" s="101" t="s">
        <v>99</v>
      </c>
      <c r="B101" s="104" t="s">
        <v>169</v>
      </c>
      <c r="C101" s="103">
        <v>900</v>
      </c>
      <c r="D101" s="14"/>
      <c r="E101" s="68"/>
      <c r="F101" s="14"/>
      <c r="G101" s="14"/>
      <c r="H101" s="14"/>
      <c r="I101" s="50"/>
    </row>
    <row r="102" ht="30" customHeight="1" spans="1:9">
      <c r="A102" s="35"/>
      <c r="B102" s="36"/>
      <c r="C102" s="37">
        <v>0</v>
      </c>
      <c r="D102" s="14"/>
      <c r="E102" s="14"/>
      <c r="F102" s="14"/>
      <c r="G102" s="14"/>
      <c r="H102" s="14"/>
      <c r="I102" s="50"/>
    </row>
    <row r="103" ht="30" customHeight="1" spans="1:9">
      <c r="A103" s="35"/>
      <c r="B103" s="36"/>
      <c r="C103" s="37">
        <v>0</v>
      </c>
      <c r="D103" s="14"/>
      <c r="E103" s="14"/>
      <c r="F103" s="14"/>
      <c r="G103" s="14"/>
      <c r="H103" s="14"/>
      <c r="I103" s="50"/>
    </row>
    <row r="104" ht="30" customHeight="1" spans="1:9">
      <c r="A104" s="35"/>
      <c r="B104" s="36"/>
      <c r="C104" s="37">
        <v>0</v>
      </c>
      <c r="D104" s="14"/>
      <c r="E104" s="14"/>
      <c r="F104" s="14"/>
      <c r="G104" s="14"/>
      <c r="H104" s="14"/>
      <c r="I104" s="50"/>
    </row>
    <row r="105" ht="30" customHeight="1" spans="1:9">
      <c r="A105" s="35"/>
      <c r="B105" s="36"/>
      <c r="C105" s="37">
        <v>0</v>
      </c>
      <c r="D105" s="14"/>
      <c r="E105" s="14"/>
      <c r="F105" s="14"/>
      <c r="G105" s="14"/>
      <c r="H105" s="14"/>
      <c r="I105" s="50"/>
    </row>
    <row r="106" ht="30" customHeight="1" spans="1:9">
      <c r="A106" s="40"/>
      <c r="B106" s="121" t="s">
        <v>77</v>
      </c>
      <c r="C106" s="37">
        <f>SUM(C98:C105)</f>
        <v>1220</v>
      </c>
      <c r="D106" s="14"/>
      <c r="E106" s="14"/>
      <c r="F106" s="14"/>
      <c r="G106" s="14"/>
      <c r="H106" s="14"/>
      <c r="I106" s="50"/>
    </row>
    <row r="107" ht="30" customHeight="1" spans="1:9">
      <c r="A107" s="52"/>
      <c r="B107" s="121" t="s">
        <v>101</v>
      </c>
      <c r="C107" s="37">
        <f>C66+C77+C86+C96+C106</f>
        <v>1369</v>
      </c>
      <c r="D107" s="14"/>
      <c r="E107" s="14"/>
      <c r="F107" s="14"/>
      <c r="G107" s="14"/>
      <c r="H107" s="14"/>
      <c r="I107" s="50"/>
    </row>
    <row r="108" ht="30" customHeight="1" spans="1:9">
      <c r="A108" s="32" t="s">
        <v>102</v>
      </c>
      <c r="B108" s="33"/>
      <c r="C108" s="34"/>
      <c r="D108" s="14"/>
      <c r="E108" s="14"/>
      <c r="F108" s="14"/>
      <c r="G108" s="14"/>
      <c r="H108" s="14"/>
      <c r="I108" s="50"/>
    </row>
    <row r="109" ht="30" customHeight="1" spans="1:9">
      <c r="A109" s="107" t="s">
        <v>103</v>
      </c>
      <c r="B109" s="36"/>
      <c r="C109" s="37">
        <f>('July 2024 - September 2024'!C105)+SUM(E129+E156+E183)</f>
        <v>-9383</v>
      </c>
      <c r="D109" s="14"/>
      <c r="E109" s="69"/>
      <c r="F109" s="14"/>
      <c r="G109" s="14"/>
      <c r="H109" s="14"/>
      <c r="I109" s="50"/>
    </row>
    <row r="110" ht="30" customHeight="1" spans="1:9">
      <c r="A110" s="107" t="s">
        <v>104</v>
      </c>
      <c r="B110" s="36"/>
      <c r="C110" s="37">
        <f>('July 2024 - September 2024'!C106)+SUM(E130+E157+E184)</f>
        <v>0</v>
      </c>
      <c r="D110" s="14"/>
      <c r="E110" s="14"/>
      <c r="F110" s="14"/>
      <c r="G110" s="14"/>
      <c r="H110" s="14"/>
      <c r="I110" s="50"/>
    </row>
    <row r="111" ht="30" customHeight="1" spans="1:9">
      <c r="A111" s="107" t="s">
        <v>105</v>
      </c>
      <c r="B111" s="36"/>
      <c r="C111" s="158">
        <f>('July 2024 - September 2024'!C107)+SUM(E131+E158+E185)</f>
        <v>-1300</v>
      </c>
      <c r="D111" s="14"/>
      <c r="E111" s="14"/>
      <c r="F111" s="14"/>
      <c r="G111" s="14"/>
      <c r="H111" s="14"/>
      <c r="I111" s="50"/>
    </row>
    <row r="112" ht="30" customHeight="1" spans="1:9">
      <c r="A112" s="101" t="s">
        <v>106</v>
      </c>
      <c r="B112" s="36"/>
      <c r="C112" s="37">
        <f>('July 2024 - September 2024'!C108)+SUM(E132+E159+E186)</f>
        <v>0</v>
      </c>
      <c r="D112" s="14"/>
      <c r="E112" s="14"/>
      <c r="F112" s="14"/>
      <c r="G112" s="14"/>
      <c r="H112" s="14"/>
      <c r="I112" s="50"/>
    </row>
    <row r="113" ht="30" customHeight="1" spans="1:9">
      <c r="A113" s="101" t="s">
        <v>107</v>
      </c>
      <c r="B113" s="36"/>
      <c r="C113" s="37">
        <f>('July 2024 - September 2024'!C109)+SUM(E133+E160+E187)</f>
        <v>0</v>
      </c>
      <c r="D113" s="14"/>
      <c r="E113" s="14"/>
      <c r="F113" s="14"/>
      <c r="G113" s="14"/>
      <c r="H113" s="14"/>
      <c r="I113" s="50"/>
    </row>
    <row r="114" ht="30" customHeight="1" spans="1:9">
      <c r="A114" s="35"/>
      <c r="B114" s="36"/>
      <c r="C114" s="37">
        <f>('July 2024 - September 2024'!C110)+SUM(E134+E161+E188)</f>
        <v>0</v>
      </c>
      <c r="D114" s="14"/>
      <c r="E114" s="14"/>
      <c r="F114" s="14"/>
      <c r="G114" s="14"/>
      <c r="H114" s="14"/>
      <c r="I114" s="50"/>
    </row>
    <row r="115" ht="30" customHeight="1" spans="1:9">
      <c r="A115" s="35"/>
      <c r="B115" s="36"/>
      <c r="C115" s="37">
        <f>('July 2024 - September 2024'!C111)+SUM(E135+E162+E189)</f>
        <v>0</v>
      </c>
      <c r="D115" s="14"/>
      <c r="E115" s="14"/>
      <c r="F115" s="14"/>
      <c r="G115" s="14"/>
      <c r="H115" s="14"/>
      <c r="I115" s="50"/>
    </row>
    <row r="116" ht="30" customHeight="1" spans="1:9">
      <c r="A116" s="35"/>
      <c r="B116" s="36"/>
      <c r="C116" s="37">
        <f>('July 2024 - September 2024'!C112)+SUM(E136+E163+E190)</f>
        <v>0</v>
      </c>
      <c r="D116" s="14"/>
      <c r="E116" s="14"/>
      <c r="F116" s="14"/>
      <c r="G116" s="14"/>
      <c r="H116" s="14"/>
      <c r="I116" s="50"/>
    </row>
    <row r="117" ht="30" customHeight="1" spans="1:9">
      <c r="A117" s="35"/>
      <c r="B117" s="36"/>
      <c r="C117" s="37">
        <f>('July 2024 - September 2024'!C113)+SUM(E137+E164+E191)</f>
        <v>0</v>
      </c>
      <c r="D117" s="14"/>
      <c r="E117" s="14"/>
      <c r="F117" s="14"/>
      <c r="G117" s="14"/>
      <c r="H117" s="14"/>
      <c r="I117" s="50"/>
    </row>
    <row r="118" ht="30" customHeight="1" spans="1:9">
      <c r="A118" s="35"/>
      <c r="B118" s="36"/>
      <c r="C118" s="37">
        <f>('July 2024 - September 2024'!C114)+SUM(E138+E165+E192)</f>
        <v>0</v>
      </c>
      <c r="D118" s="14"/>
      <c r="E118" s="14"/>
      <c r="F118" s="14"/>
      <c r="G118" s="14"/>
      <c r="H118" s="14"/>
      <c r="I118" s="50"/>
    </row>
    <row r="119" ht="30" customHeight="1" spans="1:9">
      <c r="A119" s="52"/>
      <c r="B119" s="121" t="s">
        <v>108</v>
      </c>
      <c r="C119" s="37">
        <f>SUM(C109:C113)</f>
        <v>-10683</v>
      </c>
      <c r="D119" s="14"/>
      <c r="E119" s="14"/>
      <c r="F119" s="14"/>
      <c r="G119" s="14"/>
      <c r="H119" s="14"/>
      <c r="I119" s="50"/>
    </row>
    <row r="120" ht="30" customHeight="1" spans="1:9">
      <c r="A120" s="52"/>
      <c r="B120" s="121" t="s">
        <v>109</v>
      </c>
      <c r="C120" s="37">
        <f>ABS(C107+ABS(C119))</f>
        <v>12052</v>
      </c>
      <c r="D120" s="14"/>
      <c r="E120" s="14"/>
      <c r="F120" s="14"/>
      <c r="G120" s="14"/>
      <c r="H120" s="14"/>
      <c r="I120" s="50"/>
    </row>
    <row r="121" ht="30" customHeight="1" spans="1:9">
      <c r="A121" s="14"/>
      <c r="B121" s="14"/>
      <c r="C121" s="14"/>
      <c r="D121" s="14"/>
      <c r="E121" s="14"/>
      <c r="F121" s="14"/>
      <c r="G121" s="14"/>
      <c r="H121" s="14"/>
      <c r="I121" s="50"/>
    </row>
    <row r="122" ht="30" customHeight="1" spans="1:9">
      <c r="A122" s="14"/>
      <c r="B122" s="14"/>
      <c r="C122" s="14"/>
      <c r="D122" s="14"/>
      <c r="E122" s="14"/>
      <c r="F122" s="14"/>
      <c r="G122" s="14"/>
      <c r="H122" s="14"/>
      <c r="I122" s="50"/>
    </row>
    <row r="123" ht="30" customHeight="1" spans="1:9">
      <c r="A123" s="14"/>
      <c r="B123" s="14"/>
      <c r="C123" s="14"/>
      <c r="D123" s="14"/>
      <c r="E123" s="14"/>
      <c r="F123" s="14"/>
      <c r="G123" s="14"/>
      <c r="H123" s="14"/>
      <c r="I123" s="50"/>
    </row>
    <row r="124" ht="30" customHeight="1" spans="1:9">
      <c r="A124" s="14"/>
      <c r="B124" s="14"/>
      <c r="C124" s="14"/>
      <c r="D124" s="14"/>
      <c r="E124" s="14"/>
      <c r="F124" s="14"/>
      <c r="G124" s="14"/>
      <c r="H124" s="14"/>
      <c r="I124" s="50"/>
    </row>
    <row r="125" ht="30" customHeight="1" spans="1:9">
      <c r="A125" s="53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20 2024 to November 19 2024</v>
      </c>
      <c r="B125" s="54"/>
      <c r="C125" s="54"/>
      <c r="D125" s="54"/>
      <c r="E125" s="55"/>
      <c r="F125" s="14"/>
      <c r="G125" s="14"/>
      <c r="H125" s="14"/>
      <c r="I125" s="50"/>
    </row>
    <row r="126" ht="30" customHeight="1" spans="1:9">
      <c r="A126" s="53" t="s">
        <v>110</v>
      </c>
      <c r="B126" s="55"/>
      <c r="C126" s="53" t="s">
        <v>49</v>
      </c>
      <c r="D126" s="55"/>
      <c r="E126" s="70" t="s">
        <v>50</v>
      </c>
      <c r="F126" s="14"/>
      <c r="G126" s="14"/>
      <c r="H126" s="14"/>
      <c r="I126" s="50"/>
    </row>
    <row r="127" ht="30" customHeight="1" spans="1:9">
      <c r="A127" s="56" t="str">
        <f>"Balance Brought Forward From "&amp;IF(Main!B2,TEXT(EDATE(Main!B3,6)-1,"mmmm yyyy"),TEXT(Main!B3+((Main!B5-Main!B3)*6+5),"mmmm yyyy"))</f>
        <v>Balance Brought Forward From October 2024</v>
      </c>
      <c r="B127" s="57"/>
      <c r="C127" s="58"/>
      <c r="D127" s="58"/>
      <c r="E127" s="159">
        <f>'July 2024 - September 2024'!E202</f>
        <v>502.709999999998</v>
      </c>
      <c r="F127" s="14"/>
      <c r="G127" s="14"/>
      <c r="H127" s="14"/>
      <c r="I127" s="50"/>
    </row>
    <row r="128" ht="30" customHeight="1" spans="1:9">
      <c r="A128" s="85" t="s">
        <v>92</v>
      </c>
      <c r="B128" s="86"/>
      <c r="C128" s="61" t="s">
        <v>111</v>
      </c>
      <c r="D128" s="62"/>
      <c r="E128" s="137"/>
      <c r="F128" s="14"/>
      <c r="G128" s="14"/>
      <c r="H128" s="14"/>
      <c r="I128" s="50"/>
    </row>
    <row r="129" ht="30" customHeight="1" spans="1:9">
      <c r="A129" s="89"/>
      <c r="B129" s="90"/>
      <c r="C129" s="128" t="s">
        <v>115</v>
      </c>
      <c r="D129" s="128"/>
      <c r="E129" s="103">
        <v>0</v>
      </c>
      <c r="F129" s="14"/>
      <c r="G129" s="14"/>
      <c r="H129" s="14"/>
      <c r="I129" s="50"/>
    </row>
    <row r="130" ht="30" customHeight="1" spans="1:9">
      <c r="A130" s="89"/>
      <c r="B130" s="90"/>
      <c r="C130" s="65"/>
      <c r="D130" s="66"/>
      <c r="E130" s="136">
        <v>0</v>
      </c>
      <c r="F130" s="14"/>
      <c r="G130" s="14"/>
      <c r="H130" s="14"/>
      <c r="I130" s="50"/>
    </row>
    <row r="131" ht="30" customHeight="1" spans="1:9">
      <c r="A131" s="89"/>
      <c r="B131" s="90"/>
      <c r="C131" s="128" t="s">
        <v>252</v>
      </c>
      <c r="D131" s="128"/>
      <c r="E131" s="103">
        <v>200</v>
      </c>
      <c r="F131" s="14"/>
      <c r="G131" s="14"/>
      <c r="H131" s="14"/>
      <c r="I131" s="50"/>
    </row>
    <row r="132" ht="30" customHeight="1" spans="1:9">
      <c r="A132" s="89"/>
      <c r="B132" s="90"/>
      <c r="C132" s="65"/>
      <c r="D132" s="66"/>
      <c r="E132" s="136">
        <v>0</v>
      </c>
      <c r="F132" s="14"/>
      <c r="G132" s="14"/>
      <c r="H132" s="14"/>
      <c r="I132" s="50"/>
    </row>
    <row r="133" ht="30" customHeight="1" spans="1:9">
      <c r="A133" s="89"/>
      <c r="B133" s="90"/>
      <c r="C133" s="65"/>
      <c r="D133" s="66"/>
      <c r="E133" s="136">
        <v>0</v>
      </c>
      <c r="F133" s="14"/>
      <c r="G133" s="14"/>
      <c r="H133" s="14"/>
      <c r="I133" s="50"/>
    </row>
    <row r="134" ht="30" customHeight="1" spans="1:9">
      <c r="A134" s="89"/>
      <c r="B134" s="90"/>
      <c r="C134" s="65"/>
      <c r="D134" s="66"/>
      <c r="E134" s="136">
        <v>0</v>
      </c>
      <c r="F134" s="14"/>
      <c r="G134" s="14"/>
      <c r="H134" s="14"/>
      <c r="I134" s="50"/>
    </row>
    <row r="135" ht="30" customHeight="1" spans="1:9">
      <c r="A135" s="89"/>
      <c r="B135" s="90"/>
      <c r="C135" s="65"/>
      <c r="D135" s="66"/>
      <c r="E135" s="136">
        <v>0</v>
      </c>
      <c r="F135" s="14"/>
      <c r="G135" s="14"/>
      <c r="H135" s="14"/>
      <c r="I135" s="50"/>
    </row>
    <row r="136" ht="30" customHeight="1" spans="1:9">
      <c r="A136" s="89"/>
      <c r="B136" s="90"/>
      <c r="C136" s="65"/>
      <c r="D136" s="66"/>
      <c r="E136" s="136">
        <v>0</v>
      </c>
      <c r="F136" s="14"/>
      <c r="G136" s="14"/>
      <c r="H136" s="14"/>
      <c r="I136" s="50"/>
    </row>
    <row r="137" ht="30" customHeight="1" spans="1:9">
      <c r="A137" s="89"/>
      <c r="B137" s="90"/>
      <c r="C137" s="65"/>
      <c r="D137" s="66"/>
      <c r="E137" s="136">
        <v>0</v>
      </c>
      <c r="F137" s="14"/>
      <c r="G137" s="14"/>
      <c r="H137" s="14"/>
      <c r="I137" s="50"/>
    </row>
    <row r="138" ht="30" customHeight="1" spans="1:9">
      <c r="A138" s="89"/>
      <c r="B138" s="90"/>
      <c r="C138" s="65"/>
      <c r="D138" s="66"/>
      <c r="E138" s="136">
        <v>0</v>
      </c>
      <c r="F138" s="14"/>
      <c r="G138" s="14"/>
      <c r="H138" s="14"/>
      <c r="I138" s="50"/>
    </row>
    <row r="139" ht="30" customHeight="1" spans="1:9">
      <c r="A139" s="89"/>
      <c r="B139" s="90"/>
      <c r="C139" s="67" t="s">
        <v>112</v>
      </c>
      <c r="D139" s="62"/>
      <c r="E139" s="137"/>
      <c r="F139" s="14"/>
      <c r="G139" s="14"/>
      <c r="H139" s="14"/>
      <c r="I139" s="50"/>
    </row>
    <row r="140" ht="78.75" customHeight="1" spans="1:9">
      <c r="A140" s="89"/>
      <c r="B140" s="90"/>
      <c r="C140" s="102" t="s">
        <v>253</v>
      </c>
      <c r="D140" s="102"/>
      <c r="E140" s="103">
        <v>651.7</v>
      </c>
      <c r="F140" s="14"/>
      <c r="G140" s="14"/>
      <c r="H140" s="14"/>
      <c r="I140" s="50"/>
    </row>
    <row r="141" ht="30" customHeight="1" spans="1:9">
      <c r="A141" s="89"/>
      <c r="B141" s="90"/>
      <c r="C141" s="128" t="s">
        <v>254</v>
      </c>
      <c r="D141" s="128"/>
      <c r="E141" s="103">
        <v>58</v>
      </c>
      <c r="F141" s="14"/>
      <c r="G141" s="14"/>
      <c r="H141" s="14"/>
      <c r="I141" s="50"/>
    </row>
    <row r="142" ht="30" customHeight="1" spans="1:9">
      <c r="A142" s="89"/>
      <c r="B142" s="90"/>
      <c r="C142" s="128" t="s">
        <v>255</v>
      </c>
      <c r="D142" s="128"/>
      <c r="E142" s="103">
        <v>600</v>
      </c>
      <c r="F142" s="14"/>
      <c r="G142" s="14"/>
      <c r="H142" s="14"/>
      <c r="I142" s="50"/>
    </row>
    <row r="143" ht="30" customHeight="1" spans="1:9">
      <c r="A143" s="89"/>
      <c r="B143" s="90"/>
      <c r="C143" s="160" t="s">
        <v>177</v>
      </c>
      <c r="D143" s="160"/>
      <c r="E143" s="103">
        <v>291.85</v>
      </c>
      <c r="F143" s="14"/>
      <c r="G143" s="14"/>
      <c r="H143" s="14"/>
      <c r="I143" s="50"/>
    </row>
    <row r="144" ht="30" customHeight="1" spans="1:9">
      <c r="A144" s="89"/>
      <c r="B144" s="90"/>
      <c r="C144" s="65"/>
      <c r="D144" s="66"/>
      <c r="E144" s="138">
        <v>0</v>
      </c>
      <c r="F144" s="14"/>
      <c r="G144" s="14"/>
      <c r="H144" s="14"/>
      <c r="I144" s="50"/>
    </row>
    <row r="145" ht="30" customHeight="1" spans="1:9">
      <c r="A145" s="91"/>
      <c r="B145" s="92"/>
      <c r="C145" s="65"/>
      <c r="D145" s="66"/>
      <c r="E145" s="138">
        <v>0</v>
      </c>
      <c r="F145" s="14"/>
      <c r="G145" s="14"/>
      <c r="H145" s="14"/>
      <c r="I145" s="50"/>
    </row>
    <row r="146" ht="30" customHeight="1" spans="1:9">
      <c r="A146" s="56" t="s">
        <v>113</v>
      </c>
      <c r="B146" s="77"/>
      <c r="C146" s="78"/>
      <c r="D146" s="79"/>
      <c r="E146" s="138">
        <f>C107</f>
        <v>1369</v>
      </c>
      <c r="F146" s="14"/>
      <c r="G146" s="14"/>
      <c r="H146" s="14"/>
      <c r="I146" s="50"/>
    </row>
    <row r="147" ht="30" customHeight="1" spans="1:9">
      <c r="A147" s="80"/>
      <c r="B147" s="81"/>
      <c r="C147" s="82" t="s">
        <v>114</v>
      </c>
      <c r="D147" s="82"/>
      <c r="E147" s="94">
        <f>(F16+E127)-(SUM(E129:E138)+SUM(E140:E146))</f>
        <v>125.159999999998</v>
      </c>
      <c r="F147" s="14"/>
      <c r="G147" s="14"/>
      <c r="H147" s="14"/>
      <c r="I147" s="50"/>
    </row>
    <row r="148" ht="30" customHeight="1" spans="1:9">
      <c r="A148" s="14"/>
      <c r="B148" s="14"/>
      <c r="C148" s="14"/>
      <c r="D148" s="14"/>
      <c r="E148" s="14"/>
      <c r="F148" s="14"/>
      <c r="G148" s="14"/>
      <c r="H148" s="14"/>
      <c r="I148" s="50"/>
    </row>
    <row r="149" ht="30" customHeight="1" spans="1:9">
      <c r="A149" s="14"/>
      <c r="B149" s="14"/>
      <c r="C149" s="14"/>
      <c r="D149" s="14"/>
      <c r="E149" s="14"/>
      <c r="F149" s="14"/>
      <c r="G149" s="14"/>
      <c r="H149" s="14"/>
      <c r="I149" s="50"/>
    </row>
    <row r="150" ht="30" customHeight="1" spans="1:9">
      <c r="A150" s="14"/>
      <c r="B150" s="14"/>
      <c r="C150" s="14"/>
      <c r="D150" s="14"/>
      <c r="E150" s="14"/>
      <c r="F150" s="14"/>
      <c r="G150" s="14"/>
      <c r="H150" s="14"/>
      <c r="I150" s="50"/>
    </row>
    <row r="151" ht="30" customHeight="1" spans="1:9">
      <c r="A151" s="14"/>
      <c r="B151" s="14"/>
      <c r="C151" s="14"/>
      <c r="D151" s="14"/>
      <c r="E151" s="14"/>
      <c r="F151" s="14"/>
      <c r="G151" s="14"/>
      <c r="H151" s="14"/>
      <c r="I151" s="50"/>
    </row>
    <row r="152" ht="30" customHeight="1" spans="1:9">
      <c r="A152" s="53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20 2024 to December 19 2024</v>
      </c>
      <c r="B152" s="54"/>
      <c r="C152" s="54"/>
      <c r="D152" s="54"/>
      <c r="E152" s="55"/>
      <c r="F152" s="14"/>
      <c r="G152" s="14"/>
      <c r="H152" s="14"/>
      <c r="I152" s="50"/>
    </row>
    <row r="153" ht="30" customHeight="1" spans="1:9">
      <c r="A153" s="53" t="s">
        <v>110</v>
      </c>
      <c r="B153" s="55"/>
      <c r="C153" s="83" t="s">
        <v>49</v>
      </c>
      <c r="D153" s="84"/>
      <c r="E153" s="95" t="s">
        <v>50</v>
      </c>
      <c r="F153" s="14"/>
      <c r="G153" s="14"/>
      <c r="H153" s="14"/>
      <c r="I153" s="50"/>
    </row>
    <row r="154" ht="30" customHeight="1" spans="1:9">
      <c r="A154" s="56" t="str">
        <f>"Balance Brought Forward From "&amp;IF(Main!B2,TEXT(EDATE(Main!B3,7)-1,"mmmm yyyy"),TEXT(Main!B3+((Main!B5-Main!B3)*7+6),"mmmm yyyy"))</f>
        <v>Balance Brought Forward From November 2024</v>
      </c>
      <c r="B154" s="57"/>
      <c r="C154" s="58"/>
      <c r="D154" s="58"/>
      <c r="E154" s="94">
        <f>E147</f>
        <v>125.159999999998</v>
      </c>
      <c r="F154" s="14"/>
      <c r="G154" s="14"/>
      <c r="H154" s="14"/>
      <c r="I154" s="50"/>
    </row>
    <row r="155" ht="30" customHeight="1" spans="1:9">
      <c r="A155" s="85" t="s">
        <v>92</v>
      </c>
      <c r="B155" s="86"/>
      <c r="C155" s="87" t="s">
        <v>111</v>
      </c>
      <c r="D155" s="88"/>
      <c r="E155" s="96"/>
      <c r="F155" s="14"/>
      <c r="G155" s="14"/>
      <c r="H155" s="14"/>
      <c r="I155" s="50"/>
    </row>
    <row r="156" ht="30" customHeight="1" spans="1:9">
      <c r="A156" s="89"/>
      <c r="B156" s="90"/>
      <c r="C156" s="102" t="s">
        <v>256</v>
      </c>
      <c r="D156" s="102"/>
      <c r="E156" s="103">
        <v>0</v>
      </c>
      <c r="F156" s="14"/>
      <c r="G156" s="14"/>
      <c r="H156" s="14"/>
      <c r="I156" s="50"/>
    </row>
    <row r="157" ht="30" customHeight="1" spans="1:9">
      <c r="A157" s="89"/>
      <c r="B157" s="90"/>
      <c r="C157" s="65"/>
      <c r="D157" s="66"/>
      <c r="E157" s="136">
        <v>0</v>
      </c>
      <c r="F157" s="14"/>
      <c r="G157" s="14"/>
      <c r="H157" s="14"/>
      <c r="I157" s="50"/>
    </row>
    <row r="158" ht="30" customHeight="1" spans="1:9">
      <c r="A158" s="89"/>
      <c r="B158" s="90"/>
      <c r="C158" s="128" t="s">
        <v>257</v>
      </c>
      <c r="D158" s="128"/>
      <c r="E158" s="103">
        <v>300</v>
      </c>
      <c r="F158" s="14"/>
      <c r="G158" s="14"/>
      <c r="H158" s="14"/>
      <c r="I158" s="50"/>
    </row>
    <row r="159" ht="30" customHeight="1" spans="1:9">
      <c r="A159" s="89"/>
      <c r="B159" s="90"/>
      <c r="C159" s="65"/>
      <c r="D159" s="66"/>
      <c r="E159" s="136">
        <v>0</v>
      </c>
      <c r="F159" s="14"/>
      <c r="G159" s="14"/>
      <c r="H159" s="14"/>
      <c r="I159" s="50"/>
    </row>
    <row r="160" ht="30" customHeight="1" spans="1:9">
      <c r="A160" s="89"/>
      <c r="B160" s="90"/>
      <c r="C160" s="65"/>
      <c r="D160" s="66"/>
      <c r="E160" s="136">
        <v>0</v>
      </c>
      <c r="F160" s="14"/>
      <c r="G160" s="14"/>
      <c r="H160" s="14"/>
      <c r="I160" s="50"/>
    </row>
    <row r="161" ht="30" customHeight="1" spans="1:9">
      <c r="A161" s="89"/>
      <c r="B161" s="90"/>
      <c r="C161" s="65"/>
      <c r="D161" s="66"/>
      <c r="E161" s="136">
        <v>0</v>
      </c>
      <c r="F161" s="14"/>
      <c r="G161" s="14"/>
      <c r="H161" s="14"/>
      <c r="I161" s="50"/>
    </row>
    <row r="162" ht="30" customHeight="1" spans="1:9">
      <c r="A162" s="89"/>
      <c r="B162" s="90"/>
      <c r="C162" s="65"/>
      <c r="D162" s="66"/>
      <c r="E162" s="136">
        <v>0</v>
      </c>
      <c r="F162" s="14"/>
      <c r="G162" s="14"/>
      <c r="H162" s="14"/>
      <c r="I162" s="50"/>
    </row>
    <row r="163" ht="30" customHeight="1" spans="1:9">
      <c r="A163" s="89"/>
      <c r="B163" s="90"/>
      <c r="C163" s="65"/>
      <c r="D163" s="66"/>
      <c r="E163" s="136">
        <v>0</v>
      </c>
      <c r="F163" s="14"/>
      <c r="G163" s="14"/>
      <c r="H163" s="14"/>
      <c r="I163" s="50"/>
    </row>
    <row r="164" ht="30" customHeight="1" spans="1:9">
      <c r="A164" s="89"/>
      <c r="B164" s="90"/>
      <c r="C164" s="65"/>
      <c r="D164" s="66"/>
      <c r="E164" s="136">
        <v>0</v>
      </c>
      <c r="F164" s="14"/>
      <c r="G164" s="14"/>
      <c r="H164" s="14"/>
      <c r="I164" s="50"/>
    </row>
    <row r="165" ht="30" customHeight="1" spans="1:9">
      <c r="A165" s="89"/>
      <c r="B165" s="90"/>
      <c r="C165" s="65"/>
      <c r="D165" s="66"/>
      <c r="E165" s="136">
        <v>0</v>
      </c>
      <c r="F165" s="14"/>
      <c r="G165" s="14"/>
      <c r="H165" s="14"/>
      <c r="I165" s="50"/>
    </row>
    <row r="166" ht="30" customHeight="1" spans="1:9">
      <c r="A166" s="89"/>
      <c r="B166" s="90"/>
      <c r="C166" s="67" t="s">
        <v>112</v>
      </c>
      <c r="D166" s="62"/>
      <c r="E166" s="137"/>
      <c r="F166" s="14"/>
      <c r="G166" s="14"/>
      <c r="H166" s="14"/>
      <c r="I166" s="50"/>
    </row>
    <row r="167" ht="231" customHeight="1" spans="1:9">
      <c r="A167" s="89"/>
      <c r="B167" s="90"/>
      <c r="C167" s="102" t="s">
        <v>258</v>
      </c>
      <c r="D167" s="102"/>
      <c r="E167" s="103">
        <v>3389</v>
      </c>
      <c r="F167" s="14"/>
      <c r="G167" s="14"/>
      <c r="H167" s="14"/>
      <c r="I167" s="50"/>
    </row>
    <row r="168" ht="30" customHeight="1" spans="1:9">
      <c r="A168" s="89"/>
      <c r="B168" s="90"/>
      <c r="C168" s="102" t="s">
        <v>259</v>
      </c>
      <c r="D168" s="102"/>
      <c r="E168" s="103">
        <v>200</v>
      </c>
      <c r="F168" s="14"/>
      <c r="G168" s="14"/>
      <c r="H168" s="14"/>
      <c r="I168" s="50"/>
    </row>
    <row r="169" ht="30" customHeight="1" spans="1:9">
      <c r="A169" s="89"/>
      <c r="B169" s="90"/>
      <c r="C169" s="161" t="s">
        <v>177</v>
      </c>
      <c r="D169" s="161"/>
      <c r="E169" s="103">
        <v>8.9</v>
      </c>
      <c r="F169" s="14"/>
      <c r="G169" s="14"/>
      <c r="H169" s="14"/>
      <c r="I169" s="50"/>
    </row>
    <row r="170" ht="30" customHeight="1" spans="1:9">
      <c r="A170" s="89"/>
      <c r="B170" s="90"/>
      <c r="C170" s="65"/>
      <c r="D170" s="66"/>
      <c r="E170" s="138">
        <v>0</v>
      </c>
      <c r="F170" s="14"/>
      <c r="G170" s="14"/>
      <c r="H170" s="14"/>
      <c r="I170" s="50"/>
    </row>
    <row r="171" ht="30" customHeight="1" spans="1:9">
      <c r="A171" s="89"/>
      <c r="B171" s="90"/>
      <c r="C171" s="65"/>
      <c r="D171" s="66"/>
      <c r="E171" s="138">
        <v>0</v>
      </c>
      <c r="F171" s="14"/>
      <c r="G171" s="14"/>
      <c r="H171" s="14"/>
      <c r="I171" s="50"/>
    </row>
    <row r="172" ht="30" customHeight="1" spans="1:9">
      <c r="A172" s="91"/>
      <c r="B172" s="92"/>
      <c r="C172" s="65"/>
      <c r="D172" s="66"/>
      <c r="E172" s="138">
        <v>0</v>
      </c>
      <c r="F172" s="14"/>
      <c r="G172" s="14"/>
      <c r="H172" s="14"/>
      <c r="I172" s="50"/>
    </row>
    <row r="173" ht="30" customHeight="1" spans="1:9">
      <c r="A173" s="56" t="s">
        <v>113</v>
      </c>
      <c r="B173" s="77"/>
      <c r="C173" s="78"/>
      <c r="D173" s="79"/>
      <c r="E173" s="138">
        <f>C107</f>
        <v>1369</v>
      </c>
      <c r="F173" s="14"/>
      <c r="G173" s="14"/>
      <c r="H173" s="14"/>
      <c r="I173" s="50"/>
    </row>
    <row r="174" ht="30" customHeight="1" spans="1:9">
      <c r="A174" s="80"/>
      <c r="B174" s="81"/>
      <c r="C174" s="82" t="s">
        <v>114</v>
      </c>
      <c r="D174" s="82"/>
      <c r="E174" s="134">
        <f>(F33+E154)-(SUM(E156:E165)+SUM(E167:E173))</f>
        <v>229.399999999998</v>
      </c>
      <c r="F174" s="14"/>
      <c r="G174" s="14"/>
      <c r="H174" s="14"/>
      <c r="I174" s="50"/>
    </row>
    <row r="175" ht="30" customHeight="1" spans="1:9">
      <c r="A175" s="14"/>
      <c r="B175" s="14"/>
      <c r="C175" s="14"/>
      <c r="D175" s="14"/>
      <c r="E175" s="14"/>
      <c r="F175" s="14"/>
      <c r="G175" s="14"/>
      <c r="H175" s="14"/>
      <c r="I175" s="50"/>
    </row>
    <row r="176" ht="30" customHeight="1" spans="1:9">
      <c r="A176" s="14"/>
      <c r="B176" s="14"/>
      <c r="C176" s="14"/>
      <c r="D176" s="14"/>
      <c r="E176" s="14"/>
      <c r="F176" s="14"/>
      <c r="G176" s="14"/>
      <c r="H176" s="14"/>
      <c r="I176" s="50"/>
    </row>
    <row r="177" ht="30" customHeight="1" spans="1:9">
      <c r="A177" s="14"/>
      <c r="B177" s="14"/>
      <c r="C177" s="14"/>
      <c r="D177" s="14"/>
      <c r="E177" s="14"/>
      <c r="F177" s="14"/>
      <c r="G177" s="14"/>
      <c r="H177" s="14"/>
      <c r="I177" s="50"/>
    </row>
    <row r="178" ht="30" customHeight="1" spans="1:9">
      <c r="A178" s="14"/>
      <c r="B178" s="14"/>
      <c r="C178" s="14"/>
      <c r="D178" s="14"/>
      <c r="E178" s="14"/>
      <c r="F178" s="14"/>
      <c r="G178" s="14"/>
      <c r="H178" s="14"/>
      <c r="I178" s="50"/>
    </row>
    <row r="179" ht="30" customHeight="1" spans="1:9">
      <c r="A179" s="53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20 2024 to January 19 2025</v>
      </c>
      <c r="B179" s="54"/>
      <c r="C179" s="54"/>
      <c r="D179" s="54"/>
      <c r="E179" s="55"/>
      <c r="F179" s="14"/>
      <c r="G179" s="14"/>
      <c r="H179" s="14"/>
      <c r="I179" s="50"/>
    </row>
    <row r="180" ht="30" customHeight="1" spans="1:9">
      <c r="A180" s="53" t="s">
        <v>110</v>
      </c>
      <c r="B180" s="55"/>
      <c r="C180" s="83" t="s">
        <v>49</v>
      </c>
      <c r="D180" s="84"/>
      <c r="E180" s="95" t="s">
        <v>50</v>
      </c>
      <c r="F180" s="14"/>
      <c r="G180" s="14"/>
      <c r="H180" s="14"/>
      <c r="I180" s="50"/>
    </row>
    <row r="181" ht="30" customHeight="1" spans="1:9">
      <c r="A181" s="56" t="str">
        <f>"Balance Brought Forward From "&amp;IF(Main!B2,TEXT(EDATE(Main!B3,8)-1,"mmmm yyyy"),TEXT(Main!B3+((Main!B5-Main!B3)*8+7),"mmmm yyyy"))</f>
        <v>Balance Brought Forward From December 2024</v>
      </c>
      <c r="B181" s="57"/>
      <c r="C181" s="58"/>
      <c r="D181" s="58"/>
      <c r="E181" s="134">
        <f>E174</f>
        <v>229.399999999998</v>
      </c>
      <c r="F181" s="14"/>
      <c r="G181" s="14"/>
      <c r="H181" s="14"/>
      <c r="I181" s="50"/>
    </row>
    <row r="182" ht="30" customHeight="1" spans="1:9">
      <c r="A182" s="85" t="s">
        <v>92</v>
      </c>
      <c r="B182" s="123"/>
      <c r="C182" s="162" t="s">
        <v>111</v>
      </c>
      <c r="D182" s="163"/>
      <c r="E182" s="135"/>
      <c r="F182" s="14"/>
      <c r="G182" s="14"/>
      <c r="H182" s="14"/>
      <c r="I182" s="50"/>
    </row>
    <row r="183" ht="30" customHeight="1" spans="1:9">
      <c r="A183" s="89"/>
      <c r="B183" s="124"/>
      <c r="C183" s="164" t="s">
        <v>115</v>
      </c>
      <c r="D183" s="164"/>
      <c r="E183" s="103">
        <v>0</v>
      </c>
      <c r="F183" s="14"/>
      <c r="G183" s="14"/>
      <c r="H183" s="14"/>
      <c r="I183" s="50"/>
    </row>
    <row r="184" ht="30" customHeight="1" spans="1:9">
      <c r="A184" s="89"/>
      <c r="B184" s="124"/>
      <c r="C184" s="165" t="s">
        <v>182</v>
      </c>
      <c r="D184" s="166"/>
      <c r="E184" s="136">
        <v>0</v>
      </c>
      <c r="F184" s="14"/>
      <c r="G184" s="14"/>
      <c r="H184" s="14"/>
      <c r="I184" s="50"/>
    </row>
    <row r="185" ht="30" customHeight="1" spans="1:9">
      <c r="A185" s="89"/>
      <c r="B185" s="124"/>
      <c r="C185" s="164" t="s">
        <v>178</v>
      </c>
      <c r="D185" s="164"/>
      <c r="E185" s="103">
        <v>500</v>
      </c>
      <c r="F185" s="14"/>
      <c r="G185" s="14"/>
      <c r="H185" s="14"/>
      <c r="I185" s="50"/>
    </row>
    <row r="186" ht="30" customHeight="1" spans="1:9">
      <c r="A186" s="89"/>
      <c r="B186" s="124"/>
      <c r="C186" s="165" t="s">
        <v>183</v>
      </c>
      <c r="D186" s="166"/>
      <c r="E186" s="136">
        <v>0</v>
      </c>
      <c r="F186" s="14"/>
      <c r="G186" s="14"/>
      <c r="H186" s="14"/>
      <c r="I186" s="50"/>
    </row>
    <row r="187" ht="30" customHeight="1" spans="1:9">
      <c r="A187" s="89"/>
      <c r="B187" s="124"/>
      <c r="C187" s="165" t="s">
        <v>184</v>
      </c>
      <c r="D187" s="166"/>
      <c r="E187" s="136">
        <v>0</v>
      </c>
      <c r="F187" s="14"/>
      <c r="G187" s="14"/>
      <c r="H187" s="14"/>
      <c r="I187" s="50"/>
    </row>
    <row r="188" ht="30" customHeight="1" spans="1:9">
      <c r="A188" s="89"/>
      <c r="B188" s="124"/>
      <c r="C188" s="165" t="s">
        <v>185</v>
      </c>
      <c r="D188" s="166"/>
      <c r="E188" s="136">
        <v>0</v>
      </c>
      <c r="F188" s="14"/>
      <c r="G188" s="14"/>
      <c r="H188" s="14"/>
      <c r="I188" s="50"/>
    </row>
    <row r="189" ht="30" customHeight="1" spans="1:9">
      <c r="A189" s="89"/>
      <c r="B189" s="124"/>
      <c r="C189" s="165" t="s">
        <v>186</v>
      </c>
      <c r="D189" s="166"/>
      <c r="E189" s="136">
        <v>0</v>
      </c>
      <c r="F189" s="14"/>
      <c r="G189" s="14"/>
      <c r="H189" s="14"/>
      <c r="I189" s="50"/>
    </row>
    <row r="190" ht="30" customHeight="1" spans="1:9">
      <c r="A190" s="89"/>
      <c r="B190" s="124"/>
      <c r="C190" s="165" t="s">
        <v>187</v>
      </c>
      <c r="D190" s="166"/>
      <c r="E190" s="136">
        <v>0</v>
      </c>
      <c r="F190" s="14"/>
      <c r="G190" s="14"/>
      <c r="H190" s="14"/>
      <c r="I190" s="50"/>
    </row>
    <row r="191" ht="30" customHeight="1" spans="1:9">
      <c r="A191" s="89"/>
      <c r="B191" s="124"/>
      <c r="C191" s="165" t="s">
        <v>188</v>
      </c>
      <c r="D191" s="166"/>
      <c r="E191" s="136">
        <v>0</v>
      </c>
      <c r="F191" s="14"/>
      <c r="G191" s="14"/>
      <c r="H191" s="14"/>
      <c r="I191" s="50"/>
    </row>
    <row r="192" ht="30" customHeight="1" spans="1:9">
      <c r="A192" s="89"/>
      <c r="B192" s="124"/>
      <c r="C192" s="165" t="s">
        <v>189</v>
      </c>
      <c r="D192" s="166"/>
      <c r="E192" s="136">
        <v>0</v>
      </c>
      <c r="F192" s="14"/>
      <c r="G192" s="14"/>
      <c r="H192" s="14"/>
      <c r="I192" s="50"/>
    </row>
    <row r="193" ht="30" customHeight="1" spans="1:9">
      <c r="A193" s="89"/>
      <c r="B193" s="124"/>
      <c r="C193" s="167" t="s">
        <v>112</v>
      </c>
      <c r="D193" s="168"/>
      <c r="E193" s="137"/>
      <c r="F193" s="14"/>
      <c r="G193" s="14"/>
      <c r="H193" s="14"/>
      <c r="I193" s="50"/>
    </row>
    <row r="194" ht="47.25" customHeight="1" spans="1:9">
      <c r="A194" s="89"/>
      <c r="B194" s="124"/>
      <c r="C194" s="164" t="s">
        <v>260</v>
      </c>
      <c r="D194" s="164"/>
      <c r="E194" s="103">
        <v>351</v>
      </c>
      <c r="F194" s="14"/>
      <c r="G194" s="14"/>
      <c r="H194" s="14"/>
      <c r="I194" s="50"/>
    </row>
    <row r="195" ht="45.75" customHeight="1" spans="1:9">
      <c r="A195" s="89"/>
      <c r="B195" s="124"/>
      <c r="C195" s="164" t="s">
        <v>261</v>
      </c>
      <c r="D195" s="164"/>
      <c r="E195" s="103">
        <v>370</v>
      </c>
      <c r="F195" s="14"/>
      <c r="G195" s="14"/>
      <c r="H195" s="14"/>
      <c r="I195" s="50"/>
    </row>
    <row r="196" ht="132" customHeight="1" spans="1:9">
      <c r="A196" s="89"/>
      <c r="B196" s="124"/>
      <c r="C196" s="164" t="s">
        <v>262</v>
      </c>
      <c r="D196" s="164"/>
      <c r="E196" s="103">
        <v>1182.5</v>
      </c>
      <c r="F196" s="14"/>
      <c r="G196" s="14"/>
      <c r="H196" s="14"/>
      <c r="I196" s="50"/>
    </row>
    <row r="197" ht="409.5" customHeight="1" spans="1:9">
      <c r="A197" s="89"/>
      <c r="B197" s="124"/>
      <c r="C197" s="164" t="s">
        <v>263</v>
      </c>
      <c r="D197" s="164"/>
      <c r="E197" s="103">
        <v>1232.7</v>
      </c>
      <c r="F197" s="14"/>
      <c r="G197" s="14"/>
      <c r="H197" s="14"/>
      <c r="I197" s="50"/>
    </row>
    <row r="198" ht="30" customHeight="1" spans="1:9">
      <c r="A198" s="89"/>
      <c r="B198" s="124"/>
      <c r="C198" s="169" t="s">
        <v>177</v>
      </c>
      <c r="D198" s="164"/>
      <c r="E198" s="103">
        <v>68</v>
      </c>
      <c r="F198" s="14"/>
      <c r="G198" s="14"/>
      <c r="H198" s="14"/>
      <c r="I198" s="50"/>
    </row>
    <row r="199" ht="30" customHeight="1" spans="1:9">
      <c r="A199" s="91"/>
      <c r="B199" s="125"/>
      <c r="C199" s="165" t="s">
        <v>184</v>
      </c>
      <c r="D199" s="166"/>
      <c r="E199" s="138">
        <v>0</v>
      </c>
      <c r="F199" s="14"/>
      <c r="G199" s="14"/>
      <c r="H199" s="14"/>
      <c r="I199" s="50"/>
    </row>
    <row r="200" ht="24.75" customHeight="1" spans="1:9">
      <c r="A200" s="56" t="s">
        <v>113</v>
      </c>
      <c r="B200" s="77"/>
      <c r="C200" s="78"/>
      <c r="D200" s="79"/>
      <c r="E200" s="93">
        <f>C107</f>
        <v>1369</v>
      </c>
      <c r="F200" s="14"/>
      <c r="G200" s="14"/>
      <c r="H200" s="14"/>
      <c r="I200" s="50"/>
    </row>
    <row r="201" ht="30" customHeight="1" spans="1:9">
      <c r="A201" s="80"/>
      <c r="B201" s="81"/>
      <c r="C201" s="82" t="s">
        <v>114</v>
      </c>
      <c r="D201" s="82"/>
      <c r="E201" s="97">
        <f>(F51+E181)-(SUM(E183:E192)+SUM(E194:E200))</f>
        <v>173.339999999998</v>
      </c>
      <c r="F201" s="14"/>
      <c r="G201" s="14"/>
      <c r="H201" s="14"/>
      <c r="I201" s="50"/>
    </row>
    <row r="202" ht="30" customHeight="1" spans="1:9">
      <c r="A202" s="14"/>
      <c r="B202" s="14"/>
      <c r="C202" s="14"/>
      <c r="D202" s="14"/>
      <c r="E202" s="14"/>
      <c r="F202" s="14"/>
      <c r="G202" s="14"/>
      <c r="H202" s="14"/>
      <c r="I202" s="50"/>
    </row>
    <row r="203" ht="30" customHeight="1"/>
  </sheetData>
  <mergeCells count="207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  <mergeCell ref="A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B46:C46"/>
    <mergeCell ref="D46:E46"/>
    <mergeCell ref="F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A55:C55"/>
    <mergeCell ref="A57:C57"/>
    <mergeCell ref="A67:C67"/>
    <mergeCell ref="A78:C78"/>
    <mergeCell ref="A87:C87"/>
    <mergeCell ref="A97:C97"/>
    <mergeCell ref="A108:C108"/>
    <mergeCell ref="A125:E125"/>
    <mergeCell ref="A126:B126"/>
    <mergeCell ref="C126:D126"/>
    <mergeCell ref="A127:B127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A146:B146"/>
    <mergeCell ref="C146:D146"/>
    <mergeCell ref="A147:B147"/>
    <mergeCell ref="C147:D147"/>
    <mergeCell ref="A152:E152"/>
    <mergeCell ref="A153:B153"/>
    <mergeCell ref="C153:D153"/>
    <mergeCell ref="A154:B154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A173:B173"/>
    <mergeCell ref="C173:D173"/>
    <mergeCell ref="A174:B174"/>
    <mergeCell ref="C174:D174"/>
    <mergeCell ref="A179:E179"/>
    <mergeCell ref="A180:B180"/>
    <mergeCell ref="C180:D180"/>
    <mergeCell ref="A181:B181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A200:B200"/>
    <mergeCell ref="C200:D200"/>
    <mergeCell ref="A201:B201"/>
    <mergeCell ref="C201:D201"/>
    <mergeCell ref="A2:A3"/>
    <mergeCell ref="A128:B145"/>
    <mergeCell ref="A155:B172"/>
    <mergeCell ref="A182:B199"/>
  </mergeCells>
  <conditionalFormatting sqref="C5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8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88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E127">
    <cfRule type="cellIs" dxfId="2" priority="38" operator="greaterThanOrEqual">
      <formula>0</formula>
    </cfRule>
    <cfRule type="cellIs" dxfId="3" priority="37" operator="lessThan">
      <formula>0</formula>
    </cfRule>
  </conditionalFormatting>
  <conditionalFormatting sqref="E129">
    <cfRule type="cellIs" dxfId="4" priority="27" operator="equal">
      <formula>0</formula>
    </cfRule>
    <cfRule type="cellIs" dxfId="6" priority="28" operator="equal">
      <formula>0</formula>
    </cfRule>
  </conditionalFormatting>
  <conditionalFormatting sqref="E131">
    <cfRule type="cellIs" dxfId="4" priority="29" operator="equal">
      <formula>0</formula>
    </cfRule>
    <cfRule type="cellIs" dxfId="6" priority="30" operator="equal">
      <formula>0</formula>
    </cfRule>
  </conditionalFormatting>
  <conditionalFormatting sqref="E140">
    <cfRule type="cellIs" dxfId="4" priority="31" operator="equal">
      <formula>0</formula>
    </cfRule>
    <cfRule type="cellIs" dxfId="6" priority="32" operator="equal">
      <formula>0</formula>
    </cfRule>
  </conditionalFormatting>
  <conditionalFormatting sqref="E147">
    <cfRule type="cellIs" dxfId="2" priority="69" operator="greaterThanOrEqual">
      <formula>0</formula>
    </cfRule>
    <cfRule type="cellIs" dxfId="3" priority="68" operator="lessThan">
      <formula>0</formula>
    </cfRule>
  </conditionalFormatting>
  <conditionalFormatting sqref="E154">
    <cfRule type="cellIs" dxfId="2" priority="56" operator="greaterThanOrEqual">
      <formula>0</formula>
    </cfRule>
    <cfRule type="cellIs" dxfId="3" priority="55" operator="lessThan">
      <formula>0</formula>
    </cfRule>
  </conditionalFormatting>
  <conditionalFormatting sqref="E156">
    <cfRule type="cellIs" dxfId="4" priority="23" operator="equal">
      <formula>0</formula>
    </cfRule>
    <cfRule type="cellIs" dxfId="6" priority="24" operator="equal">
      <formula>0</formula>
    </cfRule>
  </conditionalFormatting>
  <conditionalFormatting sqref="E158">
    <cfRule type="cellIs" dxfId="4" priority="21" operator="equal">
      <formula>0</formula>
    </cfRule>
    <cfRule type="cellIs" dxfId="6" priority="22" operator="equal">
      <formula>0</formula>
    </cfRule>
  </conditionalFormatting>
  <conditionalFormatting sqref="E167">
    <cfRule type="cellIs" dxfId="4" priority="19" operator="equal">
      <formula>0</formula>
    </cfRule>
    <cfRule type="cellIs" dxfId="6" priority="20" operator="equal">
      <formula>0</formula>
    </cfRule>
  </conditionalFormatting>
  <conditionalFormatting sqref="E168">
    <cfRule type="cellIs" dxfId="4" priority="17" operator="equal">
      <formula>0</formula>
    </cfRule>
    <cfRule type="cellIs" dxfId="6" priority="18" operator="equal">
      <formula>0</formula>
    </cfRule>
  </conditionalFormatting>
  <conditionalFormatting sqref="E169">
    <cfRule type="cellIs" dxfId="4" priority="15" operator="equal">
      <formula>0</formula>
    </cfRule>
    <cfRule type="cellIs" dxfId="6" priority="16" operator="equal">
      <formula>0</formula>
    </cfRule>
  </conditionalFormatting>
  <conditionalFormatting sqref="E174">
    <cfRule type="cellIs" dxfId="2" priority="58" operator="greaterThanOrEqual">
      <formula>0</formula>
    </cfRule>
    <cfRule type="cellIs" dxfId="3" priority="57" operator="lessThan">
      <formula>0</formula>
    </cfRule>
  </conditionalFormatting>
  <conditionalFormatting sqref="E181">
    <cfRule type="cellIs" dxfId="2" priority="50" operator="greaterThanOrEqual">
      <formula>0</formula>
    </cfRule>
    <cfRule type="cellIs" dxfId="3" priority="49" operator="lessThan">
      <formula>0</formula>
    </cfRule>
  </conditionalFormatting>
  <conditionalFormatting sqref="E183">
    <cfRule type="cellIs" dxfId="4" priority="13" operator="equal">
      <formula>0</formula>
    </cfRule>
    <cfRule type="cellIs" dxfId="6" priority="14" operator="equal">
      <formula>0</formula>
    </cfRule>
  </conditionalFormatting>
  <conditionalFormatting sqref="E185">
    <cfRule type="cellIs" dxfId="4" priority="9" operator="equal">
      <formula>0</formula>
    </cfRule>
    <cfRule type="cellIs" dxfId="6" priority="10" operator="equal">
      <formula>0</formula>
    </cfRule>
  </conditionalFormatting>
  <conditionalFormatting sqref="E194">
    <cfRule type="cellIs" dxfId="4" priority="11" operator="equal">
      <formula>0</formula>
    </cfRule>
    <cfRule type="cellIs" dxfId="6" priority="12" operator="equal">
      <formula>0</formula>
    </cfRule>
  </conditionalFormatting>
  <conditionalFormatting sqref="E195">
    <cfRule type="cellIs" dxfId="4" priority="7" operator="equal">
      <formula>0</formula>
    </cfRule>
    <cfRule type="cellIs" dxfId="6" priority="8" operator="equal">
      <formula>0</formula>
    </cfRule>
  </conditionalFormatting>
  <conditionalFormatting sqref="E196">
    <cfRule type="cellIs" dxfId="4" priority="5" operator="equal">
      <formula>0</formula>
    </cfRule>
    <cfRule type="cellIs" dxfId="6" priority="6" operator="equal">
      <formula>0</formula>
    </cfRule>
  </conditionalFormatting>
  <conditionalFormatting sqref="E197">
    <cfRule type="cellIs" dxfId="4" priority="3" operator="equal">
      <formula>0</formula>
    </cfRule>
    <cfRule type="cellIs" dxfId="6" priority="4" operator="equal">
      <formula>0</formula>
    </cfRule>
  </conditionalFormatting>
  <conditionalFormatting sqref="E198">
    <cfRule type="cellIs" dxfId="4" priority="1" operator="equal">
      <formula>0</formula>
    </cfRule>
    <cfRule type="cellIs" dxfId="6" priority="2" operator="equal">
      <formula>0</formula>
    </cfRule>
  </conditionalFormatting>
  <conditionalFormatting sqref="E201">
    <cfRule type="cellIs" dxfId="2" priority="52" operator="greaterThanOrEqual">
      <formula>0</formula>
    </cfRule>
    <cfRule type="cellIs" dxfId="3" priority="51" operator="lessThan">
      <formula>0</formula>
    </cfRule>
  </conditionalFormatting>
  <conditionalFormatting sqref="C58:C60">
    <cfRule type="cellIs" dxfId="6" priority="35" operator="equal">
      <formula>0</formula>
    </cfRule>
    <cfRule type="cellIs" dxfId="4" priority="36" operator="equal">
      <formula>0</formula>
    </cfRule>
  </conditionalFormatting>
  <conditionalFormatting sqref="C68:C77">
    <cfRule type="cellIs" dxfId="0" priority="81" operator="equal">
      <formula>0</formula>
    </cfRule>
    <cfRule type="cellIs" dxfId="1" priority="80" operator="greaterThan">
      <formula>0</formula>
    </cfRule>
  </conditionalFormatting>
  <conditionalFormatting sqref="C79:C80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C81:C8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91:C95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98:C101">
    <cfRule type="cellIs" dxfId="6" priority="33" operator="equal">
      <formula>0</formula>
    </cfRule>
    <cfRule type="cellIs" dxfId="4" priority="34" operator="equal">
      <formula>0</formula>
    </cfRule>
  </conditionalFormatting>
  <conditionalFormatting sqref="C102:C105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109:C118">
    <cfRule type="cellIs" dxfId="1" priority="46" operator="lessThan">
      <formula>0</formula>
    </cfRule>
    <cfRule type="cellIs" dxfId="5" priority="45" operator="greaterThanOrEqual">
      <formula>0</formula>
    </cfRule>
  </conditionalFormatting>
  <conditionalFormatting sqref="C119:C120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E141:E143">
    <cfRule type="cellIs" dxfId="4" priority="25" operator="equal">
      <formula>0</formula>
    </cfRule>
    <cfRule type="cellIs" dxfId="6" priority="26" operator="equal">
      <formula>0</formula>
    </cfRule>
  </conditionalFormatting>
  <conditionalFormatting sqref="C61:C66 C96 C89:C90 C106:C107">
    <cfRule type="cellIs" dxfId="0" priority="83" operator="equal">
      <formula>0</formula>
    </cfRule>
  </conditionalFormatting>
  <conditionalFormatting sqref="C61:C66 C96 C89:C90 C106:C107 E155 E166 E170:E173">
    <cfRule type="cellIs" dxfId="1" priority="82" operator="greaterThan">
      <formula>0</formula>
    </cfRule>
  </conditionalFormatting>
  <conditionalFormatting sqref="E128 E139 E144:E146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E130 E132:E138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55 E166 E170:E173">
    <cfRule type="cellIs" dxfId="5" priority="59" operator="equal">
      <formula>0</formula>
    </cfRule>
  </conditionalFormatting>
  <conditionalFormatting sqref="E157 E159:E165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82 E193 E199:E200">
    <cfRule type="cellIs" dxfId="5" priority="54" operator="equal">
      <formula>0</formula>
    </cfRule>
    <cfRule type="cellIs" dxfId="1" priority="53" operator="greaterThan">
      <formula>0</formula>
    </cfRule>
  </conditionalFormatting>
  <conditionalFormatting sqref="E184 E186:E192">
    <cfRule type="cellIs" dxfId="0" priority="40" operator="equal">
      <formula>0</formula>
    </cfRule>
    <cfRule type="cellIs" dxfId="1" priority="39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8"/>
  <sheetViews>
    <sheetView tabSelected="1" topLeftCell="A162" workbookViewId="0">
      <selection activeCell="F162" sqref="F162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2025 to April 2025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12.9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E195</f>
        <v>775.199999999998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788.099999999998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C113</f>
        <v>-6983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January 2025 - 19 February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16" t="s">
        <v>48</v>
      </c>
      <c r="C9" s="116"/>
      <c r="D9" s="117" t="s">
        <v>49</v>
      </c>
      <c r="E9" s="117"/>
      <c r="F9" s="117" t="s">
        <v>50</v>
      </c>
      <c r="G9" s="117"/>
      <c r="H9" s="14"/>
      <c r="I9" s="50"/>
    </row>
    <row r="10" ht="24.75" customHeight="1" spans="1:9">
      <c r="A10" s="98" t="s">
        <v>264</v>
      </c>
      <c r="B10" s="99" t="s">
        <v>52</v>
      </c>
      <c r="C10" s="139"/>
      <c r="D10" s="100" t="s">
        <v>53</v>
      </c>
      <c r="E10" s="145"/>
      <c r="F10" s="7">
        <v>2405</v>
      </c>
      <c r="G10" s="7"/>
      <c r="H10" s="14"/>
      <c r="I10" s="50"/>
    </row>
    <row r="11" ht="24.75" customHeight="1" spans="1:9">
      <c r="A11" s="98" t="s">
        <v>265</v>
      </c>
      <c r="B11" s="99" t="s">
        <v>66</v>
      </c>
      <c r="C11" s="139"/>
      <c r="D11" s="100" t="s">
        <v>153</v>
      </c>
      <c r="E11" s="145"/>
      <c r="F11" s="7">
        <v>0</v>
      </c>
      <c r="G11" s="7"/>
      <c r="H11" s="14"/>
      <c r="I11" s="50"/>
    </row>
    <row r="12" ht="24.75" customHeight="1" spans="1:9">
      <c r="A12" s="98" t="s">
        <v>266</v>
      </c>
      <c r="B12" s="99" t="s">
        <v>267</v>
      </c>
      <c r="C12" s="139"/>
      <c r="D12" s="100" t="s">
        <v>268</v>
      </c>
      <c r="E12" s="145"/>
      <c r="F12" s="7">
        <v>1000</v>
      </c>
      <c r="G12" s="7"/>
      <c r="H12" s="14"/>
      <c r="I12" s="50"/>
    </row>
    <row r="13" ht="24.75" customHeight="1" spans="1:9">
      <c r="A13" s="98" t="s">
        <v>269</v>
      </c>
      <c r="B13" s="99" t="s">
        <v>270</v>
      </c>
      <c r="C13" s="139"/>
      <c r="D13" s="100" t="s">
        <v>268</v>
      </c>
      <c r="E13" s="145"/>
      <c r="F13" s="7">
        <v>1000</v>
      </c>
      <c r="G13" s="7"/>
      <c r="H13" s="14"/>
      <c r="I13" s="50"/>
    </row>
    <row r="14" ht="24.75" customHeight="1" spans="1:9">
      <c r="A14" s="98"/>
      <c r="B14" s="99" t="s">
        <v>103</v>
      </c>
      <c r="C14" s="139"/>
      <c r="D14" s="100" t="s">
        <v>271</v>
      </c>
      <c r="E14" s="145"/>
      <c r="F14" s="7">
        <v>2</v>
      </c>
      <c r="G14" s="7"/>
      <c r="H14" s="14"/>
      <c r="I14" s="50"/>
    </row>
    <row r="15" ht="24.75" customHeight="1" spans="1:9">
      <c r="A15" s="98"/>
      <c r="B15" s="99" t="s">
        <v>272</v>
      </c>
      <c r="C15" s="139"/>
      <c r="D15" s="100" t="s">
        <v>273</v>
      </c>
      <c r="E15" s="145"/>
      <c r="F15" s="7">
        <v>1</v>
      </c>
      <c r="G15" s="7"/>
      <c r="H15" s="14"/>
      <c r="I15" s="50"/>
    </row>
    <row r="16" ht="24.75" customHeight="1" spans="1:9">
      <c r="A16" s="98" t="s">
        <v>274</v>
      </c>
      <c r="B16" s="99" t="s">
        <v>103</v>
      </c>
      <c r="C16" s="139"/>
      <c r="D16" s="100" t="s">
        <v>275</v>
      </c>
      <c r="E16" s="145"/>
      <c r="F16" s="7">
        <v>500</v>
      </c>
      <c r="G16" s="7"/>
      <c r="H16" s="14"/>
      <c r="I16" s="50"/>
    </row>
    <row r="17" ht="24.75" customHeight="1" spans="1:9">
      <c r="A17" s="98" t="s">
        <v>276</v>
      </c>
      <c r="B17" s="99" t="s">
        <v>277</v>
      </c>
      <c r="C17" s="139"/>
      <c r="D17" s="100" t="s">
        <v>278</v>
      </c>
      <c r="E17" s="145"/>
      <c r="F17" s="7">
        <v>6</v>
      </c>
      <c r="G17" s="7"/>
      <c r="H17" s="14"/>
      <c r="I17" s="50"/>
    </row>
    <row r="18" ht="24.75" customHeight="1" spans="1:9">
      <c r="A18" s="98" t="s">
        <v>276</v>
      </c>
      <c r="B18" s="99" t="s">
        <v>279</v>
      </c>
      <c r="C18" s="139"/>
      <c r="D18" s="100" t="s">
        <v>280</v>
      </c>
      <c r="E18" s="145"/>
      <c r="F18" s="7">
        <v>10</v>
      </c>
      <c r="G18" s="7"/>
      <c r="H18" s="14"/>
      <c r="I18" s="50"/>
    </row>
    <row r="19" ht="24.75" customHeight="1" spans="1:9">
      <c r="A19" s="98" t="s">
        <v>281</v>
      </c>
      <c r="B19" s="99" t="s">
        <v>103</v>
      </c>
      <c r="C19" s="139"/>
      <c r="D19" s="100" t="s">
        <v>282</v>
      </c>
      <c r="E19" s="145"/>
      <c r="F19" s="7">
        <v>4.5</v>
      </c>
      <c r="G19" s="7"/>
      <c r="H19" s="14"/>
      <c r="I19" s="50"/>
    </row>
    <row r="20" ht="24.75" customHeight="1" spans="1:9">
      <c r="A20" s="98" t="s">
        <v>283</v>
      </c>
      <c r="B20" s="99" t="s">
        <v>277</v>
      </c>
      <c r="C20" s="139"/>
      <c r="D20" s="100" t="s">
        <v>284</v>
      </c>
      <c r="E20" s="145"/>
      <c r="F20" s="7">
        <v>1</v>
      </c>
      <c r="G20" s="7"/>
      <c r="H20" s="14"/>
      <c r="I20" s="50"/>
    </row>
    <row r="21" ht="24.75" customHeight="1" spans="1:9">
      <c r="A21" s="24"/>
      <c r="B21" s="140"/>
      <c r="C21" s="141"/>
      <c r="D21" s="142" t="s">
        <v>140</v>
      </c>
      <c r="E21" s="146"/>
      <c r="F21" s="147">
        <f>SUM(F10:G20)</f>
        <v>4929.5</v>
      </c>
      <c r="G21" s="148"/>
      <c r="H21" s="14"/>
      <c r="I21" s="50"/>
    </row>
    <row r="22" ht="24.75" customHeight="1" spans="1:9">
      <c r="A22" s="14"/>
      <c r="B22" s="14"/>
      <c r="C22" s="14"/>
      <c r="D22" s="14"/>
      <c r="E22" s="14"/>
      <c r="F22" s="14"/>
      <c r="G22" s="14"/>
      <c r="H22" s="14"/>
      <c r="I22" s="50"/>
    </row>
    <row r="23" ht="24.75" customHeight="1" spans="1:9">
      <c r="A23" s="14"/>
      <c r="B23" s="14"/>
      <c r="C23" s="14"/>
      <c r="D23" s="14"/>
      <c r="E23" s="14"/>
      <c r="F23" s="14"/>
      <c r="G23" s="14"/>
      <c r="H23" s="14"/>
      <c r="I23" s="50"/>
    </row>
    <row r="24" ht="24.75" customHeight="1" spans="1:9">
      <c r="A24" s="14"/>
      <c r="B24" s="14"/>
      <c r="C24" s="14"/>
      <c r="D24" s="14"/>
      <c r="E24" s="14"/>
      <c r="F24" s="14"/>
      <c r="G24" s="14"/>
      <c r="H24" s="14"/>
      <c r="I24" s="50"/>
    </row>
    <row r="25" ht="24.75" customHeight="1" spans="1:9">
      <c r="A25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February 2025 - 19 March 2025 /  (Revenue / Deferred Debts Or Expenses)</v>
      </c>
      <c r="B25" s="16"/>
      <c r="C25" s="16"/>
      <c r="D25" s="16"/>
      <c r="E25" s="16"/>
      <c r="F25" s="16"/>
      <c r="G25" s="16"/>
      <c r="H25" s="14"/>
      <c r="I25" s="50"/>
    </row>
    <row r="26" ht="24.75" customHeight="1" spans="1:9">
      <c r="A26" s="17" t="s">
        <v>29</v>
      </c>
      <c r="B26" s="116" t="s">
        <v>48</v>
      </c>
      <c r="C26" s="116"/>
      <c r="D26" s="117" t="s">
        <v>49</v>
      </c>
      <c r="E26" s="117"/>
      <c r="F26" s="117" t="s">
        <v>50</v>
      </c>
      <c r="G26" s="117"/>
      <c r="H26" s="14"/>
      <c r="I26" s="50"/>
    </row>
    <row r="27" ht="24.75" customHeight="1" spans="1:9">
      <c r="A27" s="98" t="s">
        <v>285</v>
      </c>
      <c r="B27" s="99" t="s">
        <v>52</v>
      </c>
      <c r="C27" s="99"/>
      <c r="D27" s="100" t="s">
        <v>53</v>
      </c>
      <c r="E27" s="100"/>
      <c r="F27" s="7">
        <v>2435</v>
      </c>
      <c r="G27" s="7"/>
      <c r="H27" s="14"/>
      <c r="I27" s="50"/>
    </row>
    <row r="28" ht="24.75" customHeight="1" spans="1:9">
      <c r="A28" s="98" t="s">
        <v>286</v>
      </c>
      <c r="B28" s="99" t="s">
        <v>66</v>
      </c>
      <c r="C28" s="99"/>
      <c r="D28" s="100" t="s">
        <v>153</v>
      </c>
      <c r="E28" s="100"/>
      <c r="F28" s="7">
        <v>0</v>
      </c>
      <c r="G28" s="7"/>
      <c r="H28" s="14"/>
      <c r="I28" s="50"/>
    </row>
    <row r="29" ht="24.75" customHeight="1" spans="1:9">
      <c r="A29" s="98"/>
      <c r="B29" s="99" t="s">
        <v>287</v>
      </c>
      <c r="C29" s="99"/>
      <c r="D29" s="100" t="s">
        <v>288</v>
      </c>
      <c r="E29" s="100"/>
      <c r="F29" s="7">
        <v>0</v>
      </c>
      <c r="G29" s="7"/>
      <c r="H29" s="14"/>
      <c r="I29" s="50"/>
    </row>
    <row r="30" ht="24.75" customHeight="1" spans="1:9">
      <c r="A30" s="98"/>
      <c r="B30" s="99" t="s">
        <v>289</v>
      </c>
      <c r="C30" s="99"/>
      <c r="D30" s="100" t="s">
        <v>290</v>
      </c>
      <c r="E30" s="100"/>
      <c r="F30" s="7">
        <v>50</v>
      </c>
      <c r="G30" s="7"/>
      <c r="H30" s="14"/>
      <c r="I30" s="50"/>
    </row>
    <row r="31" ht="44.25" customHeight="1" spans="1:9">
      <c r="A31" s="19" t="s">
        <v>291</v>
      </c>
      <c r="B31" s="112" t="s">
        <v>103</v>
      </c>
      <c r="C31" s="113"/>
      <c r="D31" s="112" t="s">
        <v>292</v>
      </c>
      <c r="E31" s="113"/>
      <c r="F31" s="114">
        <v>16</v>
      </c>
      <c r="G31" s="115"/>
      <c r="H31" s="14"/>
      <c r="I31" s="50"/>
    </row>
    <row r="32" ht="24.75" customHeight="1" spans="1:9">
      <c r="A32" s="19" t="s">
        <v>293</v>
      </c>
      <c r="B32" s="21" t="s">
        <v>105</v>
      </c>
      <c r="C32" s="22"/>
      <c r="D32" s="21" t="s">
        <v>294</v>
      </c>
      <c r="E32" s="22"/>
      <c r="F32" s="44">
        <v>800</v>
      </c>
      <c r="G32" s="45"/>
      <c r="H32" s="14"/>
      <c r="I32" s="50"/>
    </row>
    <row r="33" ht="24.75" customHeight="1" spans="1:9">
      <c r="A33" s="24"/>
      <c r="B33" s="143"/>
      <c r="C33" s="144"/>
      <c r="D33" s="27" t="s">
        <v>140</v>
      </c>
      <c r="E33" s="47"/>
      <c r="F33" s="48">
        <f>SUM(F27:G32)</f>
        <v>3301</v>
      </c>
      <c r="G33" s="49"/>
      <c r="H33" s="14"/>
      <c r="I33" s="50"/>
    </row>
    <row r="34" ht="24.75" customHeight="1" spans="1:9">
      <c r="A34" s="14"/>
      <c r="B34" s="14"/>
      <c r="C34" s="14"/>
      <c r="D34" s="14"/>
      <c r="E34" s="14"/>
      <c r="F34" s="14"/>
      <c r="G34" s="14"/>
      <c r="H34" s="14"/>
      <c r="I34" s="50"/>
    </row>
    <row r="35" ht="24.75" customHeight="1" spans="1:9">
      <c r="A35" s="14"/>
      <c r="B35" s="14"/>
      <c r="C35" s="14"/>
      <c r="D35" s="14"/>
      <c r="E35" s="14"/>
      <c r="F35" s="14"/>
      <c r="G35" s="14"/>
      <c r="H35" s="14"/>
      <c r="I35" s="50"/>
    </row>
    <row r="36" ht="24.75" customHeight="1" spans="1:9">
      <c r="A36" s="14"/>
      <c r="B36" s="14"/>
      <c r="C36" s="14"/>
      <c r="D36" s="14"/>
      <c r="E36" s="14"/>
      <c r="F36" s="14"/>
      <c r="G36" s="14"/>
      <c r="H36" s="14"/>
      <c r="I36" s="50"/>
    </row>
    <row r="37" ht="24.75" customHeight="1" spans="1:9">
      <c r="A37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March 2025 - 19 April 2025 /  (Revenue / Deferred Debts Or Expenses)</v>
      </c>
      <c r="B37" s="16"/>
      <c r="C37" s="16"/>
      <c r="D37" s="16"/>
      <c r="E37" s="16"/>
      <c r="F37" s="16"/>
      <c r="G37" s="16"/>
      <c r="H37" s="14"/>
      <c r="I37" s="50"/>
    </row>
    <row r="38" ht="24.75" customHeight="1" spans="1:9">
      <c r="A38" s="17" t="s">
        <v>29</v>
      </c>
      <c r="B38" s="116" t="s">
        <v>48</v>
      </c>
      <c r="C38" s="116"/>
      <c r="D38" s="117" t="s">
        <v>49</v>
      </c>
      <c r="E38" s="117"/>
      <c r="F38" s="117" t="s">
        <v>50</v>
      </c>
      <c r="G38" s="117"/>
      <c r="H38" s="14"/>
      <c r="I38" s="50"/>
    </row>
    <row r="39" ht="24.75" customHeight="1" spans="1:9">
      <c r="A39" s="98"/>
      <c r="B39" s="99" t="s">
        <v>52</v>
      </c>
      <c r="C39" s="99"/>
      <c r="D39" s="145" t="s">
        <v>53</v>
      </c>
      <c r="E39" s="149"/>
      <c r="F39" s="7">
        <v>2435</v>
      </c>
      <c r="G39" s="7"/>
      <c r="H39" s="14"/>
      <c r="I39" s="50"/>
    </row>
    <row r="40" ht="24.75" customHeight="1" spans="1:9">
      <c r="A40" s="98" t="s">
        <v>295</v>
      </c>
      <c r="B40" s="99" t="s">
        <v>66</v>
      </c>
      <c r="C40" s="99"/>
      <c r="D40" s="145" t="s">
        <v>153</v>
      </c>
      <c r="E40" s="149"/>
      <c r="F40" s="7">
        <v>0</v>
      </c>
      <c r="G40" s="7"/>
      <c r="H40" s="14"/>
      <c r="I40" s="50"/>
    </row>
    <row r="41" ht="24.75" customHeight="1" spans="1:9">
      <c r="A41" s="98"/>
      <c r="B41" s="99" t="s">
        <v>289</v>
      </c>
      <c r="C41" s="99"/>
      <c r="D41" s="145" t="s">
        <v>290</v>
      </c>
      <c r="E41" s="149"/>
      <c r="F41" s="7">
        <v>50</v>
      </c>
      <c r="G41" s="7"/>
      <c r="H41" s="14"/>
      <c r="I41" s="51"/>
    </row>
    <row r="42" ht="24.75" customHeight="1" spans="1:9">
      <c r="A42" s="19"/>
      <c r="B42" s="112"/>
      <c r="C42" s="113"/>
      <c r="D42" s="112"/>
      <c r="E42" s="113"/>
      <c r="F42" s="114">
        <v>0</v>
      </c>
      <c r="G42" s="115"/>
      <c r="H42" s="14"/>
      <c r="I42" s="50"/>
    </row>
    <row r="43" ht="24.75" customHeight="1" spans="1:9">
      <c r="A43" s="19"/>
      <c r="B43" s="21"/>
      <c r="C43" s="22"/>
      <c r="D43" s="23"/>
      <c r="E43" s="46"/>
      <c r="F43" s="44">
        <v>0</v>
      </c>
      <c r="G43" s="45"/>
      <c r="H43" s="14"/>
      <c r="I43" s="50"/>
    </row>
    <row r="44" ht="24.75" customHeight="1" spans="1:9">
      <c r="A44" s="19"/>
      <c r="B44" s="21"/>
      <c r="C44" s="22"/>
      <c r="D44" s="23"/>
      <c r="E44" s="46"/>
      <c r="F44" s="44">
        <v>0</v>
      </c>
      <c r="G44" s="45"/>
      <c r="H44" s="14"/>
      <c r="I44" s="50"/>
    </row>
    <row r="45" ht="24.75" customHeight="1" spans="1:9">
      <c r="A45" s="24"/>
      <c r="B45" s="25"/>
      <c r="C45" s="26"/>
      <c r="D45" s="27" t="s">
        <v>140</v>
      </c>
      <c r="E45" s="47"/>
      <c r="F45" s="48">
        <f>SUM(F39:G44)</f>
        <v>2485</v>
      </c>
      <c r="G45" s="49"/>
      <c r="H45" s="14"/>
      <c r="I45" s="50"/>
    </row>
    <row r="46" ht="24.75" customHeight="1" spans="1:9">
      <c r="A46" s="14"/>
      <c r="B46" s="14"/>
      <c r="C46" s="14"/>
      <c r="D46" s="14"/>
      <c r="E46" s="14"/>
      <c r="F46" s="14"/>
      <c r="G46" s="14"/>
      <c r="H46" s="14"/>
      <c r="I46" s="50"/>
    </row>
    <row r="47" ht="24.75" customHeight="1" spans="1:9">
      <c r="A47" s="14"/>
      <c r="B47" s="14"/>
      <c r="C47" s="14"/>
      <c r="D47" s="14"/>
      <c r="E47" s="14"/>
      <c r="F47" s="14"/>
      <c r="G47" s="14"/>
      <c r="H47" s="14"/>
      <c r="I47" s="50"/>
    </row>
    <row r="48" ht="24.75" customHeight="1" spans="1:9">
      <c r="A48" s="14"/>
      <c r="B48" s="14"/>
      <c r="C48" s="14"/>
      <c r="D48" s="14"/>
      <c r="E48" s="14"/>
      <c r="F48" s="14"/>
      <c r="G48" s="14"/>
      <c r="H48" s="14"/>
      <c r="I48" s="50"/>
    </row>
    <row r="49" ht="24.75" customHeight="1" spans="1:9">
      <c r="A49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2025 to April 2025</v>
      </c>
      <c r="B49" s="29"/>
      <c r="C49" s="30"/>
      <c r="D49" s="14"/>
      <c r="E49" s="14"/>
      <c r="F49" s="14"/>
      <c r="G49" s="14"/>
      <c r="H49" s="14"/>
      <c r="I49" s="50"/>
    </row>
    <row r="50" ht="24.75" customHeight="1" spans="1:9">
      <c r="A50" s="31" t="s">
        <v>48</v>
      </c>
      <c r="B50" s="31" t="s">
        <v>49</v>
      </c>
      <c r="C50" s="1" t="s">
        <v>50</v>
      </c>
      <c r="D50" s="14"/>
      <c r="E50" s="14"/>
      <c r="F50" s="14"/>
      <c r="G50" s="14"/>
      <c r="H50" s="14"/>
      <c r="I50" s="50"/>
    </row>
    <row r="51" ht="24.75" customHeight="1" spans="1:9">
      <c r="A51" s="32" t="s">
        <v>73</v>
      </c>
      <c r="B51" s="33"/>
      <c r="C51" s="34"/>
      <c r="D51" s="14"/>
      <c r="E51" s="14"/>
      <c r="F51" s="14"/>
      <c r="G51" s="14"/>
      <c r="H51" s="14"/>
      <c r="I51" s="50"/>
    </row>
    <row r="52" ht="42" customHeight="1" spans="1:9">
      <c r="A52" s="101" t="s">
        <v>195</v>
      </c>
      <c r="B52" s="102"/>
      <c r="C52" s="103">
        <v>78</v>
      </c>
      <c r="D52" s="14"/>
      <c r="E52" s="14"/>
      <c r="F52" s="14"/>
      <c r="G52" s="14"/>
      <c r="H52" s="14"/>
      <c r="I52" s="50"/>
    </row>
    <row r="53" ht="34.5" customHeight="1" spans="1:9">
      <c r="A53" s="101" t="s">
        <v>289</v>
      </c>
      <c r="B53" s="102" t="s">
        <v>296</v>
      </c>
      <c r="C53" s="103">
        <v>50</v>
      </c>
      <c r="D53" s="14"/>
      <c r="E53" s="14"/>
      <c r="F53" s="14"/>
      <c r="G53" s="14"/>
      <c r="H53" s="14"/>
      <c r="I53" s="50"/>
    </row>
    <row r="54" ht="24.75" customHeight="1" spans="1:9">
      <c r="A54" s="101" t="s">
        <v>75</v>
      </c>
      <c r="B54" s="102" t="s">
        <v>245</v>
      </c>
      <c r="C54" s="103">
        <v>149</v>
      </c>
      <c r="D54" s="14"/>
      <c r="E54" s="14"/>
      <c r="F54" s="14"/>
      <c r="G54" s="14"/>
      <c r="H54" s="14"/>
      <c r="I54" s="50"/>
    </row>
    <row r="55" ht="24.75" customHeight="1" spans="1:9">
      <c r="A55" s="35"/>
      <c r="B55" s="39"/>
      <c r="C55" s="37">
        <v>0</v>
      </c>
      <c r="D55" s="14"/>
      <c r="E55" s="14"/>
      <c r="F55" s="14"/>
      <c r="G55" s="14"/>
      <c r="H55" s="14"/>
      <c r="I55" s="50"/>
    </row>
    <row r="56" ht="24.75" customHeight="1" spans="1:9">
      <c r="A56" s="40"/>
      <c r="B56" s="39"/>
      <c r="C56" s="37">
        <v>0</v>
      </c>
      <c r="D56" s="14"/>
      <c r="E56" s="14"/>
      <c r="F56" s="14"/>
      <c r="G56" s="14"/>
      <c r="H56" s="14"/>
      <c r="I56" s="50"/>
    </row>
    <row r="57" ht="24.75" customHeight="1" spans="1:9">
      <c r="A57" s="40"/>
      <c r="B57" s="39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40"/>
      <c r="B58" s="39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40"/>
      <c r="B59" s="39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41"/>
      <c r="B60" s="121" t="s">
        <v>77</v>
      </c>
      <c r="C60" s="37">
        <f>SUM(C52:C59)</f>
        <v>277</v>
      </c>
      <c r="D60" s="14"/>
      <c r="E60" s="14"/>
      <c r="F60" s="14"/>
      <c r="G60" s="14"/>
      <c r="H60" s="14"/>
      <c r="I60" s="50"/>
    </row>
    <row r="61" ht="24.75" customHeight="1" spans="1:9">
      <c r="A61" s="32" t="s">
        <v>78</v>
      </c>
      <c r="B61" s="33"/>
      <c r="C61" s="34"/>
      <c r="D61" s="14"/>
      <c r="E61" s="14"/>
      <c r="F61" s="14"/>
      <c r="G61" s="14"/>
      <c r="H61" s="14"/>
      <c r="I61" s="50"/>
    </row>
    <row r="62" ht="24.75" customHeight="1" spans="1:9">
      <c r="A62" s="35" t="s">
        <v>79</v>
      </c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 t="s">
        <v>80</v>
      </c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 t="s">
        <v>81</v>
      </c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 t="s">
        <v>82</v>
      </c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35"/>
      <c r="B66" s="36"/>
      <c r="C66" s="37">
        <v>0</v>
      </c>
      <c r="D66" s="14"/>
      <c r="E66" s="14"/>
      <c r="F66" s="14"/>
      <c r="G66" s="14"/>
      <c r="H66" s="14"/>
      <c r="I66" s="50"/>
    </row>
    <row r="67" ht="24.75" customHeight="1" spans="1:9">
      <c r="A67" s="35"/>
      <c r="B67" s="36"/>
      <c r="C67" s="37">
        <v>0</v>
      </c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52"/>
      <c r="B71" s="121" t="s">
        <v>77</v>
      </c>
      <c r="C71" s="37">
        <f>SUM(C62:C70)</f>
        <v>0</v>
      </c>
      <c r="D71" s="14"/>
      <c r="E71" s="14"/>
      <c r="F71" s="14"/>
      <c r="G71" s="14"/>
      <c r="H71" s="14"/>
      <c r="I71" s="50"/>
    </row>
    <row r="72" ht="24.75" customHeight="1" spans="1:9">
      <c r="A72" s="32" t="s">
        <v>83</v>
      </c>
      <c r="B72" s="33"/>
      <c r="C72" s="34"/>
      <c r="D72" s="14"/>
      <c r="E72" s="14"/>
      <c r="F72" s="14"/>
      <c r="G72" s="14"/>
      <c r="H72" s="14"/>
      <c r="I72" s="50"/>
    </row>
    <row r="73" ht="24.75" customHeight="1" spans="1:9">
      <c r="A73" s="35" t="s">
        <v>84</v>
      </c>
      <c r="B73" s="36" t="s">
        <v>85</v>
      </c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 t="s">
        <v>86</v>
      </c>
      <c r="B74" s="36" t="s">
        <v>87</v>
      </c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35"/>
      <c r="B75" s="36"/>
      <c r="C75" s="37">
        <v>0</v>
      </c>
      <c r="D75" s="14"/>
      <c r="E75" s="14"/>
      <c r="F75" s="14"/>
      <c r="G75" s="14"/>
      <c r="H75" s="14"/>
      <c r="I75" s="50"/>
    </row>
    <row r="76" ht="24.75" customHeight="1" spans="1:9">
      <c r="A76" s="35"/>
      <c r="B76" s="36"/>
      <c r="C76" s="37">
        <v>0</v>
      </c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52"/>
      <c r="B80" s="121" t="s">
        <v>77</v>
      </c>
      <c r="C80" s="37">
        <f>SUM(C73:C79)</f>
        <v>0</v>
      </c>
      <c r="D80" s="14"/>
      <c r="E80" s="14"/>
      <c r="F80" s="14"/>
      <c r="G80" s="14"/>
      <c r="H80" s="14"/>
      <c r="I80" s="50"/>
    </row>
    <row r="81" ht="24.75" customHeight="1" spans="1:9">
      <c r="A81" s="32" t="s">
        <v>89</v>
      </c>
      <c r="B81" s="33"/>
      <c r="C81" s="34"/>
      <c r="D81" s="14"/>
      <c r="E81" s="14"/>
      <c r="F81" s="14"/>
      <c r="G81" s="14"/>
      <c r="H81" s="14"/>
      <c r="I81" s="50"/>
    </row>
    <row r="82" ht="24.75" customHeight="1" spans="1:9">
      <c r="A82" s="35" t="s">
        <v>90</v>
      </c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35"/>
      <c r="B85" s="36"/>
      <c r="C85" s="37">
        <v>0</v>
      </c>
      <c r="D85" s="14"/>
      <c r="E85" s="14"/>
      <c r="F85" s="14"/>
      <c r="G85" s="14"/>
      <c r="H85" s="14"/>
      <c r="I85" s="50"/>
    </row>
    <row r="86" ht="24.75" customHeight="1" spans="1:9">
      <c r="A86" s="35"/>
      <c r="B86" s="36"/>
      <c r="C86" s="37">
        <v>0</v>
      </c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35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52"/>
      <c r="B90" s="121" t="s">
        <v>91</v>
      </c>
      <c r="C90" s="37">
        <f>SUM(C82:C89)</f>
        <v>0</v>
      </c>
      <c r="D90" s="14"/>
      <c r="E90" s="14"/>
      <c r="F90" s="14"/>
      <c r="G90" s="14"/>
      <c r="H90" s="14"/>
      <c r="I90" s="50"/>
    </row>
    <row r="91" ht="24.75" customHeight="1" spans="1:9">
      <c r="A91" s="32" t="s">
        <v>92</v>
      </c>
      <c r="B91" s="33"/>
      <c r="C91" s="34"/>
      <c r="D91" s="14"/>
      <c r="E91" s="14"/>
      <c r="F91" s="14"/>
      <c r="G91" s="14"/>
      <c r="H91" s="14"/>
      <c r="I91" s="50"/>
    </row>
    <row r="92" ht="24.75" customHeight="1" spans="1:9">
      <c r="A92" s="101" t="s">
        <v>93</v>
      </c>
      <c r="B92" s="104" t="s">
        <v>94</v>
      </c>
      <c r="C92" s="103">
        <v>0</v>
      </c>
      <c r="D92" s="14"/>
      <c r="E92" s="14"/>
      <c r="F92" s="14"/>
      <c r="G92" s="14"/>
      <c r="H92" s="14"/>
      <c r="I92" s="50"/>
    </row>
    <row r="93" ht="24.75" customHeight="1" spans="1:9">
      <c r="A93" s="105" t="s">
        <v>95</v>
      </c>
      <c r="B93" s="106" t="s">
        <v>96</v>
      </c>
      <c r="C93" s="103">
        <v>68</v>
      </c>
      <c r="D93" s="14"/>
      <c r="E93" s="14"/>
      <c r="F93" s="14"/>
      <c r="G93" s="14"/>
      <c r="H93" s="14"/>
      <c r="I93" s="50"/>
    </row>
    <row r="94" ht="24.75" customHeight="1" spans="1:9">
      <c r="A94" s="101" t="s">
        <v>97</v>
      </c>
      <c r="B94" s="102" t="s">
        <v>297</v>
      </c>
      <c r="C94" s="103">
        <v>52</v>
      </c>
      <c r="D94" s="14"/>
      <c r="E94" s="14"/>
      <c r="F94" s="14"/>
      <c r="G94" s="14"/>
      <c r="H94" s="14"/>
      <c r="I94" s="50"/>
    </row>
    <row r="95" ht="24.75" customHeight="1" spans="1:9">
      <c r="A95" s="101" t="s">
        <v>287</v>
      </c>
      <c r="B95" s="104" t="s">
        <v>298</v>
      </c>
      <c r="C95" s="103">
        <v>0</v>
      </c>
      <c r="D95" s="14"/>
      <c r="E95" s="68"/>
      <c r="F95" s="14"/>
      <c r="G95" s="14"/>
      <c r="H95" s="14"/>
      <c r="I95" s="50"/>
    </row>
    <row r="96" ht="24.75" customHeight="1" spans="1:9">
      <c r="A96" s="35"/>
      <c r="B96" s="36"/>
      <c r="C96" s="37">
        <v>0</v>
      </c>
      <c r="D96" s="14"/>
      <c r="E96" s="14"/>
      <c r="F96" s="14"/>
      <c r="G96" s="14"/>
      <c r="H96" s="14"/>
      <c r="I96" s="50"/>
    </row>
    <row r="97" ht="24.75" customHeight="1" spans="1:9">
      <c r="A97" s="35"/>
      <c r="B97" s="36"/>
      <c r="C97" s="37">
        <v>0</v>
      </c>
      <c r="D97" s="14"/>
      <c r="E97" s="14"/>
      <c r="F97" s="14"/>
      <c r="G97" s="14"/>
      <c r="H97" s="14"/>
      <c r="I97" s="50"/>
    </row>
    <row r="98" ht="24.75" customHeight="1" spans="1:9">
      <c r="A98" s="35"/>
      <c r="B98" s="36"/>
      <c r="C98" s="37">
        <v>0</v>
      </c>
      <c r="D98" s="14"/>
      <c r="E98" s="14"/>
      <c r="F98" s="14"/>
      <c r="G98" s="14"/>
      <c r="H98" s="14"/>
      <c r="I98" s="50"/>
    </row>
    <row r="99" ht="24.75" customHeight="1" spans="1:9">
      <c r="A99" s="35"/>
      <c r="B99" s="36"/>
      <c r="C99" s="37"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121" t="s">
        <v>77</v>
      </c>
      <c r="C100" s="37">
        <f>SUM(C92:C99)</f>
        <v>120</v>
      </c>
      <c r="D100" s="14"/>
      <c r="E100" s="14"/>
      <c r="F100" s="14"/>
      <c r="G100" s="14"/>
      <c r="H100" s="14"/>
      <c r="I100" s="50"/>
    </row>
    <row r="101" ht="24.75" customHeight="1" spans="1:9">
      <c r="A101" s="52"/>
      <c r="B101" s="121" t="s">
        <v>101</v>
      </c>
      <c r="C101" s="37">
        <f>C60+C71+C80+C90+C100</f>
        <v>397</v>
      </c>
      <c r="D101" s="14"/>
      <c r="E101" s="14"/>
      <c r="F101" s="14"/>
      <c r="G101" s="14"/>
      <c r="H101" s="14"/>
      <c r="I101" s="50"/>
    </row>
    <row r="102" ht="24.75" customHeight="1" spans="1:9">
      <c r="A102" s="32" t="s">
        <v>102</v>
      </c>
      <c r="B102" s="33"/>
      <c r="C102" s="34"/>
      <c r="D102" s="14"/>
      <c r="E102" s="14"/>
      <c r="F102" s="14"/>
      <c r="G102" s="14"/>
      <c r="H102" s="14"/>
      <c r="I102" s="50"/>
    </row>
    <row r="103" ht="24.75" customHeight="1" spans="1:9">
      <c r="A103" s="107" t="s">
        <v>103</v>
      </c>
      <c r="B103" s="36"/>
      <c r="C103" s="37">
        <f>('October 2024 - December 2024'!C109)+SUM(E123+E150+E177)</f>
        <v>-6983</v>
      </c>
      <c r="D103" s="14"/>
      <c r="E103" s="69"/>
      <c r="F103" s="14"/>
      <c r="G103" s="14"/>
      <c r="H103" s="14"/>
      <c r="I103" s="50"/>
    </row>
    <row r="104" ht="24.75" customHeight="1" spans="1:9">
      <c r="A104" s="107" t="s">
        <v>104</v>
      </c>
      <c r="B104" s="36"/>
      <c r="C104" s="37">
        <f>('October 2024 - December 2024'!C110)+SUM(E124+E151+E178)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107" t="s">
        <v>105</v>
      </c>
      <c r="B105" s="36"/>
      <c r="C105" s="37">
        <f>('October 2024 - December 2024'!C111)+SUM(E125+E152+E179)</f>
        <v>0</v>
      </c>
      <c r="D105" s="14"/>
      <c r="E105" s="14"/>
      <c r="F105" s="14"/>
      <c r="G105" s="14"/>
      <c r="H105" s="14"/>
      <c r="I105" s="50"/>
    </row>
    <row r="106" ht="39.75" customHeight="1" spans="1:9">
      <c r="A106" s="101" t="s">
        <v>106</v>
      </c>
      <c r="B106" s="36"/>
      <c r="C106" s="37">
        <f>('October 2024 - December 2024'!C112)+SUM(E126+E153+E180)</f>
        <v>0</v>
      </c>
      <c r="D106" s="14"/>
      <c r="E106" s="14"/>
      <c r="F106" s="14"/>
      <c r="G106" s="14"/>
      <c r="H106" s="14"/>
      <c r="I106" s="50"/>
    </row>
    <row r="107" ht="44.25" customHeight="1" spans="1:9">
      <c r="A107" s="101" t="s">
        <v>107</v>
      </c>
      <c r="B107" s="36"/>
      <c r="C107" s="37">
        <f>('October 2024 - December 2024'!C113)+SUM(E127+E154+E181)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35"/>
      <c r="B108" s="36"/>
      <c r="C108" s="37">
        <f>('October 2024 - December 2024'!C114)+SUM(E128+E155+E182)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35"/>
      <c r="B109" s="36"/>
      <c r="C109" s="37">
        <f>('October 2024 - December 2024'!C115)+SUM(E129+E156+E183)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35"/>
      <c r="B110" s="36"/>
      <c r="C110" s="37">
        <f>('October 2024 - December 2024'!C116)+SUM(E130+E157+E184)</f>
        <v>0</v>
      </c>
      <c r="D110" s="14"/>
      <c r="E110" s="14"/>
      <c r="F110" s="14"/>
      <c r="G110" s="14"/>
      <c r="H110" s="14"/>
      <c r="I110" s="50"/>
    </row>
    <row r="111" ht="24.75" customHeight="1" spans="1:9">
      <c r="A111" s="35"/>
      <c r="B111" s="36"/>
      <c r="C111" s="37">
        <f>('October 2024 - December 2024'!C117)+SUM(E131+E158+E185)</f>
        <v>0</v>
      </c>
      <c r="D111" s="14"/>
      <c r="E111" s="14"/>
      <c r="F111" s="14"/>
      <c r="G111" s="14"/>
      <c r="H111" s="14"/>
      <c r="I111" s="50"/>
    </row>
    <row r="112" ht="24.75" customHeight="1" spans="1:9">
      <c r="A112" s="35"/>
      <c r="B112" s="36"/>
      <c r="C112" s="37">
        <f>('October 2024 - December 2024'!C118)+SUM(E132+E159+E186)</f>
        <v>0</v>
      </c>
      <c r="D112" s="14"/>
      <c r="E112" s="14"/>
      <c r="F112" s="14"/>
      <c r="G112" s="14"/>
      <c r="H112" s="14"/>
      <c r="I112" s="50"/>
    </row>
    <row r="113" ht="24.75" customHeight="1" spans="1:9">
      <c r="A113" s="52"/>
      <c r="B113" s="121" t="s">
        <v>108</v>
      </c>
      <c r="C113" s="37">
        <f>SUM(C103:C107)</f>
        <v>-6983</v>
      </c>
      <c r="D113" s="14"/>
      <c r="E113" s="14"/>
      <c r="F113" s="14"/>
      <c r="G113" s="14"/>
      <c r="H113" s="14"/>
      <c r="I113" s="50"/>
    </row>
    <row r="114" ht="24.75" customHeight="1" spans="1:9">
      <c r="A114" s="52"/>
      <c r="B114" s="121" t="s">
        <v>109</v>
      </c>
      <c r="C114" s="37">
        <f>ABS(C101+ABS(C113))</f>
        <v>7380</v>
      </c>
      <c r="D114" s="14"/>
      <c r="E114" s="14"/>
      <c r="F114" s="14"/>
      <c r="G114" s="14"/>
      <c r="H114" s="14"/>
      <c r="I114" s="50"/>
    </row>
    <row r="115" ht="24.75" customHeight="1" spans="1:9">
      <c r="A115" s="14"/>
      <c r="B115" s="14"/>
      <c r="C115" s="14"/>
      <c r="D115" s="14"/>
      <c r="E115" s="14"/>
      <c r="F115" s="14"/>
      <c r="G115" s="14"/>
      <c r="H115" s="14"/>
      <c r="I115" s="50"/>
    </row>
    <row r="116" ht="24.75" customHeight="1" spans="1:9">
      <c r="A116" s="14"/>
      <c r="B116" s="14"/>
      <c r="C116" s="14"/>
      <c r="D116" s="14"/>
      <c r="E116" s="14"/>
      <c r="F116" s="14"/>
      <c r="G116" s="14"/>
      <c r="H116" s="14"/>
      <c r="I116" s="50"/>
    </row>
    <row r="117" ht="24.75" customHeight="1" spans="1:9">
      <c r="A117" s="14"/>
      <c r="B117" s="14"/>
      <c r="C117" s="14"/>
      <c r="D117" s="14"/>
      <c r="E117" s="14"/>
      <c r="F117" s="14"/>
      <c r="G117" s="14"/>
      <c r="H117" s="14"/>
      <c r="I117" s="50"/>
    </row>
    <row r="118" ht="24.75" customHeight="1" spans="1:9">
      <c r="A118" s="14"/>
      <c r="B118" s="14"/>
      <c r="C118" s="14"/>
      <c r="D118" s="14"/>
      <c r="E118" s="14"/>
      <c r="F118" s="14"/>
      <c r="G118" s="14"/>
      <c r="H118" s="14"/>
      <c r="I118" s="50"/>
    </row>
    <row r="119" ht="24.75" customHeight="1" spans="1:9">
      <c r="A119" s="53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20 2025 to February 19 2025</v>
      </c>
      <c r="B119" s="54"/>
      <c r="C119" s="54"/>
      <c r="D119" s="54"/>
      <c r="E119" s="55"/>
      <c r="F119" s="14"/>
      <c r="G119" s="14"/>
      <c r="H119" s="14"/>
      <c r="I119" s="50"/>
    </row>
    <row r="120" ht="24.75" customHeight="1" spans="1:9">
      <c r="A120" s="53" t="s">
        <v>110</v>
      </c>
      <c r="B120" s="55"/>
      <c r="C120" s="53" t="s">
        <v>49</v>
      </c>
      <c r="D120" s="55"/>
      <c r="E120" s="70" t="s">
        <v>50</v>
      </c>
      <c r="F120" s="14"/>
      <c r="G120" s="14"/>
      <c r="H120" s="14"/>
      <c r="I120" s="50"/>
    </row>
    <row r="121" ht="24.75" customHeight="1" spans="1:9">
      <c r="A121" s="56" t="str">
        <f>"Balance Brought Forward From "&amp;IF(Main!B2,TEXT(EDATE(Main!B3,9)-1,"mmmm yyyy"),TEXT(Main!B3+((Main!B5-Main!B3)*9+8),"mmmm yyyy"))</f>
        <v>Balance Brought Forward From January 2025</v>
      </c>
      <c r="B121" s="57"/>
      <c r="C121" s="58"/>
      <c r="D121" s="58"/>
      <c r="E121" s="71">
        <f>'October 2024 - December 2024'!E201</f>
        <v>173.339999999998</v>
      </c>
      <c r="F121" s="14"/>
      <c r="G121" s="14"/>
      <c r="H121" s="14"/>
      <c r="I121" s="50"/>
    </row>
    <row r="122" ht="24.75" customHeight="1" spans="1:9">
      <c r="A122" s="85" t="s">
        <v>92</v>
      </c>
      <c r="B122" s="123"/>
      <c r="C122" s="61" t="s">
        <v>111</v>
      </c>
      <c r="D122" s="62"/>
      <c r="E122" s="72"/>
      <c r="F122" s="14"/>
      <c r="G122" s="14"/>
      <c r="H122" s="14"/>
      <c r="I122" s="50"/>
    </row>
    <row r="123" ht="24.75" customHeight="1" spans="1:9">
      <c r="A123" s="89"/>
      <c r="B123" s="124"/>
      <c r="C123" s="128" t="s">
        <v>299</v>
      </c>
      <c r="D123" s="128"/>
      <c r="E123" s="110">
        <v>1400</v>
      </c>
      <c r="F123" s="14"/>
      <c r="G123" s="14"/>
      <c r="H123" s="14"/>
      <c r="I123" s="50"/>
    </row>
    <row r="124" ht="24.75" customHeight="1" spans="1:9">
      <c r="A124" s="89"/>
      <c r="B124" s="12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4"/>
      <c r="C125" s="102" t="s">
        <v>178</v>
      </c>
      <c r="D125" s="102"/>
      <c r="E125" s="110">
        <v>500</v>
      </c>
      <c r="F125" s="14"/>
      <c r="G125" s="14"/>
      <c r="H125" s="14"/>
      <c r="I125" s="50"/>
    </row>
    <row r="126" ht="24.75" customHeight="1" spans="1:9">
      <c r="A126" s="89"/>
      <c r="B126" s="12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4"/>
      <c r="C128" s="65"/>
      <c r="D128" s="66"/>
      <c r="E128" s="37">
        <v>0</v>
      </c>
      <c r="F128" s="14"/>
      <c r="G128" s="14"/>
      <c r="H128" s="14"/>
      <c r="I128" s="50"/>
    </row>
    <row r="129" ht="24.75" customHeight="1" spans="1:9">
      <c r="A129" s="89"/>
      <c r="B129" s="124"/>
      <c r="C129" s="65"/>
      <c r="D129" s="66"/>
      <c r="E129" s="37">
        <v>0</v>
      </c>
      <c r="F129" s="14"/>
      <c r="G129" s="14"/>
      <c r="H129" s="14"/>
      <c r="I129" s="50"/>
    </row>
    <row r="130" ht="24.75" customHeight="1" spans="1:9">
      <c r="A130" s="89"/>
      <c r="B130" s="124"/>
      <c r="C130" s="65"/>
      <c r="D130" s="66"/>
      <c r="E130" s="37">
        <v>0</v>
      </c>
      <c r="F130" s="14"/>
      <c r="G130" s="14"/>
      <c r="H130" s="14"/>
      <c r="I130" s="50"/>
    </row>
    <row r="131" ht="24.75" customHeight="1" spans="1:9">
      <c r="A131" s="89"/>
      <c r="B131" s="124"/>
      <c r="C131" s="65"/>
      <c r="D131" s="66"/>
      <c r="E131" s="37">
        <v>0</v>
      </c>
      <c r="F131" s="14"/>
      <c r="G131" s="14"/>
      <c r="H131" s="14"/>
      <c r="I131" s="50"/>
    </row>
    <row r="132" ht="24.75" customHeight="1" spans="1:9">
      <c r="A132" s="89"/>
      <c r="B132" s="124"/>
      <c r="C132" s="65"/>
      <c r="D132" s="66"/>
      <c r="E132" s="37">
        <v>0</v>
      </c>
      <c r="F132" s="14"/>
      <c r="G132" s="14"/>
      <c r="H132" s="14"/>
      <c r="I132" s="50"/>
    </row>
    <row r="133" ht="24.75" customHeight="1" spans="1:9">
      <c r="A133" s="89"/>
      <c r="B133" s="124"/>
      <c r="C133" s="67" t="s">
        <v>112</v>
      </c>
      <c r="D133" s="62"/>
      <c r="E133" s="72"/>
      <c r="F133" s="14"/>
      <c r="G133" s="14"/>
      <c r="H133" s="14"/>
      <c r="I133" s="50"/>
    </row>
    <row r="134" ht="178" customHeight="1" spans="1:9">
      <c r="A134" s="89"/>
      <c r="B134" s="124"/>
      <c r="C134" s="102" t="s">
        <v>300</v>
      </c>
      <c r="D134" s="102"/>
      <c r="E134" s="110">
        <v>2132.94</v>
      </c>
      <c r="F134" s="14"/>
      <c r="G134" s="14"/>
      <c r="H134" s="14"/>
      <c r="I134" s="50"/>
    </row>
    <row r="135" ht="348" customHeight="1" spans="1:9">
      <c r="A135" s="89"/>
      <c r="B135" s="124"/>
      <c r="C135" s="102" t="s">
        <v>301</v>
      </c>
      <c r="D135" s="102"/>
      <c r="E135" s="110">
        <v>316.9</v>
      </c>
      <c r="F135" s="14"/>
      <c r="G135" s="14"/>
      <c r="H135" s="14"/>
      <c r="I135" s="50"/>
    </row>
    <row r="136" ht="202.5" customHeight="1" spans="1:9">
      <c r="A136" s="89"/>
      <c r="B136" s="124"/>
      <c r="C136" s="132" t="s">
        <v>302</v>
      </c>
      <c r="D136" s="133"/>
      <c r="E136" s="110">
        <v>244</v>
      </c>
      <c r="F136" s="14"/>
      <c r="G136" s="14"/>
      <c r="H136" s="14"/>
      <c r="I136" s="50"/>
    </row>
    <row r="137" ht="24.75" customHeight="1" spans="1:9">
      <c r="A137" s="89"/>
      <c r="B137" s="124"/>
      <c r="C137" s="65"/>
      <c r="D137" s="66"/>
      <c r="E137" s="93">
        <v>0</v>
      </c>
      <c r="F137" s="14"/>
      <c r="G137" s="14"/>
      <c r="H137" s="14"/>
      <c r="I137" s="50"/>
    </row>
    <row r="138" ht="24.75" customHeight="1" spans="1:9">
      <c r="A138" s="89"/>
      <c r="B138" s="124"/>
      <c r="C138" s="65"/>
      <c r="D138" s="66"/>
      <c r="E138" s="93">
        <v>0</v>
      </c>
      <c r="F138" s="14"/>
      <c r="G138" s="14"/>
      <c r="H138" s="14"/>
      <c r="I138" s="50"/>
    </row>
    <row r="139" ht="24.75" customHeight="1" spans="1:9">
      <c r="A139" s="91"/>
      <c r="B139" s="125"/>
      <c r="C139" s="65"/>
      <c r="D139" s="66"/>
      <c r="E139" s="93">
        <v>0</v>
      </c>
      <c r="F139" s="14"/>
      <c r="G139" s="14"/>
      <c r="H139" s="14"/>
      <c r="I139" s="50"/>
    </row>
    <row r="140" ht="24.75" customHeight="1" spans="1:9">
      <c r="A140" s="56" t="s">
        <v>113</v>
      </c>
      <c r="B140" s="77"/>
      <c r="C140" s="78"/>
      <c r="D140" s="79"/>
      <c r="E140" s="93">
        <f>C101</f>
        <v>397</v>
      </c>
      <c r="F140" s="14"/>
      <c r="G140" s="14"/>
      <c r="H140" s="14"/>
      <c r="I140" s="50"/>
    </row>
    <row r="141" ht="24.75" customHeight="1" spans="1:9">
      <c r="A141" s="80"/>
      <c r="B141" s="81"/>
      <c r="C141" s="82" t="s">
        <v>114</v>
      </c>
      <c r="D141" s="82"/>
      <c r="E141" s="94">
        <f>(F21+E121)-(SUM(E123:E132)+SUM(E134:E140))</f>
        <v>111.999999999998</v>
      </c>
      <c r="F141" s="14"/>
      <c r="G141" s="14"/>
      <c r="H141" s="14"/>
      <c r="I141" s="50"/>
    </row>
    <row r="142" ht="24.75" customHeight="1" spans="1:9">
      <c r="A142" s="14"/>
      <c r="B142" s="14"/>
      <c r="C142" s="14"/>
      <c r="D142" s="14"/>
      <c r="E142" s="14"/>
      <c r="F142" s="14"/>
      <c r="G142" s="14"/>
      <c r="H142" s="14"/>
      <c r="I142" s="50"/>
    </row>
    <row r="143" ht="24.75" customHeight="1" spans="1:9">
      <c r="A143" s="14"/>
      <c r="B143" s="14"/>
      <c r="C143" s="14"/>
      <c r="D143" s="14"/>
      <c r="E143" s="14"/>
      <c r="F143" s="14"/>
      <c r="G143" s="14"/>
      <c r="H143" s="14"/>
      <c r="I143" s="50"/>
    </row>
    <row r="144" ht="24.75" customHeight="1" spans="1:9">
      <c r="A144" s="14"/>
      <c r="B144" s="14"/>
      <c r="C144" s="14"/>
      <c r="D144" s="14"/>
      <c r="E144" s="14"/>
      <c r="F144" s="14"/>
      <c r="G144" s="14"/>
      <c r="H144" s="14"/>
      <c r="I144" s="50"/>
    </row>
    <row r="145" ht="24.75" customHeight="1" spans="1:9">
      <c r="A145" s="14"/>
      <c r="B145" s="14"/>
      <c r="C145" s="14"/>
      <c r="D145" s="14"/>
      <c r="E145" s="14"/>
      <c r="F145" s="14"/>
      <c r="G145" s="14"/>
      <c r="H145" s="14"/>
      <c r="I145" s="50"/>
    </row>
    <row r="146" ht="24.75" customHeight="1" spans="1:9">
      <c r="A146" s="53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20 2025 to March 19 2025</v>
      </c>
      <c r="B146" s="54"/>
      <c r="C146" s="54"/>
      <c r="D146" s="54"/>
      <c r="E146" s="55"/>
      <c r="F146" s="14"/>
      <c r="G146" s="14"/>
      <c r="H146" s="14"/>
      <c r="I146" s="50"/>
    </row>
    <row r="147" ht="24.75" customHeight="1" spans="1:9">
      <c r="A147" s="53" t="s">
        <v>110</v>
      </c>
      <c r="B147" s="55"/>
      <c r="C147" s="83" t="s">
        <v>49</v>
      </c>
      <c r="D147" s="84"/>
      <c r="E147" s="95" t="s">
        <v>50</v>
      </c>
      <c r="F147" s="14"/>
      <c r="G147" s="14"/>
      <c r="H147" s="14"/>
      <c r="I147" s="50"/>
    </row>
    <row r="148" ht="24.75" customHeight="1" spans="1:9">
      <c r="A148" s="56" t="str">
        <f>"Balance Brought Forward From "&amp;IF(Main!B2,TEXT(EDATE(Main!B3,10)-1,"mmmm yyyy"),TEXT(Main!B3+((Main!B5-Main!B3)*10+9),"mmmm yyyy"))</f>
        <v>Balance Brought Forward From February 2025</v>
      </c>
      <c r="B148" s="57"/>
      <c r="C148" s="58"/>
      <c r="D148" s="58"/>
      <c r="E148" s="94">
        <f>E141</f>
        <v>111.999999999998</v>
      </c>
      <c r="F148" s="14"/>
      <c r="G148" s="14"/>
      <c r="H148" s="14"/>
      <c r="I148" s="50"/>
    </row>
    <row r="149" ht="24.75" customHeight="1" spans="1:9">
      <c r="A149" s="85" t="s">
        <v>92</v>
      </c>
      <c r="B149" s="86"/>
      <c r="C149" s="87" t="s">
        <v>111</v>
      </c>
      <c r="D149" s="88"/>
      <c r="E149" s="96"/>
      <c r="F149" s="14"/>
      <c r="G149" s="14"/>
      <c r="H149" s="14"/>
      <c r="I149" s="50"/>
    </row>
    <row r="150" ht="24.75" customHeight="1" spans="1:9">
      <c r="A150" s="89"/>
      <c r="B150" s="90"/>
      <c r="C150" s="102" t="s">
        <v>303</v>
      </c>
      <c r="D150" s="102"/>
      <c r="E150" s="110">
        <v>500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5"/>
      <c r="D155" s="66"/>
      <c r="E155" s="37">
        <v>0</v>
      </c>
      <c r="F155" s="14"/>
      <c r="G155" s="14"/>
      <c r="H155" s="14"/>
      <c r="I155" s="50"/>
    </row>
    <row r="156" ht="24.75" customHeight="1" spans="1:9">
      <c r="A156" s="89"/>
      <c r="B156" s="90"/>
      <c r="C156" s="65"/>
      <c r="D156" s="66"/>
      <c r="E156" s="37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37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37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37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7" t="s">
        <v>112</v>
      </c>
      <c r="D160" s="62"/>
      <c r="E160" s="72"/>
      <c r="F160" s="14"/>
      <c r="G160" s="14"/>
      <c r="H160" s="14"/>
      <c r="I160" s="50"/>
    </row>
    <row r="161" ht="78" customHeight="1" spans="1:9">
      <c r="A161" s="89"/>
      <c r="B161" s="90"/>
      <c r="C161" s="102" t="s">
        <v>304</v>
      </c>
      <c r="D161" s="102"/>
      <c r="E161" s="110">
        <v>777.5</v>
      </c>
      <c r="F161" s="14"/>
      <c r="G161" s="14"/>
      <c r="H161" s="14"/>
      <c r="I161" s="50"/>
    </row>
    <row r="162" ht="328" customHeight="1" spans="1:9">
      <c r="A162" s="89"/>
      <c r="B162" s="90"/>
      <c r="C162" s="102" t="s">
        <v>305</v>
      </c>
      <c r="D162" s="102"/>
      <c r="E162" s="110">
        <v>527.3</v>
      </c>
      <c r="F162" s="14"/>
      <c r="G162" s="14"/>
      <c r="H162" s="14"/>
      <c r="I162" s="50"/>
    </row>
    <row r="163" ht="62" customHeight="1" spans="1:9">
      <c r="A163" s="89"/>
      <c r="B163" s="90"/>
      <c r="C163" s="73" t="s">
        <v>306</v>
      </c>
      <c r="D163" s="66"/>
      <c r="E163" s="93">
        <v>850</v>
      </c>
      <c r="F163" s="14"/>
      <c r="G163" s="14"/>
      <c r="H163" s="14"/>
      <c r="I163" s="50"/>
    </row>
    <row r="164" ht="24.75" customHeight="1" spans="1:9">
      <c r="A164" s="89"/>
      <c r="B164" s="90"/>
      <c r="C164" s="65"/>
      <c r="D164" s="66"/>
      <c r="E164" s="93">
        <v>0</v>
      </c>
      <c r="F164" s="14"/>
      <c r="G164" s="14"/>
      <c r="H164" s="14"/>
      <c r="I164" s="50"/>
    </row>
    <row r="165" ht="24.75" customHeight="1" spans="1:9">
      <c r="A165" s="89"/>
      <c r="B165" s="90"/>
      <c r="C165" s="65"/>
      <c r="D165" s="66"/>
      <c r="E165" s="93">
        <v>0</v>
      </c>
      <c r="F165" s="14"/>
      <c r="G165" s="14"/>
      <c r="H165" s="14"/>
      <c r="I165" s="50"/>
    </row>
    <row r="166" ht="24.75" customHeight="1" spans="1:9">
      <c r="A166" s="91"/>
      <c r="B166" s="92"/>
      <c r="C166" s="65"/>
      <c r="D166" s="66"/>
      <c r="E166" s="93">
        <v>0</v>
      </c>
      <c r="F166" s="14"/>
      <c r="G166" s="14"/>
      <c r="H166" s="14"/>
      <c r="I166" s="50"/>
    </row>
    <row r="167" ht="24.75" customHeight="1" spans="1:9">
      <c r="A167" s="56" t="s">
        <v>113</v>
      </c>
      <c r="B167" s="77"/>
      <c r="C167" s="78"/>
      <c r="D167" s="79"/>
      <c r="E167" s="93">
        <f>C101</f>
        <v>397</v>
      </c>
      <c r="F167" s="14"/>
      <c r="G167" s="14"/>
      <c r="H167" s="14"/>
      <c r="I167" s="50"/>
    </row>
    <row r="168" ht="24.75" customHeight="1" spans="1:9">
      <c r="A168" s="80"/>
      <c r="B168" s="81"/>
      <c r="C168" s="82" t="s">
        <v>114</v>
      </c>
      <c r="D168" s="82"/>
      <c r="E168" s="97">
        <f>(F33+E148)-(SUM(E150:E159)+SUM(E161:E167))</f>
        <v>361.199999999998</v>
      </c>
      <c r="F168" s="14"/>
      <c r="G168" s="14"/>
      <c r="H168" s="14"/>
      <c r="I168" s="50"/>
    </row>
    <row r="169" ht="24.75" customHeight="1" spans="1:9">
      <c r="A169" s="14"/>
      <c r="B169" s="14"/>
      <c r="C169" s="14"/>
      <c r="D169" s="14"/>
      <c r="E169" s="14"/>
      <c r="F169" s="14"/>
      <c r="G169" s="14"/>
      <c r="H169" s="14"/>
      <c r="I169" s="50"/>
    </row>
    <row r="170" ht="24.75" customHeight="1" spans="1:9">
      <c r="A170" s="14"/>
      <c r="B170" s="14"/>
      <c r="C170" s="14"/>
      <c r="D170" s="14"/>
      <c r="E170" s="14"/>
      <c r="F170" s="14"/>
      <c r="G170" s="14"/>
      <c r="H170" s="14"/>
      <c r="I170" s="50"/>
    </row>
    <row r="171" ht="24.75" customHeight="1" spans="1:9">
      <c r="A171" s="14"/>
      <c r="B171" s="14"/>
      <c r="C171" s="14"/>
      <c r="D171" s="14"/>
      <c r="E171" s="14"/>
      <c r="F171" s="14"/>
      <c r="G171" s="14"/>
      <c r="H171" s="14"/>
      <c r="I171" s="50"/>
    </row>
    <row r="172" ht="24.75" customHeight="1" spans="1:9">
      <c r="A172" s="14"/>
      <c r="B172" s="14"/>
      <c r="C172" s="14"/>
      <c r="D172" s="14"/>
      <c r="E172" s="14"/>
      <c r="F172" s="14"/>
      <c r="G172" s="14"/>
      <c r="H172" s="14"/>
      <c r="I172" s="50"/>
    </row>
    <row r="173" ht="24.75" customHeight="1" spans="1:9">
      <c r="A173" s="53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20 2025 to April 19 2025</v>
      </c>
      <c r="B173" s="54"/>
      <c r="C173" s="54"/>
      <c r="D173" s="54"/>
      <c r="E173" s="55"/>
      <c r="F173" s="14"/>
      <c r="G173" s="14"/>
      <c r="H173" s="14"/>
      <c r="I173" s="50"/>
    </row>
    <row r="174" ht="24.75" customHeight="1" spans="1:9">
      <c r="A174" s="53" t="s">
        <v>110</v>
      </c>
      <c r="B174" s="55"/>
      <c r="C174" s="83" t="s">
        <v>49</v>
      </c>
      <c r="D174" s="84"/>
      <c r="E174" s="95" t="s">
        <v>50</v>
      </c>
      <c r="F174" s="14"/>
      <c r="G174" s="14"/>
      <c r="H174" s="14"/>
      <c r="I174" s="50"/>
    </row>
    <row r="175" ht="24.75" customHeight="1" spans="1:9">
      <c r="A175" s="56" t="str">
        <f>"Balance Brought Forward From "&amp;IF(Main!B2,TEXT(EDATE(Main!B3,11)-1,"mmmm yyyy"),TEXT(Main!B3+((Main!B5-Main!B3)*11+10),"mmmm yyyy"))</f>
        <v>Balance Brought Forward From March 2025</v>
      </c>
      <c r="B175" s="57"/>
      <c r="C175" s="58"/>
      <c r="D175" s="58"/>
      <c r="E175" s="97">
        <f>E168</f>
        <v>361.199999999998</v>
      </c>
      <c r="F175" s="14"/>
      <c r="G175" s="14"/>
      <c r="H175" s="14"/>
      <c r="I175" s="50"/>
    </row>
    <row r="176" ht="24.75" customHeight="1" spans="1:9">
      <c r="A176" s="85" t="s">
        <v>92</v>
      </c>
      <c r="B176" s="86"/>
      <c r="C176" s="87" t="s">
        <v>111</v>
      </c>
      <c r="D176" s="88"/>
      <c r="E176" s="96"/>
      <c r="F176" s="14"/>
      <c r="G176" s="14"/>
      <c r="H176" s="14"/>
      <c r="I176" s="50"/>
    </row>
    <row r="177" ht="24.75" customHeight="1" spans="1:9">
      <c r="A177" s="89"/>
      <c r="B177" s="90"/>
      <c r="C177" s="128" t="s">
        <v>303</v>
      </c>
      <c r="D177" s="128"/>
      <c r="E177" s="110">
        <v>500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 t="s">
        <v>307</v>
      </c>
      <c r="D179" s="66"/>
      <c r="E179" s="37">
        <v>800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5"/>
      <c r="D182" s="66"/>
      <c r="E182" s="37">
        <v>0</v>
      </c>
      <c r="F182" s="14"/>
      <c r="G182" s="14"/>
      <c r="H182" s="14"/>
      <c r="I182" s="50"/>
    </row>
    <row r="183" ht="24.75" customHeight="1" spans="1:9">
      <c r="A183" s="89"/>
      <c r="B183" s="90"/>
      <c r="C183" s="65"/>
      <c r="D183" s="66"/>
      <c r="E183" s="37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37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37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37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7" t="s">
        <v>112</v>
      </c>
      <c r="D187" s="62"/>
      <c r="E187" s="72"/>
      <c r="F187" s="14"/>
      <c r="G187" s="14"/>
      <c r="H187" s="14"/>
      <c r="I187" s="50"/>
    </row>
    <row r="188" ht="41.25" customHeight="1" spans="1:9">
      <c r="A188" s="89"/>
      <c r="B188" s="90"/>
      <c r="C188" s="102" t="s">
        <v>308</v>
      </c>
      <c r="D188" s="102"/>
      <c r="E188" s="37">
        <v>0</v>
      </c>
      <c r="F188" s="14"/>
      <c r="G188" s="14"/>
      <c r="H188" s="14"/>
      <c r="I188" s="50"/>
    </row>
    <row r="189" ht="158" customHeight="1" spans="1:9">
      <c r="A189" s="89"/>
      <c r="B189" s="90"/>
      <c r="C189" s="102" t="s">
        <v>309</v>
      </c>
      <c r="D189" s="102"/>
      <c r="E189" s="110">
        <v>374</v>
      </c>
      <c r="F189" s="14"/>
      <c r="G189" s="14"/>
      <c r="H189" s="14"/>
      <c r="I189" s="50"/>
    </row>
    <row r="190" ht="24.75" customHeight="1" spans="1:9">
      <c r="A190" s="89"/>
      <c r="B190" s="90"/>
      <c r="C190" s="65"/>
      <c r="D190" s="66"/>
      <c r="E190" s="93">
        <v>0</v>
      </c>
      <c r="F190" s="14"/>
      <c r="G190" s="14"/>
      <c r="H190" s="14"/>
      <c r="I190" s="50"/>
    </row>
    <row r="191" spans="1:9">
      <c r="A191" s="89"/>
      <c r="B191" s="90"/>
      <c r="C191" s="65"/>
      <c r="D191" s="66"/>
      <c r="E191" s="93">
        <v>0</v>
      </c>
      <c r="F191" s="14"/>
      <c r="G191" s="14"/>
      <c r="H191" s="14"/>
      <c r="I191" s="50"/>
    </row>
    <row r="192" ht="24.75" customHeight="1" spans="1:9">
      <c r="A192" s="89"/>
      <c r="B192" s="90"/>
      <c r="C192" s="65"/>
      <c r="D192" s="66"/>
      <c r="E192" s="93">
        <v>0</v>
      </c>
      <c r="F192" s="14"/>
      <c r="G192" s="14"/>
      <c r="H192" s="14"/>
      <c r="I192" s="50"/>
    </row>
    <row r="193" ht="24.75" customHeight="1" spans="1:9">
      <c r="A193" s="91"/>
      <c r="B193" s="92"/>
      <c r="C193" s="65"/>
      <c r="D193" s="66"/>
      <c r="E193" s="93">
        <v>0</v>
      </c>
      <c r="F193" s="14"/>
      <c r="G193" s="14"/>
      <c r="H193" s="14"/>
      <c r="I193" s="50"/>
    </row>
    <row r="194" ht="24.75" customHeight="1" spans="1:9">
      <c r="A194" s="56" t="s">
        <v>113</v>
      </c>
      <c r="B194" s="77"/>
      <c r="C194" s="78"/>
      <c r="D194" s="79"/>
      <c r="E194" s="93">
        <f>C101</f>
        <v>397</v>
      </c>
      <c r="F194" s="14"/>
      <c r="G194" s="14"/>
      <c r="H194" s="14"/>
      <c r="I194" s="50"/>
    </row>
    <row r="195" ht="24.75" customHeight="1" spans="1:9">
      <c r="A195" s="80"/>
      <c r="B195" s="81"/>
      <c r="C195" s="82" t="s">
        <v>114</v>
      </c>
      <c r="D195" s="82"/>
      <c r="E195" s="97">
        <f>(F45+E175)-(SUM(E177:E186)+SUM(E188:E194))</f>
        <v>775.199999999998</v>
      </c>
      <c r="F195" s="14"/>
      <c r="G195" s="14"/>
      <c r="H195" s="14"/>
      <c r="I195" s="50"/>
    </row>
    <row r="196" ht="24.75" customHeight="1" spans="1:9">
      <c r="A196" s="14"/>
      <c r="B196" s="14"/>
      <c r="C196" s="14"/>
      <c r="D196" s="14"/>
      <c r="E196" s="14"/>
      <c r="F196" s="14"/>
      <c r="G196" s="14"/>
      <c r="H196" s="14"/>
      <c r="I196" s="50"/>
    </row>
    <row r="197" ht="24.75" customHeight="1" spans="1:9">
      <c r="A197" s="43"/>
      <c r="B197" s="43"/>
      <c r="C197" s="43"/>
      <c r="D197" s="43"/>
      <c r="E197" s="43"/>
      <c r="F197" s="43"/>
      <c r="G197" s="43"/>
      <c r="H197" s="43"/>
      <c r="I197" s="43"/>
    </row>
    <row r="198" spans="1:9">
      <c r="A198" s="43"/>
      <c r="B198" s="43"/>
      <c r="C198" s="43"/>
      <c r="D198" s="43"/>
      <c r="E198" s="43"/>
      <c r="F198" s="43"/>
      <c r="G198" s="43"/>
      <c r="H198" s="43"/>
      <c r="I198" s="43"/>
    </row>
  </sheetData>
  <mergeCells count="18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21:C21"/>
    <mergeCell ref="D21:E21"/>
    <mergeCell ref="F21:G21"/>
    <mergeCell ref="A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  <mergeCell ref="A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A49:C49"/>
    <mergeCell ref="A51:C51"/>
    <mergeCell ref="A61:C61"/>
    <mergeCell ref="A72:C72"/>
    <mergeCell ref="A81:C81"/>
    <mergeCell ref="A91:C91"/>
    <mergeCell ref="A102:C102"/>
    <mergeCell ref="A119:E119"/>
    <mergeCell ref="A120:B120"/>
    <mergeCell ref="C120:D120"/>
    <mergeCell ref="A121:B121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A140:B140"/>
    <mergeCell ref="C140:D140"/>
    <mergeCell ref="A141:B141"/>
    <mergeCell ref="C141:D141"/>
    <mergeCell ref="A146:E146"/>
    <mergeCell ref="A147:B147"/>
    <mergeCell ref="C147:D147"/>
    <mergeCell ref="A148:B148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A167:B167"/>
    <mergeCell ref="C167:D167"/>
    <mergeCell ref="A168:B168"/>
    <mergeCell ref="C168:D168"/>
    <mergeCell ref="A173:E173"/>
    <mergeCell ref="A174:B174"/>
    <mergeCell ref="C174:D174"/>
    <mergeCell ref="A175:B175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A194:B194"/>
    <mergeCell ref="C194:D194"/>
    <mergeCell ref="A195:B195"/>
    <mergeCell ref="C195:D195"/>
    <mergeCell ref="A2:A3"/>
    <mergeCell ref="A176:B193"/>
    <mergeCell ref="A149:B166"/>
    <mergeCell ref="A122:B139"/>
  </mergeCells>
  <conditionalFormatting sqref="C5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2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5">
    <cfRule type="cellIs" dxfId="6" priority="19" operator="equal">
      <formula>0</formula>
    </cfRule>
  </conditionalFormatting>
  <conditionalFormatting sqref="E121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23">
    <cfRule type="cellIs" dxfId="4" priority="17" operator="equal">
      <formula>0</formula>
    </cfRule>
  </conditionalFormatting>
  <conditionalFormatting sqref="E125">
    <cfRule type="cellIs" dxfId="4" priority="15" operator="equal">
      <formula>0</formula>
    </cfRule>
  </conditionalFormatting>
  <conditionalFormatting sqref="E134">
    <cfRule type="cellIs" dxfId="4" priority="16" operator="equal">
      <formula>0</formula>
    </cfRule>
  </conditionalFormatting>
  <conditionalFormatting sqref="E135">
    <cfRule type="cellIs" dxfId="4" priority="13" operator="equal">
      <formula>0</formula>
    </cfRule>
    <cfRule type="cellIs" dxfId="6" priority="14" operator="equal">
      <formula>0</formula>
    </cfRule>
  </conditionalFormatting>
  <conditionalFormatting sqref="E136">
    <cfRule type="cellIs" dxfId="4" priority="11" operator="equal">
      <formula>0</formula>
    </cfRule>
    <cfRule type="cellIs" dxfId="6" priority="12" operator="equal">
      <formula>0</formula>
    </cfRule>
  </conditionalFormatting>
  <conditionalFormatting sqref="E141">
    <cfRule type="cellIs" dxfId="2" priority="53" operator="greaterThanOrEqual">
      <formula>0</formula>
    </cfRule>
    <cfRule type="cellIs" dxfId="3" priority="52" operator="lessThan">
      <formula>0</formula>
    </cfRule>
  </conditionalFormatting>
  <conditionalFormatting sqref="E148">
    <cfRule type="cellIs" dxfId="2" priority="40" operator="greaterThanOrEqual">
      <formula>0</formula>
    </cfRule>
    <cfRule type="cellIs" dxfId="3" priority="39" operator="lessThan">
      <formula>0</formula>
    </cfRule>
  </conditionalFormatting>
  <conditionalFormatting sqref="E150">
    <cfRule type="cellIs" dxfId="4" priority="9" operator="equal">
      <formula>0</formula>
    </cfRule>
  </conditionalFormatting>
  <conditionalFormatting sqref="E161">
    <cfRule type="cellIs" dxfId="4" priority="10" operator="equal">
      <formula>0</formula>
    </cfRule>
  </conditionalFormatting>
  <conditionalFormatting sqref="E162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68">
    <cfRule type="cellIs" dxfId="2" priority="42" operator="greaterThanOrEqual">
      <formula>0</formula>
    </cfRule>
    <cfRule type="cellIs" dxfId="3" priority="41" operator="lessThan">
      <formula>0</formula>
    </cfRule>
  </conditionalFormatting>
  <conditionalFormatting sqref="E175">
    <cfRule type="cellIs" dxfId="2" priority="34" operator="greaterThanOrEqual">
      <formula>0</formula>
    </cfRule>
    <cfRule type="cellIs" dxfId="3" priority="33" operator="lessThan">
      <formula>0</formula>
    </cfRule>
  </conditionalFormatting>
  <conditionalFormatting sqref="E177">
    <cfRule type="cellIs" dxfId="4" priority="6" operator="equal">
      <formula>0</formula>
    </cfRule>
  </conditionalFormatting>
  <conditionalFormatting sqref="E188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9">
    <cfRule type="cellIs" dxfId="6" priority="4" operator="equal">
      <formula>0</formula>
    </cfRule>
    <cfRule type="cellIs" dxfId="4" priority="3" operator="equal">
      <formula>0</formula>
    </cfRule>
  </conditionalFormatting>
  <conditionalFormatting sqref="E195">
    <cfRule type="cellIs" dxfId="2" priority="36" operator="greaterThanOrEqual">
      <formula>0</formula>
    </cfRule>
    <cfRule type="cellIs" dxfId="3" priority="35" operator="lessThan">
      <formula>0</formula>
    </cfRule>
  </conditionalFormatting>
  <conditionalFormatting sqref="C52:C54">
    <cfRule type="cellIs" dxfId="4" priority="20" operator="equal">
      <formula>0</formula>
    </cfRule>
  </conditionalFormatting>
  <conditionalFormatting sqref="C62:C71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73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5:C7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85:C89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92:C95">
    <cfRule type="cellIs" dxfId="4" priority="18" operator="equal">
      <formula>0</formula>
    </cfRule>
  </conditionalFormatting>
  <conditionalFormatting sqref="C96:C9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103:C112">
    <cfRule type="cellIs" dxfId="1" priority="30" operator="lessThan">
      <formula>0</formula>
    </cfRule>
    <cfRule type="cellIs" dxfId="5" priority="29" operator="greaterThanOrEqual">
      <formula>0</formula>
    </cfRule>
  </conditionalFormatting>
  <conditionalFormatting sqref="C113:C11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51:E159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E178:E186">
    <cfRule type="cellIs" dxfId="0" priority="24" operator="equal">
      <formula>0</formula>
    </cfRule>
    <cfRule type="cellIs" dxfId="1" priority="23" operator="greaterThan">
      <formula>0</formula>
    </cfRule>
  </conditionalFormatting>
  <conditionalFormatting sqref="C55:C60 C90 C83:C84 C100:C101">
    <cfRule type="cellIs" dxfId="0" priority="67" operator="equal">
      <formula>0</formula>
    </cfRule>
  </conditionalFormatting>
  <conditionalFormatting sqref="C55:C60 C90 C83:C84 C100:C101 E149 E160 E163:E167">
    <cfRule type="cellIs" dxfId="1" priority="66" operator="greaterThan">
      <formula>0</formula>
    </cfRule>
  </conditionalFormatting>
  <conditionalFormatting sqref="E122 E133 E137:E140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E124 E126:E132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E149 E160 E163:E167">
    <cfRule type="cellIs" dxfId="5" priority="43" operator="equal">
      <formula>0</formula>
    </cfRule>
  </conditionalFormatting>
  <conditionalFormatting sqref="E176 E187 E190:E194">
    <cfRule type="cellIs" dxfId="5" priority="38" operator="equal">
      <formula>0</formula>
    </cfRule>
    <cfRule type="cellIs" dxfId="1" priority="37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2" sqref="C2:G2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2025 to July 2025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12.9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1108.5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1121.4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-3083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16" t="s">
        <v>48</v>
      </c>
      <c r="C9" s="116"/>
      <c r="D9" s="117" t="s">
        <v>49</v>
      </c>
      <c r="E9" s="117"/>
      <c r="F9" s="117" t="s">
        <v>50</v>
      </c>
      <c r="G9" s="117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/>
      <c r="B11" s="99" t="s">
        <v>287</v>
      </c>
      <c r="C11" s="99"/>
      <c r="D11" s="100" t="s">
        <v>288</v>
      </c>
      <c r="E11" s="100"/>
      <c r="F11" s="7">
        <v>0</v>
      </c>
      <c r="G11" s="7"/>
      <c r="H11" s="14"/>
      <c r="I11" s="50"/>
    </row>
    <row r="12" ht="24.75" customHeight="1" spans="1:9">
      <c r="A12" s="98" t="s">
        <v>310</v>
      </c>
      <c r="B12" s="99" t="s">
        <v>66</v>
      </c>
      <c r="C12" s="99"/>
      <c r="D12" s="100" t="s">
        <v>153</v>
      </c>
      <c r="E12" s="100"/>
      <c r="F12" s="7">
        <v>0</v>
      </c>
      <c r="G12" s="7"/>
      <c r="H12" s="14"/>
      <c r="I12" s="50"/>
    </row>
    <row r="13" ht="24.75" customHeight="1" spans="1:9">
      <c r="A13" s="98"/>
      <c r="B13" s="99" t="s">
        <v>311</v>
      </c>
      <c r="C13" s="99"/>
      <c r="D13" s="100" t="s">
        <v>312</v>
      </c>
      <c r="E13" s="100"/>
      <c r="F13" s="7">
        <v>0</v>
      </c>
      <c r="G13" s="7"/>
      <c r="H13" s="14"/>
      <c r="I13" s="50"/>
    </row>
    <row r="14" ht="24.75" customHeight="1" spans="1:9">
      <c r="A14" s="19"/>
      <c r="B14" s="112"/>
      <c r="C14" s="113"/>
      <c r="D14" s="118"/>
      <c r="E14" s="122"/>
      <c r="F14" s="114">
        <v>0</v>
      </c>
      <c r="G14" s="11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16" t="s">
        <v>48</v>
      </c>
      <c r="C21" s="116"/>
      <c r="D21" s="117" t="s">
        <v>49</v>
      </c>
      <c r="E21" s="117"/>
      <c r="F21" s="117" t="s">
        <v>50</v>
      </c>
      <c r="G21" s="117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313</v>
      </c>
      <c r="B23" s="99" t="s">
        <v>66</v>
      </c>
      <c r="C23" s="99"/>
      <c r="D23" s="100" t="s">
        <v>153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129" t="s">
        <v>52</v>
      </c>
      <c r="C24" s="129"/>
      <c r="D24" s="130" t="s">
        <v>314</v>
      </c>
      <c r="E24" s="130"/>
      <c r="F24" s="131">
        <v>1035</v>
      </c>
      <c r="G24" s="131"/>
      <c r="H24" s="14"/>
      <c r="I24" s="50"/>
    </row>
    <row r="25" ht="24.75" customHeight="1" spans="1:9">
      <c r="A25" s="19"/>
      <c r="B25" s="112"/>
      <c r="C25" s="113"/>
      <c r="D25" s="118"/>
      <c r="E25" s="122"/>
      <c r="F25" s="114">
        <v>0</v>
      </c>
      <c r="G25" s="11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3470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315</v>
      </c>
      <c r="B35" s="99" t="s">
        <v>66</v>
      </c>
      <c r="C35" s="99"/>
      <c r="D35" s="100" t="s">
        <v>153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287</v>
      </c>
      <c r="C36" s="99"/>
      <c r="D36" s="100" t="s">
        <v>288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1"/>
      <c r="E37" s="22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2025 to July 2025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37.5" customHeight="1" spans="1:9">
      <c r="A47" s="101" t="s">
        <v>195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33.75" customHeight="1" spans="1:9">
      <c r="A48" s="101" t="s">
        <v>289</v>
      </c>
      <c r="B48" s="102" t="s">
        <v>296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245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297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287</v>
      </c>
      <c r="B90" s="104" t="s">
        <v>298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>('January 2025 - March 2025'!C103)+SUM(E118+E145+E172)</f>
        <v>-3083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>('January 2025 - March 2025'!C104)+SUM(E119+E146+E173)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>('January 2025 - March 2025'!C105)+SUM(E120+E147+E174)</f>
        <v>0</v>
      </c>
      <c r="D100" s="14"/>
      <c r="E100" s="14"/>
      <c r="F100" s="14"/>
      <c r="G100" s="14"/>
      <c r="H100" s="14"/>
      <c r="I100" s="50"/>
    </row>
    <row r="101" ht="33" customHeight="1" spans="1:9">
      <c r="A101" s="101" t="s">
        <v>106</v>
      </c>
      <c r="B101" s="36"/>
      <c r="C101" s="37">
        <f>('January 2025 - March 2025'!C106)+SUM(E121+E148+E175)</f>
        <v>0</v>
      </c>
      <c r="D101" s="14"/>
      <c r="E101" s="14"/>
      <c r="F101" s="14"/>
      <c r="G101" s="14"/>
      <c r="H101" s="14"/>
      <c r="I101" s="50"/>
    </row>
    <row r="102" ht="33.75" customHeight="1" spans="1:9">
      <c r="A102" s="101" t="s">
        <v>107</v>
      </c>
      <c r="B102" s="36"/>
      <c r="C102" s="37">
        <f>('January 2025 - March 2025'!C107)+SUM(E122+E149+E176)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('January 2025 - March 2025'!C108)+SUM(E123+E150+E177)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('January 2025 - March 2025'!C109)+SUM(E124+E151+E178)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('January 2025 - March 2025'!C110)+SUM(E125+E152+E179)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('January 2025 - March 2025'!C111)+SUM(E126+E153+E180)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('January 2025 - March 2025'!C112)+SUM(E127+E154+E181)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-3083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3430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20 2025 to May 19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"&amp;IF(Main!B2,TEXT(EDATE(Main!B3,12)-1,"mmmm yyyy"),TEXT(Main!B3+((Main!B5-Main!B3)*12+11),"mmmm yyyy"))</f>
        <v>Balance Brought Forward From April 2025</v>
      </c>
      <c r="B116" s="57"/>
      <c r="C116" s="58"/>
      <c r="D116" s="58"/>
      <c r="E116" s="71">
        <f>'January 2025 - March 2025'!E195</f>
        <v>775.199999999998</v>
      </c>
      <c r="F116" s="14"/>
      <c r="G116" s="14"/>
      <c r="H116" s="14"/>
      <c r="I116" s="50"/>
    </row>
    <row r="117" ht="24.75" customHeight="1" spans="1:9">
      <c r="A117" s="85" t="s">
        <v>92</v>
      </c>
      <c r="B117" s="123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89"/>
      <c r="B118" s="124"/>
      <c r="C118" s="128" t="s">
        <v>316</v>
      </c>
      <c r="D118" s="128"/>
      <c r="E118" s="103">
        <v>700</v>
      </c>
      <c r="F118" s="14"/>
      <c r="G118" s="14"/>
      <c r="H118" s="14"/>
      <c r="I118" s="50"/>
    </row>
    <row r="119" ht="24.75" customHeight="1" spans="1:9">
      <c r="A119" s="89"/>
      <c r="B119" s="12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89"/>
      <c r="B120" s="12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89"/>
      <c r="B121" s="12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89"/>
      <c r="B122" s="12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89"/>
      <c r="B123" s="12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89"/>
      <c r="B124" s="12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89"/>
      <c r="B126" s="12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4"/>
      <c r="C128" s="67" t="s">
        <v>112</v>
      </c>
      <c r="D128" s="62"/>
      <c r="E128" s="72"/>
      <c r="F128" s="14"/>
      <c r="G128" s="14"/>
      <c r="H128" s="14"/>
      <c r="I128" s="50"/>
    </row>
    <row r="129" ht="63" customHeight="1" spans="1:9">
      <c r="A129" s="89"/>
      <c r="B129" s="124"/>
      <c r="C129" s="102" t="s">
        <v>317</v>
      </c>
      <c r="D129" s="128"/>
      <c r="E129" s="103">
        <v>925</v>
      </c>
      <c r="F129" s="14"/>
      <c r="G129" s="14"/>
      <c r="H129" s="14"/>
      <c r="I129" s="50"/>
    </row>
    <row r="130" ht="166" customHeight="1" spans="1:9">
      <c r="A130" s="89"/>
      <c r="B130" s="124"/>
      <c r="C130" s="132" t="s">
        <v>309</v>
      </c>
      <c r="D130" s="133"/>
      <c r="E130" s="103">
        <v>374</v>
      </c>
      <c r="F130" s="14"/>
      <c r="G130" s="14"/>
      <c r="H130" s="14"/>
      <c r="I130" s="50"/>
    </row>
    <row r="131" ht="24.75" customHeight="1" spans="1:9">
      <c r="A131" s="89"/>
      <c r="B131" s="12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89"/>
      <c r="B132" s="12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89"/>
      <c r="B133" s="12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91"/>
      <c r="B134" s="125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864.199999999998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20 2025 to June 19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"&amp;IF(Main!B2,TEXT(EDATE(Main!B3,13)-1,"mmmm yyyy"),TEXT(Main!B3+((Main!B5-Main!B3)*13+12),"mmmm yyyy"))</f>
        <v>Balance Brought Forward From May 2025</v>
      </c>
      <c r="B143" s="57"/>
      <c r="C143" s="58"/>
      <c r="D143" s="58"/>
      <c r="E143" s="94">
        <f>E136</f>
        <v>864.199999999998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128" t="s">
        <v>318</v>
      </c>
      <c r="D145" s="128"/>
      <c r="E145" s="103">
        <v>2600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94.5" customHeight="1" spans="1:9">
      <c r="A156" s="89"/>
      <c r="B156" s="90"/>
      <c r="C156" s="102" t="s">
        <v>319</v>
      </c>
      <c r="D156" s="102"/>
      <c r="E156" s="103">
        <v>69</v>
      </c>
      <c r="F156" s="14"/>
      <c r="G156" s="14"/>
      <c r="H156" s="14"/>
      <c r="I156" s="50"/>
    </row>
    <row r="157" ht="150" customHeight="1" spans="1:9">
      <c r="A157" s="89"/>
      <c r="B157" s="90"/>
      <c r="C157" s="102" t="s">
        <v>309</v>
      </c>
      <c r="D157" s="102"/>
      <c r="E157" s="103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944.199999999998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20 2025 to July 19 2025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"&amp;IF(Main!B2,TEXT(EDATE(Main!B3,14)-1,"mmmm yyyy"),TEXT(Main!B3+((Main!B5-Main!B3)*14+13),"mmmm yyyy"))</f>
        <v>Balance Brought Forward From June 2025</v>
      </c>
      <c r="B170" s="57"/>
      <c r="C170" s="58"/>
      <c r="D170" s="58"/>
      <c r="E170" s="134">
        <f>E163</f>
        <v>944.199999999998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135"/>
      <c r="F171" s="14"/>
      <c r="G171" s="14"/>
      <c r="H171" s="14"/>
      <c r="I171" s="50"/>
    </row>
    <row r="172" ht="24.75" customHeight="1" spans="1:9">
      <c r="A172" s="89"/>
      <c r="B172" s="90"/>
      <c r="C172" s="128" t="s">
        <v>320</v>
      </c>
      <c r="D172" s="128"/>
      <c r="E172" s="103">
        <v>600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136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136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136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136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136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136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136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136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136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137"/>
      <c r="F182" s="14"/>
      <c r="G182" s="14"/>
      <c r="H182" s="14"/>
      <c r="I182" s="50"/>
    </row>
    <row r="183" ht="63.75" customHeight="1" spans="1:9">
      <c r="A183" s="89"/>
      <c r="B183" s="90"/>
      <c r="C183" s="102" t="s">
        <v>317</v>
      </c>
      <c r="D183" s="102"/>
      <c r="E183" s="103">
        <v>925</v>
      </c>
      <c r="F183" s="14"/>
      <c r="G183" s="14"/>
      <c r="H183" s="14"/>
      <c r="I183" s="50"/>
    </row>
    <row r="184" ht="113.25" customHeight="1" spans="1:9">
      <c r="A184" s="89"/>
      <c r="B184" s="90"/>
      <c r="C184" s="102" t="s">
        <v>321</v>
      </c>
      <c r="D184" s="102"/>
      <c r="E184" s="103">
        <v>398.7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138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138">
        <v>0</v>
      </c>
      <c r="F186" s="14"/>
      <c r="G186" s="14"/>
      <c r="H186" s="14"/>
      <c r="I186" s="50"/>
    </row>
    <row r="187" spans="1:9">
      <c r="A187" s="89"/>
      <c r="B187" s="90"/>
      <c r="C187" s="65"/>
      <c r="D187" s="66"/>
      <c r="E187" s="138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138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138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1108.5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48">
    <cfRule type="cellIs" dxfId="4" priority="15" operator="equal">
      <formula>0</formula>
    </cfRule>
  </conditionalFormatting>
  <conditionalFormatting sqref="C7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7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0">
    <cfRule type="cellIs" dxfId="6" priority="13" operator="equal">
      <formula>0</formula>
    </cfRule>
  </conditionalFormatting>
  <conditionalFormatting sqref="E116">
    <cfRule type="cellIs" dxfId="2" priority="17" operator="greaterThanOrEqual">
      <formula>0</formula>
    </cfRule>
    <cfRule type="cellIs" dxfId="3" priority="16" operator="lessThan">
      <formula>0</formula>
    </cfRule>
  </conditionalFormatting>
  <conditionalFormatting sqref="E118">
    <cfRule type="cellIs" dxfId="4" priority="11" operator="equal">
      <formula>0</formula>
    </cfRule>
  </conditionalFormatting>
  <conditionalFormatting sqref="E129">
    <cfRule type="cellIs" dxfId="4" priority="10" operator="equal">
      <formula>0</formula>
    </cfRule>
  </conditionalFormatting>
  <conditionalFormatting sqref="E130">
    <cfRule type="cellIs" dxfId="6" priority="9" operator="equal">
      <formula>0</formula>
    </cfRule>
    <cfRule type="cellIs" dxfId="4" priority="8" operator="equal">
      <formula>0</formula>
    </cfRule>
  </conditionalFormatting>
  <conditionalFormatting sqref="E136">
    <cfRule type="cellIs" dxfId="2" priority="48" operator="greaterThanOrEqual">
      <formula>0</formula>
    </cfRule>
    <cfRule type="cellIs" dxfId="3" priority="47" operator="lessThan">
      <formula>0</formula>
    </cfRule>
  </conditionalFormatting>
  <conditionalFormatting sqref="E143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45">
    <cfRule type="cellIs" dxfId="4" priority="7" operator="equal">
      <formula>0</formula>
    </cfRule>
  </conditionalFormatting>
  <conditionalFormatting sqref="E156">
    <cfRule type="cellIs" dxfId="4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E170">
    <cfRule type="cellIs" dxfId="2" priority="29" operator="greaterThanOrEqual">
      <formula>0</formula>
    </cfRule>
    <cfRule type="cellIs" dxfId="3" priority="28" operator="lessThan">
      <formula>0</formula>
    </cfRule>
  </conditionalFormatting>
  <conditionalFormatting sqref="E172">
    <cfRule type="cellIs" dxfId="4" priority="3" operator="equal">
      <formula>0</formula>
    </cfRule>
  </conditionalFormatting>
  <conditionalFormatting sqref="E184">
    <cfRule type="cellIs" dxfId="6" priority="2" operator="equal">
      <formula>0</formula>
    </cfRule>
  </conditionalFormatting>
  <conditionalFormatting sqref="E190">
    <cfRule type="cellIs" dxfId="2" priority="31" operator="greaterThanOrEqual">
      <formula>0</formula>
    </cfRule>
    <cfRule type="cellIs" dxfId="3" priority="30" operator="lessThan">
      <formula>0</formula>
    </cfRule>
  </conditionalFormatting>
  <conditionalFormatting sqref="C57:C66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68:C69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0:C7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80:C8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7:C90">
    <cfRule type="cellIs" dxfId="4" priority="12" operator="equal">
      <formula>0</formula>
    </cfRule>
  </conditionalFormatting>
  <conditionalFormatting sqref="C91:C9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98:C107">
    <cfRule type="cellIs" dxfId="1" priority="25" operator="lessThan">
      <formula>0</formula>
    </cfRule>
    <cfRule type="cellIs" dxfId="5" priority="24" operator="greaterThanOrEqual">
      <formula>0</formula>
    </cfRule>
  </conditionalFormatting>
  <conditionalFormatting sqref="C108:C109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19:E127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46:E154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73:E18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83:E184">
    <cfRule type="cellIs" dxfId="4" priority="1" operator="equal">
      <formula>0</formula>
    </cfRule>
  </conditionalFormatting>
  <conditionalFormatting sqref="C49 C47">
    <cfRule type="cellIs" dxfId="4" priority="14" operator="equal">
      <formula>0</formula>
    </cfRule>
  </conditionalFormatting>
  <conditionalFormatting sqref="C50:C55 C85 C78:C79 C95:C96">
    <cfRule type="cellIs" dxfId="0" priority="62" operator="equal">
      <formula>0</formula>
    </cfRule>
  </conditionalFormatting>
  <conditionalFormatting sqref="C50:C55 C85 C78:C79 C95:C96 E144 E155 E158:E162">
    <cfRule type="cellIs" dxfId="1" priority="61" operator="greaterThan">
      <formula>0</formula>
    </cfRule>
  </conditionalFormatting>
  <conditionalFormatting sqref="E117 E128 E131:E135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44 E155 E158:E162">
    <cfRule type="cellIs" dxfId="5" priority="38" operator="equal">
      <formula>0</formula>
    </cfRule>
  </conditionalFormatting>
  <conditionalFormatting sqref="E171 E182 E185:E189">
    <cfRule type="cellIs" dxfId="5" priority="33" operator="equal">
      <formula>0</formula>
    </cfRule>
    <cfRule type="cellIs" dxfId="1" priority="32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39" workbookViewId="0">
      <selection activeCell="C98" sqref="C98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2025 to October 2025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12.9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1354.5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1367.4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6">
        <f>C108</f>
        <v>0</v>
      </c>
      <c r="D5" s="127"/>
      <c r="E5" s="127"/>
      <c r="F5" s="127"/>
      <c r="G5" s="12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16" t="s">
        <v>48</v>
      </c>
      <c r="C9" s="116"/>
      <c r="D9" s="117" t="s">
        <v>49</v>
      </c>
      <c r="E9" s="117"/>
      <c r="F9" s="117" t="s">
        <v>50</v>
      </c>
      <c r="G9" s="117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322</v>
      </c>
      <c r="B11" s="99" t="s">
        <v>66</v>
      </c>
      <c r="C11" s="99"/>
      <c r="D11" s="100" t="s">
        <v>153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323</v>
      </c>
      <c r="C12" s="99"/>
      <c r="D12" s="100" t="s">
        <v>324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112"/>
      <c r="C13" s="113"/>
      <c r="D13" s="118"/>
      <c r="E13" s="122"/>
      <c r="F13" s="114">
        <v>0</v>
      </c>
      <c r="G13" s="11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16" t="s">
        <v>48</v>
      </c>
      <c r="C21" s="116"/>
      <c r="D21" s="117" t="s">
        <v>49</v>
      </c>
      <c r="E21" s="117"/>
      <c r="F21" s="117" t="s">
        <v>50</v>
      </c>
      <c r="G21" s="117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325</v>
      </c>
      <c r="B23" s="99" t="s">
        <v>66</v>
      </c>
      <c r="C23" s="99"/>
      <c r="D23" s="100" t="s">
        <v>153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287</v>
      </c>
      <c r="C24" s="99"/>
      <c r="D24" s="100" t="s">
        <v>288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112"/>
      <c r="C25" s="113"/>
      <c r="D25" s="112"/>
      <c r="E25" s="113"/>
      <c r="F25" s="114"/>
      <c r="G25" s="11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16" t="s">
        <v>48</v>
      </c>
      <c r="C33" s="116"/>
      <c r="D33" s="117" t="s">
        <v>49</v>
      </c>
      <c r="E33" s="117"/>
      <c r="F33" s="117" t="s">
        <v>50</v>
      </c>
      <c r="G33" s="117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326</v>
      </c>
      <c r="B35" s="99" t="s">
        <v>66</v>
      </c>
      <c r="C35" s="99"/>
      <c r="D35" s="100" t="s">
        <v>153</v>
      </c>
      <c r="E35" s="100"/>
      <c r="F35" s="7">
        <v>0</v>
      </c>
      <c r="G35" s="7"/>
      <c r="H35" s="14"/>
      <c r="I35" s="50"/>
    </row>
    <row r="36" ht="24.75" customHeight="1" spans="1:9">
      <c r="A36" s="19"/>
      <c r="B36" s="112"/>
      <c r="C36" s="113"/>
      <c r="D36" s="118"/>
      <c r="E36" s="122"/>
      <c r="F36" s="114">
        <v>0</v>
      </c>
      <c r="G36" s="11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195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39.75" customHeight="1" spans="1:9">
      <c r="A48" s="101" t="s">
        <v>289</v>
      </c>
      <c r="B48" s="102" t="s">
        <v>296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245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121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 t="s">
        <v>46</v>
      </c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121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121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121" t="s">
        <v>327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328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297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287</v>
      </c>
      <c r="B90" s="104" t="s">
        <v>298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121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121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>('April 2025 - June 2025'!C98)+SUM(E118+E145+E172)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>('April 2025 - June 2025'!C99)+SUM(E119+E146+E173)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>('April 2025 - June 2025'!C100)+SUM(E120+E147+E174)</f>
        <v>0</v>
      </c>
      <c r="D100" s="14"/>
      <c r="E100" s="14"/>
      <c r="F100" s="14"/>
      <c r="G100" s="14"/>
      <c r="H100" s="14"/>
      <c r="I100" s="50"/>
    </row>
    <row r="101" ht="32.25" customHeight="1" spans="1:9">
      <c r="A101" s="101" t="s">
        <v>106</v>
      </c>
      <c r="B101" s="36"/>
      <c r="C101" s="37">
        <f>('April 2025 - June 2025'!C101)+SUM(E121+E148+E175)</f>
        <v>0</v>
      </c>
      <c r="D101" s="14"/>
      <c r="E101" s="14"/>
      <c r="F101" s="14"/>
      <c r="G101" s="14"/>
      <c r="H101" s="14"/>
      <c r="I101" s="50"/>
    </row>
    <row r="102" ht="33.75" customHeight="1" spans="1:9">
      <c r="A102" s="101" t="s">
        <v>107</v>
      </c>
      <c r="B102" s="36"/>
      <c r="C102" s="37">
        <f>('April 2025 - June 2025'!C102)+SUM(E122+E149+E176)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('April 2025 - June 2025'!C103)+SUM(E123+E150+E177)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('April 2025 - June 2025'!C104)+SUM(E124+E151+E178)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('April 2025 - June 2025'!C105)+SUM(E125+E152+E179)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('April 2025 - June 2025'!C106)+SUM(E126+E153+E180)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('April 2025 - June 2025'!C107)+SUM(E127+E154+E181)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121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121" t="s">
        <v>109</v>
      </c>
      <c r="C109" s="37">
        <f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20 2025 to August 19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"&amp;IF(Main!B2,TEXT(EDATE(Main!B3,15)-1,"mmmm yyyy"),TEXT(Main!B3+((Main!B5-Main!B3)*15+14),"mmmm yyyy"))</f>
        <v>Balance Brought Forward From July 2025</v>
      </c>
      <c r="B116" s="57"/>
      <c r="C116" s="58"/>
      <c r="D116" s="58"/>
      <c r="E116" s="71">
        <f>'April 2025 - June 2025'!E190</f>
        <v>1108.5</v>
      </c>
      <c r="F116" s="14"/>
      <c r="G116" s="14"/>
      <c r="H116" s="14"/>
      <c r="I116" s="50"/>
    </row>
    <row r="117" ht="24.75" customHeight="1" spans="1:9">
      <c r="A117" s="85" t="s">
        <v>92</v>
      </c>
      <c r="B117" s="123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89"/>
      <c r="B118" s="124"/>
      <c r="C118" s="128" t="s">
        <v>329</v>
      </c>
      <c r="D118" s="128"/>
      <c r="E118" s="103">
        <v>800</v>
      </c>
      <c r="F118" s="14"/>
      <c r="G118" s="14"/>
      <c r="H118" s="14"/>
      <c r="I118" s="50"/>
    </row>
    <row r="119" ht="24.75" customHeight="1" spans="1:9">
      <c r="A119" s="89"/>
      <c r="B119" s="12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89"/>
      <c r="B120" s="12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89"/>
      <c r="B121" s="12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89"/>
      <c r="B122" s="12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89"/>
      <c r="B123" s="12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89"/>
      <c r="B124" s="12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89"/>
      <c r="B126" s="12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4"/>
      <c r="C128" s="67" t="s">
        <v>112</v>
      </c>
      <c r="D128" s="62"/>
      <c r="E128" s="72"/>
      <c r="F128" s="14"/>
      <c r="G128" s="14"/>
      <c r="H128" s="14"/>
      <c r="I128" s="50"/>
    </row>
    <row r="129" ht="90" customHeight="1" spans="1:9">
      <c r="A129" s="89"/>
      <c r="B129" s="124"/>
      <c r="C129" s="102" t="s">
        <v>330</v>
      </c>
      <c r="D129" s="102"/>
      <c r="E129" s="103">
        <v>819</v>
      </c>
      <c r="F129" s="14"/>
      <c r="G129" s="14"/>
      <c r="H129" s="14"/>
      <c r="I129" s="50"/>
    </row>
    <row r="130" ht="163" customHeight="1" spans="1:9">
      <c r="A130" s="89"/>
      <c r="B130" s="124"/>
      <c r="C130" s="102" t="s">
        <v>309</v>
      </c>
      <c r="D130" s="102"/>
      <c r="E130" s="103">
        <v>374</v>
      </c>
      <c r="F130" s="14"/>
      <c r="G130" s="14"/>
      <c r="H130" s="14"/>
      <c r="I130" s="50"/>
    </row>
    <row r="131" ht="24.75" customHeight="1" spans="1:9">
      <c r="A131" s="89"/>
      <c r="B131" s="12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89"/>
      <c r="B132" s="12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89"/>
      <c r="B133" s="12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91"/>
      <c r="B134" s="125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1203.5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20 2025 to September 19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"&amp;IF(Main!B2,TEXT(EDATE(Main!B3,16)-1,"mmmm yyyy"),TEXT(Main!B3+((Main!B5-Main!B3)*16+15),"mmmm yyyy"))</f>
        <v>Balance Brought Forward From August 2025</v>
      </c>
      <c r="B143" s="57"/>
      <c r="C143" s="58"/>
      <c r="D143" s="58"/>
      <c r="E143" s="94">
        <f>E136</f>
        <v>1203.5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128" t="s">
        <v>331</v>
      </c>
      <c r="D145" s="128"/>
      <c r="E145" s="103">
        <v>1400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 t="s">
        <v>332</v>
      </c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85.5" customHeight="1" spans="1:9">
      <c r="A156" s="89"/>
      <c r="B156" s="90"/>
      <c r="C156" s="102" t="s">
        <v>333</v>
      </c>
      <c r="D156" s="102"/>
      <c r="E156" s="103">
        <v>175</v>
      </c>
      <c r="F156" s="14"/>
      <c r="G156" s="14"/>
      <c r="H156" s="14"/>
      <c r="I156" s="50"/>
    </row>
    <row r="157" ht="162" customHeight="1" spans="1:9">
      <c r="A157" s="89"/>
      <c r="B157" s="90"/>
      <c r="C157" s="102" t="s">
        <v>309</v>
      </c>
      <c r="D157" s="102"/>
      <c r="E157" s="103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1342.5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20 2025 to October 19 2025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"&amp;IF(Main!B2,TEXT(EDATE(Main!B3,17)-1,"mmmm yyyy"),TEXT(Main!B3+((Main!B5-Main!B3)*17+16),"mmmm yyyy"))</f>
        <v>Balance Brought Forward From September 2025</v>
      </c>
      <c r="B170" s="57"/>
      <c r="C170" s="58"/>
      <c r="D170" s="58"/>
      <c r="E170" s="97">
        <f>E163</f>
        <v>1342.5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128" t="s">
        <v>334</v>
      </c>
      <c r="D172" s="128"/>
      <c r="E172" s="37">
        <v>883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7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105" customHeight="1" spans="1:9">
      <c r="A183" s="89"/>
      <c r="B183" s="90"/>
      <c r="C183" s="102" t="s">
        <v>330</v>
      </c>
      <c r="D183" s="102"/>
      <c r="E183" s="103">
        <v>819</v>
      </c>
      <c r="F183" s="14"/>
      <c r="G183" s="14"/>
      <c r="H183" s="14"/>
      <c r="I183" s="50"/>
    </row>
    <row r="184" ht="156" customHeight="1" spans="1:9">
      <c r="A184" s="89"/>
      <c r="B184" s="90"/>
      <c r="C184" s="102" t="s">
        <v>309</v>
      </c>
      <c r="D184" s="102"/>
      <c r="E184" s="103">
        <v>374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1354.5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C48">
    <cfRule type="cellIs" dxfId="4" priority="18" operator="equal">
      <formula>0</formula>
    </cfRule>
  </conditionalFormatting>
  <conditionalFormatting sqref="C75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77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90">
    <cfRule type="cellIs" dxfId="6" priority="16" operator="equal">
      <formula>0</formula>
    </cfRule>
  </conditionalFormatting>
  <conditionalFormatting sqref="E116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18">
    <cfRule type="cellIs" dxfId="4" priority="13" operator="equal">
      <formula>0</formula>
    </cfRule>
  </conditionalFormatting>
  <conditionalFormatting sqref="E129">
    <cfRule type="cellIs" dxfId="4" priority="14" operator="equal">
      <formula>0</formula>
    </cfRule>
  </conditionalFormatting>
  <conditionalFormatting sqref="E130">
    <cfRule type="cellIs" dxfId="6" priority="12" operator="equal">
      <formula>0</formula>
    </cfRule>
    <cfRule type="cellIs" dxfId="4" priority="11" operator="equal">
      <formula>0</formula>
    </cfRule>
  </conditionalFormatting>
  <conditionalFormatting sqref="E136">
    <cfRule type="cellIs" dxfId="2" priority="51" operator="greaterThanOrEqual">
      <formula>0</formula>
    </cfRule>
    <cfRule type="cellIs" dxfId="3" priority="50" operator="lessThan">
      <formula>0</formula>
    </cfRule>
  </conditionalFormatting>
  <conditionalFormatting sqref="E143">
    <cfRule type="cellIs" dxfId="2" priority="38" operator="greaterThanOrEqual">
      <formula>0</formula>
    </cfRule>
    <cfRule type="cellIs" dxfId="3" priority="37" operator="lessThan">
      <formula>0</formula>
    </cfRule>
  </conditionalFormatting>
  <conditionalFormatting sqref="E145">
    <cfRule type="cellIs" dxfId="4" priority="9" operator="equal">
      <formula>0</formula>
    </cfRule>
  </conditionalFormatting>
  <conditionalFormatting sqref="E156">
    <cfRule type="cellIs" dxfId="4" priority="10" operator="equal">
      <formula>0</formula>
    </cfRule>
  </conditionalFormatting>
  <conditionalFormatting sqref="E157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63">
    <cfRule type="cellIs" dxfId="2" priority="40" operator="greaterThanOrEqual">
      <formula>0</formula>
    </cfRule>
    <cfRule type="cellIs" dxfId="3" priority="39" operator="lessThan">
      <formula>0</formula>
    </cfRule>
  </conditionalFormatting>
  <conditionalFormatting sqref="E170">
    <cfRule type="cellIs" dxfId="2" priority="32" operator="greaterThanOrEqual">
      <formula>0</formula>
    </cfRule>
    <cfRule type="cellIs" dxfId="3" priority="31" operator="lessThan">
      <formula>0</formula>
    </cfRule>
  </conditionalFormatting>
  <conditionalFormatting sqref="E183">
    <cfRule type="cellIs" dxfId="4" priority="6" operator="equal">
      <formula>0</formula>
    </cfRule>
  </conditionalFormatting>
  <conditionalFormatting sqref="E184">
    <cfRule type="cellIs" dxfId="6" priority="4" operator="equal">
      <formula>0</formula>
    </cfRule>
    <cfRule type="cellIs" dxfId="4" priority="3" operator="equal">
      <formula>0</formula>
    </cfRule>
  </conditionalFormatting>
  <conditionalFormatting sqref="E190">
    <cfRule type="cellIs" dxfId="2" priority="34" operator="greaterThanOrEqual">
      <formula>0</formula>
    </cfRule>
    <cfRule type="cellIs" dxfId="3" priority="33" operator="lessThan">
      <formula>0</formula>
    </cfRule>
  </conditionalFormatting>
  <conditionalFormatting sqref="C57:C66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68:C69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70:C74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80:C84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87:C90">
    <cfRule type="cellIs" dxfId="4" priority="15" operator="equal">
      <formula>0</formula>
    </cfRule>
  </conditionalFormatting>
  <conditionalFormatting sqref="C91:C9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98:C107">
    <cfRule type="cellIs" dxfId="1" priority="28" operator="lessThan">
      <formula>0</formula>
    </cfRule>
    <cfRule type="cellIs" dxfId="5" priority="27" operator="greaterThanOrEqual">
      <formula>0</formula>
    </cfRule>
  </conditionalFormatting>
  <conditionalFormatting sqref="C108:C109">
    <cfRule type="cellIs" dxfId="0" priority="43" operator="greaterThanOrEqual">
      <formula>0</formula>
    </cfRule>
    <cfRule type="cellIs" dxfId="1" priority="42" operator="lessThan">
      <formula>0</formula>
    </cfRule>
  </conditionalFormatting>
  <conditionalFormatting sqref="E119:E127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E146:E154">
    <cfRule type="cellIs" dxfId="0" priority="24" operator="equal">
      <formula>0</formula>
    </cfRule>
    <cfRule type="cellIs" dxfId="1" priority="23" operator="greaterThan">
      <formula>0</formula>
    </cfRule>
  </conditionalFormatting>
  <conditionalFormatting sqref="E172:E181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C47 C49">
    <cfRule type="cellIs" dxfId="4" priority="17" operator="equal">
      <formula>0</formula>
    </cfRule>
  </conditionalFormatting>
  <conditionalFormatting sqref="C50:C55 C85 C78:C79 C95:C96">
    <cfRule type="cellIs" dxfId="0" priority="65" operator="equal">
      <formula>0</formula>
    </cfRule>
  </conditionalFormatting>
  <conditionalFormatting sqref="C50:C55 C85 C78:C79 C95:C96 E144 E155 E158:E162">
    <cfRule type="cellIs" dxfId="1" priority="64" operator="greaterThan">
      <formula>0</formula>
    </cfRule>
  </conditionalFormatting>
  <conditionalFormatting sqref="E117 E128 E131:E135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E144 E155 E158:E162">
    <cfRule type="cellIs" dxfId="5" priority="41" operator="equal">
      <formula>0</formula>
    </cfRule>
  </conditionalFormatting>
  <conditionalFormatting sqref="E171 E182 E185:E189">
    <cfRule type="cellIs" dxfId="5" priority="36" operator="equal">
      <formula>0</formula>
    </cfRule>
    <cfRule type="cellIs" dxfId="1" priority="35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9" workbookViewId="0">
      <selection activeCell="C98" sqref="C98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2025 to January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12.9</v>
      </c>
      <c r="D2" s="4"/>
      <c r="E2" s="4"/>
      <c r="F2" s="4"/>
      <c r="G2" s="4"/>
      <c r="H2" s="43"/>
      <c r="I2" s="43"/>
    </row>
    <row r="3" spans="1:9">
      <c r="A3" s="5"/>
      <c r="B3" s="6" t="s">
        <v>133</v>
      </c>
      <c r="C3" s="7">
        <f>E190</f>
        <v>6277.8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6290.7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16" t="s">
        <v>48</v>
      </c>
      <c r="C9" s="116"/>
      <c r="D9" s="117" t="s">
        <v>49</v>
      </c>
      <c r="E9" s="117"/>
      <c r="F9" s="117" t="s">
        <v>50</v>
      </c>
      <c r="G9" s="117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335</v>
      </c>
      <c r="B11" s="99" t="s">
        <v>66</v>
      </c>
      <c r="C11" s="99"/>
      <c r="D11" s="100" t="s">
        <v>153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287</v>
      </c>
      <c r="C12" s="99"/>
      <c r="D12" s="100" t="s">
        <v>288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112"/>
      <c r="C13" s="113"/>
      <c r="D13" s="118"/>
      <c r="E13" s="122"/>
      <c r="F13" s="114">
        <v>0</v>
      </c>
      <c r="G13" s="11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16" t="s">
        <v>48</v>
      </c>
      <c r="C21" s="116"/>
      <c r="D21" s="117" t="s">
        <v>49</v>
      </c>
      <c r="E21" s="117"/>
      <c r="F21" s="117" t="s">
        <v>50</v>
      </c>
      <c r="G21" s="117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336</v>
      </c>
      <c r="B23" s="99" t="s">
        <v>66</v>
      </c>
      <c r="C23" s="99"/>
      <c r="D23" s="100" t="s">
        <v>153</v>
      </c>
      <c r="E23" s="100"/>
      <c r="F23" s="7">
        <v>0</v>
      </c>
      <c r="G23" s="7"/>
      <c r="H23" s="14"/>
      <c r="I23" s="50"/>
    </row>
    <row r="24" ht="24.75" customHeight="1" spans="1:9">
      <c r="A24" s="19"/>
      <c r="B24" s="112"/>
      <c r="C24" s="113"/>
      <c r="D24" s="112"/>
      <c r="E24" s="113"/>
      <c r="F24" s="114">
        <v>0</v>
      </c>
      <c r="G24" s="11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December 2025 - 19 January 2026 /  (Revenue / Deferred Debts Or Expenses)</v>
      </c>
      <c r="B32" s="119"/>
      <c r="C32" s="119"/>
      <c r="D32" s="119"/>
      <c r="E32" s="119"/>
      <c r="F32" s="119"/>
      <c r="G32" s="119"/>
      <c r="H32" s="14"/>
      <c r="I32" s="50"/>
    </row>
    <row r="33" ht="24.75" customHeight="1" spans="1:9">
      <c r="A33" s="120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112" t="s">
        <v>52</v>
      </c>
      <c r="C34" s="113"/>
      <c r="D34" s="112" t="s">
        <v>53</v>
      </c>
      <c r="E34" s="113"/>
      <c r="F34" s="114">
        <v>2435</v>
      </c>
      <c r="G34" s="115"/>
      <c r="H34" s="14"/>
      <c r="I34" s="50"/>
    </row>
    <row r="35" ht="24.75" customHeight="1" spans="1:9">
      <c r="A35" s="98" t="s">
        <v>337</v>
      </c>
      <c r="B35" s="99" t="s">
        <v>66</v>
      </c>
      <c r="C35" s="99"/>
      <c r="D35" s="100" t="s">
        <v>153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287</v>
      </c>
      <c r="C36" s="99"/>
      <c r="D36" s="100" t="s">
        <v>288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112"/>
      <c r="C37" s="113"/>
      <c r="D37" s="118"/>
      <c r="E37" s="122"/>
      <c r="F37" s="114">
        <v>0</v>
      </c>
      <c r="G37" s="11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36" customHeight="1" spans="1:9">
      <c r="A47" s="101" t="s">
        <v>195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39" customHeight="1" spans="1:9">
      <c r="A48" s="101" t="s">
        <v>289</v>
      </c>
      <c r="B48" s="102" t="s">
        <v>296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245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121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121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121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121" t="s">
        <v>91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46" customHeight="1" spans="1:9">
      <c r="A89" s="101" t="s">
        <v>97</v>
      </c>
      <c r="B89" s="102" t="s">
        <v>297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287</v>
      </c>
      <c r="B90" s="104" t="s">
        <v>298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121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121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 cm="1">
        <f ca="1" t="array" ref="C98">INDIRECT("'"&amp;INDIRECT("Main!B24")&amp;"'!C98")+SUM(E118+E145+E172)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50"/>
    </row>
    <row r="101" ht="36.75" customHeight="1" spans="1:9">
      <c r="A101" s="101" t="s">
        <v>106</v>
      </c>
      <c r="B101" s="36"/>
      <c r="C101" s="37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50"/>
    </row>
    <row r="102" ht="37.5" customHeight="1" spans="1:9">
      <c r="A102" s="101" t="s">
        <v>107</v>
      </c>
      <c r="B102" s="36"/>
      <c r="C102" s="37" cm="1">
        <f ca="1" t="array" ref="C102">INDIRECT("'"&amp;INDIRECT("Main!B24")&amp;"'!C102")+SUM(E122+E149+E176)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 cm="1">
        <f ca="1" t="array" ref="C103">INDIRECT("'"&amp;INDIRECT("Main!B24")&amp;"'!C103")+SUM(E123+E150+E177)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121" t="s">
        <v>108</v>
      </c>
      <c r="C108" s="37">
        <f ca="1"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121" t="s">
        <v>109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20 2025 to November 19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"&amp;IF(Main!B2,TEXT(EDATE(Main!B3,18)-1,"mmmm yyyy"),TEXT(Main!B3+((Main!B5-Main!B3)*18+17),"mmmm yyyy"))</f>
        <v>Balance Brought Forward From October 2025</v>
      </c>
      <c r="B116" s="57"/>
      <c r="C116" s="58"/>
      <c r="D116" s="58"/>
      <c r="E116" s="71">
        <f>'July 2025 - September 2025'!E190</f>
        <v>1354.5</v>
      </c>
      <c r="F116" s="14"/>
      <c r="G116" s="14"/>
      <c r="H116" s="14"/>
      <c r="I116" s="50"/>
    </row>
    <row r="117" ht="24.75" customHeight="1" spans="1:9">
      <c r="A117" s="85" t="s">
        <v>92</v>
      </c>
      <c r="B117" s="123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89"/>
      <c r="B118" s="12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89"/>
      <c r="B119" s="12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89"/>
      <c r="B120" s="12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89"/>
      <c r="B121" s="12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89"/>
      <c r="B122" s="12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89"/>
      <c r="B123" s="12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89"/>
      <c r="B124" s="12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89"/>
      <c r="B126" s="12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4"/>
      <c r="C128" s="67" t="s">
        <v>112</v>
      </c>
      <c r="D128" s="62"/>
      <c r="E128" s="72"/>
      <c r="F128" s="14"/>
      <c r="G128" s="14"/>
      <c r="H128" s="14"/>
      <c r="I128" s="50"/>
    </row>
    <row r="129" ht="80.25" customHeight="1" spans="1:9">
      <c r="A129" s="89"/>
      <c r="B129" s="124"/>
      <c r="C129" s="102" t="s">
        <v>338</v>
      </c>
      <c r="D129" s="102"/>
      <c r="E129" s="103">
        <v>125</v>
      </c>
      <c r="F129" s="14"/>
      <c r="G129" s="14"/>
      <c r="H129" s="14"/>
      <c r="I129" s="50"/>
    </row>
    <row r="130" ht="42.75" customHeight="1" spans="1:9">
      <c r="A130" s="89"/>
      <c r="B130" s="124"/>
      <c r="C130" s="102" t="s">
        <v>229</v>
      </c>
      <c r="D130" s="102"/>
      <c r="E130" s="103">
        <v>374</v>
      </c>
      <c r="F130" s="14"/>
      <c r="G130" s="14"/>
      <c r="H130" s="14"/>
      <c r="I130" s="50"/>
    </row>
    <row r="131" ht="24.75" customHeight="1" spans="1:9">
      <c r="A131" s="89"/>
      <c r="B131" s="12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89"/>
      <c r="B132" s="12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89"/>
      <c r="B133" s="12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91"/>
      <c r="B134" s="125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2943.5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20 2025 to December 19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"&amp;IF(Main!B2,TEXT(EDATE(Main!B3,19)-1,"mmmm yyyy"),TEXT(Main!B3+((Main!B5-Main!B3)*19+18),"mmmm yyyy"))</f>
        <v>Balance Brought Forward From November 2025</v>
      </c>
      <c r="B143" s="57"/>
      <c r="C143" s="58"/>
      <c r="D143" s="58"/>
      <c r="E143" s="94">
        <f>E136</f>
        <v>2943.5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102.75" customHeight="1" spans="1:9">
      <c r="A156" s="89"/>
      <c r="B156" s="90"/>
      <c r="C156" s="102" t="s">
        <v>339</v>
      </c>
      <c r="D156" s="102"/>
      <c r="E156" s="110">
        <v>69</v>
      </c>
      <c r="F156" s="14"/>
      <c r="G156" s="14"/>
      <c r="H156" s="14"/>
      <c r="I156" s="50"/>
    </row>
    <row r="157" ht="36.75" customHeight="1" spans="1:9">
      <c r="A157" s="89"/>
      <c r="B157" s="90"/>
      <c r="C157" s="102" t="s">
        <v>229</v>
      </c>
      <c r="D157" s="102"/>
      <c r="E157" s="110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4588.5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20 2025 to January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"&amp;IF(Main!B2,TEXT(EDATE(Main!B3,20)-1,"mmmm yyyy"),TEXT(Main!B3+((Main!B5-Main!B3)*20+19),"mmmm yyyy"))</f>
        <v>Balance Brought Forward From December 2025</v>
      </c>
      <c r="B170" s="57"/>
      <c r="C170" s="58"/>
      <c r="D170" s="58"/>
      <c r="E170" s="97">
        <f>E163</f>
        <v>4588.5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51" customHeight="1" spans="1:9">
      <c r="A183" s="89"/>
      <c r="B183" s="90"/>
      <c r="C183" s="102" t="s">
        <v>338</v>
      </c>
      <c r="D183" s="102"/>
      <c r="E183" s="103">
        <v>0</v>
      </c>
      <c r="F183" s="14"/>
      <c r="G183" s="14"/>
      <c r="H183" s="14"/>
      <c r="I183" s="50"/>
    </row>
    <row r="184" ht="51" customHeight="1" spans="1:9">
      <c r="A184" s="89"/>
      <c r="B184" s="90"/>
      <c r="C184" s="102" t="s">
        <v>229</v>
      </c>
      <c r="D184" s="102"/>
      <c r="E184" s="103">
        <v>398.7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6277.8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48">
    <cfRule type="cellIs" dxfId="4" priority="13" operator="equal">
      <formula>0</formula>
    </cfRule>
  </conditionalFormatting>
  <conditionalFormatting sqref="C75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77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0">
    <cfRule type="cellIs" dxfId="6" priority="11" operator="equal">
      <formula>0</formula>
    </cfRule>
  </conditionalFormatting>
  <conditionalFormatting sqref="E116">
    <cfRule type="cellIs" dxfId="2" priority="15" operator="greaterThanOrEqual">
      <formula>0</formula>
    </cfRule>
    <cfRule type="cellIs" dxfId="3" priority="14" operator="lessThan">
      <formula>0</formula>
    </cfRule>
  </conditionalFormatting>
  <conditionalFormatting sqref="E129">
    <cfRule type="cellIs" dxfId="4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46" operator="greaterThanOrEqual">
      <formula>0</formula>
    </cfRule>
    <cfRule type="cellIs" dxfId="3" priority="45" operator="lessThan">
      <formula>0</formula>
    </cfRule>
  </conditionalFormatting>
  <conditionalFormatting sqref="E143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56">
    <cfRule type="cellIs" dxfId="4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70">
    <cfRule type="cellIs" dxfId="2" priority="27" operator="greaterThanOrEqual">
      <formula>0</formula>
    </cfRule>
    <cfRule type="cellIs" dxfId="3" priority="26" operator="lessThan">
      <formula>0</formula>
    </cfRule>
  </conditionalFormatting>
  <conditionalFormatting sqref="E183">
    <cfRule type="cellIs" dxfId="4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29" operator="greaterThanOrEqual">
      <formula>0</formula>
    </cfRule>
    <cfRule type="cellIs" dxfId="3" priority="28" operator="lessThan">
      <formula>0</formula>
    </cfRule>
  </conditionalFormatting>
  <conditionalFormatting sqref="C57:C66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68:C69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0:C7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0:C8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87:C90">
    <cfRule type="cellIs" dxfId="4" priority="10" operator="equal">
      <formula>0</formula>
    </cfRule>
  </conditionalFormatting>
  <conditionalFormatting sqref="C91:C9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98:C107">
    <cfRule type="cellIs" dxfId="1" priority="23" operator="lessThan">
      <formula>0</formula>
    </cfRule>
    <cfRule type="cellIs" dxfId="5" priority="22" operator="greaterThanOrEqual">
      <formula>0</formula>
    </cfRule>
  </conditionalFormatting>
  <conditionalFormatting sqref="C108:C109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18:E127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45:E154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72:E181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49 C47">
    <cfRule type="cellIs" dxfId="4" priority="12" operator="equal">
      <formula>0</formula>
    </cfRule>
  </conditionalFormatting>
  <conditionalFormatting sqref="C50:C55 C85 C78:C79 C95:C96">
    <cfRule type="cellIs" dxfId="0" priority="60" operator="equal">
      <formula>0</formula>
    </cfRule>
  </conditionalFormatting>
  <conditionalFormatting sqref="C50:C55 C85 C78:C79 C95:C96 E144 E155 E158:E162">
    <cfRule type="cellIs" dxfId="1" priority="59" operator="greaterThan">
      <formula>0</formula>
    </cfRule>
  </conditionalFormatting>
  <conditionalFormatting sqref="E117 E128 E131:E135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E144 E155 E158:E162">
    <cfRule type="cellIs" dxfId="5" priority="36" operator="equal">
      <formula>0</formula>
    </cfRule>
  </conditionalFormatting>
  <conditionalFormatting sqref="E171 E182 E185:E189">
    <cfRule type="cellIs" dxfId="5" priority="31" operator="equal">
      <formula>0</formula>
    </cfRule>
    <cfRule type="cellIs" dxfId="1" priority="30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8" workbookViewId="0">
      <selection activeCell="A102" sqref="A98:A102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2026 to April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12.9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11206.8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11219.7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340</v>
      </c>
      <c r="B11" s="99" t="s">
        <v>66</v>
      </c>
      <c r="C11" s="99"/>
      <c r="D11" s="100" t="s">
        <v>153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287</v>
      </c>
      <c r="C12" s="99"/>
      <c r="D12" s="100" t="s">
        <v>288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112" t="s">
        <v>52</v>
      </c>
      <c r="C22" s="113"/>
      <c r="D22" s="112" t="s">
        <v>53</v>
      </c>
      <c r="E22" s="113"/>
      <c r="F22" s="114">
        <v>2435</v>
      </c>
      <c r="G22" s="115"/>
      <c r="H22" s="14"/>
      <c r="I22" s="50"/>
    </row>
    <row r="23" ht="24.75" customHeight="1" spans="1:9">
      <c r="A23" s="98" t="s">
        <v>341</v>
      </c>
      <c r="B23" s="99" t="s">
        <v>66</v>
      </c>
      <c r="C23" s="99"/>
      <c r="D23" s="100" t="s">
        <v>153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287</v>
      </c>
      <c r="C24" s="99"/>
      <c r="D24" s="100" t="s">
        <v>288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112" t="s">
        <v>52</v>
      </c>
      <c r="C34" s="113"/>
      <c r="D34" s="112" t="s">
        <v>53</v>
      </c>
      <c r="E34" s="113"/>
      <c r="F34" s="114">
        <v>2435</v>
      </c>
      <c r="G34" s="115"/>
      <c r="H34" s="14"/>
      <c r="I34" s="50"/>
    </row>
    <row r="35" ht="24.75" customHeight="1" spans="1:9">
      <c r="A35" s="98" t="s">
        <v>342</v>
      </c>
      <c r="B35" s="99" t="s">
        <v>66</v>
      </c>
      <c r="C35" s="99"/>
      <c r="D35" s="100" t="s">
        <v>153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287</v>
      </c>
      <c r="C36" s="99"/>
      <c r="D36" s="100" t="s">
        <v>288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195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61" customHeight="1" spans="1:9">
      <c r="A48" s="101" t="s">
        <v>289</v>
      </c>
      <c r="B48" s="102" t="s">
        <v>296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245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297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287</v>
      </c>
      <c r="B90" s="104" t="s">
        <v>298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 cm="1">
        <f ca="1" t="array" ref="C98">INDIRECT("'"&amp;INDIRECT("Main!B27")&amp;"'!C98")+SUM(E118+E145+E172)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 cm="1">
        <f ca="1" t="array" ref="C99">INDIRECT("'"&amp;INDIRECT("Main!B27")&amp;"'!C99")+SUM(E118+E145+E172)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 cm="1">
        <f ca="1" t="array" ref="C100">INDIRECT("'"&amp;INDIRECT("Main!B27")&amp;"'!C100")+SUM(E118+E145+E172)</f>
        <v>0</v>
      </c>
      <c r="D100" s="14"/>
      <c r="E100" s="14"/>
      <c r="F100" s="14"/>
      <c r="G100" s="14"/>
      <c r="H100" s="14"/>
      <c r="I100" s="50"/>
    </row>
    <row r="101" ht="37" customHeight="1" spans="1:9">
      <c r="A101" s="101" t="s">
        <v>106</v>
      </c>
      <c r="B101" s="36"/>
      <c r="C101" s="37" cm="1">
        <f ca="1" t="array" ref="C101">INDIRECT("'"&amp;INDIRECT("Main!B27")&amp;"'!C101")+SUM(E118+E145+E172)</f>
        <v>0</v>
      </c>
      <c r="D101" s="14"/>
      <c r="E101" s="14"/>
      <c r="F101" s="14"/>
      <c r="G101" s="14"/>
      <c r="H101" s="14"/>
      <c r="I101" s="50"/>
    </row>
    <row r="102" ht="38" customHeight="1" spans="1:9">
      <c r="A102" s="101" t="s">
        <v>107</v>
      </c>
      <c r="B102" s="36"/>
      <c r="C102" s="37" cm="1">
        <f ca="1" t="array" ref="C102">INDIRECT("'"&amp;INDIRECT("Main!B27")&amp;"'!C102")+SUM(E118+E145+E172)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 cm="1">
        <f ca="1" t="array" ref="C103">INDIRECT("'"&amp;INDIRECT("Main!B27")&amp;"'!C103")+SUM(E118+E145+E172)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cm="1">
        <f ca="1" t="array" ref="C104">INDIRECT("'"&amp;INDIRECT("Main!B27")&amp;"'!C104")+SUM(E118+E145+E172)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cm="1">
        <f ca="1" t="array" ref="C105">INDIRECT("'"&amp;INDIRECT("Main!B27")&amp;"'!C105")+SUM(E118+E145+E172)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cm="1">
        <f ca="1" t="array" ref="C106">INDIRECT("'"&amp;INDIRECT("Main!B27")&amp;"'!C106")+SUM(E118+E145+E172)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cm="1">
        <f ca="1" t="array" ref="C107">INDIRECT("'"&amp;INDIRECT("Main!B27")&amp;"'!C107")+SUM(E118+E145+E172)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 ca="1"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20 2026 to February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"&amp;IF(Main!B2,TEXT(EDATE(Main!B3,21)-1,"mmmm yyyy"),TEXT(Main!B3+((Main!B5-Main!B3)*21+20),"mmmm yyyy"))</f>
        <v>Balance Brought Forward From January 2026</v>
      </c>
      <c r="B116" s="57"/>
      <c r="C116" s="58"/>
      <c r="D116" s="58"/>
      <c r="E116" s="71">
        <f>'October 2025 - December 2025'!E190</f>
        <v>6277.8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119" customHeight="1" spans="1:9">
      <c r="A129" s="63"/>
      <c r="B129" s="64"/>
      <c r="C129" s="108" t="s">
        <v>343</v>
      </c>
      <c r="D129" s="108"/>
      <c r="E129" s="109">
        <v>19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229</v>
      </c>
      <c r="D130" s="102"/>
      <c r="E130" s="110">
        <v>374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7972.8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20 2026 to March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"&amp;IF(Main!B2,TEXT(EDATE(Main!B3,22)-1,"mmmm yyyy"),TEXT(Main!B3+((Main!B5-Main!B3)*22+21),"mmmm yyyy"))</f>
        <v>Balance Brought Forward From February 2026</v>
      </c>
      <c r="B143" s="57"/>
      <c r="C143" s="58"/>
      <c r="D143" s="58"/>
      <c r="E143" s="94">
        <f>E136</f>
        <v>7972.8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90" customHeight="1" spans="1:9">
      <c r="A156" s="89"/>
      <c r="B156" s="90"/>
      <c r="C156" s="108" t="s">
        <v>333</v>
      </c>
      <c r="D156" s="111"/>
      <c r="E156" s="109">
        <v>175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229</v>
      </c>
      <c r="D157" s="102"/>
      <c r="E157" s="110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9511.8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20 2026 to April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"&amp;IF(Main!B2,TEXT(EDATE(Main!B3,23)-1,"mmmm yyyy"),TEXT(Main!B3+((Main!B5-Main!B3)*23+22),"mmmm yyyy"))</f>
        <v>Balance Brought Forward From March 2026</v>
      </c>
      <c r="B170" s="57"/>
      <c r="C170" s="58"/>
      <c r="D170" s="58"/>
      <c r="E170" s="97">
        <f>E163</f>
        <v>9511.8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81" customHeight="1" spans="1:9">
      <c r="A183" s="89"/>
      <c r="B183" s="90"/>
      <c r="C183" s="108" t="s">
        <v>344</v>
      </c>
      <c r="D183" s="108"/>
      <c r="E183" s="109">
        <v>19</v>
      </c>
      <c r="F183" s="14"/>
      <c r="G183" s="14"/>
      <c r="H183" s="14"/>
      <c r="I183" s="50"/>
    </row>
    <row r="184" ht="24.75" customHeight="1" spans="1:9">
      <c r="A184" s="89"/>
      <c r="B184" s="90"/>
      <c r="C184" s="102" t="s">
        <v>229</v>
      </c>
      <c r="D184" s="102"/>
      <c r="E184" s="110">
        <v>374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11206.8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8">
    <cfRule type="cellIs" dxfId="4" priority="21" operator="equal">
      <formula>0</formula>
    </cfRule>
  </conditionalFormatting>
  <conditionalFormatting sqref="C7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77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0">
    <cfRule type="cellIs" dxfId="6" priority="13" operator="equal">
      <formula>0</formula>
    </cfRule>
  </conditionalFormatting>
  <conditionalFormatting sqref="E116">
    <cfRule type="cellIs" dxfId="2" priority="23" operator="greaterThanOrEqual">
      <formula>0</formula>
    </cfRule>
    <cfRule type="cellIs" dxfId="3" priority="22" operator="lessThan">
      <formula>0</formula>
    </cfRule>
  </conditionalFormatting>
  <conditionalFormatting sqref="C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4" operator="greaterThanOrEqual">
      <formula>0</formula>
    </cfRule>
    <cfRule type="cellIs" dxfId="3" priority="53" operator="lessThan">
      <formula>0</formula>
    </cfRule>
  </conditionalFormatting>
  <conditionalFormatting sqref="E14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3" operator="greaterThanOrEqual">
      <formula>0</formula>
    </cfRule>
    <cfRule type="cellIs" dxfId="3" priority="42" operator="lessThan">
      <formula>0</formula>
    </cfRule>
  </conditionalFormatting>
  <conditionalFormatting sqref="E17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C57:C60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61:C66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68:C69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70:C7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80:C8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7:C90">
    <cfRule type="cellIs" dxfId="4" priority="12" operator="equal">
      <formula>0</formula>
    </cfRule>
  </conditionalFormatting>
  <conditionalFormatting sqref="C91:C9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8:C102">
    <cfRule type="cellIs" dxfId="1" priority="11" operator="lessThan">
      <formula>0</formula>
    </cfRule>
    <cfRule type="cellIs" dxfId="5" priority="10" operator="greaterThanOrEqual">
      <formula>0</formula>
    </cfRule>
  </conditionalFormatting>
  <conditionalFormatting sqref="C103:C107">
    <cfRule type="cellIs" dxfId="1" priority="31" operator="lessThan">
      <formula>0</formula>
    </cfRule>
    <cfRule type="cellIs" dxfId="5" priority="30" operator="greaterThanOrEqual">
      <formula>0</formula>
    </cfRule>
  </conditionalFormatting>
  <conditionalFormatting sqref="C108:C109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18:E127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E145:E15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72:E18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49 C47">
    <cfRule type="cellIs" dxfId="4" priority="20" operator="equal">
      <formula>0</formula>
    </cfRule>
  </conditionalFormatting>
  <conditionalFormatting sqref="C50:C55 C85 C78:C79 C95:C96">
    <cfRule type="cellIs" dxfId="0" priority="68" operator="equal">
      <formula>0</formula>
    </cfRule>
  </conditionalFormatting>
  <conditionalFormatting sqref="C50:C55 C85 C78:C79 C95:C96 E144 E155 E158:E162">
    <cfRule type="cellIs" dxfId="1" priority="67" operator="greaterThan">
      <formula>0</formula>
    </cfRule>
  </conditionalFormatting>
  <conditionalFormatting sqref="E117 E128 E131:E13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E144 E155 E158:E162">
    <cfRule type="cellIs" dxfId="5" priority="44" operator="equal">
      <formula>0</formula>
    </cfRule>
  </conditionalFormatting>
  <conditionalFormatting sqref="E171 E182 E185:E189">
    <cfRule type="cellIs" dxfId="5" priority="39" operator="equal">
      <formula>0</formula>
    </cfRule>
    <cfRule type="cellIs" dxfId="1" priority="38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10" workbookViewId="0">
      <selection activeCell="E130" sqref="C130:E130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2026 to July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12.9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16029.8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16042.7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345</v>
      </c>
      <c r="B11" s="99" t="s">
        <v>66</v>
      </c>
      <c r="C11" s="99"/>
      <c r="D11" s="100" t="s">
        <v>153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287</v>
      </c>
      <c r="C12" s="99"/>
      <c r="D12" s="100" t="s">
        <v>288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346</v>
      </c>
      <c r="B23" s="99" t="s">
        <v>66</v>
      </c>
      <c r="C23" s="99"/>
      <c r="D23" s="100" t="s">
        <v>153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287</v>
      </c>
      <c r="C24" s="99"/>
      <c r="D24" s="100" t="s">
        <v>288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347</v>
      </c>
      <c r="B35" s="99" t="s">
        <v>66</v>
      </c>
      <c r="C35" s="99"/>
      <c r="D35" s="100" t="s">
        <v>153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287</v>
      </c>
      <c r="C36" s="99"/>
      <c r="D36" s="100" t="s">
        <v>288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195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24.75" customHeight="1" spans="1:9">
      <c r="A48" s="101" t="s">
        <v>289</v>
      </c>
      <c r="B48" s="102" t="s">
        <v>296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245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297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287</v>
      </c>
      <c r="B90" s="104" t="s">
        <v>298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 ca="1">('January 2026 - March 2026'!C98)+SUM(E118+E145+E172)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 ca="1">('January 2026 - March 2026'!C99)+SUM(E119+E146+E173)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 ca="1">('January 2026 - March 2026'!C100)+SUM(E120+E147+E174)</f>
        <v>0</v>
      </c>
      <c r="D100" s="14"/>
      <c r="E100" s="14"/>
      <c r="F100" s="14"/>
      <c r="G100" s="14"/>
      <c r="H100" s="14"/>
      <c r="I100" s="50"/>
    </row>
    <row r="101" ht="42" customHeight="1" spans="1:9">
      <c r="A101" s="101" t="s">
        <v>106</v>
      </c>
      <c r="B101" s="36"/>
      <c r="C101" s="37">
        <f ca="1">('January 2026 - March 2026'!C101)+SUM(E121+E148+E175)</f>
        <v>0</v>
      </c>
      <c r="D101" s="14"/>
      <c r="E101" s="14"/>
      <c r="F101" s="14"/>
      <c r="G101" s="14"/>
      <c r="H101" s="14"/>
      <c r="I101" s="50"/>
    </row>
    <row r="102" ht="52" customHeight="1" spans="1:9">
      <c r="A102" s="101" t="s">
        <v>107</v>
      </c>
      <c r="B102" s="36"/>
      <c r="C102" s="37">
        <f ca="1">('January 2026 - March 2026'!C102)+SUM(E122+E149+E176)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 ca="1">('January 2026 - March 2026'!C103)+SUM(E123+E150+E177)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('January 2026 - March 2026'!C104)+SUM(E124+E151+E178)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('January 2026 - March 2026'!C105)+SUM(E125+E152+E179)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('January 2026 - March 2026'!C106)+SUM(E126+E153+E180)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('January 2026 - March 2026'!C107)+SUM(E127+E154+E181)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 ca="1"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20 2026 to May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"&amp;IF(Main!B2,TEXT(EDATE(Main!B3,24)-1,"mmmm yyyy"),TEXT(Main!B3+((Main!B5-Main!B3)*24+23),"mmmm yyyy"))</f>
        <v>Balance Brought Forward From April 2026</v>
      </c>
      <c r="B116" s="57"/>
      <c r="C116" s="58"/>
      <c r="D116" s="58"/>
      <c r="E116" s="71">
        <f>'January 2026 - March 2026'!E190</f>
        <v>11206.8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 t="s">
        <v>348</v>
      </c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 t="s">
        <v>182</v>
      </c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 t="s">
        <v>349</v>
      </c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 t="s">
        <v>183</v>
      </c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 t="s">
        <v>184</v>
      </c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 t="s">
        <v>185</v>
      </c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 t="s">
        <v>186</v>
      </c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 t="s">
        <v>187</v>
      </c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 t="s">
        <v>188</v>
      </c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 t="s">
        <v>189</v>
      </c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105" customHeight="1" spans="1:9">
      <c r="A129" s="63"/>
      <c r="B129" s="64"/>
      <c r="C129" s="108" t="s">
        <v>350</v>
      </c>
      <c r="D129" s="108"/>
      <c r="E129" s="109">
        <v>125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229</v>
      </c>
      <c r="D130" s="102"/>
      <c r="E130" s="110">
        <v>374</v>
      </c>
      <c r="F130" s="14"/>
      <c r="G130" s="14"/>
      <c r="H130" s="14"/>
      <c r="I130" s="50"/>
    </row>
    <row r="131" ht="24.75" customHeight="1" spans="1:9">
      <c r="A131" s="63"/>
      <c r="B131" s="64"/>
      <c r="C131" s="65" t="s">
        <v>182</v>
      </c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 t="s">
        <v>349</v>
      </c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 t="s">
        <v>183</v>
      </c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 t="s">
        <v>184</v>
      </c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12795.8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20 2026 to June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"&amp;IF(Main!B2,TEXT(EDATE(Main!B3,25)-1,"mmmm yyyy"),TEXT(Main!B3+((Main!B5-Main!B3)*25+24),"mmmm yyyy"))</f>
        <v>Balance Brought Forward From May 2026</v>
      </c>
      <c r="B143" s="57"/>
      <c r="C143" s="58"/>
      <c r="D143" s="58"/>
      <c r="E143" s="94">
        <f>E136</f>
        <v>12795.8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 t="s">
        <v>348</v>
      </c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 t="s">
        <v>182</v>
      </c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 t="s">
        <v>349</v>
      </c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 t="s">
        <v>183</v>
      </c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 t="s">
        <v>184</v>
      </c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 t="s">
        <v>185</v>
      </c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 t="s">
        <v>186</v>
      </c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 t="s">
        <v>187</v>
      </c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 t="s">
        <v>188</v>
      </c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 t="s">
        <v>189</v>
      </c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79" customHeight="1" spans="1:9">
      <c r="A156" s="89"/>
      <c r="B156" s="90"/>
      <c r="C156" s="108" t="s">
        <v>319</v>
      </c>
      <c r="D156" s="108"/>
      <c r="E156" s="109">
        <v>69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229</v>
      </c>
      <c r="D157" s="102"/>
      <c r="E157" s="110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 t="s">
        <v>182</v>
      </c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 t="s">
        <v>349</v>
      </c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 t="s">
        <v>183</v>
      </c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 t="s">
        <v>184</v>
      </c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14440.8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20 2026 to July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"&amp;IF(Main!B2,TEXT(EDATE(Main!B3,26)-1,"mmmm yyyy"),TEXT(Main!B3+((Main!B5-Main!B3)*26+25),"mmmm yyyy"))</f>
        <v>Balance Brought Forward From June 2026</v>
      </c>
      <c r="B170" s="57"/>
      <c r="C170" s="58"/>
      <c r="D170" s="58"/>
      <c r="E170" s="97">
        <f>E163</f>
        <v>14440.8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 t="s">
        <v>348</v>
      </c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 t="s">
        <v>182</v>
      </c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 t="s">
        <v>349</v>
      </c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 t="s">
        <v>183</v>
      </c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 t="s">
        <v>184</v>
      </c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 t="s">
        <v>185</v>
      </c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 t="s">
        <v>186</v>
      </c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 t="s">
        <v>187</v>
      </c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 t="s">
        <v>188</v>
      </c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 t="s">
        <v>189</v>
      </c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79" customHeight="1" spans="1:9">
      <c r="A183" s="89"/>
      <c r="B183" s="90"/>
      <c r="C183" s="108" t="s">
        <v>351</v>
      </c>
      <c r="D183" s="111"/>
      <c r="E183" s="109">
        <v>125</v>
      </c>
      <c r="F183" s="14"/>
      <c r="G183" s="14"/>
      <c r="H183" s="14"/>
      <c r="I183" s="50"/>
    </row>
    <row r="184" ht="24.75" customHeight="1" spans="1:9">
      <c r="A184" s="89"/>
      <c r="B184" s="90"/>
      <c r="C184" s="102" t="s">
        <v>229</v>
      </c>
      <c r="D184" s="102"/>
      <c r="E184" s="110">
        <v>374</v>
      </c>
      <c r="F184" s="14"/>
      <c r="G184" s="14"/>
      <c r="H184" s="14"/>
      <c r="I184" s="50"/>
    </row>
    <row r="185" ht="24.75" customHeight="1" spans="1:9">
      <c r="A185" s="89"/>
      <c r="B185" s="90"/>
      <c r="C185" s="65" t="s">
        <v>182</v>
      </c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 t="s">
        <v>349</v>
      </c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 t="s">
        <v>183</v>
      </c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 t="s">
        <v>184</v>
      </c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16029.8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8">
    <cfRule type="cellIs" dxfId="4" priority="19" operator="equal">
      <formula>0</formula>
    </cfRule>
  </conditionalFormatting>
  <conditionalFormatting sqref="C7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6" priority="11" operator="equal">
      <formula>0</formula>
    </cfRule>
  </conditionalFormatting>
  <conditionalFormatting sqref="E116">
    <cfRule type="cellIs" dxfId="2" priority="21" operator="greaterThanOrEqual">
      <formula>0</formula>
    </cfRule>
    <cfRule type="cellIs" dxfId="3" priority="20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2" operator="greaterThanOrEqual">
      <formula>0</formula>
    </cfRule>
    <cfRule type="cellIs" dxfId="3" priority="51" operator="lessThan">
      <formula>0</formula>
    </cfRule>
  </conditionalFormatting>
  <conditionalFormatting sqref="E143">
    <cfRule type="cellIs" dxfId="2" priority="39" operator="greaterThanOrEqual">
      <formula>0</formula>
    </cfRule>
    <cfRule type="cellIs" dxfId="3" priority="38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70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C57:C6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61:C66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68:C69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70:C7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0:C8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87:C90">
    <cfRule type="cellIs" dxfId="4" priority="10" operator="equal">
      <formula>0</formula>
    </cfRule>
  </conditionalFormatting>
  <conditionalFormatting sqref="C91:C9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98:C107">
    <cfRule type="cellIs" dxfId="1" priority="29" operator="lessThan">
      <formula>0</formula>
    </cfRule>
    <cfRule type="cellIs" dxfId="5" priority="28" operator="greaterThanOrEqual">
      <formula>0</formula>
    </cfRule>
  </conditionalFormatting>
  <conditionalFormatting sqref="C108:C109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18:E127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45:E15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72:E18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49 C47">
    <cfRule type="cellIs" dxfId="4" priority="18" operator="equal">
      <formula>0</formula>
    </cfRule>
  </conditionalFormatting>
  <conditionalFormatting sqref="C50:C55 C85 C78:C79 C95:C96">
    <cfRule type="cellIs" dxfId="0" priority="66" operator="equal">
      <formula>0</formula>
    </cfRule>
  </conditionalFormatting>
  <conditionalFormatting sqref="C50:C55 C85 C78:C79 C95:C96 E144 E155 E158:E162">
    <cfRule type="cellIs" dxfId="1" priority="65" operator="greaterThan">
      <formula>0</formula>
    </cfRule>
  </conditionalFormatting>
  <conditionalFormatting sqref="E117 E128 E131:E135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E144 E155 E158:E162">
    <cfRule type="cellIs" dxfId="5" priority="42" operator="equal">
      <formula>0</formula>
    </cfRule>
  </conditionalFormatting>
  <conditionalFormatting sqref="E171 E182 E185:E189">
    <cfRule type="cellIs" dxfId="5" priority="37" operator="equal">
      <formula>0</formula>
    </cfRule>
    <cfRule type="cellIs" dxfId="1" priority="36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02" workbookViewId="0">
      <selection activeCell="E130" sqref="C130:E130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2026 to October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12.9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20958.8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20971.7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352</v>
      </c>
      <c r="B11" s="99" t="s">
        <v>66</v>
      </c>
      <c r="C11" s="99"/>
      <c r="D11" s="100" t="s">
        <v>153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287</v>
      </c>
      <c r="C12" s="99"/>
      <c r="D12" s="100" t="s">
        <v>288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353</v>
      </c>
      <c r="B23" s="99" t="s">
        <v>66</v>
      </c>
      <c r="C23" s="99"/>
      <c r="D23" s="100" t="s">
        <v>153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287</v>
      </c>
      <c r="C24" s="99"/>
      <c r="D24" s="100" t="s">
        <v>288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354</v>
      </c>
      <c r="B35" s="99" t="s">
        <v>66</v>
      </c>
      <c r="C35" s="99"/>
      <c r="D35" s="100" t="s">
        <v>153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287</v>
      </c>
      <c r="C36" s="99"/>
      <c r="D36" s="100" t="s">
        <v>288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195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24.75" customHeight="1" spans="1:9">
      <c r="A48" s="101" t="s">
        <v>289</v>
      </c>
      <c r="B48" s="102" t="s">
        <v>296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245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297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287</v>
      </c>
      <c r="B90" s="104" t="s">
        <v>298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 ca="1">('April 2026 - June 2026'!C98)+SUM(E118+E145+E172)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 ca="1">('April 2026 - June 2026'!C99)+SUM(E119+E146+E173)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 ca="1">('April 2026 - June 2026'!C100)+SUM(E120+E147+E174)</f>
        <v>0</v>
      </c>
      <c r="D100" s="14"/>
      <c r="E100" s="14"/>
      <c r="F100" s="14"/>
      <c r="G100" s="14"/>
      <c r="H100" s="14"/>
      <c r="I100" s="50"/>
    </row>
    <row r="101" ht="46" customHeight="1" spans="1:9">
      <c r="A101" s="101" t="s">
        <v>106</v>
      </c>
      <c r="B101" s="36"/>
      <c r="C101" s="37">
        <f ca="1">('April 2026 - June 2026'!C101)+SUM(E121+E148+E175)</f>
        <v>0</v>
      </c>
      <c r="D101" s="14"/>
      <c r="E101" s="14"/>
      <c r="F101" s="14"/>
      <c r="G101" s="14"/>
      <c r="H101" s="14"/>
      <c r="I101" s="50"/>
    </row>
    <row r="102" ht="48" customHeight="1" spans="1:9">
      <c r="A102" s="101" t="s">
        <v>107</v>
      </c>
      <c r="B102" s="36"/>
      <c r="C102" s="37">
        <f ca="1">('April 2026 - June 2026'!C102)+SUM(E122+E149+E176)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 ca="1">('April 2026 - June 2026'!C103)+SUM(E123+E150+E177)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('April 2026 - June 2026'!C104)+SUM(E124+E151+E178)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('April 2026 - June 2026'!C105)+SUM(E125+E152+E179)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('April 2026 - June 2026'!C106)+SUM(E126+E153+E180)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('April 2026 - June 2026'!C107)+SUM(E127+E154+E181)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 ca="1"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20 2026 to August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"&amp;IF(Main!B2,TEXT(EDATE(Main!B3,27)-1,"mmmm yyyy"),TEXT(Main!B3+((Main!B5-Main!B3)*27+26),"mmmm yyyy"))</f>
        <v>Balance Brought Forward From July 2026</v>
      </c>
      <c r="B116" s="57"/>
      <c r="C116" s="58"/>
      <c r="D116" s="58"/>
      <c r="E116" s="71">
        <f>'April 2026 - June 2026'!E190</f>
        <v>16029.8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63" customHeight="1" spans="1:9">
      <c r="A129" s="63"/>
      <c r="B129" s="64"/>
      <c r="C129" s="108" t="s">
        <v>344</v>
      </c>
      <c r="D129" s="108"/>
      <c r="E129" s="109">
        <v>19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229</v>
      </c>
      <c r="D130" s="102"/>
      <c r="E130" s="110">
        <v>374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17724.8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20 2026 to September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"&amp;IF(Main!B2,TEXT(EDATE(Main!B3,28)-1,"mmmm yyyy"),TEXT(Main!B3+((Main!B5-Main!B3)*28+27),"mmmm yyyy"))</f>
        <v>Balance Brought Forward From August 2026</v>
      </c>
      <c r="B143" s="57"/>
      <c r="C143" s="58"/>
      <c r="D143" s="58"/>
      <c r="E143" s="94">
        <f>E136</f>
        <v>17724.8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76" customHeight="1" spans="1:9">
      <c r="A156" s="89"/>
      <c r="B156" s="90"/>
      <c r="C156" s="108" t="s">
        <v>333</v>
      </c>
      <c r="D156" s="111"/>
      <c r="E156" s="109">
        <v>175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229</v>
      </c>
      <c r="D157" s="102"/>
      <c r="E157" s="110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19263.8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20 2026 to October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"&amp;IF(Main!B2,TEXT(EDATE(Main!B3,29)-1,"mmmm yyyy"),TEXT(Main!B3+((Main!B5-Main!B3)*29+28),"mmmm yyyy"))</f>
        <v>Balance Brought Forward From September 2026</v>
      </c>
      <c r="B170" s="57"/>
      <c r="C170" s="58"/>
      <c r="D170" s="58"/>
      <c r="E170" s="97">
        <f>E163</f>
        <v>19263.8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80" customHeight="1" spans="1:9">
      <c r="A183" s="89"/>
      <c r="B183" s="90"/>
      <c r="C183" s="108" t="s">
        <v>355</v>
      </c>
      <c r="D183" s="108"/>
      <c r="E183" s="109">
        <v>19</v>
      </c>
      <c r="F183" s="14"/>
      <c r="G183" s="14"/>
      <c r="H183" s="14"/>
      <c r="I183" s="50"/>
    </row>
    <row r="184" ht="35" customHeight="1" spans="1:9">
      <c r="A184" s="89"/>
      <c r="B184" s="90"/>
      <c r="C184" s="102" t="s">
        <v>229</v>
      </c>
      <c r="D184" s="102"/>
      <c r="E184" s="110">
        <v>374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20958.8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8">
    <cfRule type="cellIs" dxfId="4" priority="19" operator="equal">
      <formula>0</formula>
    </cfRule>
  </conditionalFormatting>
  <conditionalFormatting sqref="C7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6" priority="11" operator="equal">
      <formula>0</formula>
    </cfRule>
  </conditionalFormatting>
  <conditionalFormatting sqref="E116">
    <cfRule type="cellIs" dxfId="2" priority="21" operator="greaterThanOrEqual">
      <formula>0</formula>
    </cfRule>
    <cfRule type="cellIs" dxfId="3" priority="20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2" operator="greaterThanOrEqual">
      <formula>0</formula>
    </cfRule>
    <cfRule type="cellIs" dxfId="3" priority="51" operator="lessThan">
      <formula>0</formula>
    </cfRule>
  </conditionalFormatting>
  <conditionalFormatting sqref="E143">
    <cfRule type="cellIs" dxfId="2" priority="39" operator="greaterThanOrEqual">
      <formula>0</formula>
    </cfRule>
    <cfRule type="cellIs" dxfId="3" priority="38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70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C57:C6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61:C66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68:C69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70:C7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0:C8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87:C90">
    <cfRule type="cellIs" dxfId="4" priority="10" operator="equal">
      <formula>0</formula>
    </cfRule>
  </conditionalFormatting>
  <conditionalFormatting sqref="C91:C9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98:C107">
    <cfRule type="cellIs" dxfId="1" priority="29" operator="lessThan">
      <formula>0</formula>
    </cfRule>
    <cfRule type="cellIs" dxfId="5" priority="28" operator="greaterThanOrEqual">
      <formula>0</formula>
    </cfRule>
  </conditionalFormatting>
  <conditionalFormatting sqref="C108:C109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18:E127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45:E15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72:E18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49 C47">
    <cfRule type="cellIs" dxfId="4" priority="18" operator="equal">
      <formula>0</formula>
    </cfRule>
  </conditionalFormatting>
  <conditionalFormatting sqref="C50:C55 C85 C78:C79 C95:C96">
    <cfRule type="cellIs" dxfId="0" priority="66" operator="equal">
      <formula>0</formula>
    </cfRule>
  </conditionalFormatting>
  <conditionalFormatting sqref="C50:C55 C85 C78:C79 C95:C96 E144 E155 E158:E162">
    <cfRule type="cellIs" dxfId="1" priority="65" operator="greaterThan">
      <formula>0</formula>
    </cfRule>
  </conditionalFormatting>
  <conditionalFormatting sqref="E117 E128 E131:E135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E144 E155 E158:E162">
    <cfRule type="cellIs" dxfId="5" priority="42" operator="equal">
      <formula>0</formula>
    </cfRule>
  </conditionalFormatting>
  <conditionalFormatting sqref="E171 E182 E185:E189">
    <cfRule type="cellIs" dxfId="5" priority="37" operator="equal">
      <formula>0</formula>
    </cfRule>
    <cfRule type="cellIs" dxfId="1" priority="36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5" workbookViewId="0">
      <selection activeCell="E184" sqref="C184:E184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2026 to January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12.9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25781.8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25794.7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356</v>
      </c>
      <c r="B11" s="99" t="s">
        <v>66</v>
      </c>
      <c r="C11" s="99"/>
      <c r="D11" s="100" t="s">
        <v>153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287</v>
      </c>
      <c r="C12" s="99"/>
      <c r="D12" s="100" t="s">
        <v>288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357</v>
      </c>
      <c r="B23" s="99" t="s">
        <v>66</v>
      </c>
      <c r="C23" s="99"/>
      <c r="D23" s="100" t="s">
        <v>153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287</v>
      </c>
      <c r="C24" s="99"/>
      <c r="D24" s="100" t="s">
        <v>288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358</v>
      </c>
      <c r="B35" s="99" t="s">
        <v>66</v>
      </c>
      <c r="C35" s="99"/>
      <c r="D35" s="100" t="s">
        <v>153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287</v>
      </c>
      <c r="C36" s="99"/>
      <c r="D36" s="100" t="s">
        <v>288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195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37" customHeight="1" spans="1:9">
      <c r="A48" s="101" t="s">
        <v>289</v>
      </c>
      <c r="B48" s="102" t="s">
        <v>296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245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41" customHeight="1" spans="1:9">
      <c r="A89" s="101" t="s">
        <v>97</v>
      </c>
      <c r="B89" s="102" t="s">
        <v>297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287</v>
      </c>
      <c r="B90" s="104" t="s">
        <v>298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 ca="1">('April 2026 - June 2026'!C98)+SUM(E118+E145+E172)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 ca="1">('April 2026 - June 2026'!C99)+SUM(E119+E146+E173)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 ca="1">('April 2026 - June 2026'!C100)+SUM(E120+E147+E174)</f>
        <v>0</v>
      </c>
      <c r="D100" s="14"/>
      <c r="E100" s="14"/>
      <c r="F100" s="14"/>
      <c r="G100" s="14"/>
      <c r="H100" s="14"/>
      <c r="I100" s="50"/>
    </row>
    <row r="101" ht="45" customHeight="1" spans="1:9">
      <c r="A101" s="101" t="s">
        <v>106</v>
      </c>
      <c r="B101" s="36"/>
      <c r="C101" s="37">
        <f ca="1">('April 2026 - June 2026'!C101)+SUM(E121+E148+E175)</f>
        <v>0</v>
      </c>
      <c r="D101" s="14"/>
      <c r="E101" s="14"/>
      <c r="F101" s="14"/>
      <c r="G101" s="14"/>
      <c r="H101" s="14"/>
      <c r="I101" s="50"/>
    </row>
    <row r="102" ht="55" customHeight="1" spans="1:9">
      <c r="A102" s="101" t="s">
        <v>107</v>
      </c>
      <c r="B102" s="36"/>
      <c r="C102" s="37">
        <f ca="1">('April 2026 - June 2026'!C102)+SUM(E122+E149+E176)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 ca="1">('July 2026 - September 2026'!C103)+SUM(E123+E150+E177)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('July 2026 - September 2026'!C104)+SUM(E124+E151+E178)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('July 2026 - September 2026'!C105)+SUM(E125+E152+E179)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('July 2026 - September 2026'!C106)+SUM(E126+E153+E180)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('July 2026 - September 2026'!C107)+SUM(E127+E154+E181)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 ca="1"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20 2026 to November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"&amp;IF(Main!B2,TEXT(EDATE(Main!B3,30)-1,"mmmm yyyy"),TEXT(Main!B3+((Main!B5-Main!B3)*30+29),"mmmm yyyy"))</f>
        <v>Balance Brought Forward From October 2026</v>
      </c>
      <c r="B116" s="57"/>
      <c r="C116" s="58"/>
      <c r="D116" s="58"/>
      <c r="E116" s="71">
        <f>'July 2026 - September 2026'!E190</f>
        <v>20958.8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59" customHeight="1" spans="1:9">
      <c r="A129" s="63"/>
      <c r="B129" s="64"/>
      <c r="C129" s="108" t="s">
        <v>338</v>
      </c>
      <c r="D129" s="108"/>
      <c r="E129" s="109">
        <v>125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229</v>
      </c>
      <c r="D130" s="102"/>
      <c r="E130" s="110">
        <v>374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22547.8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20 2026 to December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"&amp;IF(Main!B2,TEXT(EDATE(Main!B3,31)-1,"mmmm yyyy"),TEXT(Main!B3+((Main!B5-Main!B3)*31+30),"mmmm yyyy"))</f>
        <v>Balance Brought Forward From November 2026</v>
      </c>
      <c r="B143" s="57"/>
      <c r="C143" s="58"/>
      <c r="D143" s="58"/>
      <c r="E143" s="94">
        <f>E136</f>
        <v>22547.8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80" customHeight="1" spans="1:9">
      <c r="A156" s="89"/>
      <c r="B156" s="90"/>
      <c r="C156" s="108" t="s">
        <v>319</v>
      </c>
      <c r="D156" s="108"/>
      <c r="E156" s="109">
        <v>69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229</v>
      </c>
      <c r="D157" s="102"/>
      <c r="E157" s="110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24192.8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20 2026 to January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"&amp;IF(Main!B2,TEXT(EDATE(Main!B3,32)-1,"mmmm yyyy"),TEXT(Main!B3+((Main!B5-Main!B3)*32+31),"mmmm yyyy"))</f>
        <v>Balance Brought Forward From December 2026</v>
      </c>
      <c r="B170" s="57"/>
      <c r="C170" s="58"/>
      <c r="D170" s="58"/>
      <c r="E170" s="97">
        <f>E163</f>
        <v>24192.8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78" customHeight="1" spans="1:9">
      <c r="A183" s="89"/>
      <c r="B183" s="90"/>
      <c r="C183" s="108" t="s">
        <v>338</v>
      </c>
      <c r="D183" s="108"/>
      <c r="E183" s="109">
        <v>125</v>
      </c>
      <c r="F183" s="14"/>
      <c r="G183" s="14"/>
      <c r="H183" s="14"/>
      <c r="I183" s="50"/>
    </row>
    <row r="184" ht="24.75" customHeight="1" spans="1:9">
      <c r="A184" s="89"/>
      <c r="B184" s="90"/>
      <c r="C184" s="102" t="s">
        <v>229</v>
      </c>
      <c r="D184" s="102"/>
      <c r="E184" s="110">
        <v>374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spans="1:9">
      <c r="A190" s="80"/>
      <c r="B190" s="81"/>
      <c r="C190" s="82" t="s">
        <v>114</v>
      </c>
      <c r="D190" s="82"/>
      <c r="E190" s="97">
        <f>(F40+E170)-(SUM(E172:E181)+SUM(E183:E189))</f>
        <v>25781.8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8">
    <cfRule type="cellIs" dxfId="4" priority="21" operator="equal">
      <formula>0</formula>
    </cfRule>
  </conditionalFormatting>
  <conditionalFormatting sqref="C7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77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0">
    <cfRule type="cellIs" dxfId="6" priority="13" operator="equal">
      <formula>0</formula>
    </cfRule>
  </conditionalFormatting>
  <conditionalFormatting sqref="E116">
    <cfRule type="cellIs" dxfId="2" priority="23" operator="greaterThanOrEqual">
      <formula>0</formula>
    </cfRule>
    <cfRule type="cellIs" dxfId="3" priority="22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4" operator="greaterThanOrEqual">
      <formula>0</formula>
    </cfRule>
    <cfRule type="cellIs" dxfId="3" priority="53" operator="lessThan">
      <formula>0</formula>
    </cfRule>
  </conditionalFormatting>
  <conditionalFormatting sqref="E14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3" operator="greaterThanOrEqual">
      <formula>0</formula>
    </cfRule>
    <cfRule type="cellIs" dxfId="3" priority="42" operator="lessThan">
      <formula>0</formula>
    </cfRule>
  </conditionalFormatting>
  <conditionalFormatting sqref="E17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C57:C60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61:C66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68:C69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70:C7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80:C8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7:C90">
    <cfRule type="cellIs" dxfId="4" priority="12" operator="equal">
      <formula>0</formula>
    </cfRule>
  </conditionalFormatting>
  <conditionalFormatting sqref="C91:C9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8:C102">
    <cfRule type="cellIs" dxfId="1" priority="11" operator="lessThan">
      <formula>0</formula>
    </cfRule>
    <cfRule type="cellIs" dxfId="5" priority="10" operator="greaterThanOrEqual">
      <formula>0</formula>
    </cfRule>
  </conditionalFormatting>
  <conditionalFormatting sqref="C103:C107">
    <cfRule type="cellIs" dxfId="1" priority="31" operator="lessThan">
      <formula>0</formula>
    </cfRule>
    <cfRule type="cellIs" dxfId="5" priority="30" operator="greaterThanOrEqual">
      <formula>0</formula>
    </cfRule>
  </conditionalFormatting>
  <conditionalFormatting sqref="C108:C109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18:E127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E145:E15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72:E18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49 C47">
    <cfRule type="cellIs" dxfId="4" priority="20" operator="equal">
      <formula>0</formula>
    </cfRule>
  </conditionalFormatting>
  <conditionalFormatting sqref="C50:C55 C85 C78:C79 C95:C96">
    <cfRule type="cellIs" dxfId="0" priority="68" operator="equal">
      <formula>0</formula>
    </cfRule>
  </conditionalFormatting>
  <conditionalFormatting sqref="C50:C55 C85 C78:C79 C95:C96 E144 E155 E158:E162">
    <cfRule type="cellIs" dxfId="1" priority="67" operator="greaterThan">
      <formula>0</formula>
    </cfRule>
  </conditionalFormatting>
  <conditionalFormatting sqref="E117 E128 E131:E13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E144 E155 E158:E162">
    <cfRule type="cellIs" dxfId="5" priority="44" operator="equal">
      <formula>0</formula>
    </cfRule>
  </conditionalFormatting>
  <conditionalFormatting sqref="E171 E182 E185:E189">
    <cfRule type="cellIs" dxfId="5" priority="39" operator="equal">
      <formula>0</formula>
    </cfRule>
    <cfRule type="cellIs" dxfId="1" priority="38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42" workbookViewId="0">
      <selection activeCell="E130" sqref="C130:E130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2027 to April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12.9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30710.8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30723.7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340</v>
      </c>
      <c r="B11" s="99" t="s">
        <v>66</v>
      </c>
      <c r="C11" s="99"/>
      <c r="D11" s="100" t="s">
        <v>153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287</v>
      </c>
      <c r="C12" s="99"/>
      <c r="D12" s="100" t="s">
        <v>288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341</v>
      </c>
      <c r="B23" s="99" t="s">
        <v>66</v>
      </c>
      <c r="C23" s="99"/>
      <c r="D23" s="100" t="s">
        <v>153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287</v>
      </c>
      <c r="C24" s="99"/>
      <c r="D24" s="100" t="s">
        <v>288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359</v>
      </c>
      <c r="B35" s="99" t="s">
        <v>66</v>
      </c>
      <c r="C35" s="99"/>
      <c r="D35" s="100" t="s">
        <v>153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287</v>
      </c>
      <c r="C36" s="99"/>
      <c r="D36" s="100" t="s">
        <v>288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195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45" customHeight="1" spans="1:9">
      <c r="A48" s="101" t="s">
        <v>289</v>
      </c>
      <c r="B48" s="102" t="s">
        <v>296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245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297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287</v>
      </c>
      <c r="B90" s="104" t="s">
        <v>298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 ca="1">('April 2026 - June 2026'!C98)+SUM(E118+E145+E172)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 ca="1">('April 2026 - June 2026'!C99)+SUM(E119+E146+E173)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 ca="1">('April 2026 - June 2026'!C100)+SUM(E120+E147+E174)</f>
        <v>0</v>
      </c>
      <c r="D100" s="14"/>
      <c r="E100" s="14"/>
      <c r="F100" s="14"/>
      <c r="G100" s="14"/>
      <c r="H100" s="14"/>
      <c r="I100" s="50"/>
    </row>
    <row r="101" ht="39" customHeight="1" spans="1:9">
      <c r="A101" s="101" t="s">
        <v>106</v>
      </c>
      <c r="B101" s="36"/>
      <c r="C101" s="37">
        <f ca="1">('April 2026 - June 2026'!C101)+SUM(E121+E148+E175)</f>
        <v>0</v>
      </c>
      <c r="D101" s="14"/>
      <c r="E101" s="14"/>
      <c r="F101" s="14"/>
      <c r="G101" s="14"/>
      <c r="H101" s="14"/>
      <c r="I101" s="50"/>
    </row>
    <row r="102" ht="45" customHeight="1" spans="1:9">
      <c r="A102" s="101" t="s">
        <v>107</v>
      </c>
      <c r="B102" s="36"/>
      <c r="C102" s="37">
        <f ca="1">('April 2026 - June 2026'!C102)+SUM(E122+E149+E176)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 ca="1">('October 2026 - December 2026'!C103)+SUM(E123+E150+E177)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('October 2026 - December 2026'!C104)+SUM(E124+E151+E178)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('October 2026 - December 2026'!C105)+SUM(E125+E152+E179)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('October 2026 - December 2026'!C106)+SUM(E126+E153+E180)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('October 2026 - December 2026'!C107)+SUM(E127+E154+E181)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 ca="1"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20 2027 to February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"&amp;IF(Main!B2,TEXT(EDATE(Main!B3,33)-1,"mmmm yyyy"),TEXT(Main!B3+((Main!B5-Main!B3)*33+32),"mmmm yyyy"))</f>
        <v>Balance Brought Forward From January 2027</v>
      </c>
      <c r="B116" s="57"/>
      <c r="C116" s="58"/>
      <c r="D116" s="58"/>
      <c r="E116" s="71">
        <f>'October 2026 - December 2026'!E190</f>
        <v>25781.8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74" customHeight="1" spans="1:9">
      <c r="A129" s="63"/>
      <c r="B129" s="64"/>
      <c r="C129" s="108" t="s">
        <v>344</v>
      </c>
      <c r="D129" s="108"/>
      <c r="E129" s="109">
        <v>19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229</v>
      </c>
      <c r="D130" s="102"/>
      <c r="E130" s="110">
        <v>374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27476.8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20 2027 to March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"&amp;IF(Main!B2,TEXT(EDATE(Main!B3,34)-1,"mmmm yyyy"),TEXT(Main!B3+((Main!B5-Main!B3)*34+33),"mmmm yyyy"))</f>
        <v>Balance Brought Forward From February 2027</v>
      </c>
      <c r="B143" s="57"/>
      <c r="C143" s="58"/>
      <c r="D143" s="58"/>
      <c r="E143" s="94">
        <f>E136</f>
        <v>27476.8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104" customHeight="1" spans="1:9">
      <c r="A156" s="89"/>
      <c r="B156" s="90"/>
      <c r="C156" s="108" t="s">
        <v>333</v>
      </c>
      <c r="D156" s="108"/>
      <c r="E156" s="109">
        <v>175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229</v>
      </c>
      <c r="D157" s="102"/>
      <c r="E157" s="110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29015.8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20 2027 to April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"&amp;IF(Main!B2,TEXT(EDATE(Main!B3,35)-1,"mmmm yyyy"),TEXT(Main!B3+((Main!B5-Main!B3)*35+34),"mmmm yyyy"))</f>
        <v>Balance Brought Forward From March 2027</v>
      </c>
      <c r="B170" s="57"/>
      <c r="C170" s="58"/>
      <c r="D170" s="58"/>
      <c r="E170" s="97">
        <f>E163</f>
        <v>29015.8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93" customHeight="1" spans="1:9">
      <c r="A183" s="89"/>
      <c r="B183" s="90"/>
      <c r="C183" s="108" t="s">
        <v>344</v>
      </c>
      <c r="D183" s="108"/>
      <c r="E183" s="109">
        <v>19</v>
      </c>
      <c r="F183" s="14"/>
      <c r="G183" s="14"/>
      <c r="H183" s="14"/>
      <c r="I183" s="50"/>
    </row>
    <row r="184" ht="24.75" customHeight="1" spans="1:9">
      <c r="A184" s="89"/>
      <c r="B184" s="90"/>
      <c r="C184" s="102" t="s">
        <v>229</v>
      </c>
      <c r="D184" s="102"/>
      <c r="E184" s="110">
        <v>374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30710.8</v>
      </c>
      <c r="F190" s="14"/>
      <c r="G190" s="14"/>
      <c r="H190" s="14"/>
      <c r="I190" s="50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8">
    <cfRule type="cellIs" dxfId="4" priority="21" operator="equal">
      <formula>0</formula>
    </cfRule>
  </conditionalFormatting>
  <conditionalFormatting sqref="C7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77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0">
    <cfRule type="cellIs" dxfId="6" priority="13" operator="equal">
      <formula>0</formula>
    </cfRule>
  </conditionalFormatting>
  <conditionalFormatting sqref="E116">
    <cfRule type="cellIs" dxfId="2" priority="23" operator="greaterThanOrEqual">
      <formula>0</formula>
    </cfRule>
    <cfRule type="cellIs" dxfId="3" priority="22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4" operator="greaterThanOrEqual">
      <formula>0</formula>
    </cfRule>
    <cfRule type="cellIs" dxfId="3" priority="53" operator="lessThan">
      <formula>0</formula>
    </cfRule>
  </conditionalFormatting>
  <conditionalFormatting sqref="E14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3" operator="greaterThanOrEqual">
      <formula>0</formula>
    </cfRule>
    <cfRule type="cellIs" dxfId="3" priority="42" operator="lessThan">
      <formula>0</formula>
    </cfRule>
  </conditionalFormatting>
  <conditionalFormatting sqref="E17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C57:C60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61:C66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68:C69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70:C7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80:C8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7:C90">
    <cfRule type="cellIs" dxfId="4" priority="12" operator="equal">
      <formula>0</formula>
    </cfRule>
  </conditionalFormatting>
  <conditionalFormatting sqref="C91:C9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8:C102">
    <cfRule type="cellIs" dxfId="1" priority="11" operator="lessThan">
      <formula>0</formula>
    </cfRule>
    <cfRule type="cellIs" dxfId="5" priority="10" operator="greaterThanOrEqual">
      <formula>0</formula>
    </cfRule>
  </conditionalFormatting>
  <conditionalFormatting sqref="C103:C107">
    <cfRule type="cellIs" dxfId="1" priority="31" operator="lessThan">
      <formula>0</formula>
    </cfRule>
    <cfRule type="cellIs" dxfId="5" priority="30" operator="greaterThanOrEqual">
      <formula>0</formula>
    </cfRule>
  </conditionalFormatting>
  <conditionalFormatting sqref="C108:C109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18:E127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E145:E15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72:E18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49 C47">
    <cfRule type="cellIs" dxfId="4" priority="20" operator="equal">
      <formula>0</formula>
    </cfRule>
  </conditionalFormatting>
  <conditionalFormatting sqref="C50:C55 C85 C78:C79 C95:C96">
    <cfRule type="cellIs" dxfId="0" priority="68" operator="equal">
      <formula>0</formula>
    </cfRule>
  </conditionalFormatting>
  <conditionalFormatting sqref="C50:C55 C85 C78:C79 C95:C96 E144 E155 E158:E162">
    <cfRule type="cellIs" dxfId="1" priority="67" operator="greaterThan">
      <formula>0</formula>
    </cfRule>
  </conditionalFormatting>
  <conditionalFormatting sqref="E117 E128 E131:E13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E144 E155 E158:E162">
    <cfRule type="cellIs" dxfId="5" priority="44" operator="equal">
      <formula>0</formula>
    </cfRule>
  </conditionalFormatting>
  <conditionalFormatting sqref="E171 E182 E185:E189">
    <cfRule type="cellIs" dxfId="5" priority="39" operator="equal">
      <formula>0</formula>
    </cfRule>
    <cfRule type="cellIs" dxfId="1" priority="38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30" workbookViewId="0">
      <selection activeCell="C184" sqref="C184:D184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2027 to July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12.9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35533.8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35546.7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345</v>
      </c>
      <c r="B11" s="99" t="s">
        <v>66</v>
      </c>
      <c r="C11" s="99"/>
      <c r="D11" s="100" t="s">
        <v>153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287</v>
      </c>
      <c r="C12" s="99"/>
      <c r="D12" s="100" t="s">
        <v>288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346</v>
      </c>
      <c r="B23" s="99" t="s">
        <v>66</v>
      </c>
      <c r="C23" s="99"/>
      <c r="D23" s="100" t="s">
        <v>153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287</v>
      </c>
      <c r="C24" s="99"/>
      <c r="D24" s="100" t="s">
        <v>288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347</v>
      </c>
      <c r="B35" s="99" t="s">
        <v>66</v>
      </c>
      <c r="C35" s="99"/>
      <c r="D35" s="100" t="s">
        <v>153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287</v>
      </c>
      <c r="C36" s="99"/>
      <c r="D36" s="100" t="s">
        <v>288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195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46" customHeight="1" spans="1:9">
      <c r="A48" s="101" t="s">
        <v>289</v>
      </c>
      <c r="B48" s="102" t="s">
        <v>296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245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52" customHeight="1" spans="1:9">
      <c r="A89" s="101" t="s">
        <v>97</v>
      </c>
      <c r="B89" s="102" t="s">
        <v>297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287</v>
      </c>
      <c r="B90" s="104" t="s">
        <v>298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 ca="1">('January 2027 - March 2027'!C98)+SUM(E118+E145+E172)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 ca="1">('January 2027 - March 2027'!C99)+SUM(E119+E146+E173)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 ca="1">('January 2027 - March 2027'!C100)+SUM(E120+E147+E174)</f>
        <v>0</v>
      </c>
      <c r="D100" s="14"/>
      <c r="E100" s="14"/>
      <c r="F100" s="14"/>
      <c r="G100" s="14"/>
      <c r="H100" s="14"/>
      <c r="I100" s="50"/>
    </row>
    <row r="101" ht="43" customHeight="1" spans="1:9">
      <c r="A101" s="101" t="s">
        <v>106</v>
      </c>
      <c r="B101" s="36"/>
      <c r="C101" s="37">
        <f ca="1">('January 2027 - March 2027'!C101)+SUM(E121+E148+E175)</f>
        <v>0</v>
      </c>
      <c r="D101" s="14"/>
      <c r="E101" s="14"/>
      <c r="F101" s="14"/>
      <c r="G101" s="14"/>
      <c r="H101" s="14"/>
      <c r="I101" s="50"/>
    </row>
    <row r="102" ht="42" customHeight="1" spans="1:9">
      <c r="A102" s="101" t="s">
        <v>107</v>
      </c>
      <c r="B102" s="36"/>
      <c r="C102" s="37">
        <f ca="1">('January 2027 - March 2027'!C102)+SUM(E122+E149+E176)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 ca="1">('January 2027 - March 2027'!C103)+SUM(E123+E150+E177)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('January 2027 - March 2027'!C104)+SUM(E124+E151+E178)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('January 2027 - March 2027'!C105)+SUM(E125+E152+E179)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('January 2027 - March 2027'!C106)+SUM(E126+E153+E180)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('January 2027 - March 2027'!C107)+SUM(E127+E154+E181)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 ca="1"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20 2027 to May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"&amp;IF(Main!B2,TEXT(EDATE(Main!B3,37)-1,"mmmm yyyy"),TEXT(Main!B3+((Main!B5-Main!B3)*37+36),"mmmm yyyy"))</f>
        <v>Balance Brought Forward From May 2027</v>
      </c>
      <c r="B116" s="57"/>
      <c r="C116" s="58"/>
      <c r="D116" s="58"/>
      <c r="E116" s="71">
        <f>'January 2027 - March 2027'!E190</f>
        <v>30710.8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59" customHeight="1" spans="1:9">
      <c r="A129" s="63"/>
      <c r="B129" s="64"/>
      <c r="C129" s="108" t="s">
        <v>338</v>
      </c>
      <c r="D129" s="108"/>
      <c r="E129" s="109">
        <v>125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229</v>
      </c>
      <c r="D130" s="102"/>
      <c r="E130" s="110">
        <v>374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32299.8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20 2027 to June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"&amp;IF(Main!B2,TEXT(EDATE(Main!B3,37)-1,"mmmm yyyy"),TEXT(Main!B3+((Main!B5-Main!B3)*37+36),"mmmm yyyy"))</f>
        <v>Balance Brought Forward From May 2027</v>
      </c>
      <c r="B143" s="57"/>
      <c r="C143" s="58"/>
      <c r="D143" s="58"/>
      <c r="E143" s="94">
        <f>E136</f>
        <v>32299.8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87" customHeight="1" spans="1:9">
      <c r="A156" s="89"/>
      <c r="B156" s="90"/>
      <c r="C156" s="108" t="s">
        <v>360</v>
      </c>
      <c r="D156" s="108"/>
      <c r="E156" s="109">
        <v>69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229</v>
      </c>
      <c r="D157" s="102"/>
      <c r="E157" s="110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33944.8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20 2027 to July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"&amp;IF(Main!B2,TEXT(EDATE(Main!B3,38)-1,"mmmm yyyy"),TEXT(Main!B3+((Main!B5-Main!B3)*38+37),"mmmm yyyy"))</f>
        <v>Balance Brought Forward From June 2027</v>
      </c>
      <c r="B170" s="57"/>
      <c r="C170" s="58"/>
      <c r="D170" s="58"/>
      <c r="E170" s="97">
        <f>E163</f>
        <v>33944.8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78" customHeight="1" spans="1:9">
      <c r="A183" s="89"/>
      <c r="B183" s="90"/>
      <c r="C183" s="108" t="s">
        <v>338</v>
      </c>
      <c r="D183" s="108"/>
      <c r="E183" s="109">
        <v>125</v>
      </c>
      <c r="F183" s="14"/>
      <c r="G183" s="14"/>
      <c r="H183" s="14"/>
      <c r="I183" s="50"/>
    </row>
    <row r="184" ht="24.75" customHeight="1" spans="1:9">
      <c r="A184" s="89"/>
      <c r="B184" s="90"/>
      <c r="C184" s="102" t="s">
        <v>229</v>
      </c>
      <c r="D184" s="102"/>
      <c r="E184" s="110">
        <v>374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spans="1:9">
      <c r="A190" s="80"/>
      <c r="B190" s="81"/>
      <c r="C190" s="82" t="s">
        <v>114</v>
      </c>
      <c r="D190" s="82"/>
      <c r="E190" s="97">
        <f>(F40+E170)-(SUM(E172:E181)+SUM(E183:E189))</f>
        <v>35533.8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  <row r="194" ht="24.75" customHeight="1"/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8">
    <cfRule type="cellIs" dxfId="4" priority="19" operator="equal">
      <formula>0</formula>
    </cfRule>
  </conditionalFormatting>
  <conditionalFormatting sqref="C7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6" priority="11" operator="equal">
      <formula>0</formula>
    </cfRule>
  </conditionalFormatting>
  <conditionalFormatting sqref="E116">
    <cfRule type="cellIs" dxfId="2" priority="21" operator="greaterThanOrEqual">
      <formula>0</formula>
    </cfRule>
    <cfRule type="cellIs" dxfId="3" priority="20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2" operator="greaterThanOrEqual">
      <formula>0</formula>
    </cfRule>
    <cfRule type="cellIs" dxfId="3" priority="51" operator="lessThan">
      <formula>0</formula>
    </cfRule>
  </conditionalFormatting>
  <conditionalFormatting sqref="E143">
    <cfRule type="cellIs" dxfId="2" priority="39" operator="greaterThanOrEqual">
      <formula>0</formula>
    </cfRule>
    <cfRule type="cellIs" dxfId="3" priority="38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70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C57:C6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61:C66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68:C69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70:C7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0:C8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87:C90">
    <cfRule type="cellIs" dxfId="4" priority="10" operator="equal">
      <formula>0</formula>
    </cfRule>
  </conditionalFormatting>
  <conditionalFormatting sqref="C91:C9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98:C107">
    <cfRule type="cellIs" dxfId="1" priority="29" operator="lessThan">
      <formula>0</formula>
    </cfRule>
    <cfRule type="cellIs" dxfId="5" priority="28" operator="greaterThanOrEqual">
      <formula>0</formula>
    </cfRule>
  </conditionalFormatting>
  <conditionalFormatting sqref="C108:C109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18:E127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45:E15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72:E18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49 C47">
    <cfRule type="cellIs" dxfId="4" priority="18" operator="equal">
      <formula>0</formula>
    </cfRule>
  </conditionalFormatting>
  <conditionalFormatting sqref="C50:C55 C85 C78:C79 C95:C96">
    <cfRule type="cellIs" dxfId="0" priority="66" operator="equal">
      <formula>0</formula>
    </cfRule>
  </conditionalFormatting>
  <conditionalFormatting sqref="C50:C55 C85 C78:C79 C95:C96 E144 E155 E158:E162">
    <cfRule type="cellIs" dxfId="1" priority="65" operator="greaterThan">
      <formula>0</formula>
    </cfRule>
  </conditionalFormatting>
  <conditionalFormatting sqref="E117 E128 E131:E135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E144 E155 E158:E162">
    <cfRule type="cellIs" dxfId="5" priority="42" operator="equal">
      <formula>0</formula>
    </cfRule>
  </conditionalFormatting>
  <conditionalFormatting sqref="E171 E182 E185:E189">
    <cfRule type="cellIs" dxfId="5" priority="37" operator="equal">
      <formula>0</formula>
    </cfRule>
    <cfRule type="cellIs" dxfId="1" priority="36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2" sqref="C2:G2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2027 to October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12.9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35533.8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35546.7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5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 ca="1">('April 2027 - June 2027'!C98)+SUM(E118+E145+E172)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 ca="1">('April 2027 - June 2027'!C99)+SUM(E119+E146+E173)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 ca="1">('April 2027 - June 2027'!C100)+SUM(E120+E147+E174)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 ca="1">('April 2027 - June 2027'!C101)+SUM(E121+E148+E175)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 ca="1">('April 2027 - June 2027'!C102)+SUM(E122+E149+E176)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 ca="1">('April 2027 - June 2027'!C103)+SUM(E123+E150+E177)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('April 2027 - June 2027'!C104)+SUM(E124+E151+E178)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('April 2027 - June 2027'!C105)+SUM(E125+E152+E179)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('April 2027 - June 2027'!C106)+SUM(E126+E153+E180)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('April 2027 - June 2027'!C107)+SUM(E127+E154+E181)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 ca="1"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 ca="1"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20 2027 to August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"&amp;IF(Main!B2,TEXT(EDATE(Main!B3,39)-1,"mmmm yyyy"),TEXT(Main!B3+((Main!B5-Main!B3)*39+38),"mmmm yyyy"))</f>
        <v>Balance Brought Forward From July 2027</v>
      </c>
      <c r="B116" s="57"/>
      <c r="C116" s="58"/>
      <c r="D116" s="58"/>
      <c r="E116" s="71">
        <f>'April 2027 - June 2027'!E190</f>
        <v>35533.8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35533.8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20 2027 to September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"&amp;IF(Main!B2,TEXT(EDATE(Main!B3,40)-1,"mmmm yyyy"),TEXT(Main!B3+((Main!B5-Main!B3)*40+39),"mmmm yyyy"))</f>
        <v>Balance Brought Forward From August 2027</v>
      </c>
      <c r="B143" s="57"/>
      <c r="C143" s="58"/>
      <c r="D143" s="58"/>
      <c r="E143" s="94">
        <f>E136</f>
        <v>35533.8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35533.8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20 2027 to October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"&amp;IF(Main!B2,TEXT(EDATE(Main!B3,41)-1,"mmmm yyyy"),TEXT(Main!B3+((Main!B5-Main!B3)*41+40),"mmmm yyyy"))</f>
        <v>Balance Brought Forward From September 2027</v>
      </c>
      <c r="B170" s="57"/>
      <c r="C170" s="58"/>
      <c r="D170" s="58"/>
      <c r="E170" s="97">
        <f>E163</f>
        <v>35533.8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35533.8</v>
      </c>
      <c r="F190" s="14"/>
      <c r="G190" s="14"/>
      <c r="H190" s="14"/>
      <c r="I190" s="50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188" sqref="C183:D188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2027 to January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12.9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35533.8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35546.7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 ca="1">(Forecast_14!C98)+SUM(E118+E145+E172)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 ca="1">(Forecast_14!C99)+SUM(E119+E146+E173)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 ca="1">(Forecast_14!C100)+SUM(E120+E147+E174)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 ca="1">(Forecast_14!C101)+SUM(E121+E148+E175)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 ca="1">(Forecast_14!C102)+SUM(E122+E149+E176)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 ca="1">(Forecast_14!C103)+SUM(E123+E150+E177)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(Forecast_14!C104)+SUM(E124+E151+E178)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(Forecast_14!C105)+SUM(E125+E152+E179)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(Forecast_14!C106)+SUM(E126+E153+E180)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(Forecast_14!C107)+SUM(E127+E154+E181)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 ca="1"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 ca="1"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20 2027 to November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"&amp;IF(Main!B2,TEXT(EDATE(Main!B3,42)-1,"mmmm yyyy"),TEXT(Main!B3+((Main!B5-Main!B3)*42+41),"mmmm yyyy"))</f>
        <v>Balance Brought Forward From October 2027</v>
      </c>
      <c r="B116" s="57"/>
      <c r="C116" s="58"/>
      <c r="D116" s="58"/>
      <c r="E116" s="71">
        <f>Forecast_14!E190</f>
        <v>35533.8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35533.8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20 2027 to December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"&amp;IF(Main!B2,TEXT(EDATE(Main!B3,43)-1,"mmmm yyyy"),TEXT(Main!B3+((Main!B5-Main!B3)*43+42),"mmmm yyyy"))</f>
        <v>Balance Brought Forward From November 2027</v>
      </c>
      <c r="B143" s="57"/>
      <c r="C143" s="58"/>
      <c r="D143" s="58"/>
      <c r="E143" s="94">
        <f>E136</f>
        <v>35533.8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35533.8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20 2027 to January 19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"&amp;IF(Main!B2,TEXT(EDATE(Main!B3,44)-1,"mmmm yyyy"),TEXT(Main!B3+((Main!B5-Main!B3)*44+43),"mmmm yyyy"))</f>
        <v>Balance Brought Forward From December 2027</v>
      </c>
      <c r="B170" s="57"/>
      <c r="C170" s="58"/>
      <c r="D170" s="58"/>
      <c r="E170" s="97">
        <f>E163</f>
        <v>35533.8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spans="1:9">
      <c r="A190" s="80"/>
      <c r="B190" s="81"/>
      <c r="C190" s="82" t="s">
        <v>114</v>
      </c>
      <c r="D190" s="82"/>
      <c r="E190" s="97">
        <f>(F40+E170)-(SUM(E172:E181)+SUM(E183:E189))</f>
        <v>35533.8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57" workbookViewId="0">
      <selection activeCell="C188" sqref="C183:D188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2028 to April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12.9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35533.8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35546.7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 ca="1">(Forecast_15!C98)+SUM(E118+E145+E172)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 ca="1">(Forecast_15!C99)+SUM(E119+E146+E173)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 ca="1">(Forecast_15!C100)+SUM(E120+E147+E174)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 ca="1">(Forecast_15!C101)+SUM(E121+E148+E175)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 ca="1">(Forecast_15!C102)+SUM(E122+E149+E176)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 ca="1">(Forecast_15!C103)+SUM(E123+E150+E177)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(Forecast_15!C104)+SUM(E124+E151+E178)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(Forecast_15!C105)+SUM(E125+E152+E179)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(Forecast_15!C106)+SUM(E126+E153+E180)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(Forecast_15!C107)+SUM(E127+E154+E181)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 ca="1"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 ca="1"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20 2028 to February 19 2028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"&amp;IF(Main!B2,TEXT(EDATE(Main!B3,45)-1,"mmmm yyyy"),TEXT(Main!B3+((Main!B5-Main!B3)*45+44),"mmmm yyyy"))</f>
        <v>Balance Brought Forward From January 2028</v>
      </c>
      <c r="B116" s="57"/>
      <c r="C116" s="58"/>
      <c r="D116" s="58"/>
      <c r="E116" s="71">
        <f>Forecast_15!E190</f>
        <v>35533.8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35533.8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20 2028 to March 19 2028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"&amp;IF(Main!B2,TEXT(EDATE(Main!B3,46)-1,"mmmm yyyy"),TEXT(Main!B3+((Main!B5-Main!B3)*46+45),"mmmm yyyy"))</f>
        <v>Balance Brought Forward From February 2028</v>
      </c>
      <c r="B143" s="57"/>
      <c r="C143" s="58"/>
      <c r="D143" s="58"/>
      <c r="E143" s="94">
        <f>E136</f>
        <v>35533.8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35533.8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20 2028 to April 19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"&amp;IF(Main!B2,TEXT(EDATE(Main!B3,47)-1,"mmmm yyyy"),TEXT(Main!B3+((Main!B5-Main!B3)*47+46),"mmmm yyyy"))</f>
        <v>Balance Brought Forward From March 2028</v>
      </c>
      <c r="B170" s="57"/>
      <c r="C170" s="58"/>
      <c r="D170" s="58"/>
      <c r="E170" s="97">
        <f>E163</f>
        <v>35533.8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35533.8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/>
  <rangeList sheetStid="1" master="" otherUserPermission="visible"/>
  <rangeList sheetStid="2" master="" otherUserPermission="visible"/>
  <rangeList sheetStid="4" master="" otherUserPermission="visible"/>
  <rangeList sheetStid="5" master="" otherUserPermission="visible"/>
  <rangeList sheetStid="6" master="" otherUserPermission="visible"/>
  <rangeList sheetStid="7" master="" otherUserPermission="visible"/>
  <rangeList sheetStid="8" master="" otherUserPermission="visible"/>
  <rangeList sheetStid="9" master="" otherUserPermission="visible"/>
  <rangeList sheetStid="10" master="" otherUserPermission="visible"/>
  <rangeList sheetStid="11" master="" otherUserPermission="visible"/>
  <rangeList sheetStid="12" master="" otherUserPermission="visible"/>
  <rangeList sheetStid="13" master="" otherUserPermission="visible"/>
  <rangeList sheetStid="14" master="" otherUserPermission="visible"/>
  <rangeList sheetStid="15" master="" otherUserPermission="visible"/>
  <rangeList sheetStid="16" master="" otherUserPermission="visible"/>
  <rangeList sheetStid="17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April 2024 - June 2024</vt:lpstr>
      <vt:lpstr>July 2024 - September 2024</vt:lpstr>
      <vt:lpstr>October 2024 - December 2024</vt:lpstr>
      <vt:lpstr>January 2025 - March 2025</vt:lpstr>
      <vt:lpstr>April 2025 - June 2025</vt:lpstr>
      <vt:lpstr>July 2025 - September 2025</vt:lpstr>
      <vt:lpstr>October 2025 - December 2025</vt:lpstr>
      <vt:lpstr>January 2026 - March 2026</vt:lpstr>
      <vt:lpstr>April 2026 - June 2026</vt:lpstr>
      <vt:lpstr>July 2026 - September 2026</vt:lpstr>
      <vt:lpstr>October 2026 - December 2026</vt:lpstr>
      <vt:lpstr>January 2027 - March 2027</vt:lpstr>
      <vt:lpstr>April 2027 - June 2027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2025-02-25T05:27:00Z</dcterms:created>
  <dcterms:modified xsi:type="dcterms:W3CDTF">2025-03-17T22:44:25Z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AE399AD765BA60CD988AC66725DD78B7_42</vt:lpwstr>
  </property>
  <property fmtid="{D5CDD505-2E9C-101B-9397-08002B2CF9AE}" pid="3" name="KSOProductBuildVer">
    <vt:lpwstr>1033-6.11.0.8608</vt:lpwstr>
  </property>
</Properties>
</file>