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/>
  </bookViews>
  <sheets>
    <sheet name="Cover Page" sheetId="18" r:id="rId1"/>
    <sheet name="Main" sheetId="3" r:id="rId2"/>
    <sheet name="April 2024 - June 2024" sheetId="1" r:id="rId3"/>
    <sheet name="July 2024 - September 2024" sheetId="2" r:id="rId4"/>
    <sheet name="October 2024 - December 2024" sheetId="4" r:id="rId5"/>
    <sheet name="January 2025 - March 2025" sheetId="5" r:id="rId6"/>
    <sheet name="April 2025 - June 2025" sheetId="6" r:id="rId7"/>
    <sheet name="July 2025 - September 2025" sheetId="7" r:id="rId8"/>
    <sheet name="October 2025 - December 2025" sheetId="8" r:id="rId9"/>
    <sheet name="January 2026 - March 2026" sheetId="9" r:id="rId10"/>
    <sheet name="April 2026 - June 2026" sheetId="10" r:id="rId11"/>
    <sheet name="July 2026 - September 2026" sheetId="11" r:id="rId12"/>
    <sheet name="October 2026 - December 2026" sheetId="12" r:id="rId13"/>
    <sheet name="January 2027 - March 2027" sheetId="13" r:id="rId14"/>
    <sheet name="April 2027 - June 2027" sheetId="14" r:id="rId15"/>
    <sheet name="Forecast_14" sheetId="15" r:id="rId16"/>
    <sheet name="Forecast_15" sheetId="16" r:id="rId17"/>
    <sheet name="Forecast_16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<sst xmlns="http://schemas.openxmlformats.org/spreadsheetml/2006/main" count="1523" uniqueCount="291">
  <si>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</si>
  <si>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</si>
  <si>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</si>
  <si>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</si>
  <si>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</si>
  <si>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</si>
  <si>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</si>
  <si>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</si>
  <si>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</si>
  <si>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April 2024 - June 2024</t>
  </si>
  <si>
    <t>July 2024 - September 2024</t>
  </si>
  <si>
    <t>October 2024 - December 2024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</si>
  <si>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</si>
  <si>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</si>
  <si>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</si>
  <si>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</si>
  <si>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</si>
  <si>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</si>
  <si>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</si>
  <si>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</si>
  <si>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</si>
  <si>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</si>
  <si>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Forecast_14</t>
  </si>
  <si>
    <t>Forecast_15</t>
  </si>
  <si>
    <t>Forecast_16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</si>
  <si>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</si>
  <si>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</si>
  <si>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</si>
  <si>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</si>
  <si>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</si>
  <si>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</si>
  <si>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</si>
  <si>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</si>
  <si>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</si>
  <si>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</si>
  <si>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</si>
  <si>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</si>
  <si>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</si>
  <si>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</si>
  <si>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</si>
  <si>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</si>
  <si>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</si>
  <si>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</si>
  <si>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</si>
  <si>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</si>
  <si>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</si>
  <si>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</si>
  <si>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</si>
  <si>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</si>
  <si>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</si>
  <si>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</si>
  <si>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17th January 2025</t>
  </si>
  <si>
    <t>Social Welfare</t>
  </si>
  <si>
    <t>N/A</t>
  </si>
  <si>
    <t>Total Revenue</t>
  </si>
  <si>
    <t>20th May 2024</t>
  </si>
  <si>
    <t>04th June 2024</t>
  </si>
  <si>
    <t>Additional half month</t>
  </si>
  <si>
    <t>7th June 2024</t>
  </si>
  <si>
    <t>Sosim</t>
  </si>
  <si>
    <t xml:space="preserve">Sosim Prepaid	</t>
  </si>
  <si>
    <t>18th June 2024</t>
  </si>
  <si>
    <t>Google Play Store Add in Value</t>
  </si>
  <si>
    <t>Add in Value Used For Sportify Monthly Fee</t>
  </si>
  <si>
    <t>20th June 2024</t>
  </si>
  <si>
    <t>24th June 2024</t>
  </si>
  <si>
    <t>Salary</t>
  </si>
  <si>
    <t>Salary From 24th June to End Of June - No MPF Deduction (not over 3 months)</t>
  </si>
  <si>
    <t xml:space="preserve">15th July 2024
15th July 2024
</t>
  </si>
  <si>
    <t>Prepaid HGC BroadBand - $204
Prepaid China Mobile - $207.5</t>
  </si>
  <si>
    <t>15th July 2024</t>
  </si>
  <si>
    <t>Last Salary</t>
  </si>
  <si>
    <t xml:space="preserve"> End Of Service - Last Salary Paid On 15th July 2024</t>
  </si>
  <si>
    <t>Mobile And Communications/ Housing Expenses</t>
  </si>
  <si>
    <t>Broadband</t>
  </si>
  <si>
    <t>China Mobile</t>
  </si>
  <si>
    <t>Telephone (Fixed Line)</t>
  </si>
  <si>
    <t>Birdie Sim Card</t>
  </si>
  <si>
    <t>Total Expenses</t>
  </si>
  <si>
    <t>Credit Card Installments/Government Installments</t>
  </si>
  <si>
    <t>Citi Bank</t>
  </si>
  <si>
    <t xml:space="preserve">SC Bank </t>
  </si>
  <si>
    <t>Bank Of China</t>
  </si>
  <si>
    <t>HSBC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</si>
  <si>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</si>
  <si>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</si>
  <si>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</si>
  <si>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</si>
  <si>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</si>
  <si>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</si>
  <si>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</si>
  <si>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</si>
  <si>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</si>
  <si>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</si>
  <si>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</si>
  <si>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</si>
  <si>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</si>
  <si>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$420 for Hair Cut plus Color treatment</t>
  </si>
  <si>
    <t>Cigarettes</t>
  </si>
  <si>
    <t>30 packets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</si>
  <si>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</si>
  <si>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</si>
  <si>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</si>
  <si>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</si>
  <si>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</si>
  <si>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</si>
  <si>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</si>
  <si>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</si>
  <si>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</si>
  <si>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</si>
  <si>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</si>
  <si>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</si>
  <si>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</si>
  <si>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</si>
  <si>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</si>
  <si>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Payback $0 to Mom</t>
  </si>
  <si>
    <t>Payback $1000 to Ng Wing Lam on 24th May 2024</t>
  </si>
  <si>
    <t>Additional Expense For Cigarette</t>
  </si>
  <si>
    <t>Sportify Music</t>
  </si>
  <si>
    <t>Hair Cutting And Bleaching</t>
  </si>
  <si>
    <t>Additional Expense
     - Expenses</t>
  </si>
  <si>
    <t>Payback $4500 to Mom</t>
  </si>
  <si>
    <t>Payback $4000 to Ng Wing Lam</t>
  </si>
  <si>
    <t>Additional Expense - Approximately</t>
  </si>
  <si>
    <t>Mom Salary For 7 days $2400 Per Month - $2400 / 30 days</t>
  </si>
  <si>
    <t>Half Day No Pay Leave</t>
  </si>
  <si>
    <t>Additional Expense 
- Cigarettes 20 Packets plus one packet ~ $700
- Delonghi Agent ~ $498
- Tp-link router ~ $368
- Prepaid HGC BroadBand ~ $204
- Prepaid China Mobile ~ $207.5
- Paid the Remaining Broadband Fees $187
- Shopping List for 18th July 2024 Approximately ~ $391.5</t>
  </si>
  <si>
    <t>Additional Expense - Not Recorded</t>
  </si>
  <si>
    <t>Overall</t>
  </si>
  <si>
    <t>Forecasts</t>
  </si>
  <si>
    <t>Net Debts:</t>
  </si>
  <si>
    <t>20th July 2024</t>
  </si>
  <si>
    <t>Balance the expense for Hair Cutting And Bleaching</t>
  </si>
  <si>
    <t>Original Expense Hair Cutting And Bleaching Expense is $62</t>
  </si>
  <si>
    <t>12th August 2024</t>
  </si>
  <si>
    <t>Borrowed $1500 From Lawrence</t>
  </si>
  <si>
    <t>16th August 2024
16th August 2024
1st September 2024</t>
  </si>
  <si>
    <t>1. HGC BroadBand Fee
2. China Mobile Fee
3. Broadband</t>
  </si>
  <si>
    <t>1. Last Payment Prepaid HGC Broadband Fee ~ $204
2. Prepaid China Mobile Fee ~ $ $207.5
3. Switch to China Mobile Broadband</t>
  </si>
  <si>
    <t>17th August 2024</t>
  </si>
  <si>
    <t>30 Packet of Cigarette</t>
  </si>
  <si>
    <t>Prepaid Cigarette Fee</t>
  </si>
  <si>
    <t>20th August 2024</t>
  </si>
  <si>
    <t>31st August 2024</t>
  </si>
  <si>
    <t>Deduct 5% MPF</t>
  </si>
  <si>
    <t>20th September 2024</t>
  </si>
  <si>
    <t>Food And Transport Expense Switched to $600 to $330</t>
  </si>
  <si>
    <t>HGC BroadBand End Of Service</t>
  </si>
  <si>
    <t>Cancel Color Treatment</t>
  </si>
  <si>
    <t xml:space="preserve">21th September 2024
21th September 2024
6th October 2024
</t>
  </si>
  <si>
    <t>1. Birthday Present From Lawrence - $1000
2. $100 From Lawrence
3. $500 From Lawrence
4. Sell Safe to Mom</t>
  </si>
  <si>
    <t xml:space="preserve">
2. Receive $100 HKD from Lawrence, no need to return back
3. Help Lawrence to print, scan the documents and export to PDF.
4. Sell Safe to Mom of the price $800
</t>
  </si>
  <si>
    <t>Payback $1000 to Mom</t>
  </si>
  <si>
    <t>Buy Microsoft Surface 13.8 Inches Laptop</t>
  </si>
  <si>
    <t xml:space="preserve">Additional Expense 
- Approximately ~ $788
- Gamble Lost ~ $318
- Cigarette ~ $600
- Nicotin Chew Gum ~ $264
- Additional For Cigarette ~ $60
- 30 Packet of Cigarette ~ $900
</t>
  </si>
  <si>
    <t>Prepaid HGC Broadband Fee</t>
  </si>
  <si>
    <t>Prepaid China Mobile Fee</t>
  </si>
  <si>
    <t>Balance with the Total Asset</t>
  </si>
  <si>
    <t>Payback $500 to Lawrence</t>
  </si>
  <si>
    <t>Water Services Department</t>
  </si>
  <si>
    <t>Demand Rates and Government Rent</t>
  </si>
  <si>
    <t>Additional For Cigarette</t>
  </si>
  <si>
    <t>Payback $1150 to Mom</t>
  </si>
  <si>
    <t>China Mobile broadband fee for 2 months</t>
  </si>
  <si>
    <t>HKT IDD last Payment $60</t>
  </si>
  <si>
    <t xml:space="preserve">Additional Expense:
     - Books From Amazon $927.22
     - $16 HKD For Bangkok Hotel Protection
     - Additional $3 HKD giving To Mom For Bangkok 
       Round trip Flight
     - Excess Expense -$0.3  </t>
  </si>
  <si>
    <t>31st October 2024</t>
  </si>
  <si>
    <t>26th September 2024</t>
  </si>
  <si>
    <t>China Mobile Broadband</t>
  </si>
  <si>
    <t>Prepaid October Broadband Fees</t>
  </si>
  <si>
    <t>18th October 2024</t>
  </si>
  <si>
    <t>Joox Refund - Total 3 Months</t>
  </si>
  <si>
    <t>Sportify Monthly Payment</t>
  </si>
  <si>
    <t>18th November 2024</t>
  </si>
  <si>
    <t>20th October 2024</t>
  </si>
  <si>
    <t>30th November 2024</t>
  </si>
  <si>
    <t>20th November 2024</t>
  </si>
  <si>
    <t>29rd November 2024
3rd December 2024
11th December 2024
17th December 2024
23rd November 2024
2nd December 2024</t>
  </si>
  <si>
    <t>1. Mother
2. Lawrence
3. Lawrence
4. Lawrence
5. WingOn Travel
6. Return Taxi Remaining</t>
  </si>
  <si>
    <t>1. Give $500 without return
2. Lawrence give $500 For Mother Hospital Expenses
3. Borrow $1000 From Lawrence
4. Lawrence give $600 For Mother Hospital Expenses
5. Bangkok Air ticket refund – Money is refund to Mother’s HSBC credit card account.
6. Receive $100 From Mom For return Taxi. Still remain $12.</t>
  </si>
  <si>
    <t>2nd December 2024</t>
  </si>
  <si>
    <t>Remaining Add In Value For Octopus.</t>
  </si>
  <si>
    <t>Octopus Add In value $50 
1.  $9.5 For Water
2. -$8.6 Negative Deposit.
3. $4 round trip to hospital.
4. U-mart expenses $20.8
5. add in value $50
6. $4 round trip to Kowloon Hospital.
7. $4 round trip to East Kowloon Hospital.</t>
  </si>
  <si>
    <r>
      <rPr>
        <b/>
        <sz val="11"/>
        <color rgb="FF000000"/>
        <rFont val="Arial"/>
        <charset val="134"/>
      </rPr>
      <t>21</t>
    </r>
    <r>
      <rPr>
        <b/>
        <vertAlign val="superscript"/>
        <sz val="11"/>
        <color rgb="FF000000"/>
        <rFont val="Arial"/>
        <charset val="134"/>
      </rPr>
      <t>st</t>
    </r>
    <r>
      <rPr>
        <b/>
        <sz val="11"/>
        <color rgb="FF000000"/>
        <rFont val="Arial"/>
        <charset val="134"/>
      </rPr>
      <t xml:space="preserve"> November 2024</t>
    </r>
  </si>
  <si>
    <t>Cigarette</t>
  </si>
  <si>
    <t>Deduct 10 packet of Cigarette</t>
  </si>
  <si>
    <t>3rd December 2024</t>
  </si>
  <si>
    <t>Alipay</t>
  </si>
  <si>
    <t>Alipay $3 discount plus $2.04 Alipay Points Used</t>
  </si>
  <si>
    <t>31st December 2024</t>
  </si>
  <si>
    <t>20th December 2024</t>
  </si>
  <si>
    <t>Deduct Cigarette</t>
  </si>
  <si>
    <t>Deduct 30 packet of Cigarette</t>
  </si>
  <si>
    <t xml:space="preserve">1. 25th December 2024
2. 27th December 2024
3. 28th December 2024
4. 28th December 2024
5. 31st December 2024
6. 1st December 2024
</t>
  </si>
  <si>
    <t>1. Lawrence
2. Mother
3. Mother
4. Mother
5. Lawrence
6. Lawrence
7. Mother</t>
  </si>
  <si>
    <t xml:space="preserve">1. Lawrence give $100 For Christmas
2. Mother give $900 For Car License Renewal.
3. Mother borrow $50 
4. Mother give $16.14 coins
5. Lawrence give $50 For Octopus Add In Value 
6. Lawrence give $100 For the help of Carrying luggages to the bus station.
7. Mother Owe Me $78.4 for Taxi to QE Hospital, Plus Give me $100 for Return Taxi to home from QE Hospital. 
Return Taxi Fee is $78.4, $12 remaining.
Therefore total Mom still owes me $78.4 - $12 which is equal to $66.4.
</t>
  </si>
  <si>
    <t>Food And Transport Expenses</t>
  </si>
  <si>
    <t>Deduct $200 From Food And Transport Expenses.</t>
  </si>
  <si>
    <t xml:space="preserve">Balance Assets </t>
  </si>
  <si>
    <t xml:space="preserve">Balance The Total Assets </t>
  </si>
  <si>
    <t>Payback $200 to Lawrence</t>
  </si>
  <si>
    <t xml:space="preserve">Additional Expense 
 - Add In Value $50 For Octopus
 - Add In Value $150 For Google Play
 - Excess Expenses $451.7
</t>
  </si>
  <si>
    <t>Additional China Mobile Fee For Joox Refund $207 - $149</t>
  </si>
  <si>
    <t>Additional 20 packet of Cigarette</t>
  </si>
  <si>
    <t xml:space="preserve">Payback $0 to Mom </t>
  </si>
  <si>
    <t>Payback $300 to Lawrence</t>
  </si>
  <si>
    <r>
      <rPr>
        <sz val="11"/>
        <color rgb="FF000000"/>
        <rFont val="Arial"/>
        <charset val="134"/>
      </rPr>
      <t xml:space="preserve">Additional Expense     
-  China Mobile Broadband Fees $78   
-  additional cigarette charge $80
-  additional cigarette charge $300
- 28th-Nov additional nicotinell charge $263.9
- Add In Value $50 For Octopus Card
- Expenses For Mom $68.9 Taxi plus water $9.5
   Total Expenses: $68.9 + $9.5 which is equal </t>
    </r>
    <r>
      <rPr>
        <b/>
        <sz val="11"/>
        <color rgb="FFFF0000"/>
        <rFont val="Arial"/>
        <charset val="134"/>
      </rPr>
      <t xml:space="preserve">$78.4
</t>
    </r>
    <r>
      <rPr>
        <sz val="11"/>
        <color rgb="FF000000"/>
        <rFont val="Arial"/>
        <charset val="134"/>
      </rPr>
      <t>- 3rd December Mother QE Hospital Expenses $149
- Expenses For Nokia Phone $352
- 9th-December additional nicotinell charge $126.9
- additional electronic cigarette machine plus egg
   $610
- Add In Value $50 For Octopus Card
- Expenses For Mother Kowloon Hospital $230 
- Water Supplies Department Water Fees $122.2 
-  Excess Expenses $898.6</t>
    </r>
  </si>
  <si>
    <t>Additional expense for Mom $200</t>
  </si>
  <si>
    <t>Still owe Lawrence $351 after Mom QE Hospital Expenses.</t>
  </si>
  <si>
    <t>Payback Remaining Expenses From Mother Kowloon Hospital to Lawrence</t>
  </si>
  <si>
    <t>Additional Expense
  - China Mobile Broadband Fee $78
  - $2 Handling Fees For Add In Value For Octopus.
  - 27th December 2024 $900 Car License Renewal 
    (a gift from Mom)
  - Birdie Sim Card 3 months Fees ($50 per month)- $150
  - Additional Birdie Sim Card - $50
  - $2.5 Handling Fees For Add In Value For Octopus.</t>
  </si>
  <si>
    <t xml:space="preserve">Food And Transport Expenses
- Instant Noodles (1 box 30 packets) ~ $99
- Instant Noodles (20 packets) ~ $66
- Potatoes 17  ~ $36
- Campbell’s Chunky New England Clam Chowder
   505GM – 7 cans ~ $167.3 
- Vegetables 1.5kg ~ $18
- Onion 8  ~ $25
- OK Store expenses 20th December 2024 - $52
- Lindor X 2 - $78
- Coffee Mate $32
- Sausage X 2 - $40
- Congee X 4 - $19.6 
- Nugget X 2 - $38
- Hair Bleaching - $80.8
- U-Store - $66
- Best Mart - $19.9
- Best Mart – $65.8
- A1 Bakery - $39
- OK Store expenses $30
- Travel Expense For Driving License Renewal - $6
- Best Mart - $15
- Big C - $17
- Round Trip to Holywood Plaza $4
- Single Trip to North Temple Mall $2
- Welcome Supermarket – Mayonaise Paste $40
- Single Trip to North Temple Mall $2
- Brought Jelly From Chuk Yuen Plaza - $28.4
- Brought Ingredients For Green Curry Chicken - $33
- Round Trip to Hospital $4
- Best Mart - $19.9
- welcome expenses $40
- Transport Fees $2
- Round Trip to Robert Black Hospital $4
- Round Trip Fees for visiting dad $5
- Round Trip Fees to QE Hospital $4
- Round Trip Fees to East Kowloon Hospital $4
- Round Trip Fees to Hollywood Plaza $4
- Best Mart - $14
- Welcome plastic glove - $10
- $2 Phone Booth
</t>
  </si>
  <si>
    <t>20th January 2025</t>
  </si>
  <si>
    <t>31th January 2025</t>
  </si>
  <si>
    <t>1. 29th January 2025
2. 28th January 2025
3. 2nd Feburary 2025
4. 8th Feburary 2025</t>
  </si>
  <si>
    <t>1. Chineses New Year (Mother and Father)
2. Chineses New Year (Lawrence)
3. Mother
4. Mother
5. Mother</t>
  </si>
  <si>
    <t xml:space="preserve">1. Chinese New Year Pocket Lai See ~ $1000
2. Chinese New Year Pocket Lai See ~ $1000
3. Borrow $500 From Mother for buying whey protein
4. Remaining of $4.5 HK Dollar of $50 give by Mother 
5. Mother give me $2 </t>
  </si>
  <si>
    <t>1. 7th Feburary 2025
2. 7th Feburary 2025
3. 18th Feburary 2025</t>
  </si>
  <si>
    <t>1. yuu
2. Wellcome Supermarket
3. yuu
4. OK Store</t>
  </si>
  <si>
    <t>1. Newly added / remain yuu points ~ $6
2. Redeem Yuu Points ~ $10
3. Newly added / remain yuu points ~ $1
4. Received Additional $1 when billed ~ $1</t>
  </si>
  <si>
    <t>20th February 2025</t>
  </si>
  <si>
    <t>29th February 2025</t>
  </si>
  <si>
    <t>Cigarette Egg</t>
  </si>
  <si>
    <t>Brought in Advance</t>
  </si>
  <si>
    <t>Pay in advance For Birdie Sim Card</t>
  </si>
  <si>
    <t>25th Feburary 2025</t>
  </si>
  <si>
    <t>Remaining of $16 HK Dollar of $100 give by Mother for visiting Dad.</t>
  </si>
  <si>
    <t>1st March 2025</t>
  </si>
  <si>
    <t xml:space="preserve">Borrowed $800 For Electronic Cigarettes </t>
  </si>
  <si>
    <t>31st March 2025</t>
  </si>
  <si>
    <t xml:space="preserve">Payback $1400 to Mom including $900 borrowed </t>
  </si>
  <si>
    <t>Additional Expense
    - Playstation Plus Subscribtion ~ $425
    - Street Fighter 6 ~ $229
    - EA Sports FC 25 ~ $219.6
    - Sonic Super stars ~ $135.2
    - HKTV Mall - Wireless wearable air pressure leg 
      massage machine ~ $499
    - Puma - Slippers ~ $159
    - Puma - Bag ~ $1
    - iHerbs - Whey Protein ~ $465.14</t>
  </si>
  <si>
    <r>
      <rPr>
        <sz val="11"/>
        <color rgb="FF000000"/>
        <rFont val="Arial"/>
        <charset val="134"/>
      </rPr>
      <t>Food And Transport Expenses
- Potatoes For Curry Chicken ~</t>
    </r>
    <r>
      <rPr>
        <sz val="11"/>
        <color rgb="FFFF0000"/>
        <rFont val="Arial"/>
        <charset val="134"/>
      </rPr>
      <t xml:space="preserve"> </t>
    </r>
    <r>
      <rPr>
        <sz val="11"/>
        <color rgb="FF000000"/>
        <rFont val="Arial"/>
        <charset val="134"/>
      </rPr>
      <t>$10
- Chicken Chops for Curry Chicken 2 Pieces ~ $20
- Curry 1 Bottle ~ $16.9
- Coconut Milk  ~ $8
- Vegetable 1kg  ~ $9
- Welcome Plastic Bag ~ $1
- OK Store coke ~ $20
- Ustore ~ $31.8
- 759 Store ~ $24.4
- OK Store pepsi coke ~ $13.5
- Wellcome Store evaporate milk ~ $11
- Wellcome Store condensed milk ~ $14
- single transport to temple mall ~ $2
- $10 charged for Hair Cut
- Service Charge for transfer coins to octopus ~ $2.8
- Round Trip Fees for visiting dad ~ $9.5
- Sau Tau Beijin Noodle ~ $15
- Select Choice Chicken Powder ~ $18
- Quaker Oat Meal 1000g ~ $26
- Longevity Filled Evaporated 400g ~ $11
- Eagle Condensed Milk 350g ~ $13
- Red Onion 1 piece ~ $5
- Chicken Chops 2 pieces ~ $23
- Single Trip to North Temple Mall ~ $2</t>
    </r>
  </si>
  <si>
    <t>Food And Transport Expenses
- Longevity Filled Evaporated 400g ~ $36
- Eagle Condensed Milk 350g ~ $28
- Chicken Chops ~ $24
- Welcome shopping ~ $56.8
- Round Trip to East Kowloon Hospital ~ $4
- Chicken Chops and Apples ~ $30
- Chicken Chops ~ $13
- Vegetables ~ $9
- Wellcome Supermarket Milk ~ $14.9
- Post Office Stamp ~ $3.3
- Single Trip from Fung Tak to Chuk Yuen ~ $2
- Chicken Chops ~ $11
- Vegetable ~ $12</t>
  </si>
  <si>
    <t>Payback $500 to Mom</t>
  </si>
  <si>
    <t>1. Additional Expense
- Brilliant Course Annually ~ $777.5
- Add Value For Google Play ~ $150 (don't need to
   include.)</t>
  </si>
  <si>
    <t xml:space="preserve">2. Food And Transport Expenses
- Chicken 6 piecies ~ $63
- Tangerines 9 ones ~ $20
- Milk 1 Litre 7 ~ $118.3
- Vegetables 1kg ~ $14
- Best Mart 360 peanuts ~ $25
- OK Convinient Store ~ $18.4
- Round Trip for visiting dad ~ $6
- Apples From Market ~ $20
- Vegetables 2kg From Market ~ $16
- Snacks From DS Groceries ~ $39
- Best Mart 360 and 759 Store ~ $65.6
- Market Chicken Chops ~ $17
- Market Kwun Kee ~ $21
- Transport Fee to East Kowloon Hospital $4
- Transport Fee Round Trip to Mong Kok $4
- Transport Fee from Kowloon Tong To WTS $2
- Ngan Lung Restaurant $55
- Oat meal $19
- Transport Fee to WTS Temple Mall $2
- Transport Fee to Prince Edward And Back $4 </t>
  </si>
  <si>
    <t>3.. Food And Transport Expenses
- Brought Electronic Cigarettes Buds ~ $800
- Transport Fees For Electronic Buds ~ $50</t>
  </si>
  <si>
    <t>Payback $800 to Lawrence</t>
  </si>
  <si>
    <t>1. Additional Expense
    - Cigarette Egg - $0</t>
  </si>
  <si>
    <t>2. Food And Transport Expenses
- Chicken 4 piecies ~ $49
- Vegetables 2kg ~ $0
- Rice 5kg ~ $49
- Meadows Vanilla Chocolate Biscuit x 2 ~ $26.8
- Edo Pack Oat Biscuit x 3 ~  $39 
- Longevity Filled Evaporated 3 cans $24
- Ice Cream $30
- Fanta soft drinks $16</t>
  </si>
  <si>
    <t>30th April 2025</t>
  </si>
  <si>
    <t>Hospital Fees</t>
  </si>
  <si>
    <t>Robert Black Hospital Paid in advance</t>
  </si>
  <si>
    <t>31th May 2025</t>
  </si>
  <si>
    <t>Additional Half Month Of Allowance</t>
  </si>
  <si>
    <t>30th June 2025</t>
  </si>
  <si>
    <t>Payback $700 to Mom</t>
  </si>
  <si>
    <t>Additional Expense
    - Cigarette Egg - $800
    - See the psycharitic Doctor ~ $125</t>
  </si>
  <si>
    <t>Food And Transport Expenses
- Oats 1.6kg  ~ $36
- Chicken 15 piecies ~ $150
- Vegetables 6kg ~ $48
- Rice 5kg ~ $49
- Edo Pack Biscuit $45
- Edo Pack Oat Biscuit $39 
- Longevity Filled Evaporated 3 cans $33</t>
  </si>
  <si>
    <t>Payback $2600 to Mom</t>
  </si>
  <si>
    <t>Additional Expense
    - Cigarette Egg - $0
    - See the psycharitic Doctor For Injection ~ $19
    - See the high blood pressure Doctor ~ $50</t>
  </si>
  <si>
    <t>Payback $600 to Mom</t>
  </si>
  <si>
    <t>Food And Transport Expenses
- Oats 1.5kg  ~ $27
- Chicken 15 piecies ~ $165
- Marie Biscuit 3 Packets ~ $49.7
- Vegetables 6kg ~ $48
- Apples 30 ones ~ $60
- Rice 5kg ~ $49</t>
  </si>
  <si>
    <t>31st July 2025</t>
  </si>
  <si>
    <t>Mother Salary</t>
  </si>
  <si>
    <t>Deferred Salary to next Month</t>
  </si>
  <si>
    <t>31st August 2025</t>
  </si>
  <si>
    <t>30th September 2025</t>
  </si>
  <si>
    <t>Payback $800 to Mom</t>
  </si>
  <si>
    <t>Additional Expense
    - Cigarette Egg - $800
    - See the psycharitic Doctor For Injection ~ $19
    - Add In value for Google Play ~ $150 (don't need to
   include.)</t>
  </si>
  <si>
    <t>Food And Transport Expenses
Health Diet (Without Milk)
- Oats 1.5kg  ~ $27
- Chicken 15 piecies ~ $165
- Marie Biscuit 2 Packets ~ $36
- Vegetables 6kg ~ $48
- Apples 30 ones ~ $43
- Rice 5kg ~ $55</t>
  </si>
  <si>
    <t>Payback $1200 to Mom</t>
  </si>
  <si>
    <t>Payback $0 to Lawrence</t>
  </si>
  <si>
    <t>Payback $200 to Mom For Air Ticket</t>
  </si>
  <si>
    <t>Additional Expense
    - Cigarette Egg - $0
    - See the psycharitic Doctor ~ $125
    - See the high blood pressure Doctor ~ $50</t>
  </si>
  <si>
    <t>Payback $883 to Mom For Air Ticket</t>
  </si>
  <si>
    <t>31st October 2025</t>
  </si>
  <si>
    <t>31st November 2025</t>
  </si>
  <si>
    <t>30th December 2025</t>
  </si>
  <si>
    <t>Additional Expense
    - Cigarette Egg - $0
    - See the psycharitic Doctor ~ $125</t>
  </si>
  <si>
    <t>Additional Expense
    - Cigarette Egg - $0
    - Add In value for Google Play ~ $150 (don't need to
   include.)
    - See the psycharitic Doctor For Injection ~ $19
    - See the high blood pressure Doctor ~ $50</t>
  </si>
  <si>
    <t>31st January 2026</t>
  </si>
  <si>
    <t>28th February 2026</t>
  </si>
  <si>
    <t>31th March 2026</t>
  </si>
  <si>
    <t>Additional Expense
    - Cigarette Egg - $0
    - Add In value for Google Play ~ $150  (don't need to
   include.)
    - See the psycharitic Doctor For Injection ~ $19</t>
  </si>
  <si>
    <t>Additional Expense
    - Cigarette Egg - $0
    - See the psycharitic Doctor For Injection ~ $19</t>
  </si>
  <si>
    <t>30th April 2026</t>
  </si>
  <si>
    <t>31st May 2026</t>
  </si>
  <si>
    <t>30th June 2026</t>
  </si>
  <si>
    <t>Additional Expense
    - Add In value for Google Play ~ $150 (don't need to
   include.)
    - Cigarette Egg - $0
    - See the psycharitic Doctor ~ $125</t>
  </si>
  <si>
    <t>1. Additional Expense
    - Cigarette Egg - $0
    - See the psycharitic Doctor ~ $125</t>
  </si>
  <si>
    <t>31st July 2026</t>
  </si>
  <si>
    <t>31st August 2026</t>
  </si>
  <si>
    <t>30th September 2026</t>
  </si>
  <si>
    <t>1. Additional Expense
    - Cigarette Egg - $0
    - See the psycharitic Doctor For Injection ~ $19</t>
  </si>
  <si>
    <t>31st October 2026</t>
  </si>
  <si>
    <t>30th November 2026</t>
  </si>
  <si>
    <t>31st December 2026</t>
  </si>
  <si>
    <t>31st March 2026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</si>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</sst>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  <font>
      <b/>
      <vertAlign val="superscript"/>
      <sz val="11"/>
      <color rgb="FF00000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11" borderId="39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40" applyNumberFormat="0" applyFill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1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2" borderId="42" applyNumberFormat="0" applyAlignment="0" applyProtection="0">
      <alignment vertical="center"/>
    </xf>
    <xf numFmtId="0" fontId="32" fillId="13" borderId="43" applyNumberFormat="0" applyAlignment="0" applyProtection="0">
      <alignment vertical="center"/>
    </xf>
    <xf numFmtId="0" fontId="33" fillId="13" borderId="42" applyNumberFormat="0" applyAlignment="0" applyProtection="0">
      <alignment vertical="center"/>
    </xf>
    <xf numFmtId="0" fontId="34" fillId="14" borderId="44" applyNumberFormat="0" applyAlignment="0" applyProtection="0">
      <alignment vertical="center"/>
    </xf>
    <xf numFmtId="0" fontId="35" fillId="0" borderId="45" applyNumberFormat="0" applyFill="0" applyAlignment="0" applyProtection="0">
      <alignment vertical="center"/>
    </xf>
    <xf numFmtId="0" fontId="36" fillId="0" borderId="46" applyNumberFormat="0" applyFill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176" fontId="42" fillId="3" borderId="47">
      <alignment horizontal="center" vertical="center"/>
    </xf>
    <xf numFmtId="49" fontId="43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4" fillId="9" borderId="0" applyProtection="0">
      <alignment horizontal="center" vertical="center"/>
    </xf>
    <xf numFmtId="49" fontId="45" fillId="5" borderId="0" applyBorder="0" applyProtection="0">
      <alignment horizontal="center" vertical="center"/>
    </xf>
    <xf numFmtId="49" fontId="4" fillId="0" borderId="0" applyProtection="0">
      <alignment horizontal="right" vertical="center"/>
    </xf>
    <xf numFmtId="176" fontId="4" fillId="0" borderId="0" applyBorder="0" applyProtection="0">
      <alignment horizontal="center" vertical="center"/>
    </xf>
  </cellStyleXfs>
  <cellXfs count="24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0" applyFont="1" applyFill="1" applyBorder="1" applyAlignment="1" applyProtection="1">
      <alignment horizontal="center" vertical="center" wrapText="1"/>
    </xf>
    <xf numFmtId="49" fontId="2" fillId="3" borderId="3" xfId="50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0" applyFont="1" applyFill="1" applyBorder="1" applyAlignment="1" applyProtection="1">
      <alignment horizontal="center" vertical="center" wrapText="1"/>
    </xf>
    <xf numFmtId="49" fontId="2" fillId="3" borderId="4" xfId="50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3" applyFont="1" applyBorder="1" applyAlignment="1" applyProtection="1">
      <alignment horizontal="center" vertical="center" wrapText="1"/>
    </xf>
    <xf numFmtId="49" fontId="8" fillId="5" borderId="1" xfId="53" applyFont="1" applyBorder="1" applyAlignment="1" applyProtection="1">
      <alignment horizontal="center" vertical="center"/>
    </xf>
    <xf numFmtId="49" fontId="2" fillId="0" borderId="1" xfId="50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4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4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0" applyFont="1" applyBorder="1" applyAlignment="1" applyProtection="1">
      <alignment horizontal="center" vertical="center" wrapText="1"/>
    </xf>
    <xf numFmtId="49" fontId="11" fillId="0" borderId="1" xfId="51" applyFont="1" applyBorder="1" applyAlignment="1" applyProtection="1">
      <alignment horizontal="left" vertical="center" wrapText="1"/>
    </xf>
    <xf numFmtId="49" fontId="11" fillId="0" borderId="1" xfId="51" applyFont="1" applyBorder="1" applyAlignment="1" applyProtection="1">
      <alignment horizontal="left" vertical="center"/>
    </xf>
    <xf numFmtId="176" fontId="5" fillId="0" borderId="22" xfId="55" applyFont="1" applyBorder="1" applyAlignment="1" applyProtection="1">
      <alignment horizontal="right" vertical="center"/>
    </xf>
    <xf numFmtId="49" fontId="13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horizontal="left" vertical="center" wrapText="1"/>
    </xf>
    <xf numFmtId="176" fontId="4" fillId="0" borderId="22" xfId="55" applyBorder="1" applyAlignment="1" applyProtection="1">
      <alignment horizontal="right" vertical="center"/>
    </xf>
    <xf numFmtId="176" fontId="5" fillId="0" borderId="22" xfId="55" applyFont="1" applyBorder="1" applyAlignment="1" applyProtection="1">
      <alignment vertical="center"/>
    </xf>
    <xf numFmtId="49" fontId="13" fillId="0" borderId="22" xfId="51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1" applyFont="1" applyBorder="1" applyAlignment="1" applyProtection="1">
      <alignment horizontal="left" vertical="center"/>
    </xf>
    <xf numFmtId="49" fontId="11" fillId="0" borderId="2" xfId="51" applyFont="1" applyBorder="1" applyAlignment="1" applyProtection="1">
      <alignment horizontal="left" vertical="center" wrapText="1"/>
    </xf>
    <xf numFmtId="49" fontId="11" fillId="0" borderId="2" xfId="51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1" applyFont="1" applyBorder="1" applyAlignment="1" applyProtection="1">
      <alignment horizontal="left" vertical="center" wrapText="1"/>
    </xf>
    <xf numFmtId="49" fontId="11" fillId="0" borderId="24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 wrapText="1"/>
    </xf>
    <xf numFmtId="49" fontId="11" fillId="0" borderId="11" xfId="51" applyFont="1" applyBorder="1" applyAlignment="1" applyProtection="1">
      <alignment horizontal="left" vertical="center"/>
    </xf>
    <xf numFmtId="49" fontId="11" fillId="0" borderId="8" xfId="51" applyFont="1" applyBorder="1" applyAlignment="1" applyProtection="1">
      <alignment horizontal="left" vertical="center"/>
    </xf>
    <xf numFmtId="49" fontId="11" fillId="0" borderId="24" xfId="51" applyFont="1" applyBorder="1" applyAlignment="1" applyProtection="1">
      <alignment horizontal="left" vertical="center"/>
    </xf>
    <xf numFmtId="49" fontId="11" fillId="0" borderId="1" xfId="51" applyFont="1" applyBorder="1" applyAlignment="1" applyProtection="1">
      <alignment horizontal="center" vertical="center" wrapText="1"/>
    </xf>
    <xf numFmtId="49" fontId="11" fillId="0" borderId="11" xfId="51" applyFont="1" applyBorder="1" applyAlignment="1" applyProtection="1">
      <alignment horizontal="center" vertical="center" wrapText="1"/>
    </xf>
    <xf numFmtId="49" fontId="2" fillId="0" borderId="1" xfId="50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1" applyFont="1" applyBorder="1" applyAlignment="1" applyProtection="1">
      <alignment horizontal="center" vertical="center" wrapText="1"/>
    </xf>
    <xf numFmtId="49" fontId="2" fillId="0" borderId="11" xfId="51" applyFont="1" applyBorder="1" applyAlignment="1" applyProtection="1">
      <alignment horizontal="center" vertical="center" wrapText="1"/>
    </xf>
    <xf numFmtId="49" fontId="11" fillId="0" borderId="21" xfId="51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1" applyFont="1" applyBorder="1" applyAlignment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 wrapText="1"/>
    </xf>
    <xf numFmtId="49" fontId="11" fillId="0" borderId="22" xfId="51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1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center" vertical="center" wrapText="1"/>
    </xf>
    <xf numFmtId="49" fontId="11" fillId="0" borderId="25" xfId="51" applyFont="1" applyBorder="1" applyAlignment="1" applyProtection="1">
      <alignment horizontal="left" vertical="center" wrapText="1"/>
    </xf>
    <xf numFmtId="49" fontId="11" fillId="0" borderId="15" xfId="51" applyFont="1" applyBorder="1" applyAlignment="1" applyProtection="1">
      <alignment horizontal="left" vertical="center" wrapText="1"/>
    </xf>
    <xf numFmtId="49" fontId="11" fillId="0" borderId="25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 wrapText="1"/>
    </xf>
    <xf numFmtId="49" fontId="11" fillId="0" borderId="27" xfId="51" applyFont="1" applyBorder="1" applyAlignment="1" applyProtection="1">
      <alignment horizontal="left" vertical="center" wrapText="1"/>
    </xf>
    <xf numFmtId="49" fontId="14" fillId="0" borderId="21" xfId="51" applyFont="1" applyBorder="1" applyAlignment="1" applyProtection="1">
      <alignment horizontal="left" vertical="center"/>
    </xf>
    <xf numFmtId="49" fontId="11" fillId="0" borderId="26" xfId="51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1" applyFont="1" applyBorder="1" applyAlignment="1" applyProtection="1">
      <alignment horizontal="left" vertical="center"/>
    </xf>
    <xf numFmtId="49" fontId="11" fillId="0" borderId="29" xfId="51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4" fillId="0" borderId="4" xfId="51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1" applyFont="1" applyBorder="1" applyAlignment="1" applyProtection="1">
      <alignment horizontal="left" vertical="center"/>
    </xf>
    <xf numFmtId="49" fontId="11" fillId="0" borderId="4" xfId="51" applyFont="1" applyBorder="1" applyAlignment="1" applyProtection="1">
      <alignment horizontal="left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40" fontId="6" fillId="0" borderId="0" xfId="0" applyNumberFormat="1" applyFont="1" applyAlignment="1">
      <alignment vertical="center" wrapText="1"/>
    </xf>
    <xf numFmtId="49" fontId="2" fillId="0" borderId="33" xfId="51" applyFont="1" applyBorder="1" applyAlignment="1" applyProtection="1">
      <alignment horizontal="left" vertical="center" wrapText="1"/>
    </xf>
    <xf numFmtId="49" fontId="2" fillId="0" borderId="32" xfId="51" applyFont="1" applyBorder="1" applyAlignment="1" applyProtection="1">
      <alignment horizontal="left" vertical="center" wrapText="1"/>
    </xf>
    <xf numFmtId="0" fontId="6" fillId="0" borderId="0" xfId="0" applyFont="1"/>
    <xf numFmtId="0" fontId="15" fillId="8" borderId="1" xfId="0" applyFont="1" applyFill="1" applyBorder="1" applyAlignment="1">
      <alignment horizontal="center" vertical="center"/>
    </xf>
    <xf numFmtId="49" fontId="1" fillId="9" borderId="34" xfId="52" applyFont="1" applyBorder="1" applyAlignment="1" applyProtection="1">
      <alignment horizontal="center" vertical="center" wrapText="1"/>
    </xf>
    <xf numFmtId="49" fontId="1" fillId="9" borderId="3" xfId="52" applyFont="1" applyBorder="1" applyAlignment="1" applyProtection="1">
      <alignment horizontal="center" vertical="center" wrapText="1"/>
    </xf>
    <xf numFmtId="49" fontId="1" fillId="9" borderId="2" xfId="52" applyFont="1" applyBorder="1" applyAlignment="1" applyProtection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49" fontId="2" fillId="3" borderId="24" xfId="50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0" applyFont="1" applyFill="1" applyBorder="1" applyAlignment="1" applyProtection="1">
      <alignment horizontal="center" vertical="center" wrapText="1"/>
    </xf>
    <xf numFmtId="49" fontId="2" fillId="3" borderId="17" xfId="50" applyFont="1" applyFill="1" applyBorder="1" applyAlignment="1" applyProtection="1">
      <alignment horizontal="center" vertical="center" wrapText="1"/>
    </xf>
    <xf numFmtId="49" fontId="2" fillId="3" borderId="35" xfId="50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49" fontId="5" fillId="0" borderId="1" xfId="54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0" applyFont="1" applyFill="1" applyBorder="1" applyAlignment="1" applyProtection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7" fillId="0" borderId="11" xfId="0" applyFont="1" applyBorder="1" applyAlignment="1">
      <alignment horizontal="left" vertical="center" wrapText="1"/>
    </xf>
    <xf numFmtId="49" fontId="11" fillId="0" borderId="1" xfId="51" applyFont="1" applyBorder="1" applyProtection="1">
      <alignment horizontal="left" vertical="center"/>
    </xf>
    <xf numFmtId="49" fontId="2" fillId="0" borderId="21" xfId="50" applyFont="1" applyBorder="1" applyAlignment="1" applyProtection="1">
      <alignment horizontal="center" vertical="top" wrapText="1"/>
    </xf>
    <xf numFmtId="49" fontId="11" fillId="0" borderId="1" xfId="51" applyFont="1" applyBorder="1" applyAlignment="1" applyProtection="1">
      <alignment horizontal="left" vertical="top" wrapText="1"/>
    </xf>
    <xf numFmtId="49" fontId="2" fillId="0" borderId="36" xfId="50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0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5" fillId="8" borderId="7" xfId="0" applyFont="1" applyFill="1" applyBorder="1" applyAlignment="1">
      <alignment horizontal="center" vertical="center"/>
    </xf>
    <xf numFmtId="49" fontId="1" fillId="9" borderId="11" xfId="52" applyFont="1" applyBorder="1" applyAlignment="1" applyProtection="1">
      <alignment horizontal="center" vertical="center" wrapText="1"/>
    </xf>
    <xf numFmtId="49" fontId="1" fillId="9" borderId="7" xfId="52" applyFont="1" applyBorder="1" applyAlignment="1" applyProtection="1">
      <alignment horizontal="center" vertical="center" wrapText="1"/>
    </xf>
    <xf numFmtId="179" fontId="18" fillId="0" borderId="19" xfId="0" applyNumberFormat="1" applyFont="1" applyBorder="1" applyAlignment="1">
      <alignment horizontal="center" vertical="center"/>
    </xf>
    <xf numFmtId="177" fontId="18" fillId="0" borderId="1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177" fontId="18" fillId="0" borderId="7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77" fontId="18" fillId="0" borderId="37" xfId="0" applyNumberFormat="1" applyFont="1" applyBorder="1" applyAlignment="1">
      <alignment horizontal="center" vertical="center"/>
    </xf>
    <xf numFmtId="49" fontId="1" fillId="9" borderId="5" xfId="52" applyFont="1" applyBorder="1" applyAlignment="1" applyProtection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177" fontId="18" fillId="0" borderId="8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1" applyFont="1" applyBorder="1" applyProtection="1">
      <alignment horizontal="left" vertical="center"/>
    </xf>
    <xf numFmtId="49" fontId="2" fillId="0" borderId="22" xfId="50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0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19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19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9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19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0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Item Label" xfId="50"/>
    <cellStyle name="Item Text" xfId="51"/>
    <cellStyle name="Legend Sub Header" xfId="52"/>
    <cellStyle name="Revenue Header Font" xfId="53"/>
    <cellStyle name="Total Label" xfId="54"/>
    <cellStyle name="Expense Value" xfId="55"/>
  </cellStyles>
  <dxfs count="8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family val="0"/>
        <b val="1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tabSelected="1" topLeftCell="A2" workbookViewId="0">
      <selection activeCell="AB12" sqref="AB12"/>
    </sheetView>
  </sheetViews>
  <sheetFormatPr defaultColWidth="8.88888888888889" defaultRowHeight="17.6"/>
  <sheetData>
    <row r="1" spans="1:26">
      <c r="A1" s="247" t="s">
        <v>0</v>
      </c>
      <c r="B1" s="247"/>
      <c r="C1" s="247"/>
      <c r="D1" s="247"/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7"/>
      <c r="R1" s="247"/>
      <c r="S1" s="247"/>
      <c r="T1" s="247"/>
      <c r="U1" s="247"/>
      <c r="V1" s="247"/>
      <c r="W1" s="247"/>
      <c r="X1" s="247"/>
      <c r="Y1" s="247"/>
      <c r="Z1" s="247"/>
    </row>
    <row r="2" spans="1:26">
      <c r="A2" s="247"/>
      <c r="B2" s="247"/>
      <c r="C2" s="247"/>
      <c r="D2" s="247"/>
      <c r="E2" s="247"/>
      <c r="F2" s="247"/>
      <c r="G2" s="247"/>
      <c r="H2" s="247"/>
      <c r="I2" s="247"/>
      <c r="J2" s="247"/>
      <c r="K2" s="247"/>
      <c r="L2" s="247"/>
      <c r="M2" s="247"/>
      <c r="N2" s="247"/>
      <c r="O2" s="247"/>
      <c r="P2" s="247"/>
      <c r="Q2" s="247"/>
      <c r="R2" s="247"/>
      <c r="S2" s="247"/>
      <c r="T2" s="247"/>
      <c r="U2" s="247"/>
      <c r="V2" s="247"/>
      <c r="W2" s="247"/>
      <c r="X2" s="247"/>
      <c r="Y2" s="247"/>
      <c r="Z2" s="247"/>
    </row>
    <row r="3" spans="1:26">
      <c r="A3" s="247"/>
      <c r="B3" s="247"/>
      <c r="C3" s="247"/>
      <c r="D3" s="247"/>
      <c r="E3" s="247"/>
      <c r="F3" s="247"/>
      <c r="G3" s="247"/>
      <c r="H3" s="247"/>
      <c r="I3" s="247"/>
      <c r="J3" s="247"/>
      <c r="K3" s="247"/>
      <c r="L3" s="247"/>
      <c r="M3" s="247"/>
      <c r="N3" s="247"/>
      <c r="O3" s="247"/>
      <c r="P3" s="247"/>
      <c r="Q3" s="247"/>
      <c r="R3" s="247"/>
      <c r="S3" s="247"/>
      <c r="T3" s="247"/>
      <c r="U3" s="247"/>
      <c r="V3" s="247"/>
      <c r="W3" s="247"/>
      <c r="X3" s="247"/>
      <c r="Y3" s="247"/>
      <c r="Z3" s="247"/>
    </row>
    <row r="4" spans="1:26">
      <c r="A4" s="247"/>
      <c r="B4" s="247"/>
      <c r="C4" s="247"/>
      <c r="D4" s="247"/>
      <c r="E4" s="247"/>
      <c r="F4" s="247"/>
      <c r="G4" s="247"/>
      <c r="H4" s="247"/>
      <c r="I4" s="247"/>
      <c r="J4" s="247"/>
      <c r="K4" s="247"/>
      <c r="L4" s="247"/>
      <c r="M4" s="247"/>
      <c r="N4" s="247"/>
      <c r="O4" s="247"/>
      <c r="P4" s="247"/>
      <c r="Q4" s="247"/>
      <c r="R4" s="247"/>
      <c r="S4" s="247"/>
      <c r="T4" s="247"/>
      <c r="U4" s="247"/>
      <c r="V4" s="247"/>
      <c r="W4" s="247"/>
      <c r="X4" s="247"/>
      <c r="Y4" s="247"/>
      <c r="Z4" s="247"/>
    </row>
    <row r="5" spans="1:26">
      <c r="A5" s="247"/>
      <c r="B5" s="247"/>
      <c r="C5" s="247"/>
      <c r="D5" s="247"/>
      <c r="E5" s="247"/>
      <c r="F5" s="247"/>
      <c r="G5" s="247"/>
      <c r="H5" s="247"/>
      <c r="I5" s="247"/>
      <c r="J5" s="247"/>
      <c r="K5" s="247"/>
      <c r="L5" s="247"/>
      <c r="M5" s="247"/>
      <c r="N5" s="247"/>
      <c r="O5" s="247"/>
      <c r="P5" s="247"/>
      <c r="Q5" s="247"/>
      <c r="R5" s="247"/>
      <c r="S5" s="247"/>
      <c r="T5" s="247"/>
      <c r="U5" s="247"/>
      <c r="V5" s="247"/>
      <c r="W5" s="247"/>
      <c r="X5" s="247"/>
      <c r="Y5" s="247"/>
      <c r="Z5" s="247"/>
    </row>
    <row r="6" spans="1:26">
      <c r="A6" s="247"/>
      <c r="B6" s="247"/>
      <c r="C6" s="247"/>
      <c r="D6" s="247"/>
      <c r="E6" s="247"/>
      <c r="F6" s="247"/>
      <c r="G6" s="247"/>
      <c r="H6" s="247"/>
      <c r="I6" s="247"/>
      <c r="J6" s="247"/>
      <c r="K6" s="247"/>
      <c r="L6" s="247"/>
      <c r="M6" s="247"/>
      <c r="N6" s="247"/>
      <c r="O6" s="247"/>
      <c r="P6" s="247"/>
      <c r="Q6" s="247"/>
      <c r="R6" s="247"/>
      <c r="S6" s="247"/>
      <c r="T6" s="247"/>
      <c r="U6" s="247"/>
      <c r="V6" s="247"/>
      <c r="W6" s="247"/>
      <c r="X6" s="247"/>
      <c r="Y6" s="247"/>
      <c r="Z6" s="247"/>
    </row>
    <row r="7" spans="1:26">
      <c r="A7" s="247"/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</row>
    <row r="8" spans="1:26">
      <c r="A8" s="247"/>
      <c r="B8" s="247"/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/>
      <c r="Y8" s="247"/>
      <c r="Z8" s="247"/>
    </row>
    <row r="9" spans="1:26">
      <c r="A9" s="247"/>
      <c r="B9" s="247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247"/>
      <c r="W9" s="247"/>
      <c r="X9" s="247"/>
      <c r="Y9" s="247"/>
      <c r="Z9" s="247"/>
    </row>
    <row r="10" spans="1:26">
      <c r="A10" s="247"/>
      <c r="B10" s="247"/>
      <c r="C10" s="247"/>
      <c r="D10" s="247"/>
      <c r="E10" s="247"/>
      <c r="F10" s="247"/>
      <c r="G10" s="247"/>
      <c r="H10" s="247"/>
      <c r="I10" s="247"/>
      <c r="J10" s="247"/>
      <c r="K10" s="247"/>
      <c r="L10" s="247"/>
      <c r="M10" s="247"/>
      <c r="N10" s="247"/>
      <c r="O10" s="247"/>
      <c r="P10" s="247"/>
      <c r="Q10" s="247"/>
      <c r="R10" s="247"/>
      <c r="S10" s="247"/>
      <c r="T10" s="247"/>
      <c r="U10" s="247"/>
      <c r="V10" s="247"/>
      <c r="W10" s="247"/>
      <c r="X10" s="247"/>
      <c r="Y10" s="247"/>
      <c r="Z10" s="247"/>
    </row>
    <row r="11" spans="1:26">
      <c r="A11" s="247"/>
      <c r="B11" s="247"/>
      <c r="C11" s="247"/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</row>
    <row r="12" spans="1:26">
      <c r="A12" s="247"/>
      <c r="B12" s="247"/>
      <c r="C12" s="247"/>
      <c r="D12" s="247"/>
      <c r="E12" s="247"/>
      <c r="F12" s="247"/>
      <c r="G12" s="247"/>
      <c r="H12" s="247"/>
      <c r="I12" s="247"/>
      <c r="J12" s="247"/>
      <c r="K12" s="247"/>
      <c r="L12" s="247"/>
      <c r="M12" s="247"/>
      <c r="N12" s="247"/>
      <c r="O12" s="247"/>
      <c r="P12" s="247"/>
      <c r="Q12" s="247"/>
      <c r="R12" s="247"/>
      <c r="S12" s="247"/>
      <c r="T12" s="247"/>
      <c r="U12" s="247"/>
      <c r="V12" s="247"/>
      <c r="W12" s="247"/>
      <c r="X12" s="247"/>
      <c r="Y12" s="247"/>
      <c r="Z12" s="247"/>
    </row>
    <row r="13" spans="1:26">
      <c r="A13" s="247"/>
      <c r="B13" s="247"/>
      <c r="C13" s="247"/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7"/>
      <c r="Q13" s="247"/>
      <c r="R13" s="247"/>
      <c r="S13" s="247"/>
      <c r="T13" s="247"/>
      <c r="U13" s="247"/>
      <c r="V13" s="247"/>
      <c r="W13" s="247"/>
      <c r="X13" s="247"/>
      <c r="Y13" s="247"/>
      <c r="Z13" s="247"/>
    </row>
    <row r="14" spans="1:26">
      <c r="A14" s="247"/>
      <c r="B14" s="247"/>
      <c r="C14" s="247"/>
      <c r="D14" s="247"/>
      <c r="E14" s="247"/>
      <c r="F14" s="247"/>
      <c r="G14" s="247"/>
      <c r="H14" s="247"/>
      <c r="I14" s="247"/>
      <c r="J14" s="247"/>
      <c r="K14" s="247"/>
      <c r="L14" s="247"/>
      <c r="M14" s="247"/>
      <c r="N14" s="247"/>
      <c r="O14" s="247"/>
      <c r="P14" s="247"/>
      <c r="Q14" s="247"/>
      <c r="R14" s="247"/>
      <c r="S14" s="247"/>
      <c r="T14" s="247"/>
      <c r="U14" s="247"/>
      <c r="V14" s="247"/>
      <c r="W14" s="247"/>
      <c r="X14" s="247"/>
      <c r="Y14" s="247"/>
      <c r="Z14" s="247"/>
    </row>
    <row r="15" spans="1:26">
      <c r="A15" s="247"/>
      <c r="B15" s="247"/>
      <c r="C15" s="247"/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7"/>
      <c r="Q15" s="247"/>
      <c r="R15" s="247"/>
      <c r="S15" s="247"/>
      <c r="T15" s="247"/>
      <c r="U15" s="247"/>
      <c r="V15" s="247"/>
      <c r="W15" s="247"/>
      <c r="X15" s="247"/>
      <c r="Y15" s="247"/>
      <c r="Z15" s="247"/>
    </row>
    <row r="16" spans="1:26">
      <c r="A16" s="247"/>
      <c r="B16" s="247"/>
      <c r="C16" s="247"/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7"/>
      <c r="Q16" s="247"/>
      <c r="R16" s="247"/>
      <c r="S16" s="247"/>
      <c r="T16" s="247"/>
      <c r="U16" s="247"/>
      <c r="V16" s="247"/>
      <c r="W16" s="247"/>
      <c r="X16" s="247"/>
      <c r="Y16" s="247"/>
      <c r="Z16" s="247"/>
    </row>
    <row r="17" spans="1:26">
      <c r="A17" s="247"/>
      <c r="B17" s="247"/>
      <c r="C17" s="247"/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7"/>
      <c r="Q17" s="247"/>
      <c r="R17" s="247"/>
      <c r="S17" s="247"/>
      <c r="T17" s="247"/>
      <c r="U17" s="247"/>
      <c r="V17" s="247"/>
      <c r="W17" s="247"/>
      <c r="X17" s="247"/>
      <c r="Y17" s="247"/>
      <c r="Z17" s="247"/>
    </row>
    <row r="18" spans="1:26">
      <c r="A18" s="247"/>
      <c r="B18" s="247"/>
      <c r="C18" s="247"/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7"/>
      <c r="Q18" s="247"/>
      <c r="R18" s="247"/>
      <c r="S18" s="247"/>
      <c r="T18" s="247"/>
      <c r="U18" s="247"/>
      <c r="V18" s="247"/>
      <c r="W18" s="247"/>
      <c r="X18" s="247"/>
      <c r="Y18" s="247"/>
      <c r="Z18" s="247"/>
    </row>
    <row r="19" spans="1:26">
      <c r="A19" s="247"/>
      <c r="B19" s="247"/>
      <c r="C19" s="247"/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247"/>
      <c r="P19" s="247"/>
      <c r="Q19" s="247"/>
      <c r="R19" s="247"/>
      <c r="S19" s="247"/>
      <c r="T19" s="247"/>
      <c r="U19" s="247"/>
      <c r="V19" s="247"/>
      <c r="W19" s="247"/>
      <c r="X19" s="247"/>
      <c r="Y19" s="247"/>
      <c r="Z19" s="247"/>
    </row>
    <row r="20" spans="1:26">
      <c r="A20" s="247"/>
      <c r="B20" s="247"/>
      <c r="C20" s="247"/>
      <c r="D20" s="247"/>
      <c r="E20" s="247"/>
      <c r="F20" s="247"/>
      <c r="G20" s="247"/>
      <c r="H20" s="247"/>
      <c r="I20" s="247"/>
      <c r="J20" s="247"/>
      <c r="K20" s="247"/>
      <c r="L20" s="247"/>
      <c r="M20" s="247"/>
      <c r="N20" s="247"/>
      <c r="O20" s="247"/>
      <c r="P20" s="247"/>
      <c r="Q20" s="247"/>
      <c r="R20" s="247"/>
      <c r="S20" s="247"/>
      <c r="T20" s="247"/>
      <c r="U20" s="247"/>
      <c r="V20" s="247"/>
      <c r="W20" s="247"/>
      <c r="X20" s="247"/>
      <c r="Y20" s="247"/>
      <c r="Z20" s="247"/>
    </row>
    <row r="21" spans="1:26">
      <c r="A21" s="247"/>
      <c r="B21" s="247"/>
      <c r="C21" s="247"/>
      <c r="D21" s="247"/>
      <c r="E21" s="247"/>
      <c r="F21" s="247"/>
      <c r="G21" s="247"/>
      <c r="H21" s="247"/>
      <c r="I21" s="247"/>
      <c r="J21" s="247"/>
      <c r="K21" s="247"/>
      <c r="L21" s="247"/>
      <c r="M21" s="247"/>
      <c r="N21" s="247"/>
      <c r="O21" s="247"/>
      <c r="P21" s="247"/>
      <c r="Q21" s="247"/>
      <c r="R21" s="247"/>
      <c r="S21" s="247"/>
      <c r="T21" s="247"/>
      <c r="U21" s="247"/>
      <c r="V21" s="247"/>
      <c r="W21" s="247"/>
      <c r="X21" s="247"/>
      <c r="Y21" s="247"/>
      <c r="Z21" s="247"/>
    </row>
    <row r="22" spans="1:26">
      <c r="A22" s="247"/>
      <c r="B22" s="247"/>
      <c r="C22" s="247"/>
      <c r="D22" s="247"/>
      <c r="E22" s="247"/>
      <c r="F22" s="247"/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</row>
    <row r="23" spans="1:26">
      <c r="A23" s="247"/>
      <c r="B23" s="247"/>
      <c r="C23" s="247"/>
      <c r="D23" s="247"/>
      <c r="E23" s="247"/>
      <c r="F23" s="247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</row>
    <row r="24" spans="1:26">
      <c r="A24" s="247"/>
      <c r="B24" s="247"/>
      <c r="C24" s="247"/>
      <c r="D24" s="247"/>
      <c r="E24" s="247"/>
      <c r="F24" s="247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</row>
    <row r="25" spans="1:26">
      <c r="A25" s="247"/>
      <c r="B25" s="247"/>
      <c r="C25" s="247"/>
      <c r="D25" s="247"/>
      <c r="E25" s="247"/>
      <c r="F25" s="247"/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</row>
    <row r="26" spans="1:26">
      <c r="A26" s="247"/>
      <c r="B26" s="247"/>
      <c r="C26" s="247"/>
      <c r="D26" s="247"/>
      <c r="E26" s="247"/>
      <c r="F26" s="247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</row>
    <row r="27" spans="1:26">
      <c r="A27" s="247"/>
      <c r="B27" s="247"/>
      <c r="C27" s="247"/>
      <c r="D27" s="247"/>
      <c r="E27" s="247"/>
      <c r="F27" s="247"/>
      <c r="G27" s="247"/>
      <c r="H27" s="247"/>
      <c r="I27" s="247"/>
      <c r="J27" s="247"/>
      <c r="K27" s="247"/>
      <c r="L27" s="247"/>
      <c r="M27" s="247"/>
      <c r="N27" s="247"/>
      <c r="O27" s="247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</row>
    <row r="28" spans="1:26">
      <c r="A28" s="247"/>
      <c r="B28" s="247"/>
      <c r="C28" s="247"/>
      <c r="D28" s="247"/>
      <c r="E28" s="247"/>
      <c r="F28" s="247"/>
      <c r="G28" s="247"/>
      <c r="H28" s="247"/>
      <c r="I28" s="247"/>
      <c r="J28" s="247"/>
      <c r="K28" s="247"/>
      <c r="L28" s="247"/>
      <c r="M28" s="247"/>
      <c r="N28" s="247"/>
      <c r="O28" s="247"/>
      <c r="P28" s="247"/>
      <c r="Q28" s="247"/>
      <c r="R28" s="247"/>
      <c r="S28" s="247"/>
      <c r="T28" s="247"/>
      <c r="U28" s="247"/>
      <c r="V28" s="247"/>
      <c r="W28" s="247"/>
      <c r="X28" s="247"/>
      <c r="Y28" s="247"/>
      <c r="Z28" s="247"/>
    </row>
    <row r="29" spans="1:26">
      <c r="A29" s="247"/>
      <c r="B29" s="247"/>
      <c r="C29" s="247"/>
      <c r="D29" s="247"/>
      <c r="E29" s="247"/>
      <c r="F29" s="247"/>
      <c r="G29" s="247"/>
      <c r="H29" s="247"/>
      <c r="I29" s="247"/>
      <c r="J29" s="247"/>
      <c r="K29" s="247"/>
      <c r="L29" s="247"/>
      <c r="M29" s="247"/>
      <c r="N29" s="247"/>
      <c r="O29" s="247"/>
      <c r="P29" s="247"/>
      <c r="Q29" s="247"/>
      <c r="R29" s="247"/>
      <c r="S29" s="247"/>
      <c r="T29" s="247"/>
      <c r="U29" s="247"/>
      <c r="V29" s="247"/>
      <c r="W29" s="247"/>
      <c r="X29" s="247"/>
      <c r="Y29" s="247"/>
      <c r="Z29" s="247"/>
    </row>
    <row r="30" spans="1:26">
      <c r="A30" s="247"/>
      <c r="B30" s="247"/>
      <c r="C30" s="247"/>
      <c r="D30" s="247"/>
      <c r="E30" s="247"/>
      <c r="F30" s="247"/>
      <c r="G30" s="247"/>
      <c r="H30" s="247"/>
      <c r="I30" s="247"/>
      <c r="J30" s="247"/>
      <c r="K30" s="247"/>
      <c r="L30" s="247"/>
      <c r="M30" s="247"/>
      <c r="N30" s="247"/>
      <c r="O30" s="247"/>
      <c r="P30" s="247"/>
      <c r="Q30" s="247"/>
      <c r="R30" s="247"/>
      <c r="S30" s="247"/>
      <c r="T30" s="247"/>
      <c r="U30" s="247"/>
      <c r="V30" s="247"/>
      <c r="W30" s="247"/>
      <c r="X30" s="247"/>
      <c r="Y30" s="247"/>
      <c r="Z30" s="247"/>
    </row>
    <row r="31" spans="1:26">
      <c r="A31" s="247"/>
      <c r="B31" s="247"/>
      <c r="C31" s="247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47"/>
      <c r="Z31" s="247"/>
    </row>
    <row r="32" spans="1:26">
      <c r="A32" s="248" t="s">
        <v>1</v>
      </c>
      <c r="B32" s="248"/>
      <c r="C32" s="248"/>
      <c r="D32" s="248"/>
      <c r="E32" s="248"/>
      <c r="F32" s="248"/>
      <c r="G32" s="248"/>
      <c r="H32" s="248"/>
      <c r="I32" s="248"/>
      <c r="J32" s="248"/>
      <c r="K32" s="248"/>
      <c r="L32" s="248"/>
      <c r="M32" s="248"/>
      <c r="N32" s="248"/>
      <c r="O32" s="248"/>
      <c r="P32" s="248"/>
      <c r="Q32" s="248"/>
      <c r="R32" s="248"/>
      <c r="S32" s="248"/>
      <c r="T32" s="248"/>
      <c r="U32" s="248"/>
      <c r="V32" s="248"/>
      <c r="W32" s="248"/>
      <c r="X32" s="248"/>
      <c r="Y32" s="248"/>
      <c r="Z32" s="248"/>
    </row>
    <row r="33" spans="1:26">
      <c r="A33" s="248"/>
      <c r="B33" s="248"/>
      <c r="C33" s="248"/>
      <c r="D33" s="248"/>
      <c r="E33" s="248"/>
      <c r="F33" s="248"/>
      <c r="G33" s="248"/>
      <c r="H33" s="248"/>
      <c r="I33" s="248"/>
      <c r="J33" s="248"/>
      <c r="K33" s="248"/>
      <c r="L33" s="248"/>
      <c r="M33" s="248"/>
      <c r="N33" s="248"/>
      <c r="O33" s="248"/>
      <c r="P33" s="248"/>
      <c r="Q33" s="248"/>
      <c r="R33" s="248"/>
      <c r="S33" s="248"/>
      <c r="T33" s="248"/>
      <c r="U33" s="248"/>
      <c r="V33" s="248"/>
      <c r="W33" s="248"/>
      <c r="X33" s="248"/>
      <c r="Y33" s="248"/>
      <c r="Z33" s="248"/>
    </row>
    <row r="34" spans="1:26">
      <c r="A34" s="248"/>
      <c r="B34" s="248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</row>
    <row r="35" spans="1:26">
      <c r="A35" s="248"/>
      <c r="B35" s="248"/>
      <c r="C35" s="248"/>
      <c r="D35" s="248"/>
      <c r="E35" s="248"/>
      <c r="F35" s="248"/>
      <c r="G35" s="248"/>
      <c r="H35" s="248"/>
      <c r="I35" s="248"/>
      <c r="J35" s="248"/>
      <c r="K35" s="248"/>
      <c r="L35" s="248"/>
      <c r="M35" s="248"/>
      <c r="N35" s="248"/>
      <c r="O35" s="248"/>
      <c r="P35" s="248"/>
      <c r="Q35" s="248"/>
      <c r="R35" s="248"/>
      <c r="S35" s="248"/>
      <c r="T35" s="248"/>
      <c r="U35" s="248"/>
      <c r="V35" s="248"/>
      <c r="W35" s="248"/>
      <c r="X35" s="248"/>
      <c r="Y35" s="248"/>
      <c r="Z35" s="248"/>
    </row>
    <row r="36" spans="1:26">
      <c r="A36" s="248"/>
      <c r="B36" s="248"/>
      <c r="C36" s="248"/>
      <c r="D36" s="248"/>
      <c r="E36" s="248"/>
      <c r="F36" s="248"/>
      <c r="G36" s="248"/>
      <c r="H36" s="248"/>
      <c r="I36" s="248"/>
      <c r="J36" s="248"/>
      <c r="K36" s="248"/>
      <c r="L36" s="248"/>
      <c r="M36" s="248"/>
      <c r="N36" s="248"/>
      <c r="O36" s="248"/>
      <c r="P36" s="248"/>
      <c r="Q36" s="248"/>
      <c r="R36" s="248"/>
      <c r="S36" s="248"/>
      <c r="T36" s="248"/>
      <c r="U36" s="248"/>
      <c r="V36" s="248"/>
      <c r="W36" s="248"/>
      <c r="X36" s="248"/>
      <c r="Y36" s="248"/>
      <c r="Z36" s="248"/>
    </row>
    <row r="37" spans="1:26">
      <c r="A37" s="248"/>
      <c r="B37" s="248"/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</row>
    <row r="38" spans="1:26">
      <c r="A38" s="248"/>
      <c r="B38" s="248"/>
      <c r="C38" s="248"/>
      <c r="D38" s="248"/>
      <c r="E38" s="248"/>
      <c r="F38" s="248"/>
      <c r="G38" s="248"/>
      <c r="H38" s="248"/>
      <c r="I38" s="248"/>
      <c r="J38" s="248"/>
      <c r="K38" s="248"/>
      <c r="L38" s="248"/>
      <c r="M38" s="248"/>
      <c r="N38" s="248"/>
      <c r="O38" s="248"/>
      <c r="P38" s="248"/>
      <c r="Q38" s="248"/>
      <c r="R38" s="248"/>
      <c r="S38" s="248"/>
      <c r="T38" s="248"/>
      <c r="U38" s="248"/>
      <c r="V38" s="248"/>
      <c r="W38" s="248"/>
      <c r="X38" s="248"/>
      <c r="Y38" s="248"/>
      <c r="Z38" s="248"/>
    </row>
    <row r="39" spans="1:26">
      <c r="A39" s="248"/>
      <c r="B39" s="248"/>
      <c r="C39" s="248"/>
      <c r="D39" s="248"/>
      <c r="E39" s="248"/>
      <c r="F39" s="248"/>
      <c r="G39" s="248"/>
      <c r="H39" s="248"/>
      <c r="I39" s="248"/>
      <c r="J39" s="248"/>
      <c r="K39" s="248"/>
      <c r="L39" s="248"/>
      <c r="M39" s="248"/>
      <c r="N39" s="248"/>
      <c r="O39" s="248"/>
      <c r="P39" s="248"/>
      <c r="Q39" s="248"/>
      <c r="R39" s="248"/>
      <c r="S39" s="248"/>
      <c r="T39" s="248"/>
      <c r="U39" s="248"/>
      <c r="V39" s="248"/>
      <c r="W39" s="248"/>
      <c r="X39" s="248"/>
      <c r="Y39" s="248"/>
      <c r="Z39" s="248"/>
    </row>
    <row r="40" spans="1:26">
      <c r="A40" s="248"/>
      <c r="B40" s="248"/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</row>
    <row r="41" spans="1:26">
      <c r="A41" s="248"/>
      <c r="B41" s="248"/>
      <c r="C41" s="248"/>
      <c r="D41" s="248"/>
      <c r="E41" s="248"/>
      <c r="F41" s="248"/>
      <c r="G41" s="248"/>
      <c r="H41" s="248"/>
      <c r="I41" s="248"/>
      <c r="J41" s="248"/>
      <c r="K41" s="248"/>
      <c r="L41" s="248"/>
      <c r="M41" s="248"/>
      <c r="N41" s="248"/>
      <c r="O41" s="248"/>
      <c r="P41" s="248"/>
      <c r="Q41" s="248"/>
      <c r="R41" s="248"/>
      <c r="S41" s="248"/>
      <c r="T41" s="248"/>
      <c r="U41" s="248"/>
      <c r="V41" s="248"/>
      <c r="W41" s="248"/>
      <c r="X41" s="248"/>
      <c r="Y41" s="248"/>
      <c r="Z41" s="248"/>
    </row>
    <row r="42" spans="1:26">
      <c r="A42" s="248"/>
      <c r="B42" s="248"/>
      <c r="C42" s="248"/>
      <c r="D42" s="248"/>
      <c r="E42" s="248"/>
      <c r="F42" s="248"/>
      <c r="G42" s="248"/>
      <c r="H42" s="248"/>
      <c r="I42" s="248"/>
      <c r="J42" s="248"/>
      <c r="K42" s="248"/>
      <c r="L42" s="248"/>
      <c r="M42" s="248"/>
      <c r="N42" s="248"/>
      <c r="O42" s="248"/>
      <c r="P42" s="248"/>
      <c r="Q42" s="248"/>
      <c r="R42" s="248"/>
      <c r="S42" s="248"/>
      <c r="T42" s="248"/>
      <c r="U42" s="248"/>
      <c r="V42" s="248"/>
      <c r="W42" s="248"/>
      <c r="X42" s="248"/>
      <c r="Y42" s="248"/>
      <c r="Z42" s="248"/>
    </row>
    <row r="43" spans="1:26">
      <c r="A43" s="248"/>
      <c r="B43" s="248"/>
      <c r="C43" s="248"/>
      <c r="D43" s="248"/>
      <c r="E43" s="248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8"/>
      <c r="S43" s="248"/>
      <c r="T43" s="248"/>
      <c r="U43" s="248"/>
      <c r="V43" s="248"/>
      <c r="W43" s="248"/>
      <c r="X43" s="248"/>
      <c r="Y43" s="248"/>
      <c r="Z43" s="248"/>
    </row>
    <row r="44" spans="1:26">
      <c r="A44" s="248"/>
      <c r="B44" s="248"/>
      <c r="C44" s="248"/>
      <c r="D44" s="248"/>
      <c r="E44" s="248"/>
      <c r="F44" s="248"/>
      <c r="G44" s="248"/>
      <c r="H44" s="248"/>
      <c r="I44" s="248"/>
      <c r="J44" s="248"/>
      <c r="K44" s="248"/>
      <c r="L44" s="248"/>
      <c r="M44" s="248"/>
      <c r="N44" s="248"/>
      <c r="O44" s="248"/>
      <c r="P44" s="248"/>
      <c r="Q44" s="248"/>
      <c r="R44" s="248"/>
      <c r="S44" s="248"/>
      <c r="T44" s="248"/>
      <c r="U44" s="248"/>
      <c r="V44" s="248"/>
      <c r="W44" s="248"/>
      <c r="X44" s="248"/>
      <c r="Y44" s="248"/>
      <c r="Z44" s="248"/>
    </row>
    <row r="45" spans="1:26">
      <c r="A45" s="248"/>
      <c r="B45" s="248"/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248"/>
      <c r="Z45" s="248"/>
    </row>
    <row r="46" spans="1:26">
      <c r="A46" s="248"/>
      <c r="B46" s="248"/>
      <c r="C46" s="248"/>
      <c r="D46" s="248"/>
      <c r="E46" s="248"/>
      <c r="F46" s="248"/>
      <c r="G46" s="248"/>
      <c r="H46" s="248"/>
      <c r="I46" s="248"/>
      <c r="J46" s="248"/>
      <c r="K46" s="248"/>
      <c r="L46" s="248"/>
      <c r="M46" s="248"/>
      <c r="N46" s="248"/>
      <c r="O46" s="248"/>
      <c r="P46" s="248"/>
      <c r="Q46" s="248"/>
      <c r="R46" s="248"/>
      <c r="S46" s="248"/>
      <c r="T46" s="248"/>
      <c r="U46" s="248"/>
      <c r="V46" s="248"/>
      <c r="W46" s="248"/>
      <c r="X46" s="248"/>
      <c r="Y46" s="248"/>
      <c r="Z46" s="248"/>
    </row>
    <row r="47" spans="1:26">
      <c r="A47" s="248"/>
      <c r="B47" s="248"/>
      <c r="C47" s="248"/>
      <c r="D47" s="248"/>
      <c r="E47" s="248"/>
      <c r="F47" s="248"/>
      <c r="G47" s="248"/>
      <c r="H47" s="248"/>
      <c r="I47" s="248"/>
      <c r="J47" s="248"/>
      <c r="K47" s="248"/>
      <c r="L47" s="248"/>
      <c r="M47" s="248"/>
      <c r="N47" s="248"/>
      <c r="O47" s="248"/>
      <c r="P47" s="248"/>
      <c r="Q47" s="248"/>
      <c r="R47" s="248"/>
      <c r="S47" s="248"/>
      <c r="T47" s="248"/>
      <c r="U47" s="248"/>
      <c r="V47" s="248"/>
      <c r="W47" s="248"/>
      <c r="X47" s="248"/>
      <c r="Y47" s="248"/>
      <c r="Z47" s="248"/>
    </row>
    <row r="48" spans="1:26">
      <c r="A48" s="248"/>
      <c r="B48" s="248"/>
      <c r="C48" s="248"/>
      <c r="D48" s="248"/>
      <c r="E48" s="248"/>
      <c r="F48" s="248"/>
      <c r="G48" s="248"/>
      <c r="H48" s="248"/>
      <c r="I48" s="248"/>
      <c r="J48" s="248"/>
      <c r="K48" s="248"/>
      <c r="L48" s="248"/>
      <c r="M48" s="248"/>
      <c r="N48" s="248"/>
      <c r="O48" s="248"/>
      <c r="P48" s="248"/>
      <c r="Q48" s="248"/>
      <c r="R48" s="248"/>
      <c r="S48" s="248"/>
      <c r="T48" s="248"/>
      <c r="U48" s="248"/>
      <c r="V48" s="248"/>
      <c r="W48" s="248"/>
      <c r="X48" s="248"/>
      <c r="Y48" s="248"/>
      <c r="Z48" s="248"/>
    </row>
    <row r="49" spans="1:26">
      <c r="A49" s="248"/>
      <c r="B49" s="248"/>
      <c r="C49" s="248"/>
      <c r="D49" s="248"/>
      <c r="E49" s="248"/>
      <c r="F49" s="248"/>
      <c r="G49" s="248"/>
      <c r="H49" s="248"/>
      <c r="I49" s="248"/>
      <c r="J49" s="248"/>
      <c r="K49" s="248"/>
      <c r="L49" s="248"/>
      <c r="M49" s="248"/>
      <c r="N49" s="248"/>
      <c r="O49" s="248"/>
      <c r="P49" s="248"/>
      <c r="Q49" s="248"/>
      <c r="R49" s="248"/>
      <c r="S49" s="248"/>
      <c r="T49" s="248"/>
      <c r="U49" s="248"/>
      <c r="V49" s="248"/>
      <c r="W49" s="248"/>
      <c r="X49" s="248"/>
      <c r="Y49" s="248"/>
      <c r="Z49" s="248"/>
    </row>
    <row r="50" spans="1:26">
      <c r="A50" s="248"/>
      <c r="B50" s="248"/>
      <c r="C50" s="248"/>
      <c r="D50" s="248"/>
      <c r="E50" s="248"/>
      <c r="F50" s="248"/>
      <c r="G50" s="248"/>
      <c r="H50" s="248"/>
      <c r="I50" s="248"/>
      <c r="J50" s="248"/>
      <c r="K50" s="248"/>
      <c r="L50" s="248"/>
      <c r="M50" s="248"/>
      <c r="N50" s="248"/>
      <c r="O50" s="248"/>
      <c r="P50" s="248"/>
      <c r="Q50" s="248"/>
      <c r="R50" s="248"/>
      <c r="S50" s="248"/>
      <c r="T50" s="248"/>
      <c r="U50" s="248"/>
      <c r="V50" s="248"/>
      <c r="W50" s="248"/>
      <c r="X50" s="248"/>
      <c r="Y50" s="248"/>
      <c r="Z50" s="248"/>
    </row>
    <row r="51" spans="1:26">
      <c r="A51" s="248"/>
      <c r="B51" s="248"/>
      <c r="C51" s="248"/>
      <c r="D51" s="248"/>
      <c r="E51" s="248"/>
      <c r="F51" s="248"/>
      <c r="G51" s="248"/>
      <c r="H51" s="248"/>
      <c r="I51" s="248"/>
      <c r="J51" s="248"/>
      <c r="K51" s="248"/>
      <c r="L51" s="248"/>
      <c r="M51" s="248"/>
      <c r="N51" s="248"/>
      <c r="O51" s="248"/>
      <c r="P51" s="248"/>
      <c r="Q51" s="248"/>
      <c r="R51" s="248"/>
      <c r="S51" s="248"/>
      <c r="T51" s="248"/>
      <c r="U51" s="248"/>
      <c r="V51" s="248"/>
      <c r="W51" s="248"/>
      <c r="X51" s="248"/>
      <c r="Y51" s="248"/>
      <c r="Z51" s="248"/>
    </row>
    <row r="52" spans="1:26">
      <c r="A52" s="248"/>
      <c r="B52" s="248"/>
      <c r="C52" s="248"/>
      <c r="D52" s="248"/>
      <c r="E52" s="248"/>
      <c r="F52" s="248"/>
      <c r="G52" s="248"/>
      <c r="H52" s="248"/>
      <c r="I52" s="248"/>
      <c r="J52" s="248"/>
      <c r="K52" s="248"/>
      <c r="L52" s="248"/>
      <c r="M52" s="248"/>
      <c r="N52" s="248"/>
      <c r="O52" s="248"/>
      <c r="P52" s="248"/>
      <c r="Q52" s="248"/>
      <c r="R52" s="248"/>
      <c r="S52" s="248"/>
      <c r="T52" s="248"/>
      <c r="U52" s="248"/>
      <c r="V52" s="248"/>
      <c r="W52" s="248"/>
      <c r="X52" s="248"/>
      <c r="Y52" s="248"/>
      <c r="Z52" s="248"/>
    </row>
    <row r="53" spans="1:26">
      <c r="A53" s="248"/>
      <c r="B53" s="248"/>
      <c r="C53" s="248"/>
      <c r="D53" s="248"/>
      <c r="E53" s="248"/>
      <c r="F53" s="248"/>
      <c r="G53" s="248"/>
      <c r="H53" s="248"/>
      <c r="I53" s="248"/>
      <c r="J53" s="248"/>
      <c r="K53" s="248"/>
      <c r="L53" s="248"/>
      <c r="M53" s="248"/>
      <c r="N53" s="248"/>
      <c r="O53" s="248"/>
      <c r="P53" s="248"/>
      <c r="Q53" s="248"/>
      <c r="R53" s="248"/>
      <c r="S53" s="248"/>
      <c r="T53" s="248"/>
      <c r="U53" s="248"/>
      <c r="V53" s="248"/>
      <c r="W53" s="248"/>
      <c r="X53" s="248"/>
      <c r="Y53" s="248"/>
      <c r="Z53" s="248"/>
    </row>
    <row r="54" spans="1:26">
      <c r="A54" s="248"/>
      <c r="B54" s="248"/>
      <c r="C54" s="248"/>
      <c r="D54" s="248"/>
      <c r="E54" s="248"/>
      <c r="F54" s="248"/>
      <c r="G54" s="248"/>
      <c r="H54" s="248"/>
      <c r="I54" s="248"/>
      <c r="J54" s="248"/>
      <c r="K54" s="248"/>
      <c r="L54" s="248"/>
      <c r="M54" s="248"/>
      <c r="N54" s="248"/>
      <c r="O54" s="248"/>
      <c r="P54" s="248"/>
      <c r="Q54" s="248"/>
      <c r="R54" s="248"/>
      <c r="S54" s="248"/>
      <c r="T54" s="248"/>
      <c r="U54" s="248"/>
      <c r="V54" s="248"/>
      <c r="W54" s="248"/>
      <c r="X54" s="248"/>
      <c r="Y54" s="248"/>
      <c r="Z54" s="248"/>
    </row>
    <row r="55" spans="1:26">
      <c r="A55" s="248"/>
      <c r="B55" s="248"/>
      <c r="C55" s="248"/>
      <c r="D55" s="248"/>
      <c r="E55" s="248"/>
      <c r="F55" s="248"/>
      <c r="G55" s="248"/>
      <c r="H55" s="248"/>
      <c r="I55" s="248"/>
      <c r="J55" s="248"/>
      <c r="K55" s="248"/>
      <c r="L55" s="248"/>
      <c r="M55" s="248"/>
      <c r="N55" s="248"/>
      <c r="O55" s="248"/>
      <c r="P55" s="248"/>
      <c r="Q55" s="248"/>
      <c r="R55" s="248"/>
      <c r="S55" s="248"/>
      <c r="T55" s="248"/>
      <c r="U55" s="248"/>
      <c r="V55" s="248"/>
      <c r="W55" s="248"/>
      <c r="X55" s="248"/>
      <c r="Y55" s="248"/>
      <c r="Z55" s="248"/>
    </row>
    <row r="56" spans="1:26">
      <c r="A56" s="248"/>
      <c r="B56" s="248"/>
      <c r="C56" s="248"/>
      <c r="D56" s="248"/>
      <c r="E56" s="248"/>
      <c r="F56" s="248"/>
      <c r="G56" s="248"/>
      <c r="H56" s="248"/>
      <c r="I56" s="248"/>
      <c r="J56" s="248"/>
      <c r="K56" s="248"/>
      <c r="L56" s="248"/>
      <c r="M56" s="248"/>
      <c r="N56" s="248"/>
      <c r="O56" s="248"/>
      <c r="P56" s="248"/>
      <c r="Q56" s="248"/>
      <c r="R56" s="248"/>
      <c r="S56" s="248"/>
      <c r="T56" s="248"/>
      <c r="U56" s="248"/>
      <c r="V56" s="248"/>
      <c r="W56" s="248"/>
      <c r="X56" s="248"/>
      <c r="Y56" s="248"/>
      <c r="Z56" s="248"/>
    </row>
    <row r="57" spans="1:26">
      <c r="A57" s="248"/>
      <c r="B57" s="248"/>
      <c r="C57" s="248"/>
      <c r="D57" s="248"/>
      <c r="E57" s="248"/>
      <c r="F57" s="248"/>
      <c r="G57" s="248"/>
      <c r="H57" s="248"/>
      <c r="I57" s="248"/>
      <c r="J57" s="248"/>
      <c r="K57" s="248"/>
      <c r="L57" s="248"/>
      <c r="M57" s="248"/>
      <c r="N57" s="248"/>
      <c r="O57" s="248"/>
      <c r="P57" s="248"/>
      <c r="Q57" s="248"/>
      <c r="R57" s="248"/>
      <c r="S57" s="248"/>
      <c r="T57" s="248"/>
      <c r="U57" s="248"/>
      <c r="V57" s="248"/>
      <c r="W57" s="248"/>
      <c r="X57" s="248"/>
      <c r="Y57" s="248"/>
      <c r="Z57" s="248"/>
    </row>
    <row r="58" spans="1:26">
      <c r="A58" s="248"/>
      <c r="B58" s="248"/>
      <c r="C58" s="248"/>
      <c r="D58" s="248"/>
      <c r="E58" s="248"/>
      <c r="F58" s="248"/>
      <c r="G58" s="248"/>
      <c r="H58" s="248"/>
      <c r="I58" s="248"/>
      <c r="J58" s="248"/>
      <c r="K58" s="248"/>
      <c r="L58" s="248"/>
      <c r="M58" s="248"/>
      <c r="N58" s="248"/>
      <c r="O58" s="248"/>
      <c r="P58" s="248"/>
      <c r="Q58" s="248"/>
      <c r="R58" s="248"/>
      <c r="S58" s="248"/>
      <c r="T58" s="248"/>
      <c r="U58" s="248"/>
      <c r="V58" s="248"/>
      <c r="W58" s="248"/>
      <c r="X58" s="248"/>
      <c r="Y58" s="248"/>
      <c r="Z58" s="248"/>
    </row>
    <row r="59" spans="1:26">
      <c r="A59" s="248"/>
      <c r="B59" s="248"/>
      <c r="C59" s="248"/>
      <c r="D59" s="248"/>
      <c r="E59" s="248"/>
      <c r="F59" s="248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</row>
    <row r="60" spans="1:26">
      <c r="A60" s="248"/>
      <c r="B60" s="248"/>
      <c r="C60" s="248"/>
      <c r="D60" s="248"/>
      <c r="E60" s="248"/>
      <c r="F60" s="248"/>
      <c r="G60" s="248"/>
      <c r="H60" s="248"/>
      <c r="I60" s="248"/>
      <c r="J60" s="248"/>
      <c r="K60" s="248"/>
      <c r="L60" s="248"/>
      <c r="M60" s="248"/>
      <c r="N60" s="248"/>
      <c r="O60" s="248"/>
      <c r="P60" s="248"/>
      <c r="Q60" s="248"/>
      <c r="R60" s="248"/>
      <c r="S60" s="248"/>
      <c r="T60" s="248"/>
      <c r="U60" s="248"/>
      <c r="V60" s="248"/>
      <c r="W60" s="248"/>
      <c r="X60" s="248"/>
      <c r="Y60" s="248"/>
      <c r="Z60" s="248"/>
    </row>
    <row r="61" spans="1:26">
      <c r="A61" s="248"/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</row>
    <row r="62" spans="1:26">
      <c r="A62" s="248"/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48"/>
      <c r="M62" s="248"/>
      <c r="N62" s="248"/>
      <c r="O62" s="248"/>
      <c r="P62" s="248"/>
      <c r="Q62" s="248"/>
      <c r="R62" s="248"/>
      <c r="S62" s="248"/>
      <c r="T62" s="248"/>
      <c r="U62" s="248"/>
      <c r="V62" s="248"/>
      <c r="W62" s="248"/>
      <c r="X62" s="248"/>
      <c r="Y62" s="248"/>
      <c r="Z62" s="248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4" workbookViewId="0">
      <selection activeCell="E38" sqref="E38"/>
    </sheetView>
  </sheetViews>
  <sheetFormatPr defaultColWidth="9" defaultRowHeight="16.8" outlineLevelCol="1"/>
  <cols>
    <col min="1" max="1" width="43.25" style="227" customWidth="1"/>
    <col min="2" max="2" width="34.125" style="227" customWidth="1"/>
    <col min="3" max="16384" width="9" style="227"/>
  </cols>
  <sheetData>
    <row r="1" ht="45" customHeight="1" spans="1:2">
      <c r="A1" s="228" t="s">
        <v>2</v>
      </c>
      <c r="B1" s="229" t="s">
        <v>3</v>
      </c>
    </row>
    <row r="2" ht="45" customHeight="1" spans="1:2">
      <c r="A2" s="230" t="s">
        <v>4</v>
      </c>
      <c r="B2" s="231" t="b">
        <v>1</v>
      </c>
    </row>
    <row r="3" ht="36" customHeight="1" spans="1:2">
      <c r="A3" s="232" t="s">
        <v>5</v>
      </c>
      <c r="B3" s="233">
        <v>45402</v>
      </c>
    </row>
    <row r="4" ht="45" customHeight="1" spans="1:2">
      <c r="A4" s="228" t="s">
        <v>6</v>
      </c>
      <c r="B4" s="234" t="str">
        <f>IF(B2,TEXT(EDATE(B3,1)-1,"dd-mmm-yyyy"),B4)</f>
        <v>19-May-2024</v>
      </c>
    </row>
    <row r="5" ht="45" customHeight="1" spans="1:2">
      <c r="A5" s="230" t="s">
        <v>7</v>
      </c>
      <c r="B5" s="235">
        <v>45761</v>
      </c>
    </row>
    <row r="6" ht="45" customHeight="1" spans="1:2">
      <c r="A6" s="230"/>
      <c r="B6" s="235"/>
    </row>
    <row r="7" ht="24.75" customHeight="1" spans="1:2">
      <c r="A7" s="236"/>
      <c r="B7" s="237"/>
    </row>
    <row r="8" ht="40" customHeight="1" spans="1:2">
      <c r="A8" s="238" t="s">
        <v>8</v>
      </c>
      <c r="B8" s="238"/>
    </row>
    <row r="9" ht="20.25" customHeight="1" spans="1:2">
      <c r="A9" s="239" t="str">
        <f>TEXT(B3,"dd mmmm yyyy")&amp;" - "&amp;IF(B2,TEXT(EDATE(B3,1)-1,"dd mmmm yyyy"),TEXT(B3+B5-B3,"dd mmmm yyyy"))</f>
        <v>20 April 2024 - 19 May 2024</v>
      </c>
      <c r="B9" s="240" t="s">
        <v>9</v>
      </c>
    </row>
    <row r="10" ht="20.25" customHeight="1" spans="1:2">
      <c r="A10" s="231" t="str">
        <f>IF(B2,TEXT(EDATE(B3,1),"dd mmmm yyyy"),TEXT(B3+(B5-B3)+1,"dd mmmm yyyy"))&amp;" - "&amp;IF(B2,TEXT(EDATE(B3,2)-1,"dd mmmm yyyy"),TEXT(B3+(B5-B3)*2+1,"dd mmmm yyyy"))</f>
        <v>20 May 2024 - 19 June 2024</v>
      </c>
      <c r="B10" s="240"/>
    </row>
    <row r="11" ht="20.25" customHeight="1" spans="1:2">
      <c r="A11" s="231" t="str">
        <f>IF(B2,TEXT(EDATE(B3,2),"dd mmmm yyyy"),TEXT(B3+((B5-B3)*2)+2,"dd mmmm yyyy"))&amp;" - "&amp;IF(B2,TEXT(EDATE(B3,3)-1,"dd mmmm yyyy"),TEXT(B3+((B5-B3)*3+2),"dd mmmm yyyy"))</f>
        <v>20 June 2024 - 19 July 2024</v>
      </c>
      <c r="B11" s="241"/>
    </row>
    <row r="12" ht="20.25" customHeight="1" spans="1:2">
      <c r="A12" s="242" t="str">
        <f>IF(B2,TEXT(EDATE(B3,3),"dd mmmm yyyy"),TEXT(B3+((B5-B3)*3)+3,"dd mmmm yyyy"))&amp;" - "&amp;IF(B2,TEXT(EDATE(B3,4)-1,"dd mmmm yyyy"),TEXT(B3+(((B5-B3)*4)+3),"dd mmmm yyyy"))</f>
        <v>20 July 2024 - 19 August 2024</v>
      </c>
      <c r="B12" s="229" t="s">
        <v>10</v>
      </c>
    </row>
    <row r="13" ht="20.25" customHeight="1" spans="1:2">
      <c r="A13" s="242" t="str">
        <f>IF(B2,TEXT(EDATE(B3,4),"dd mmmm yyyy"),TEXT(B3+((B5-B3)*4)+4,"dd mmmm yyyy"))&amp;" - "&amp;IF(B2,TEXT(EDATE(B3,5)-1,"dd mmmm yyyy"),TEXT(B3+(((B5-B3)*5)+4),"dd mmmm yyyy"))</f>
        <v>20 August 2024 - 19 September 2024</v>
      </c>
      <c r="B13" s="243"/>
    </row>
    <row r="14" ht="20.25" customHeight="1" spans="1:2">
      <c r="A14" s="231" t="str">
        <f>IF(B2,TEXT(EDATE(B3,5),"dd mmmm yyyy"),TEXT(B3+((B5-B3)*5)+5,"dd mmmm yyyy"))&amp;" - "&amp;IF(B2,TEXT(EDATE(B3,6)-1,"dd mmmm yyyy"),TEXT(B3+(((B5-B3)*6)+5),"dd mmmm yyyy"))</f>
        <v>20 September 2024 - 19 October 2024</v>
      </c>
      <c r="B14" s="244"/>
    </row>
    <row r="15" ht="20.25" customHeight="1" spans="1:2">
      <c r="A15" s="231" t="str">
        <f>IF(B2,TEXT(EDATE(B3,6),"dd mmmm yyyy"),TEXT(B3+((B5-B3)*6)+6,"dd mmmm yyyy"))&amp;" - "&amp;IF(B2,TEXT(EDATE(B3,7)-1,"dd mmmm yyyy"),TEXT(B3+(((B5-B3)*7)+6),"dd mmmm yyyy"))</f>
        <v>20 October 2024 - 19 November 2024</v>
      </c>
      <c r="B15" s="229" t="s">
        <v>11</v>
      </c>
    </row>
    <row r="16" ht="20.25" customHeight="1" spans="1:2">
      <c r="A16" s="231" t="str">
        <f>IF(B2,TEXT(EDATE(B3,7),"dd mmmm yyyy"),TEXT(B3+((B5-B3)*7)+7,"dd mmmm yyyy"))&amp;" - "&amp;IF(B2,TEXT(EDATE(B3,8)-1,"dd mmmm yyyy"),TEXT(B3+(((B5-B3)*8)+7),"dd mmmm yyyy"))</f>
        <v>20 November 2024 - 19 December 2024</v>
      </c>
      <c r="B16" s="243"/>
    </row>
    <row r="17" ht="20.25" customHeight="1" spans="1:2">
      <c r="A17" s="231" t="str">
        <f>IF(B2,TEXT(EDATE(B3,8),"dd mmmm yyyy"),TEXT(B3+((B5-B3)*8)+8,"dd mmmm yyyy"))&amp;" - "&amp;IF(B2,TEXT(EDATE(B3,9)-1,"dd mmmm yyyy"),TEXT(B3+(((B5-B3)*9)+8),"dd mmmm yyyy"))</f>
        <v>20 December 2024 - 19 January 2025</v>
      </c>
      <c r="B17" s="244"/>
    </row>
    <row r="18" ht="20.25" customHeight="1" spans="1:2">
      <c r="A18" s="231" t="str">
        <f>IF(B2,TEXT(EDATE(B3,9),"dd mmmm yyyy"),TEXT(B3+((B5-B3)*9)+9,"dd mmmm yyyy"))&amp;" - "&amp;IF(B2,TEXT(EDATE(B3,10)-1,"dd mmmm yyyy"),TEXT(B3+(((B5-B3)*10)+9),"dd mmmm yyyy"))</f>
        <v>20 January 2025 - 19 February 2025</v>
      </c>
      <c r="B18" s="229" t="s">
        <v>12</v>
      </c>
    </row>
    <row r="19" ht="20.25" customHeight="1" spans="1:2">
      <c r="A19" s="231" t="str">
        <f>IF(B2,TEXT(EDATE(B3,10),"dd mmmm yyyy"),TEXT(B3+((B5-B3)*10)+10,"dd mmmm yyyy"))&amp;" - "&amp;IF(B2,TEXT(EDATE(B3,11)-1,"dd mmmm yyyy"),TEXT(B3+(((B5-B3)*11)+10),"dd mmmm yyyy"))</f>
        <v>20 February 2025 - 19 March 2025</v>
      </c>
      <c r="B19" s="243"/>
    </row>
    <row r="20" ht="20.25" customHeight="1" spans="1:2">
      <c r="A20" s="245" t="str">
        <f>IF(B2,TEXT(EDATE(B3,11),"dd mmmm yyyy"),TEXT(B3+((B5-B3)*11)+11,"dd mmmm yyyy"))&amp;" - "&amp;IF(B2,TEXT(EDATE(B3,12)-1,"dd mmmm yyyy"),TEXT(B3+(((B5-B3)*12)+11),"dd mmmm yyyy"))</f>
        <v>20 March 2025 - 19 April 2025</v>
      </c>
      <c r="B20" s="244"/>
    </row>
    <row r="21" ht="20.25" customHeight="1" spans="1:2">
      <c r="A21" s="246" t="str">
        <f>IF(B2,TEXT(EDATE(B3,12),"dd mmmm yyyy"),TEXT(B3+((B5-B3)*12)+12,"dd mmmm yyyy"))&amp;" - "&amp;IF(B2,TEXT(EDATE(B3,13)-1,"dd mmmm yyyy"),TEXT(B3+(((B5-B3)*13)+12),"dd mmmm yyyy"))</f>
        <v>20 April 2025 - 19 May 2025</v>
      </c>
      <c r="B21" s="231" t="s">
        <v>13</v>
      </c>
    </row>
    <row r="22" ht="20.25" customHeight="1" spans="1:2">
      <c r="A22" s="246" t="str">
        <f>IF(B2,TEXT(EDATE(B3,13),"dd mmmm yyyy"),TEXT(B3+((B5-B3)*13)+13,"dd mmmm yyyy"))&amp;" - "&amp;IF(B2,TEXT(EDATE(B3,14)-1,"dd mmmm yyyy"),TEXT(B3+(((B5-B3)*14)+13),"dd mmmm yyyy"))</f>
        <v>20 May 2025 - 19 June 2025</v>
      </c>
      <c r="B22" s="231"/>
    </row>
    <row r="23" ht="20.25" customHeight="1" spans="1:2">
      <c r="A23" s="245" t="str">
        <f>IF(B2,TEXT(EDATE(B3,14),"dd mmmm yyyy"),TEXT(B3+((B5-B3)*14)+14,"dd mmmm yyyy"))&amp;" - "&amp;IF(B2,TEXT(EDATE(B3,15)-1,"dd mmmm yyyy"),TEXT(B3+(((B5-B3)*15)+14),"dd mmmm yyyy"))</f>
        <v>20 June 2025 - 19 July 2025</v>
      </c>
      <c r="B23" s="229"/>
    </row>
    <row r="24" ht="20.25" customHeight="1" spans="1:2">
      <c r="A24" s="231" t="str">
        <f>IF(B2,TEXT(EDATE(B3,15),"dd mmmm yyyy"),TEXT(B3+((B5-B3)*15)+15,"dd mmmm yyyy"))&amp;" - "&amp;IF(B2,TEXT(EDATE(B3,16)-1,"dd mmmm yyyy"),TEXT(B3+(((B5-B3)*16)+15),"dd mmmm yyyy"))</f>
        <v>20 July 2025 - 19 August 2025</v>
      </c>
      <c r="B24" s="231" t="s">
        <v>14</v>
      </c>
    </row>
    <row r="25" ht="20.25" customHeight="1" spans="1:2">
      <c r="A25" s="231" t="str">
        <f>IF(B2,TEXT(EDATE(B3,16),"dd mmmm yyyy"),TEXT(B3+((B5-B3)*16)+16,"dd mmmm yyyy"))&amp;" - "&amp;IF(B2,TEXT(EDATE(B3,17)-1,"dd mmmm yyyy"),TEXT(B3+(((B5-B3)*17)+16),"dd mmmm yyyy"))</f>
        <v>20 August 2025 - 19 September 2025</v>
      </c>
      <c r="B25" s="231"/>
    </row>
    <row r="26" ht="20.25" customHeight="1" spans="1:2">
      <c r="A26" s="229" t="str">
        <f>IF(B2,TEXT(EDATE(B3,17),"dd mmmm yyyy"),TEXT(B3+((B5-B3)*17)+17,"dd mmmm yyyy"))&amp;" - "&amp;IF(B2,TEXT(EDATE(B3,18)-1,"dd mmmm yyyy"),TEXT(B3+(((B5-B3)*18)+17),"dd mmmm yyyy"))</f>
        <v>20 September 2025 - 19 October 2025</v>
      </c>
      <c r="B26" s="229"/>
    </row>
    <row r="27" ht="20.25" customHeight="1" spans="1:2">
      <c r="A27" s="231" t="str">
        <f>IF(B2,TEXT(EDATE(B3,18),"dd mmmm yyyy"),TEXT(B3+((B5-B3)*18)+18,"dd mmmm yyyy"))&amp;" - "&amp;IF(B2,TEXT(EDATE(B3,19)-1,"dd mmmm yyyy"),TEXT(B3+(((B5-B3)*19)+18),"dd mmmm yyyy"))</f>
        <v>20 October 2025 - 19 November 2025</v>
      </c>
      <c r="B27" s="231" t="s">
        <v>15</v>
      </c>
    </row>
    <row r="28" ht="20.25" customHeight="1" spans="1:2">
      <c r="A28" s="231" t="str">
        <f>IF(B2,TEXT(EDATE(B3,19),"dd mmmm yyyy"),TEXT(B3+((B5-B3)*19)+19,"dd mmmm yyyy"))&amp;" - "&amp;IF(B2,TEXT(EDATE(B3,20)-1,"dd mmmm yyyy"),TEXT(B3+(((B5-B3)*20)+19),"dd mmmm yyyy"))</f>
        <v>20 November 2025 - 19 December 2025</v>
      </c>
      <c r="B28" s="231"/>
    </row>
    <row r="29" ht="20.25" customHeight="1" spans="1:2">
      <c r="A29" s="229" t="str">
        <f>IF(B2,TEXT(EDATE(B3,20),"dd mmmm yyyy"),TEXT(B3+((B5-B3)*20)+20,"dd mmmm yyyy"))&amp;" - "&amp;IF(B2,TEXT(EDATE(B3,21)-1,"dd mmmm yyyy"),TEXT(B3+(((B5-B3)*21)+20),"dd mmmm yyyy"))</f>
        <v>20 December 2025 - 19 January 2026</v>
      </c>
      <c r="B29" s="229"/>
    </row>
    <row r="30" ht="20.25" customHeight="1" spans="1:2">
      <c r="A30" s="231" t="str">
        <f>IF(B2,TEXT(EDATE(B3,21),"dd mmmm yyyy"),TEXT(B3+((B5-B3)*21)+21,"dd mmmm yyyy"))&amp;" - "&amp;IF(B2,TEXT(EDATE(B3,22)-1,"dd mmmm yyyy"),TEXT(B3+(((B5-B3)*22)+21),"dd mmmm yyyy"))</f>
        <v>20 January 2026 - 19 February 2026</v>
      </c>
      <c r="B30" s="231" t="s">
        <v>16</v>
      </c>
    </row>
    <row r="31" ht="20.25" customHeight="1" spans="1:2">
      <c r="A31" s="231" t="str">
        <f>IF(B2,TEXT(EDATE(B3,22),"dd mmmm yyyy"),TEXT(B3+((B5-B3)*22)+22,"dd mmmm yyyy"))&amp;" - "&amp;IF(B2,TEXT(EDATE(B3,23)-1,"dd mmmm yyyy"),TEXT(B3+(((B5-B3)*23)+22),"dd mmmm yyyy"))</f>
        <v>20 February 2026 - 19 March 2026</v>
      </c>
      <c r="B31" s="231"/>
    </row>
    <row r="32" ht="20.25" customHeight="1" spans="1:2">
      <c r="A32" s="229" t="str">
        <f>IF(B2,TEXT(EDATE(B3,23),"dd mmmm yyyy"),TEXT(B3+((B5-B3)*23)+23,"dd mmmm yyyy"))&amp;" - "&amp;IF(B2,TEXT(EDATE(B3,24)-1,"dd mmmm yyyy"),TEXT(B3+(((B5-B3)*24)+23),"dd mmmm yyyy"))</f>
        <v>20 March 2026 - 19 April 2026</v>
      </c>
      <c r="B32" s="229"/>
    </row>
    <row r="33" ht="20.25" customHeight="1" spans="1:2">
      <c r="A33" s="231" t="str">
        <f>IF(B2,TEXT(EDATE(B3,24),"dd mmmm yyyy"),TEXT(B3+((B5-B3)*24)+24,"dd mmmm yyyy"))&amp;" - "&amp;IF(B2,TEXT(EDATE(B3,25)-1,"dd mmmm yyyy"),TEXT(B3+(((B5-B3)*25)+24),"dd mmmm yyyy"))</f>
        <v>20 April 2026 - 19 May 2026</v>
      </c>
      <c r="B33" s="231" t="s">
        <v>17</v>
      </c>
    </row>
    <row r="34" ht="20.25" customHeight="1" spans="1:2">
      <c r="A34" s="231" t="str">
        <f>IF(B2,TEXT(EDATE(B3,25),"dd mmmm yyyy"),TEXT(B3+((B5-B3)*25)+25,"dd mmmm yyyy"))&amp;" - "&amp;IF(B2,TEXT(EDATE(B3,26)-1,"dd mmmm yyyy"),TEXT(B3+(((B5-B3)*26)+25),"dd mmmm yyyy"))</f>
        <v>20 May 2026 - 19 June 2026</v>
      </c>
      <c r="B34" s="231"/>
    </row>
    <row r="35" ht="20.25" customHeight="1" spans="1:2">
      <c r="A35" s="229" t="str">
        <f>IF(B2,TEXT(EDATE(B3,26),"dd mmmm yyyy"),TEXT(B3+((B5-B3)*26)+26,"dd mmmm yyyy"))&amp;" - "&amp;IF(B2,TEXT(EDATE(B3,27)-1,"dd mmmm yyyy"),TEXT(B3+(((B5-B3)*27)+26),"dd mmmm yyyy"))</f>
        <v>20 June 2026 - 19 July 2026</v>
      </c>
      <c r="B35" s="229"/>
    </row>
    <row r="36" ht="20.25" customHeight="1" spans="1:2">
      <c r="A36" s="231" t="str">
        <f>IF(B2,TEXT(EDATE(B3,27),"dd mmmm yyyy"),TEXT(B3+((B5-B3)*27)+27,"dd mmmm yyyy"))&amp;" - "&amp;IF(B2,TEXT(EDATE(B3,28)-1,"dd mmmm yyyy"),TEXT(B3+(((B5-B3)*28)+27),"dd mmmm yyyy"))</f>
        <v>20 July 2026 - 19 August 2026</v>
      </c>
      <c r="B36" s="231" t="s">
        <v>18</v>
      </c>
    </row>
    <row r="37" ht="20.25" customHeight="1" spans="1:2">
      <c r="A37" s="231" t="str">
        <f>IF(B2,TEXT(EDATE(B3,28),"dd mmmm yyyy"),TEXT(B3+((B5-B3)*28)+28,"dd mmmm yyyy"))&amp;" - "&amp;IF(B2,TEXT(EDATE(B3,29)-1,"dd mmmm yyyy"),TEXT(B3+(((B5-B3)*29)+28),"dd mmmm yyyy"))</f>
        <v>20 August 2026 - 19 September 2026</v>
      </c>
      <c r="B37" s="231"/>
    </row>
    <row r="38" ht="20.25" customHeight="1" spans="1:2">
      <c r="A38" s="229" t="str">
        <f>IF(B2,TEXT(EDATE(B3,29),"dd mmmm yyyy"),TEXT(B3+((B5-B3)*29)+29,"dd mmmm yyyy"))&amp;" - "&amp;IF(B2,TEXT(EDATE(B3,30)-1,"dd mmmm yyyy"),TEXT(B3+(((B5-B3)*30)+29),"dd mmmm yyyy"))</f>
        <v>20 September 2026 - 19 October 2026</v>
      </c>
      <c r="B38" s="229"/>
    </row>
    <row r="39" ht="20.25" customHeight="1" spans="1:2">
      <c r="A39" s="231" t="str">
        <f>IF(B2,TEXT(EDATE(B3,30),"dd mmmm yyyy"),TEXT(B3+((B5-B3)*30)+30,"dd mmmm yyyy"))&amp;" - "&amp;IF(B2,TEXT(EDATE(B3,31)-1,"dd mmmm yyyy"),TEXT(B3+(((B5-B3)*31)+30),"dd mmmm yyyy"))</f>
        <v>20 October 2026 - 19 November 2026</v>
      </c>
      <c r="B39" s="231" t="s">
        <v>19</v>
      </c>
    </row>
    <row r="40" ht="20.25" customHeight="1" spans="1:2">
      <c r="A40" s="231" t="str">
        <f>IF(B2,TEXT(EDATE(B3,31),"dd mmmm yyyy"),TEXT(B3+((B5-B3)*31)+31,"dd mmmm yyyy"))&amp;" - "&amp;IF(B2,TEXT(EDATE(B3,32)-1,"dd mmmm yyyy"),TEXT(B3+(((B5-B3)*32)+31),"dd mmmm yyyy"))</f>
        <v>20 November 2026 - 19 December 2026</v>
      </c>
      <c r="B40" s="231"/>
    </row>
    <row r="41" ht="20.25" customHeight="1" spans="1:2">
      <c r="A41" s="229" t="str">
        <f>IF(B2,TEXT(EDATE(B3,32),"dd mmmm yyyy"),TEXT(B3+((B5-B3)*32)+32,"dd mmmm yyyy"))&amp;" - "&amp;IF(B2,TEXT(EDATE(B3,33)-1,"dd mmmm yyyy"),TEXT(B3+(((B5-B3)*33)+32),"dd mmmm yyyy"))</f>
        <v>20 December 2026 - 19 January 2027</v>
      </c>
      <c r="B41" s="229"/>
    </row>
    <row r="42" ht="20.25" customHeight="1" spans="1:2">
      <c r="A42" s="231" t="str">
        <f>IF(B2,TEXT(EDATE(B3,33),"dd mmmm yyyy"),TEXT(B3+((B5-B3)*33)+33,"dd mmmm yyyy"))&amp;" - "&amp;IF(B2,TEXT(EDATE(B3,34)-1,"dd mmmm yyyy"),TEXT(B3+(((B5-B3)*34)+33),"dd mmmm yyyy"))</f>
        <v>20 January 2027 - 19 February 2027</v>
      </c>
      <c r="B42" s="231" t="s">
        <v>20</v>
      </c>
    </row>
    <row r="43" ht="20.25" customHeight="1" spans="1:2">
      <c r="A43" s="231" t="str">
        <f>IF(B2,TEXT(EDATE(B3,34),"dd mmmm yyyy"),TEXT(B3+((B5-B3)*34)+34,"dd mmmm yyyy"))&amp;" - "&amp;IF(B2,TEXT(EDATE(B3,35)-1,"dd mmmm yyyy"),TEXT(B3+(((B5-B3)*35)+34),"dd mmmm yyyy"))</f>
        <v>20 February 2027 - 19 March 2027</v>
      </c>
      <c r="B43" s="231"/>
    </row>
    <row r="44" ht="20.25" customHeight="1" spans="1:2">
      <c r="A44" s="229" t="str">
        <f>IF(B2,TEXT(EDATE(B3,35),"dd mmmm yyyy"),TEXT(B3+((B5-B3)*35)+35,"dd mmmm yyyy"))&amp;" - "&amp;IF(B2,TEXT(EDATE(B3,36)-1,"dd mmmm yyyy"),TEXT(B3+(((B5-B3)*36)+35),"dd mmmm yyyy"))</f>
        <v>20 March 2027 - 19 April 2027</v>
      </c>
      <c r="B44" s="229"/>
    </row>
    <row r="45" ht="20.25" customHeight="1" spans="1:2">
      <c r="A45" s="231" t="str">
        <f>IF(B2,TEXT(EDATE(B3,36),"dd mmmm yyyy"),TEXT(B3+((B5-B3)*36)+36,"dd mmmm yyyy"))&amp;" - "&amp;IF(B2,TEXT(EDATE(B3,37)-1,"dd mmmm yyyy"),TEXT(B3+(((B5-B3)*37)+36),"dd mmmm yyyy"))</f>
        <v>20 April 2027 - 19 May 2027</v>
      </c>
      <c r="B45" s="231" t="s">
        <v>21</v>
      </c>
    </row>
    <row r="46" ht="20.25" customHeight="1" spans="1:2">
      <c r="A46" s="231" t="str">
        <f>IF(B2,TEXT(EDATE(B3,37),"dd mmmm yyyy"),TEXT(B3+((B5-B3)*37)+37,"dd mmmm yyyy"))&amp;" - "&amp;IF(B2,TEXT(EDATE(B3,38)-1,"dd mmmm yyyy"),TEXT(B3+(((B5-B3)*38)+37),"dd mmmm yyyy"))</f>
        <v>20 May 2027 - 19 June 2027</v>
      </c>
      <c r="B46" s="231"/>
    </row>
    <row r="47" ht="20.25" customHeight="1" spans="1:2">
      <c r="A47" s="229" t="str">
        <f>IF(B2,TEXT(EDATE(B3,38),"dd mmmm yyyy"),TEXT(B3+((B5-B3)*38)+38,"dd mmmm yyyy"))&amp;" - "&amp;IF(B2,TEXT(EDATE(B3,39)-1,"dd mmmm yyyy"),TEXT(B3+(((B5-B3)*39)+38),"dd mmmm yyyy"))</f>
        <v>20 June 2027 - 19 July 2027</v>
      </c>
      <c r="B47" s="229"/>
    </row>
    <row r="48" ht="20.25" customHeight="1" spans="1:2">
      <c r="A48" s="231" t="str">
        <f>IF(B2,TEXT(EDATE(B3,39),"dd mmmm yyyy"),TEXT(B3+((B5-B3)*39)+39,"dd mmmm yyyy"))&amp;" - "&amp;IF(B2,TEXT(EDATE(B3,40)-1,"dd mmmm yyyy"),TEXT(B3+(((B5-B3)*40)+39),"dd mmmm yyyy"))</f>
        <v>20 July 2027 - 19 August 2027</v>
      </c>
      <c r="B48" s="231" t="s">
        <v>22</v>
      </c>
    </row>
    <row r="49" ht="20.25" customHeight="1" spans="1:2">
      <c r="A49" s="231" t="str">
        <f>IF(B2,TEXT(EDATE(B3,40),"dd mmmm yyyy"),TEXT(B3+((B5-B3)*40)+40,"dd mmmm yyyy"))&amp;" - "&amp;IF(B2,TEXT(EDATE(B3,41)-1,"dd mmmm yyyy"),TEXT(B3+(((B5-B3)*41)+40),"dd mmmm yyyy"))</f>
        <v>20 August 2027 - 19 September 2027</v>
      </c>
      <c r="B49" s="231"/>
    </row>
    <row r="50" ht="20.25" customHeight="1" spans="1:2">
      <c r="A50" s="229" t="str">
        <f>IF(B2,TEXT(EDATE(B3,41),"dd mmmm yyyy"),TEXT(B3+((B5-B3)*41)+41,"dd mmmm yyyy"))&amp;" - "&amp;IF(B2,TEXT(EDATE(B3,42)-1,"dd mmmm yyyy"),TEXT(B3+(((B5-B3)*42)+41),"dd mmmm yyyy"))</f>
        <v>20 September 2027 - 19 October 2027</v>
      </c>
      <c r="B50" s="229"/>
    </row>
    <row r="51" ht="20.25" customHeight="1" spans="1:2">
      <c r="A51" s="231" t="str">
        <f>IF(B2,TEXT(EDATE(B3,42),"dd mmmm yyyy"),TEXT(B3+((B5-B3)*42)+42,"dd mmmm yyyy"))&amp;" - "&amp;IF(B2,TEXT(EDATE(B3,43)-1,"dd mmmm yyyy"),TEXT(B3+(((B5-B3)*43)+42),"dd mmmm yyyy"))</f>
        <v>20 October 2027 - 19 November 2027</v>
      </c>
      <c r="B51" s="231" t="s">
        <v>23</v>
      </c>
    </row>
    <row r="52" ht="20.25" customHeight="1" spans="1:2">
      <c r="A52" s="231" t="str">
        <f>IF(B2,TEXT(EDATE(B3,43),"dd mmmm yyyy"),TEXT(B3+((B5-B3)*43)+43,"dd mmmm yyyy"))&amp;" - "&amp;IF(B2,TEXT(EDATE(B3,44)-1,"dd mmmm yyyy"),TEXT(B3+(((B5-B3)*44)+43),"dd mmmm yyyy"))</f>
        <v>20 November 2027 - 19 December 2027</v>
      </c>
      <c r="B52" s="231"/>
    </row>
    <row r="53" ht="20.25" customHeight="1" spans="1:2">
      <c r="A53" s="229" t="str">
        <f>IF(B2,TEXT(EDATE(B3,44),"dd mmmm yyyy"),TEXT(B3+((B5-B3)*44)+44,"dd mmmm yyyy"))&amp;" - "&amp;IF(B2,TEXT(EDATE(B3,45)-1,"dd mmmm yyyy"),TEXT(B3+(((B5-B3)*45)+44),"dd mmmm yyyy"))</f>
        <v>20 December 2027 - 19 January 2028</v>
      </c>
      <c r="B53" s="229"/>
    </row>
    <row r="54" ht="20.25" customHeight="1" spans="1:2">
      <c r="A54" s="231" t="str">
        <f>IF(B2,TEXT(EDATE(B3,45),"dd mmmm yyyy"),TEXT(B3+((B5-B3)*45)+45,"dd mmmm yyyy"))&amp;" - "&amp;IF(B2,TEXT(EDATE(B3,46)-1,"dd mmmm yyyy"),TEXT(B3+(((B5-B3)*46)+45),"dd mmmm yyyy"))</f>
        <v>20 January 2028 - 19 February 2028</v>
      </c>
      <c r="B54" s="231" t="s">
        <v>24</v>
      </c>
    </row>
    <row r="55" ht="20.25" customHeight="1" spans="1:2">
      <c r="A55" s="231" t="str">
        <f>IF(B2,TEXT(EDATE(B3,46),"dd mmmm yyyy"),TEXT(B3+((B5-B3)*46)+46,"dd mmmm yyyy"))&amp;" - "&amp;IF(B2,TEXT(EDATE(B3,47)-1,"dd mmmm yyyy"),TEXT(B3+(((B5-B3)*47)+46),"dd mmmm yyyy"))</f>
        <v>20 February 2028 - 19 March 2028</v>
      </c>
      <c r="B55" s="231"/>
    </row>
    <row r="56" ht="20.25" customHeight="1" spans="1:2">
      <c r="A56" s="231" t="str">
        <f>IF(B2,TEXT(EDATE(B3,47),"dd mmmm yyyy"),TEXT(B3+((B5-B3)*47)+47,"dd mmmm yyyy"))&amp;" - "&amp;IF(B2,TEXT(EDATE(B3,48)-1,"dd mmmm yyyy"),TEXT(B3+(((B5-B3)*48)+47),"dd mmmm yyyy"))</f>
        <v>20 March 2028 - 19 April 2028</v>
      </c>
      <c r="B56" s="231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7" customFormat="1" ht="20.25" customHeight="1"/>
    <row r="66" s="227" customFormat="1" ht="20.25" customHeight="1"/>
    <row r="67" s="227" customFormat="1" ht="20.25" customHeight="1"/>
    <row r="68" s="227" customFormat="1" ht="20.25" customHeight="1"/>
    <row r="69" s="227" customFormat="1" ht="20.25" customHeight="1"/>
    <row r="70" s="227" customFormat="1" ht="20.25" customHeight="1"/>
    <row r="71" s="227" customFormat="1" ht="20.25" customHeight="1"/>
    <row r="72" s="227" customFormat="1" ht="20.25" customHeight="1"/>
    <row r="73" s="227" customFormat="1" ht="20.25" customHeight="1"/>
    <row r="74" s="227" customFormat="1" ht="20.25" customHeight="1"/>
    <row r="75" s="227" customFormat="1" ht="20.25" customHeight="1"/>
    <row r="76" s="227" customFormat="1" ht="20.25" customHeight="1"/>
    <row r="77" s="227" customFormat="1" ht="20.25" customHeight="1"/>
    <row r="78" s="227" customFormat="1" ht="20.25" customHeight="1"/>
    <row r="79" s="227" customFormat="1" ht="20.25" customHeight="1"/>
    <row r="80" s="227" customFormat="1" ht="20.25" customHeight="1"/>
    <row r="81" s="227" customFormat="1" ht="20.25" customHeight="1"/>
    <row r="82" s="227" customFormat="1" ht="20.25" customHeight="1"/>
    <row r="83" s="227" customFormat="1" ht="20.25" customHeight="1"/>
    <row r="84" s="227" customFormat="1" ht="20.25" customHeight="1"/>
    <row r="85" s="227" customFormat="1" ht="20.25" customHeight="1"/>
    <row r="86" s="227" customFormat="1" ht="20.25" customHeight="1"/>
    <row r="87" s="227" customFormat="1" ht="20.25" customHeight="1"/>
    <row r="88" s="227" customFormat="1" ht="20.25" customHeight="1"/>
    <row r="89" s="227" customFormat="1" ht="20.25" customHeight="1"/>
    <row r="90" s="227" customFormat="1" ht="20.25" customHeight="1"/>
    <row r="91" s="227" customFormat="1" ht="20.25" customHeight="1"/>
    <row r="92" s="227" customFormat="1" ht="20.25" customHeight="1"/>
    <row r="93" s="227" customFormat="1" ht="20.25" customHeight="1"/>
    <row r="94" s="227" customFormat="1" ht="20.25" customHeight="1"/>
    <row r="95" s="227" customFormat="1" ht="20.25" customHeight="1"/>
    <row r="96" s="227" customFormat="1" ht="20.25" customHeight="1"/>
    <row r="97" s="227" customFormat="1" ht="20.25" customHeight="1"/>
    <row r="98" s="227" customFormat="1" ht="20.25" customHeight="1"/>
    <row r="99" s="227" customFormat="1" ht="20.25" customHeight="1"/>
    <row r="100" s="227" customFormat="1" ht="20.25" customHeight="1"/>
    <row r="101" s="227" customFormat="1" ht="20.25" customHeight="1"/>
    <row r="102" s="227" customFormat="1" ht="20.25" customHeight="1"/>
    <row r="103" s="227" customFormat="1" ht="20.25" customHeight="1"/>
    <row r="104" s="227" customFormat="1" ht="20.25" customHeight="1"/>
    <row r="105" s="227" customFormat="1" ht="20.25" customHeight="1"/>
    <row r="106" s="227" customFormat="1" ht="20.25" customHeight="1"/>
    <row r="107" s="227" customFormat="1" ht="20.25" customHeight="1"/>
    <row r="108" s="227" customFormat="1" ht="20.25" customHeight="1"/>
    <row r="109" s="227" customFormat="1" ht="20.25" customHeight="1"/>
    <row r="110" s="227" customFormat="1" ht="20.25" customHeight="1"/>
    <row r="111" s="227" customFormat="1" ht="20.25" customHeight="1"/>
    <row r="112" s="227" customFormat="1" ht="20.25" customHeight="1"/>
    <row r="113" s="227" customFormat="1" ht="20.25" customHeight="1"/>
    <row r="114" s="227" customFormat="1" ht="20.25" customHeight="1"/>
    <row r="115" s="227" customFormat="1" ht="20.25" customHeight="1"/>
    <row r="116" s="227" customFormat="1" ht="20.25" customHeight="1"/>
    <row r="117" s="227" customFormat="1" ht="20.25" customHeight="1"/>
    <row r="118" s="227" customFormat="1" ht="20.25" customHeight="1"/>
    <row r="119" s="227" customFormat="1" ht="20.25" customHeight="1"/>
    <row r="120" s="227" customFormat="1" ht="20.25" customHeight="1"/>
    <row r="121" s="227" customFormat="1" ht="20.25" customHeight="1"/>
    <row r="122" s="227" customFormat="1" ht="20.25" customHeight="1"/>
    <row r="123" s="227" customFormat="1" ht="20.25" customHeight="1"/>
    <row r="124" s="227" customFormat="1" ht="20.25" customHeight="1"/>
    <row r="125" s="227" customFormat="1" ht="20.25" customHeight="1"/>
    <row r="126" s="227" customFormat="1" ht="20.25" customHeight="1"/>
    <row r="127" s="227" customFormat="1" ht="20.25" customHeight="1"/>
    <row r="129" s="227" customFormat="1" ht="20.25" customHeight="1"/>
    <row r="130" s="227" customFormat="1" ht="20.25" customHeight="1"/>
    <row r="131" s="227" customFormat="1" ht="20.25" customHeight="1"/>
    <row r="132" s="227" customFormat="1" ht="20.25" customHeight="1"/>
    <row r="133" s="227" customFormat="1" ht="20.25" customHeight="1"/>
    <row r="134" s="227" customFormat="1" ht="20.25" customHeight="1"/>
  </sheetData>
  <sheetProtection sheet="1" formatCells="0" objects="1"/>
  <protectedRanges>
    <protectedRange sqref="B1:B6" name="Settings"/>
    <protectedRange sqref="B9:B56" name="NameOfWorkSheet"/>
  </protectedRanges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91" workbookViewId="0">
      <selection activeCell="F104" sqref="F104"/>
    </sheetView>
  </sheetViews>
  <sheetFormatPr defaultColWidth="9" defaultRowHeight="17.6"/>
  <cols>
    <col min="1" max="1" width="18.875" style="157" customWidth="1"/>
    <col min="2" max="2" width="25.625" style="157" customWidth="1"/>
    <col min="3" max="4" width="20.625" style="157" customWidth="1"/>
    <col min="5" max="5" width="25.625" style="157" customWidth="1"/>
    <col min="6" max="6" width="20.625" style="157" customWidth="1"/>
    <col min="7" max="7" width="9" style="157"/>
    <col min="8" max="8" width="23" style="157" customWidth="1"/>
    <col min="9" max="9" width="40.75" style="47" customWidth="1"/>
    <col min="10" max="10" width="28.625" style="157" customWidth="1"/>
    <col min="11" max="12" width="9" style="157"/>
    <col min="13" max="13" width="36.625" style="157" customWidth="1"/>
    <col min="14" max="14" width="21.125" style="157" customWidth="1"/>
    <col min="15" max="16384" width="9" style="157"/>
  </cols>
  <sheetData>
    <row r="1" ht="36.75" customHeight="1" spans="1:14">
      <c r="A1" s="158" t="str">
        <f>"Forecasts For the Year "&amp;TEXT(Main!B3,"mmmm yyyy")&amp;" to "&amp;IF(Main!B2,TEXT(EDATE(Main!B3,3)-1,"mmmm yyyy"),TEXT(Main!B3+((Main!B5-Main!B3)*3+2),"mmmm yyyy"))</f>
        <v>Forecasts For the Year April 2024 to July 2024</v>
      </c>
      <c r="B1" s="158"/>
      <c r="C1" s="158"/>
      <c r="D1" s="158"/>
      <c r="E1" s="158"/>
      <c r="F1" s="158"/>
      <c r="I1" s="197" t="s">
        <v>25</v>
      </c>
      <c r="J1" s="197"/>
      <c r="M1" s="197" t="s">
        <v>26</v>
      </c>
      <c r="N1" s="197"/>
    </row>
    <row r="2" ht="36" customHeight="1" spans="1:14">
      <c r="A2" s="159" t="s">
        <v>27</v>
      </c>
      <c r="B2" s="160"/>
      <c r="C2" s="160"/>
      <c r="D2" s="161" t="s">
        <v>28</v>
      </c>
      <c r="E2" s="161"/>
      <c r="F2" s="161"/>
      <c r="I2" s="198" t="s">
        <v>29</v>
      </c>
      <c r="J2" s="199" t="s">
        <v>30</v>
      </c>
      <c r="M2" s="208" t="s">
        <v>31</v>
      </c>
      <c r="N2" s="199" t="s">
        <v>32</v>
      </c>
    </row>
    <row r="3" ht="35.25" customHeight="1" spans="1:14">
      <c r="A3" s="162" t="s">
        <v>33</v>
      </c>
      <c r="B3" s="163" t="s">
        <v>34</v>
      </c>
      <c r="C3" s="164">
        <v>536</v>
      </c>
      <c r="D3" s="165" t="s">
        <v>33</v>
      </c>
      <c r="E3" s="5" t="s">
        <v>34</v>
      </c>
      <c r="F3" s="192">
        <v>816</v>
      </c>
      <c r="I3" s="200" t="str">
        <f>TEXT(Main!B3,"dd mmmm yyyy")&amp;" - "&amp;IF(Main!B2,TEXT(EDATE(Main!B3,1)-1,"dd mmmm yyyy"),TEXT(Main!B3+(Main!B5-Main!B3)*1,"dd mmmm yyyy"))</f>
        <v>20 April 2024 - 19 May 2024</v>
      </c>
      <c r="J3" s="201">
        <f>E149</f>
        <v>0</v>
      </c>
      <c r="M3" s="206" t="str">
        <f>TEXT(Main!B3,"dd mmmm yyyy")&amp;" - "&amp;IF(Main!B2,TEXT(EDATE(Main!B3,3)-1,"dd mmmm yyyy"),TEXT(Main!B3+((Main!B5-Main!B3)*3+2),"dd mmmm yyyy"))</f>
        <v>20 April 2024 - 19 July 2024</v>
      </c>
      <c r="N3" s="201">
        <f>-C122</f>
        <v>-24333</v>
      </c>
    </row>
    <row r="4" ht="35.25" customHeight="1" spans="1:14">
      <c r="A4" s="162"/>
      <c r="B4" s="163" t="s">
        <v>35</v>
      </c>
      <c r="C4" s="164">
        <v>0</v>
      </c>
      <c r="D4" s="166"/>
      <c r="E4" s="5" t="s">
        <v>35</v>
      </c>
      <c r="F4" s="192">
        <v>0</v>
      </c>
      <c r="I4" s="202" t="str">
        <f>IF(Main!B2,TEXT(EDATE(Main!B3,1),"dd mmmm yyyy"),TEXT(Main!B3+(Main!B5-Main!B3)+1,"dd mmmm yyyy"))&amp;" - "&amp;IF(Main!B2,TEXT(EDATE(Main!B3,2)-1,"dd mmmm yyyy"),TEXT(Main!B3+(Main!B5-Main!B3)*2+1,"dd mmmm yyyy"))</f>
        <v>20 May 2024 - 19 June 2024</v>
      </c>
      <c r="J4" s="201">
        <f>E176</f>
        <v>-416.68</v>
      </c>
      <c r="M4" s="206" t="str">
        <f>IF(Main!B2,TEXT(EDATE(Main!B3,3),"dd mmmm yyyy"),TEXT(Main!B3+((Main!B5-Main!B3)*3+3),"dd mmmm yyyy"))&amp;" - "&amp;IF(Main!B2,TEXT(EDATE(Main!B3,6)-1,"dd mmmm yyyy"),TEXT(Main!B3+((Main!B5-Main!B3)*6+5),"dd mmmm yyyy"))</f>
        <v>20 July 2024 - 19 October 2024</v>
      </c>
      <c r="N4" s="201">
        <f ca="1">'July 2024 - September 2024'!C5</f>
        <v>-11683</v>
      </c>
    </row>
    <row r="5" ht="35.25" customHeight="1" spans="1:14">
      <c r="A5" s="162"/>
      <c r="B5" s="163" t="s">
        <v>36</v>
      </c>
      <c r="C5" s="164">
        <v>0</v>
      </c>
      <c r="D5" s="166"/>
      <c r="E5" s="5" t="s">
        <v>36</v>
      </c>
      <c r="F5" s="192">
        <v>0</v>
      </c>
      <c r="I5" s="202" t="str">
        <f>IF(Main!B2,TEXT(EDATE(Main!B3,2),"dd mmmm yyyy"),TEXT(Main!B3+((Main!B5-Main!B3)*2)+2,"dd mmmm yyyy"))&amp;" - "&amp;IF(Main!B2,TEXT(EDATE(Main!B3,3)-1,"dd mmmm yyyy"),TEXT(Main!B3+((Main!B5-Main!B3)*3+2),"dd mmmm yyyy"))</f>
        <v>20 June 2024 - 19 July 2024</v>
      </c>
      <c r="J5" s="201">
        <f>E203</f>
        <v>3260.12</v>
      </c>
      <c r="M5" s="206" t="str">
        <f>IF(Main!B2,TEXT(EDATE(Main!B3,6),"dd mmmm yyyy"),TEXT(Main!B3+((Main!B5-Main!B3)*6+6),"dd mmmm yyyy"))&amp;" - "&amp;IF(Main!B2,TEXT(EDATE(Main!B3,9)-1,"dd mmmm yyyy"),TEXT(Main!B3+((Main!B5-Main!B3)*9+8),"dd mmmm yyyy"))</f>
        <v>20 October 2024 - 19 January 2025</v>
      </c>
      <c r="N5" s="201">
        <f ca="1">'October 2024 - December 2024'!C5</f>
        <v>-10683</v>
      </c>
    </row>
    <row r="6" ht="35.25" customHeight="1" spans="1:14">
      <c r="A6" s="162"/>
      <c r="B6" s="163" t="s">
        <v>37</v>
      </c>
      <c r="C6" s="164">
        <v>0</v>
      </c>
      <c r="D6" s="166"/>
      <c r="E6" s="5" t="s">
        <v>37</v>
      </c>
      <c r="F6" s="192">
        <v>0</v>
      </c>
      <c r="I6" s="203" t="str">
        <f>IF(Main!B2,TEXT(EDATE(Main!B3,3),"dd mmmm yyyy"),TEXT(Main!B3+((Main!B5-Main!B3)*3)+3,"dd mmmm yyyy"))&amp;" - "&amp;IF(Main!B2,TEXT(EDATE(Main!B3,4)-1,"dd mmmm yyyy"),TEXT(Main!B3+((Main!B5-Main!B3)*4+3),"dd mmmm yyyy"))</f>
        <v>20 July 2024 - 19 August 2024</v>
      </c>
      <c r="J6" s="201">
        <f ca="1">'July 2024 - September 2024'!E136</f>
        <v>699.839999999999</v>
      </c>
      <c r="M6" s="206" t="str">
        <f>IF(Main!B2,TEXT(EDATE(Main!B3,9),"dd mmmm yyyy"),TEXT(Main!B3+((Main!B5-Main!B3)*9+9),"dd mmmm yyyy"))&amp;" - "&amp;IF(Main!B2,TEXT(EDATE(Main!B3,12)-1,"dd mmmm yyyy"),TEXT(Main!B3+((Main!B5-Main!B3)*12+11),"dd mmmm yyyy"))</f>
        <v>20 January 2025 - 19 April 2025</v>
      </c>
      <c r="N6" s="201">
        <f ca="1">'January 2025 - March 2025'!C5</f>
        <v>-6983</v>
      </c>
    </row>
    <row r="7" ht="35.25" customHeight="1" spans="1:14">
      <c r="A7" s="162"/>
      <c r="B7" s="163" t="s">
        <v>38</v>
      </c>
      <c r="C7" s="164">
        <v>0.2</v>
      </c>
      <c r="D7" s="166"/>
      <c r="E7" s="5" t="s">
        <v>38</v>
      </c>
      <c r="F7" s="192">
        <v>0.2</v>
      </c>
      <c r="I7" s="203" t="str">
        <f>IF(Main!B2,TEXT(EDATE(Main!B3,4),"dd mmmm yyyy"),TEXT(Main!B3+((Main!B5-Main!B3)*4)+4,"dd mmmm yyyy"))&amp;" - "&amp;IF(Main!B2,TEXT(EDATE(Main!B3,5)-1,"dd mmmm yyyy"),TEXT(Main!B3+((Main!B5-Main!B3)*5+4),"dd mmmm yyyy"))</f>
        <v>20 August 2024 - 19 September 2024</v>
      </c>
      <c r="J7" s="201">
        <f ca="1">'July 2024 - September 2024'!E163</f>
        <v>625.069999999999</v>
      </c>
      <c r="M7" s="206" t="str">
        <f>IF(Main!B2,TEXT(EDATE(Main!B3,12),"dd mmmm yyyy"),TEXT(Main!B3+((Main!B5-Main!B3)*12+12),"dd mmmm yyyy"))&amp;" - "&amp;IF(Main!B2,TEXT(EDATE(Main!B3,15)-1,"dd mmmm yyyy"),TEXT(Main!B3+((Main!B5-Main!B3)*15+14),"dd mmmm yyyy"))</f>
        <v>20 April 2025 - 19 July 2025</v>
      </c>
      <c r="N7" s="201">
        <f ca="1">'April 2025 - June 2025'!C5</f>
        <v>-3083</v>
      </c>
    </row>
    <row r="8" ht="45" customHeight="1" spans="1:14">
      <c r="A8" s="162"/>
      <c r="B8" s="163" t="s">
        <v>39</v>
      </c>
      <c r="C8" s="164">
        <v>0</v>
      </c>
      <c r="D8" s="166"/>
      <c r="E8" s="5" t="s">
        <v>39</v>
      </c>
      <c r="F8" s="192">
        <v>0</v>
      </c>
      <c r="H8" s="193"/>
      <c r="I8" s="202" t="str">
        <f>IF(Main!B2,TEXT(EDATE(Main!B3,5),"dd mmmm yyyy"),TEXT(Main!B3+((Main!B5-Main!B3)*5)+5,"dd mmmm yyyy"))&amp;" - "&amp;IF(Main!B2,TEXT(EDATE(Main!B3,6)-1,"dd mmmm yyyy"),TEXT(Main!B3+((Main!B5-Main!B3)*6+5),"dd mmmm yyyy"))</f>
        <v>20 September 2024 - 19 October 2024</v>
      </c>
      <c r="J8" s="201">
        <f ca="1">'July 2024 - September 2024'!E190</f>
        <v>502.71</v>
      </c>
      <c r="M8" s="209" t="str">
        <f>IF(Main!B2,TEXT(EDATE(Main!B3,15),"dd mmmm yyyy"),TEXT(Main!B3+((Main!B5-Main!B3)*15+15),"dd mmmm yyyy"))&amp;" - "&amp;IF(Main!B2,TEXT(EDATE(Main!B3,18)-1,"dd mmmm yyyy"),TEXT(Main!B3+((Main!B5-Main!B3)*18+17),"dd mmmm yyyy"))</f>
        <v>20 July 2025 - 19 October 2025</v>
      </c>
      <c r="N8" s="201">
        <f ca="1">'July 2025 - September 2025'!C5</f>
        <v>0</v>
      </c>
    </row>
    <row r="9" ht="39.75" customHeight="1" spans="1:14">
      <c r="A9" s="162"/>
      <c r="B9" s="163" t="s">
        <v>40</v>
      </c>
      <c r="C9" s="164">
        <v>0</v>
      </c>
      <c r="D9" s="166"/>
      <c r="E9" s="5" t="s">
        <v>40</v>
      </c>
      <c r="F9" s="192">
        <v>0</v>
      </c>
      <c r="I9" s="202" t="str">
        <f>IF(Main!B2,TEXT(EDATE(Main!B3,6),"dd mmmm yyyy"),TEXT(Main!B3+((Main!B5-Main!B3)*6)+6,"dd mmmm yyyy"))&amp;" - "&amp;IF(Main!B2,TEXT(EDATE(Main!B3,7)-1,"dd mmmm yyyy"),TEXT(Main!B3+((Main!B5-Main!B3)*7+6),"dd mmmm yyyy"))</f>
        <v>20 October 2024 - 19 November 2024</v>
      </c>
      <c r="J9" s="201">
        <f ca="1">'October 2024 - December 2024'!E136</f>
        <v>125.16</v>
      </c>
      <c r="M9" s="206" t="str">
        <f>IF(Main!B2,TEXT(EDATE(Main!B3,18),"dd mmmm yyyy"),TEXT(Main!B3+((Main!B5-Main!B3)*18+18),"dd mmmm yyyy"))&amp;" - "&amp;IF(Main!B2,TEXT(EDATE(Main!B3,21)-1,"dd mmmm yyyy"),TEXT(Main!B3+((Main!B5-Main!B3)*21+20),"dd mmmm yyyy"))</f>
        <v>20 October 2025 - 19 January 2026</v>
      </c>
      <c r="N9" s="210">
        <f ca="1">'October 2025 - December 2025'!C5</f>
        <v>0</v>
      </c>
    </row>
    <row r="10" ht="35.25" customHeight="1" spans="1:14">
      <c r="A10" s="162"/>
      <c r="B10" s="163" t="s">
        <v>41</v>
      </c>
      <c r="C10" s="164">
        <v>0</v>
      </c>
      <c r="D10" s="166"/>
      <c r="E10" s="5" t="s">
        <v>41</v>
      </c>
      <c r="F10" s="192">
        <v>0</v>
      </c>
      <c r="I10" s="202" t="str">
        <f>IF(Main!B2,TEXT(EDATE(Main!B3,7),"dd mmmm yyyy"),TEXT(Main!B3+((Main!B5-Main!B3)*7)+7,"dd mmmm yyyy"))&amp;" - "&amp;IF(Main!B2,TEXT(EDATE(Main!B3,8)-1,"dd mmmm yyyy"),TEXT(Main!B3+((Main!B5-Main!B3)*8+7),"dd mmmm yyyy"))</f>
        <v>20 November 2024 - 19 December 2024</v>
      </c>
      <c r="J10" s="201">
        <f ca="1">'October 2024 - December 2024'!E163</f>
        <v>229.400000000001</v>
      </c>
      <c r="M10" s="211" t="str">
        <f>IF(Main!B2,TEXT(EDATE(Main!B3,21),"dd mmmm yyyy"),TEXT(Main!B3+((Main!B5-Main!B3)*21+21),"dd mmmm yyyy"))&amp;" - "&amp;IF(Main!B2,TEXT(EDATE(Main!B3,24)-1,"dd mmmm yyyy"),TEXT(Main!B3+((Main!B5-Main!B3)*24+23),"dd mmmm yyyy"))</f>
        <v>20 January 2026 - 19 April 2026</v>
      </c>
      <c r="N10" s="201">
        <f ca="1">'January 2026 - March 2026'!C5</f>
        <v>0</v>
      </c>
    </row>
    <row r="11" ht="35.25" customHeight="1" spans="1:14">
      <c r="A11" s="162"/>
      <c r="B11" s="163" t="s">
        <v>42</v>
      </c>
      <c r="C11" s="164">
        <v>11.3</v>
      </c>
      <c r="D11" s="166"/>
      <c r="E11" s="5" t="s">
        <v>42</v>
      </c>
      <c r="F11" s="192">
        <v>11.3</v>
      </c>
      <c r="H11" s="193"/>
      <c r="I11" s="202" t="str">
        <f>IF(Main!B2,TEXT(EDATE(Main!B3,8),"dd mmmm yyyy"),TEXT(Main!B3+((Main!B5-Main!B3)*8)+8,"dd mmmm yyyy"))&amp;" - "&amp;IF(Main!B2,TEXT(EDATE(Main!B3,9)-1,"dd mmmm yyyy"),TEXT(Main!B3+((Main!B5-Main!B3)*9+8),"dd mmmm yyyy"))</f>
        <v>20 December 2024 - 19 January 2025</v>
      </c>
      <c r="J11" s="201">
        <f ca="1">'October 2024 - December 2024'!E190</f>
        <v>173.340000000001</v>
      </c>
      <c r="M11" s="206" t="str">
        <f>IF(Main!B2,TEXT(EDATE(Main!B3,24),"dd mmmm yyyy"),TEXT(Main!B3+((Main!B5-Main!B3)*24+24),"dd mmmm yyyy"))&amp;" - "&amp;IF(Main!B2,TEXT(EDATE(Main!B3,27)-1,"dd mmmm yyyy"),TEXT(Main!B3+((Main!B5-Main!B3)*27+26),"dd mmmm yyyy"))</f>
        <v>20 April 2026 - 19 July 2026</v>
      </c>
      <c r="N11" s="205">
        <f ca="1">'April 2026 - June 2026'!C5</f>
        <v>0</v>
      </c>
    </row>
    <row r="12" ht="35.25" customHeight="1" spans="1:14">
      <c r="A12" s="162"/>
      <c r="B12" s="163" t="s">
        <v>43</v>
      </c>
      <c r="C12" s="164">
        <v>70</v>
      </c>
      <c r="D12" s="166"/>
      <c r="E12" s="194" t="s">
        <v>43</v>
      </c>
      <c r="F12" s="192">
        <v>70</v>
      </c>
      <c r="I12" s="202" t="str">
        <f>IF(Main!B2,TEXT(EDATE(Main!B3,9),"dd mmmm yyyy"),TEXT(Main!B3+((Main!B5-Main!B3)*9)+9,"dd mmmm yyyy"))&amp;" - "&amp;IF(Main!B2,TEXT(EDATE(Main!B3,10)-1,"dd mmmm yyyy"),TEXT(Main!B3+((Main!B5-Main!B3)*10+9),"dd mmmm yyyy"))</f>
        <v>20 January 2025 - 19 February 2025</v>
      </c>
      <c r="J12" s="201">
        <f ca="1">'January 2025 - March 2025'!E136</f>
        <v>112.000000000001</v>
      </c>
      <c r="M12" s="202" t="str">
        <f>IF(Main!B2,TEXT(EDATE(Main!B3,27),"dd mmmm yyyy"),TEXT(Main!B3+((Main!B5-Main!B3)*27+27),"dd mmmm yyyy"))&amp;" - "&amp;IF(Main!B2,TEXT(EDATE(Main!B3,30)-1,"dd mmmm yyyy"),TEXT(Main!B3+((Main!B5-Main!B3)*30+29),"dd mmmm yyyy"))</f>
        <v>20 July 2026 - 19 October 2026</v>
      </c>
      <c r="N12" s="205">
        <f ca="1">'July 2026 - September 2026'!C5</f>
        <v>0</v>
      </c>
    </row>
    <row r="13" ht="35.25" customHeight="1" spans="1:14">
      <c r="A13" s="162"/>
      <c r="B13" s="163" t="s">
        <v>44</v>
      </c>
      <c r="C13" s="164">
        <v>7</v>
      </c>
      <c r="D13" s="166"/>
      <c r="E13" s="194" t="s">
        <v>44</v>
      </c>
      <c r="F13" s="192">
        <v>7</v>
      </c>
      <c r="I13" s="204" t="str">
        <f>IF(Main!B2,TEXT(EDATE(Main!B3,10),"dd mmmm yyyy"),TEXT(Main!B3+((Main!B5-Main!B3)*10)+10,"dd mmmm yyyy"))&amp;" - "&amp;IF(Main!B2,TEXT(EDATE(Main!B3,11)-1,"dd mmmm yyyy"),TEXT(Main!B3+((Main!B5-Main!B3)*11+10),"dd mmmm yyyy"))</f>
        <v>20 February 2025 - 19 March 2025</v>
      </c>
      <c r="J13" s="201">
        <f ca="1">'January 2025 - March 2025'!E163</f>
        <v>355.200000000001</v>
      </c>
      <c r="M13" s="202" t="str">
        <f>IF(Main!B2,TEXT(EDATE(Main!B3,30),"dd mmmm yyyy"),TEXT(Main!B3+((Main!B5-Main!B3)*30+30),"dd mmmm yyyy"))&amp;" - "&amp;IF(Main!B2,TEXT(EDATE(Main!B3,33)-1,"dd mmmm yyyy"),TEXT(Main!B3+((Main!B5-Main!B3)*33+32),"dd mmmm yyyy"))</f>
        <v>20 October 2026 - 19 January 2027</v>
      </c>
      <c r="N13" s="205">
        <f ca="1">'October 2026 - December 2026'!C5</f>
        <v>0</v>
      </c>
    </row>
    <row r="14" ht="35.25" customHeight="1" spans="1:14">
      <c r="A14" s="162"/>
      <c r="B14" s="163" t="s">
        <v>45</v>
      </c>
      <c r="C14" s="164">
        <v>4.9</v>
      </c>
      <c r="D14" s="166"/>
      <c r="E14" s="194" t="s">
        <v>45</v>
      </c>
      <c r="F14" s="192">
        <v>4.9</v>
      </c>
      <c r="I14" s="204" t="str">
        <f>IF(Main!B2,TEXT(EDATE(Main!B3,11),"dd mmmm yyyy"),TEXT(Main!B3+((Main!B5-Main!B3)*11)+11,"dd mmmm yyyy"))&amp;" - "&amp;IF(Main!B2,TEXT(EDATE(Main!B3,12)-1,"dd mmmm yyyy"),TEXT(Main!B3+((Main!B5-Main!B3)*12+11),"dd mmmm yyyy"))</f>
        <v>20 March 2025 - 19 April 2025</v>
      </c>
      <c r="J14" s="205">
        <f ca="1">'January 2025 - March 2025'!E190</f>
        <v>909.400000000001</v>
      </c>
      <c r="M14" s="202" t="str">
        <f>IF(Main!B2,TEXT(EDATE(Main!B3,33),"dd mmmm yyyy"),TEXT(Main!B3+((Main!B5-Main!B3)*33+33),"dd mmmm yyyy"))&amp;" - "&amp;IF(Main!B2,TEXT(EDATE(Main!B3,36)-1,"dd mmmm yyyy"),TEXT(Main!B3+((Main!B5-Main!B3)*36+35),"dd mmmm yyyy"))</f>
        <v>20 January 2027 - 19 April 2027</v>
      </c>
      <c r="N14" s="205">
        <f ca="1">'January 2027 - March 2027'!C5</f>
        <v>0</v>
      </c>
    </row>
    <row r="15" ht="35.25" customHeight="1" spans="1:14">
      <c r="A15" s="162"/>
      <c r="B15" s="167" t="s">
        <v>46</v>
      </c>
      <c r="C15" s="164">
        <v>0</v>
      </c>
      <c r="D15" s="166"/>
      <c r="E15" s="194" t="s">
        <v>46</v>
      </c>
      <c r="F15" s="192">
        <v>0</v>
      </c>
      <c r="I15" s="206" t="str">
        <f>IF(Main!B2,TEXT(EDATE(Main!B3,12),"dd mmmm yyyy"),TEXT(Main!B3+((Main!B5-Main!B3)*12)+12,"dd mmmm yyyy"))&amp;" - "&amp;IF(Main!B2,TEXT(EDATE(Main!B3,13)-1,"dd mmmm yyyy"),TEXT(Main!B3+((Main!B5-Main!B3)*13+12),"dd mmmm yyyy"))</f>
        <v>20 April 2025 - 19 May 2025</v>
      </c>
      <c r="J15" s="205">
        <f ca="1">'April 2025 - June 2025'!E136</f>
        <v>972.400000000001</v>
      </c>
      <c r="M15" s="202" t="str">
        <f>IF(Main!B2,TEXT(EDATE(Main!B3,36),"dd mmmm yyyy"),TEXT(Main!B3+((Main!B5-Main!B3)*36+36),"dd mmmm yyyy"))&amp;" - "&amp;IF(Main!B2,TEXT(EDATE(Main!B3,39)-1,"dd mmmm yyyy"),TEXT(Main!B3+((Main!B5-Main!B3)*39+38),"dd mmmm yyyy"))</f>
        <v>20 April 2027 - 19 July 2027</v>
      </c>
      <c r="N15" s="205">
        <f ca="1">'April 2027 - June 2027'!C5</f>
        <v>0</v>
      </c>
    </row>
    <row r="16" ht="35.25" customHeight="1" spans="1:14">
      <c r="A16" s="168"/>
      <c r="B16" s="169" t="s">
        <v>47</v>
      </c>
      <c r="C16" s="170">
        <f>SUM(C3:C15)</f>
        <v>629.4</v>
      </c>
      <c r="D16" s="171"/>
      <c r="E16" s="169" t="s">
        <v>47</v>
      </c>
      <c r="F16" s="195">
        <f>SUM(F3:F15)</f>
        <v>909.4</v>
      </c>
      <c r="I16" s="206" t="str">
        <f>IF(Main!B2,TEXT(EDATE(Main!B3,13),"dd mmmm yyyy"),TEXT(Main!B3+((Main!B5-Main!B3)*13)+13,"dd mmmm yyyy"))&amp;" - "&amp;IF(Main!B2,TEXT(EDATE(Main!B3,14)-1,"dd mmmm yyyy"),TEXT(Main!B3+((Main!B5-Main!B3)*14+13),"dd mmmm yyyy"))</f>
        <v>20 May 2025 - 19 June 2025</v>
      </c>
      <c r="J16" s="205">
        <f ca="1">'April 2025 - June 2025'!E163</f>
        <v>1026.4</v>
      </c>
      <c r="M16" s="202" t="str">
        <f>IF(Main!B2,TEXT(EDATE(Main!B3,39),"dd mmmm yyyy"),TEXT(Main!B3+((Main!B5-Main!B3)*39+39),"dd mmmm yyyy"))&amp;" - "&amp;IF(Main!B2,TEXT(EDATE(Main!B3,42)-1,"dd mmmm yyyy"),TEXT(Main!B3+((Main!B5-Main!B3)*42+41),"dd mmmm yyyy"))</f>
        <v>20 July 2027 - 19 October 2027</v>
      </c>
      <c r="N16" s="205">
        <f ca="1">Forecast_14!C5</f>
        <v>0</v>
      </c>
    </row>
    <row r="17" ht="35.25" customHeight="1" spans="9:14">
      <c r="I17" s="206" t="str">
        <f>IF(Main!B2,TEXT(EDATE(Main!B3,14),"dd mmmm yyyy"),TEXT(Main!B3+((Main!B5-Main!B3)*14)+14,"dd mmmm yyyy"))&amp;" - "&amp;IF(Main!B2,TEXT(EDATE(Main!B3,15)-1,"dd mmmm yyyy"),TEXT(Main!B3+((Main!B5-Main!B3)*15+14),"dd mmmm yyyy"))</f>
        <v>20 June 2025 - 19 July 2025</v>
      </c>
      <c r="J17" s="205">
        <f ca="1">'April 2025 - June 2025'!E190</f>
        <v>1189.4</v>
      </c>
      <c r="M17" s="202" t="str">
        <f>IF(Main!B2,TEXT(EDATE(Main!B3,42),"dd mmmm yyyy"),TEXT(Main!B3+((Main!B5-Main!B3)*42+42),"dd mmmm yyyy"))&amp;" - "&amp;IF(Main!B2,TEXT(EDATE(Main!B3,45)-1,"dd mmmm yyyy"),TEXT(Main!B3+((Main!B5-Main!B3)*45+44),"dd mmmm yyyy"))</f>
        <v>20 October 2027 - 19 January 2028</v>
      </c>
      <c r="N17" s="205">
        <f ca="1">Forecast_15!C5</f>
        <v>0</v>
      </c>
    </row>
    <row r="18" ht="35.25" customHeight="1" spans="9:14">
      <c r="I18" s="206" t="str">
        <f>IF(Main!B2,TEXT(EDATE(Main!B3,15),"dd mmmm yyyy"),TEXT(Main!B3+((Main!B5-Main!B3)*15)+15,"dd mmmm yyyy"))&amp;" - "&amp;IF(Main!B2,TEXT(EDATE(Main!B3,16)-1,"dd mmmm yyyy"),TEXT(Main!B3+((Main!B5-Main!B3)*16+15),"dd mmmm yyyy"))</f>
        <v>20 July 2025 - 19 August 2025</v>
      </c>
      <c r="J18" s="205">
        <f ca="1">'July 2025 - September 2025'!E136</f>
        <v>1258.4</v>
      </c>
      <c r="M18" s="202" t="str">
        <f>IF(Main!B2,TEXT(EDATE(Main!B3,45),"dd mmmm yyyy"),TEXT(Main!B3+((Main!B5-Main!B3)*45+45),"dd mmmm yyyy"))&amp;" - "&amp;IF(Main!B2,TEXT(EDATE(Main!B3,48)-1,"dd mmmm yyyy"),TEXT(Main!B3+((Main!B5-Main!B3)*48+47),"dd mmmm yyyy"))</f>
        <v>20 January 2028 - 19 April 2028</v>
      </c>
      <c r="N18" s="201">
        <f ca="1">Forecast_16!C5</f>
        <v>0</v>
      </c>
    </row>
    <row r="19" ht="33" customHeight="1" spans="9:10">
      <c r="I19" s="206" t="str">
        <f>IF(Main!B2,TEXT(EDATE(Main!B3,16),"dd mmmm yyyy"),TEXT(Main!B3+((Main!B5-Main!B3)*16)+16,"dd mmmm yyyy"))&amp;" - "&amp;IF(Main!B2,TEXT(EDATE(Main!B3,17)-1,"dd mmmm yyyy"),TEXT(Main!B3+((Main!B5-Main!B3)*17+16),"dd mmmm yyyy"))</f>
        <v>20 August 2025 - 19 September 2025</v>
      </c>
      <c r="J19" s="205">
        <f ca="1">'July 2025 - September 2025'!E163</f>
        <v>1371.4</v>
      </c>
    </row>
    <row r="20" ht="35.25" customHeight="1" spans="9:10">
      <c r="I20" s="206" t="str">
        <f>IF(Main!B2,TEXT(EDATE(Main!B3,17),"dd mmmm yyyy"),TEXT(Main!B3+((Main!B5-Main!B3)*17)+17,"dd mmmm yyyy"))&amp;" - "&amp;IF(Main!B2,TEXT(EDATE(Main!B3,18)-1,"dd mmmm yyyy"),TEXT(Main!B3+((Main!B5-Main!B3)*18+17),"dd mmmm yyyy"))</f>
        <v>20 September 2025 - 19 October 2025</v>
      </c>
      <c r="J20" s="205">
        <f ca="1">'July 2025 - September 2025'!E190</f>
        <v>1357.4</v>
      </c>
    </row>
    <row r="21" ht="35.25" customHeight="1" spans="9:10">
      <c r="I21" s="206" t="str">
        <f>IF(Main!B2,TEXT(EDATE(Main!B3,18),"dd mmmm yyyy"),TEXT(Main!B3+((Main!B5-Main!B3)*18)+18,"dd mmmm yyyy"))&amp;" - "&amp;IF(Main!B2,TEXT(EDATE(Main!B3,19)-1,"dd mmmm yyyy"),TEXT(Main!B3+((Main!B5-Main!B3)*19+18),"dd mmmm yyyy"))</f>
        <v>20 October 2025 - 19 November 2025</v>
      </c>
      <c r="J21" s="205">
        <f ca="1">'October 2025 - December 2025'!E136</f>
        <v>2920.4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April 2024 - 19 May 2024 /  (Revenue / Deferred Debts Or Expenses)</v>
      </c>
      <c r="B22" s="16"/>
      <c r="C22" s="16"/>
      <c r="D22" s="16"/>
      <c r="E22" s="16"/>
      <c r="F22" s="16"/>
      <c r="G22" s="16"/>
      <c r="I22" s="206" t="str">
        <f>IF(Main!B2,TEXT(EDATE(Main!B3,19),"dd mmmm yyyy"),TEXT(Main!B3+((Main!B5-Main!B3)*19)+19,"dd mmmm yyyy"))&amp;" - "&amp;IF(Main!B2,TEXT(EDATE(Main!B3,20)-1,"dd mmmm yyyy"),TEXT(Main!B3+((Main!B5-Main!B3)*20+19),"dd mmmm yyyy"))</f>
        <v>20 November 2025 - 19 December 2025</v>
      </c>
      <c r="J22" s="205">
        <f ca="1">'October 2025 - December 2025'!E163</f>
        <v>4539.4</v>
      </c>
    </row>
    <row r="23" ht="24.75" customHeight="1" spans="1:10">
      <c r="A23" s="17" t="s">
        <v>29</v>
      </c>
      <c r="B23" s="17" t="s">
        <v>48</v>
      </c>
      <c r="C23" s="17"/>
      <c r="D23" s="18" t="s">
        <v>49</v>
      </c>
      <c r="E23" s="18"/>
      <c r="F23" s="18" t="s">
        <v>50</v>
      </c>
      <c r="G23" s="18"/>
      <c r="I23" s="206" t="str">
        <f>IF(Main!B2,TEXT(EDATE(Main!B3,20),"dd mmmm yyyy"),TEXT(Main!B3+((Main!B5-Main!B3)*20)+20,"dd mmmm yyyy"))&amp;" - "&amp;IF(Main!B2,TEXT(EDATE(Main!B3,21)-1,"dd mmmm yyyy"),TEXT(Main!B3+((Main!B5-Main!B3)*21+20),"dd mmmm yyyy"))</f>
        <v>20 December 2025 - 19 January 2026</v>
      </c>
      <c r="J23" s="205">
        <f ca="1">'October 2025 - December 2025'!E190</f>
        <v>6102.4</v>
      </c>
    </row>
    <row r="24" ht="52.5" customHeight="1" spans="1:10">
      <c r="A24" s="19" t="s">
        <v>51</v>
      </c>
      <c r="B24" s="172" t="s">
        <v>52</v>
      </c>
      <c r="C24" s="20"/>
      <c r="D24" s="20" t="s">
        <v>53</v>
      </c>
      <c r="E24" s="20"/>
      <c r="F24" s="41">
        <v>2405</v>
      </c>
      <c r="G24" s="42"/>
      <c r="I24" s="206" t="str">
        <f>IF(Main!B2,TEXT(EDATE(Main!B3,21),"dd mmmm yyyy"),TEXT(Main!B3+((Main!B5-Main!B3)*21)+21,"dd mmmm yyyy"))&amp;" - "&amp;IF(Main!B2,TEXT(EDATE(Main!B3,22)-1,"dd mmmm yyyy"),TEXT(Main!B3+((Main!B5-Main!B3)*22+21),"dd mmmm yyyy"))</f>
        <v>20 January 2026 - 19 February 2026</v>
      </c>
      <c r="J24" s="205">
        <f ca="1">'January 2026 - March 2026'!E136</f>
        <v>7771.4</v>
      </c>
    </row>
    <row r="25" ht="30" customHeight="1" spans="1:10">
      <c r="A25" s="19"/>
      <c r="B25" s="21"/>
      <c r="C25" s="22"/>
      <c r="D25" s="23"/>
      <c r="E25" s="43"/>
      <c r="F25" s="41">
        <v>0</v>
      </c>
      <c r="G25" s="42"/>
      <c r="I25" s="206" t="str">
        <f>IF(Main!B2,TEXT(EDATE(Main!B3,22),"dd mmmm yyyy"),TEXT(Main!B3+((Main!B5-Main!B3)*22)+22,"dd mmmm yyyy"))&amp;" - "&amp;IF(Main!B2,TEXT(EDATE(Main!B3,23)-1,"dd mmmm yyyy"),TEXT(Main!B3+((Main!B5-Main!B3)*23+22),"dd mmmm yyyy"))</f>
        <v>20 February 2026 - 19 March 2026</v>
      </c>
      <c r="J25" s="205">
        <f ca="1">'January 2026 - March 2026'!E163</f>
        <v>9284.4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4" t="str">
        <f>IF(Main!B2,TEXT(EDATE(Main!B3,23),"dd mmmm yyyy"),TEXT(Main!B3+((Main!B5-Main!B3)*23)+23,"dd mmmm yyyy"))&amp;" - "&amp;IF(Main!B2,TEXT(EDATE(Main!B3,24)-1,"dd mmmm yyyy"),TEXT(Main!B3+((Main!B5-Main!B3)*24+23),"dd mmmm yyyy"))</f>
        <v>20 March 2026 - 19 April 2026</v>
      </c>
      <c r="J26" s="205">
        <f ca="1">'January 2026 - March 2026'!E190</f>
        <v>10953.4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6" t="str">
        <f>IF(Main!B2,TEXT(EDATE(Main!B3,24),"dd mmmm yyyy"),TEXT(Main!B3+((Main!B5-Main!B3)*24)+24,"dd mmmm yyyy"))&amp;" - "&amp;IF(Main!B2,TEXT(EDATE(Main!B3,25)-1,"dd mmmm yyyy"),TEXT(Main!B3+((Main!B5-Main!B3)*25+24),"dd mmmm yyyy"))</f>
        <v>20 April 2026 - 19 May 2026</v>
      </c>
      <c r="J27" s="205">
        <f ca="1">'April 2026 - June 2026'!E136</f>
        <v>12516.4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6" t="str">
        <f>IF(Main!B2,TEXT(EDATE(Main!B3,25),"dd mmmm yyyy"),TEXT(Main!B3+((Main!B5-Main!B3)*25)+25,"dd mmmm yyyy"))&amp;" - "&amp;IF(Main!B2,TEXT(EDATE(Main!B3,26)-1,"dd mmmm yyyy"),TEXT(Main!B3+((Main!B5-Main!B3)*26+25),"dd mmmm yyyy"))</f>
        <v>20 May 2026 - 19 June 2026</v>
      </c>
      <c r="J28" s="205">
        <f ca="1">'April 2026 - June 2026'!E163</f>
        <v>14135.4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2" t="str">
        <f>IF(Main!B2,TEXT(EDATE(Main!B3,26),"dd mmmm yyyy"),TEXT(Main!B3+((Main!B5-Main!B3)*26)+26,"dd mmmm yyyy"))&amp;" - "&amp;IF(Main!B2,TEXT(EDATE(Main!B3,27)-1,"dd mmmm yyyy"),TEXT(Main!B3+((Main!B5-Main!B3)*27+26),"dd mmmm yyyy"))</f>
        <v>20 June 2026 - 19 July 2026</v>
      </c>
      <c r="J29" s="201">
        <f ca="1">'April 2026 - June 2026'!E190</f>
        <v>15698.4</v>
      </c>
    </row>
    <row r="30" ht="30" customHeight="1" spans="1:10">
      <c r="A30" s="173"/>
      <c r="B30" s="174"/>
      <c r="C30" s="175"/>
      <c r="D30" s="27" t="s">
        <v>54</v>
      </c>
      <c r="E30" s="44"/>
      <c r="F30" s="45">
        <f>SUM(F24:G29)</f>
        <v>2405</v>
      </c>
      <c r="G30" s="46"/>
      <c r="I30" s="206" t="str">
        <f>IF(Main!B2,TEXT(EDATE(Main!B3,27),"dd mmmm yyyy"),TEXT(Main!B3+((Main!B5-Main!B3)*27)+27,"dd mmmm yyyy"))&amp;" - "&amp;IF(Main!B2,TEXT(EDATE(Main!B3,28)-1,"dd mmmm yyyy"),TEXT(Main!B3+((Main!B5-Main!B3)*28+27),"dd mmmm yyyy"))</f>
        <v>20 July 2026 - 19 August 2026</v>
      </c>
      <c r="J30" s="207">
        <f ca="1">'July 2026 - September 2026'!E136</f>
        <v>17367.4</v>
      </c>
    </row>
    <row r="31" ht="30" customHeight="1" spans="9:10">
      <c r="I31" s="206" t="str">
        <f>IF(Main!B2,TEXT(EDATE(Main!B3,28),"dd mmmm yyyy"),TEXT(Main!B3+((Main!B5-Main!B3)*28)+28,"dd mmmm yyyy"))&amp;" - "&amp;IF(Main!B2,TEXT(EDATE(Main!B3,29)-1,"dd mmmm yyyy"),TEXT(Main!B3+((Main!B5-Main!B3)*29+28),"dd mmmm yyyy"))</f>
        <v>20 August 2026 - 19 September 2026</v>
      </c>
      <c r="J31" s="205">
        <f ca="1">'July 2026 - September 2026'!E163</f>
        <v>18880.4</v>
      </c>
    </row>
    <row r="32" ht="27.75" customHeight="1" spans="9:10">
      <c r="I32" s="206" t="str">
        <f>IF(Main!B2,TEXT(EDATE(Main!B3,29),"dd mmmm yyyy"),TEXT(Main!B3+((Main!B5-Main!B3)*29)+29,"dd mmmm yyyy"))&amp;" - "&amp;IF(Main!B2,TEXT(EDATE(Main!B3,30)-1,"dd mmmm yyyy"),TEXT(Main!B3+((Main!B5-Main!B3)*30+29),"dd mmmm yyyy"))</f>
        <v>20 September 2026 - 19 October 2026</v>
      </c>
      <c r="J32" s="205">
        <f ca="1">'July 2026 - September 2026'!E190</f>
        <v>20549.4</v>
      </c>
    </row>
    <row r="33" ht="30" customHeight="1" spans="9:10">
      <c r="I33" s="206" t="str">
        <f>IF(Main!B2,TEXT(EDATE(Main!B3,30),"dd mmmm yyyy"),TEXT(Main!B3+((Main!B5-Main!B3)*30)+30,"dd mmmm yyyy"))&amp;" - "&amp;IF(Main!B2,TEXT(EDATE(Main!B3,31)-1,"dd mmmm yyyy"),TEXT(Main!B3+((Main!B5-Main!B3)*31+30),"dd mmmm yyyy"))</f>
        <v>20 October 2026 - 19 November 2026</v>
      </c>
      <c r="J33" s="205">
        <f ca="1">'October 2026 - December 2026'!E136</f>
        <v>22112.4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May 2024 - 19 June 2024 (Revenue / Deferred Debts Or Expenses)</v>
      </c>
      <c r="B34" s="16"/>
      <c r="C34" s="16"/>
      <c r="D34" s="16"/>
      <c r="E34" s="16"/>
      <c r="F34" s="16"/>
      <c r="G34" s="16"/>
      <c r="I34" s="206" t="str">
        <f>IF(Main!B2,TEXT(EDATE(Main!B3,31),"dd mmmm yyyy"),TEXT(Main!B3+((Main!B5-Main!B3)*31)+31,"dd mmmm yyyy"))&amp;" - "&amp;IF(Main!B2,TEXT(EDATE(Main!B3,32)-1,"dd mmmm yyyy"),TEXT(Main!B3+((Main!B5-Main!B3)*32+31),"dd mmmm yyyy"))</f>
        <v>20 November 2026 - 19 December 2026</v>
      </c>
      <c r="J34" s="205">
        <f ca="1">'October 2026 - December 2026'!E163</f>
        <v>23731.4</v>
      </c>
    </row>
    <row r="35" ht="24.75" customHeight="1" spans="1:10">
      <c r="A35" s="17" t="s">
        <v>29</v>
      </c>
      <c r="B35" s="17" t="s">
        <v>48</v>
      </c>
      <c r="C35" s="17"/>
      <c r="D35" s="18" t="s">
        <v>49</v>
      </c>
      <c r="E35" s="18"/>
      <c r="F35" s="18" t="s">
        <v>50</v>
      </c>
      <c r="G35" s="18"/>
      <c r="I35" s="206" t="str">
        <f>IF(Main!B2,TEXT(EDATE(Main!B3,32),"dd mmmm yyyy"),TEXT(Main!B3+((Main!B5-Main!B3)*32)+32,"dd mmmm yyyy"))&amp;" - "&amp;IF(Main!B2,TEXT(EDATE(Main!B3,33)-1,"dd mmmm yyyy"),TEXT(Main!B3+((Main!B5-Main!B3)*33+32),"dd mmmm yyyy"))</f>
        <v>20 December 2026 - 19 January 2027</v>
      </c>
      <c r="J35" s="205">
        <f ca="1">'October 2026 - December 2026'!E190</f>
        <v>25294.4</v>
      </c>
    </row>
    <row r="36" ht="54.75" customHeight="1" spans="1:10">
      <c r="A36" s="19" t="s">
        <v>55</v>
      </c>
      <c r="B36" s="21" t="s">
        <v>52</v>
      </c>
      <c r="C36" s="22"/>
      <c r="D36" s="21" t="s">
        <v>53</v>
      </c>
      <c r="E36" s="22"/>
      <c r="F36" s="41">
        <v>2405</v>
      </c>
      <c r="G36" s="42"/>
      <c r="I36" s="206" t="str">
        <f>IF(Main!B2,TEXT(EDATE(Main!B3,33),"dd mmmm yyyy"),TEXT(Main!B3+((Main!B5-Main!B3)*33)+33,"dd mmmm yyyy"))&amp;" - "&amp;IF(Main!B2,TEXT(EDATE(Main!B3,34)-1,"dd mmmm yyyy"),TEXT(Main!B3+((Main!B5-Main!B3)*34+33),"dd mmmm yyyy"))</f>
        <v>20 January 2027 - 19 February 2027</v>
      </c>
      <c r="J36" s="205">
        <f ca="1">'January 2027 - March 2027'!E136</f>
        <v>26963.4</v>
      </c>
    </row>
    <row r="37" ht="24.75" customHeight="1" spans="1:10">
      <c r="A37" s="19" t="s">
        <v>56</v>
      </c>
      <c r="B37" s="21" t="s">
        <v>52</v>
      </c>
      <c r="C37" s="22"/>
      <c r="D37" s="109" t="s">
        <v>57</v>
      </c>
      <c r="E37" s="109"/>
      <c r="F37" s="41">
        <v>1035</v>
      </c>
      <c r="G37" s="42"/>
      <c r="I37" s="206" t="str">
        <f>IF(Main!B2,TEXT(EDATE(Main!B3,34),"dd mmmm yyyy"),TEXT(Main!B3+((Main!B5-Main!B3)*34)+34,"dd mmmm yyyy"))&amp;" - "&amp;IF(Main!B2,TEXT(EDATE(Main!B3,35)-1,"dd mmmm yyyy"),TEXT(Main!B3+((Main!B5-Main!B3)*35+34),"dd mmmm yyyy"))</f>
        <v>20 February 2027 - 19 March 2027</v>
      </c>
      <c r="J37" s="205">
        <f ca="1">'January 2027 - March 2027'!E163</f>
        <v>28476.4</v>
      </c>
    </row>
    <row r="38" ht="20.25" customHeight="1" spans="1:10">
      <c r="A38" s="19" t="s">
        <v>58</v>
      </c>
      <c r="B38" s="176" t="s">
        <v>59</v>
      </c>
      <c r="C38" s="22"/>
      <c r="D38" s="21" t="s">
        <v>60</v>
      </c>
      <c r="E38" s="22"/>
      <c r="F38" s="41">
        <v>50</v>
      </c>
      <c r="G38" s="42"/>
      <c r="I38" s="206" t="str">
        <f>IF(Main!B2,TEXT(EDATE(Main!B3,35),"dd mmmm yyyy"),TEXT(Main!B3+((Main!B5-Main!B3)*35)+35,"dd mmmm yyyy"))&amp;" - "&amp;IF(Main!B2,TEXT(EDATE(Main!B3,36)-1,"dd mmmm yyyy"),TEXT(Main!B3+((Main!B5-Main!B3)*36+35),"dd mmmm yyyy"))</f>
        <v>20 March 2027 - 19 April 2027</v>
      </c>
      <c r="J38" s="205">
        <f ca="1">'January 2027 - March 2027'!E190</f>
        <v>30145.4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6" t="str">
        <f>IF(Main!B2,TEXT(EDATE(Main!B3,36),"dd mmmm yyyy"),TEXT(Main!B3+((Main!B5-Main!B3)*36)+36,"dd mmmm yyyy"))&amp;" - "&amp;IF(Main!B2,TEXT(EDATE(Main!B3,37)-1,"dd mmmm yyyy"),TEXT(Main!B3+((Main!B5-Main!B3)*37+36),"dd mmmm yyyy"))</f>
        <v>20 April 2027 - 19 May 2027</v>
      </c>
      <c r="J39" s="205">
        <f ca="1">'April 2027 - June 2027'!E136</f>
        <v>31708.4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6" t="str">
        <f>IF(Main!B2,TEXT(EDATE(Main!B3,37),"dd mmmm yyyy"),TEXT(Main!B3+((Main!B5-Main!B3)*37)+37,"dd mmmm yyyy"))&amp;" - "&amp;IF(Main!B2,TEXT(EDATE(Main!B3,38)-1,"dd mmmm yyyy"),TEXT(Main!B3+((Main!B5-Main!B3)*38+37),"dd mmmm yyyy"))</f>
        <v>20 May 2027 - 19 June 2027</v>
      </c>
      <c r="J40" s="205">
        <f ca="1">'April 2027 - June 2027'!E163</f>
        <v>33327.4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2" t="str">
        <f>IF(Main!B2,TEXT(EDATE(Main!B3,38),"dd mmmm yyyy"),TEXT(Main!B3+((Main!B5-Main!B3)*38)+38,"dd mmmm yyyy"))&amp;" - "&amp;IF(Main!B2,TEXT(EDATE(Main!B3,39)-1,"dd mmmm yyyy"),TEXT(Main!B3+((Main!B5-Main!B3)*39+38),"dd mmmm yyyy"))</f>
        <v>20 June 2027 - 19 July 2027</v>
      </c>
      <c r="J41" s="205">
        <f ca="1">'April 2027 - June 2027'!E190</f>
        <v>34890.4</v>
      </c>
    </row>
    <row r="42" ht="24.75" customHeight="1" spans="1:10">
      <c r="A42" s="173"/>
      <c r="B42" s="174"/>
      <c r="C42" s="175"/>
      <c r="D42" s="27" t="s">
        <v>54</v>
      </c>
      <c r="E42" s="44"/>
      <c r="F42" s="45">
        <f>SUM(F36:G41)</f>
        <v>3490</v>
      </c>
      <c r="G42" s="46"/>
      <c r="I42" s="202" t="str">
        <f>IF(Main!B2,TEXT(EDATE(Main!B3,39),"dd mmmm yyyy"),TEXT(Main!B3+((Main!B5-Main!B3)*39)+39,"dd mmmm yyyy"))&amp;" - "&amp;IF(Main!B2,TEXT(EDATE(Main!B3,40)-1,"dd mmmm yyyy"),TEXT(Main!B3+((Main!B5-Main!B3)*40+39),"dd mmmm yyyy"))</f>
        <v>20 July 2027 - 19 August 2027</v>
      </c>
      <c r="J42" s="205">
        <f ca="1">Forecast_14!E136</f>
        <v>34890.4</v>
      </c>
    </row>
    <row r="43" ht="24.75" customHeight="1" spans="9:10">
      <c r="I43" s="202" t="str">
        <f>IF(Main!B2,TEXT(EDATE(Main!B3,40),"dd mmmm yyyy"),TEXT(Main!B3+((Main!B5-Main!B3)*40)+40,"dd mmmm yyyy"))&amp;" - "&amp;IF(Main!B2,TEXT(EDATE(Main!B3,41)-1,"dd mmmm yyyy"),TEXT(Main!B3+((Main!B5-Main!B3)*41+40),"dd mmmm yyyy"))</f>
        <v>20 August 2027 - 19 September 2027</v>
      </c>
      <c r="J43" s="205">
        <f ca="1">Forecast_14!E163</f>
        <v>34890.4</v>
      </c>
    </row>
    <row r="44" ht="24.75" customHeight="1" spans="9:10">
      <c r="I44" s="202" t="str">
        <f>IF(Main!B2,TEXT(EDATE(Main!B3,41),"dd mmmm yyyy"),TEXT(Main!B3+((Main!B5-Main!B3)*41)+41,"dd mmmm yyyy"))&amp;" - "&amp;IF(Main!B2,TEXT(EDATE(Main!B3,42)-1,"dd mmmm yyyy"),TEXT(Main!B3+((Main!B5-Main!B3)*42+41),"dd mmmm yyyy"))</f>
        <v>20 September 2027 - 19 October 2027</v>
      </c>
      <c r="J44" s="205">
        <f ca="1">Forecast_14!E190</f>
        <v>34890.4</v>
      </c>
    </row>
    <row r="45" ht="24.75" customHeight="1" spans="9:10">
      <c r="I45" s="202" t="str">
        <f>IF(Main!B2,TEXT(EDATE(Main!B3,42),"dd mmmm yyyy"),TEXT(Main!B3+((Main!B5-Main!B3)*42)+42,"dd mmmm yyyy"))&amp;" - "&amp;IF(Main!B2,TEXT(EDATE(Main!B3,43)-1,"dd mmmm yyyy"),TEXT(Main!B3+((Main!B5-Main!B3)*43+42),"dd mmmm yyyy"))</f>
        <v>20 October 2027 - 19 November 2027</v>
      </c>
      <c r="J45" s="205">
        <f ca="1">Forecast_15!E136</f>
        <v>34890.4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June 2024 - 19 July 2024 (Revenue / Deferred Debts Or Expenses)</v>
      </c>
      <c r="B46" s="16"/>
      <c r="C46" s="16"/>
      <c r="D46" s="16"/>
      <c r="E46" s="16"/>
      <c r="F46" s="16"/>
      <c r="G46" s="16"/>
      <c r="I46" s="202" t="str">
        <f>IF(Main!B2,TEXT(EDATE(Main!B3,43),"dd mmmm yyyy"),TEXT(Main!B3+((Main!B5-Main!B3)*43)+43,"dd mmmm yyyy"))&amp;" - "&amp;IF(Main!B2,TEXT(EDATE(Main!B3,44)-1,"dd mmmm yyyy"),TEXT(Main!B3+((Main!B5-Main!B3)*44+43),"dd mmmm yyyy"))</f>
        <v>20 November 2027 - 19 December 2027</v>
      </c>
      <c r="J46" s="205">
        <f ca="1">Forecast_15!E163</f>
        <v>34890.4</v>
      </c>
    </row>
    <row r="47" ht="24.75" customHeight="1" spans="1:10">
      <c r="A47" s="17" t="s">
        <v>29</v>
      </c>
      <c r="B47" s="17" t="s">
        <v>48</v>
      </c>
      <c r="C47" s="17"/>
      <c r="D47" s="18" t="s">
        <v>49</v>
      </c>
      <c r="E47" s="18"/>
      <c r="F47" s="18" t="s">
        <v>50</v>
      </c>
      <c r="G47" s="18"/>
      <c r="I47" s="202" t="str">
        <f>IF(Main!B2,TEXT(EDATE(Main!B3,44),"dd mmmm yyyy"),TEXT(Main!B3+((Main!B5-Main!B3)*44)+44,"dd mmmm yyyy"))&amp;" - "&amp;IF(Main!B2,TEXT(EDATE(Main!B3,45)-1,"dd mmmm yyyy"),TEXT(Main!B3+((Main!B5-Main!B3)*45+44),"dd mmmm yyyy"))</f>
        <v>20 December 2027 - 19 January 2028</v>
      </c>
      <c r="J47" s="205">
        <f ca="1">Forecast_15!E190</f>
        <v>34890.4</v>
      </c>
    </row>
    <row r="48" ht="24.75" customHeight="1" spans="1:10">
      <c r="A48" s="95" t="s">
        <v>61</v>
      </c>
      <c r="B48" s="96" t="s">
        <v>62</v>
      </c>
      <c r="C48" s="96"/>
      <c r="D48" s="177" t="s">
        <v>63</v>
      </c>
      <c r="E48" s="177"/>
      <c r="F48" s="196">
        <v>150</v>
      </c>
      <c r="G48" s="42"/>
      <c r="I48" s="202" t="str">
        <f>IF(Main!B2,TEXT(EDATE(Main!B3,45),"dd mmmm yyyy"),TEXT(Main!B3+((Main!B5-Main!B3)*45)+45,"dd mmmm yyyy"))&amp;" - "&amp;IF(Main!B2,TEXT(EDATE(Main!B3,46)-1,"dd mmmm yyyy"),TEXT(Main!B3+((Main!B5-Main!B3)*46+45),"dd mmmm yyyy"))</f>
        <v>20 January 2028 - 19 February 2028</v>
      </c>
      <c r="J48" s="205">
        <f ca="1">Forecast_16!E136</f>
        <v>34890.4</v>
      </c>
    </row>
    <row r="49" ht="24.75" customHeight="1" spans="1:10">
      <c r="A49" s="95" t="s">
        <v>64</v>
      </c>
      <c r="B49" s="96" t="s">
        <v>52</v>
      </c>
      <c r="C49" s="96"/>
      <c r="D49" s="97" t="s">
        <v>53</v>
      </c>
      <c r="E49" s="97"/>
      <c r="F49" s="196">
        <v>2405</v>
      </c>
      <c r="G49" s="42"/>
      <c r="I49" s="202" t="str">
        <f>IF(Main!B2,TEXT(EDATE(Main!B3,46),"dd mmmm yyyy"),TEXT(Main!B3+((Main!B5-Main!B3)*46)+46,"dd mmmm yyyy"))&amp;" - "&amp;IF(Main!B2,TEXT(EDATE(Main!B3,47)-1,"dd mmmm yyyy"),TEXT(Main!B3+((Main!B5-Main!B3)*47+46),"dd mmmm yyyy"))</f>
        <v>20 February 2028 - 19 March 2028</v>
      </c>
      <c r="J49" s="205">
        <f ca="1">Forecast_16!E163</f>
        <v>34890.4</v>
      </c>
    </row>
    <row r="50" ht="24.75" customHeight="1" spans="1:10">
      <c r="A50" s="95" t="s">
        <v>65</v>
      </c>
      <c r="B50" s="96" t="s">
        <v>66</v>
      </c>
      <c r="C50" s="96"/>
      <c r="D50" s="96" t="s">
        <v>67</v>
      </c>
      <c r="E50" s="96"/>
      <c r="F50" s="196">
        <v>7700</v>
      </c>
      <c r="G50" s="42"/>
      <c r="I50" s="202" t="str">
        <f>IF(Main!B2,TEXT(EDATE(Main!B3,47),"dd mmmm yyyy"),TEXT(Main!B3+((Main!B5-Main!B3)*47)+47,"dd mmmm yyyy"))&amp;" - "&amp;IF(Main!B2,TEXT(EDATE(Main!B3,48)-1,"dd mmmm yyyy"),TEXT(Main!B3+((Main!B5-Main!B3)*48+47),"dd mmmm yyyy"))</f>
        <v>20 March 2028 - 19 April 2028</v>
      </c>
      <c r="J50" s="201">
        <f ca="1">Forecast_16!E190</f>
        <v>34890.4</v>
      </c>
    </row>
    <row r="51" ht="41" customHeight="1" spans="1:7">
      <c r="A51" s="178" t="s">
        <v>68</v>
      </c>
      <c r="B51" s="179" t="s">
        <v>69</v>
      </c>
      <c r="C51" s="179"/>
      <c r="D51" s="97"/>
      <c r="E51" s="97"/>
      <c r="F51" s="196">
        <v>411.5</v>
      </c>
      <c r="G51" s="42"/>
    </row>
    <row r="52" ht="24.75" customHeight="1" spans="1:7">
      <c r="A52" s="180" t="s">
        <v>70</v>
      </c>
      <c r="B52" s="96" t="s">
        <v>71</v>
      </c>
      <c r="C52" s="96"/>
      <c r="D52" s="96" t="s">
        <v>72</v>
      </c>
      <c r="E52" s="96"/>
      <c r="F52" s="196">
        <v>9350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3"/>
      <c r="B54" s="174"/>
      <c r="C54" s="175"/>
      <c r="D54" s="27" t="s">
        <v>54</v>
      </c>
      <c r="E54" s="44"/>
      <c r="F54" s="45">
        <f>SUM(F48:G53)</f>
        <v>20016.5</v>
      </c>
      <c r="G54" s="46"/>
    </row>
    <row r="55" ht="24.75" customHeight="1"/>
    <row r="58" ht="20.4" spans="1:3">
      <c r="A58" s="181" t="str">
        <f>"Fixed Expense For the Year "&amp;TEXT(Main!B3,"mmmm yyyy")&amp;" - "&amp;IF(Main!B2,TEXT(EDATE(Main!B3,3)-1,"mmmm yyyy"),TEXT(Main!B3+((Main!B5-Main!B3)*3+2),"mmmm yyyy"))</f>
        <v>Fixed Expense For the Year April 2024 - July 2024</v>
      </c>
      <c r="B58" s="182"/>
      <c r="C58" s="183"/>
    </row>
    <row r="59" ht="21" spans="1:3">
      <c r="A59" s="184" t="s">
        <v>48</v>
      </c>
      <c r="B59" s="184" t="s">
        <v>49</v>
      </c>
      <c r="C59" s="185" t="s">
        <v>50</v>
      </c>
    </row>
    <row r="60" spans="1:3">
      <c r="A60" s="186" t="s">
        <v>73</v>
      </c>
      <c r="B60" s="187"/>
      <c r="C60" s="188"/>
    </row>
    <row r="61" spans="1:3">
      <c r="A61" s="50" t="s">
        <v>74</v>
      </c>
      <c r="B61" s="189"/>
      <c r="C61" s="143">
        <v>204</v>
      </c>
    </row>
    <row r="62" spans="1:3">
      <c r="A62" s="50" t="s">
        <v>75</v>
      </c>
      <c r="B62" s="189"/>
      <c r="C62" s="143">
        <v>197</v>
      </c>
    </row>
    <row r="63" ht="21" customHeight="1" spans="1:3">
      <c r="A63" s="190" t="s">
        <v>76</v>
      </c>
      <c r="B63" s="189"/>
      <c r="C63" s="143">
        <v>0</v>
      </c>
    </row>
    <row r="64" spans="1:3">
      <c r="A64" s="50" t="s">
        <v>59</v>
      </c>
      <c r="B64" s="191"/>
      <c r="C64" s="143">
        <v>42</v>
      </c>
    </row>
    <row r="65" spans="1:3">
      <c r="A65" s="50" t="s">
        <v>77</v>
      </c>
      <c r="B65" s="189"/>
      <c r="C65" s="212">
        <v>0</v>
      </c>
    </row>
    <row r="66" spans="1:3">
      <c r="A66" s="50"/>
      <c r="B66" s="189"/>
      <c r="C66" s="212">
        <v>0</v>
      </c>
    </row>
    <row r="67" spans="1:3">
      <c r="A67" s="50"/>
      <c r="B67" s="189"/>
      <c r="C67" s="212">
        <v>0</v>
      </c>
    </row>
    <row r="68" spans="1:3">
      <c r="A68" s="50"/>
      <c r="B68" s="189"/>
      <c r="C68" s="212">
        <v>0</v>
      </c>
    </row>
    <row r="69" spans="1:3">
      <c r="A69" s="38"/>
      <c r="B69" s="39" t="s">
        <v>78</v>
      </c>
      <c r="C69" s="212">
        <f>SUM(C61:C68)</f>
        <v>443</v>
      </c>
    </row>
    <row r="70" spans="1:3">
      <c r="A70" s="186" t="s">
        <v>79</v>
      </c>
      <c r="B70" s="187"/>
      <c r="C70" s="188"/>
    </row>
    <row r="71" spans="1:3">
      <c r="A71" s="50" t="s">
        <v>80</v>
      </c>
      <c r="B71" s="189"/>
      <c r="C71" s="212">
        <v>0</v>
      </c>
    </row>
    <row r="72" spans="1:3">
      <c r="A72" s="50" t="s">
        <v>81</v>
      </c>
      <c r="B72" s="189"/>
      <c r="C72" s="212">
        <v>0</v>
      </c>
    </row>
    <row r="73" spans="1:3">
      <c r="A73" s="50" t="s">
        <v>82</v>
      </c>
      <c r="B73" s="189"/>
      <c r="C73" s="212">
        <v>0</v>
      </c>
    </row>
    <row r="74" spans="1:3">
      <c r="A74" s="50" t="s">
        <v>83</v>
      </c>
      <c r="B74" s="189"/>
      <c r="C74" s="212">
        <v>0</v>
      </c>
    </row>
    <row r="75" spans="1:3">
      <c r="A75" s="50"/>
      <c r="B75" s="189"/>
      <c r="C75" s="212">
        <v>0</v>
      </c>
    </row>
    <row r="76" spans="1:3">
      <c r="A76" s="50"/>
      <c r="B76" s="189"/>
      <c r="C76" s="212">
        <v>0</v>
      </c>
    </row>
    <row r="77" spans="1:3">
      <c r="A77" s="50"/>
      <c r="B77" s="189"/>
      <c r="C77" s="212">
        <v>0</v>
      </c>
    </row>
    <row r="78" spans="1:3">
      <c r="A78" s="50"/>
      <c r="B78" s="189"/>
      <c r="C78" s="212">
        <v>0</v>
      </c>
    </row>
    <row r="79" spans="1:3">
      <c r="A79" s="50"/>
      <c r="B79" s="189"/>
      <c r="C79" s="212">
        <v>0</v>
      </c>
    </row>
    <row r="80" spans="1:3">
      <c r="A80" s="213"/>
      <c r="B80" s="214" t="s">
        <v>78</v>
      </c>
      <c r="C80" s="212">
        <f>SUM(C71:C79)</f>
        <v>0</v>
      </c>
    </row>
    <row r="81" spans="1:3">
      <c r="A81" s="186" t="s">
        <v>84</v>
      </c>
      <c r="B81" s="187"/>
      <c r="C81" s="188"/>
    </row>
    <row r="82" spans="1:3">
      <c r="A82" s="50" t="s">
        <v>85</v>
      </c>
      <c r="B82" s="191" t="s">
        <v>86</v>
      </c>
      <c r="C82" s="36">
        <v>0</v>
      </c>
    </row>
    <row r="83" spans="1:3">
      <c r="A83" s="215" t="s">
        <v>87</v>
      </c>
      <c r="B83" s="189" t="s">
        <v>88</v>
      </c>
      <c r="C83" s="36">
        <v>0</v>
      </c>
    </row>
    <row r="84" spans="1:3">
      <c r="A84" s="51"/>
      <c r="B84" s="189"/>
      <c r="C84" s="36">
        <v>0</v>
      </c>
    </row>
    <row r="85" spans="1:3">
      <c r="A85" s="50"/>
      <c r="B85" s="189"/>
      <c r="C85" s="36">
        <v>0</v>
      </c>
    </row>
    <row r="86" spans="1:3">
      <c r="A86" s="50"/>
      <c r="B86" s="189"/>
      <c r="C86" s="36">
        <v>0</v>
      </c>
    </row>
    <row r="87" spans="1:3">
      <c r="A87" s="50"/>
      <c r="B87" s="189"/>
      <c r="C87" s="36">
        <v>0</v>
      </c>
    </row>
    <row r="88" spans="1:3">
      <c r="A88" s="50"/>
      <c r="B88" s="189"/>
      <c r="C88" s="36">
        <v>0</v>
      </c>
    </row>
    <row r="89" spans="1:3">
      <c r="A89" s="213"/>
      <c r="B89" s="214" t="s">
        <v>78</v>
      </c>
      <c r="C89" s="36">
        <f>SUM(C82:C88)</f>
        <v>0</v>
      </c>
    </row>
    <row r="90" spans="1:3">
      <c r="A90" s="186" t="s">
        <v>89</v>
      </c>
      <c r="B90" s="187"/>
      <c r="C90" s="188"/>
    </row>
    <row r="91" spans="1:3">
      <c r="A91" s="216" t="s">
        <v>90</v>
      </c>
      <c r="B91" s="217"/>
      <c r="C91" s="212">
        <v>0</v>
      </c>
    </row>
    <row r="92" spans="1:3">
      <c r="A92" s="51"/>
      <c r="B92" s="189"/>
      <c r="C92" s="212">
        <v>0</v>
      </c>
    </row>
    <row r="93" ht="20.25" customHeight="1" spans="1:3">
      <c r="A93" s="51"/>
      <c r="B93" s="189"/>
      <c r="C93" s="212">
        <v>0</v>
      </c>
    </row>
    <row r="94" ht="15.75" customHeight="1" spans="1:3">
      <c r="A94" s="50"/>
      <c r="B94" s="189"/>
      <c r="C94" s="212">
        <v>0</v>
      </c>
    </row>
    <row r="95" spans="1:3">
      <c r="A95" s="50"/>
      <c r="B95" s="189"/>
      <c r="C95" s="212">
        <v>0</v>
      </c>
    </row>
    <row r="96" spans="1:3">
      <c r="A96" s="50"/>
      <c r="B96" s="189"/>
      <c r="C96" s="212">
        <v>0</v>
      </c>
    </row>
    <row r="97" spans="1:3">
      <c r="A97" s="50"/>
      <c r="B97" s="189"/>
      <c r="C97" s="212">
        <v>0</v>
      </c>
    </row>
    <row r="98" spans="1:3">
      <c r="A98" s="50"/>
      <c r="B98" s="189"/>
      <c r="C98" s="212">
        <v>0</v>
      </c>
    </row>
    <row r="99" spans="1:3">
      <c r="A99" s="49"/>
      <c r="B99" s="39" t="s">
        <v>78</v>
      </c>
      <c r="C99" s="36">
        <f>SUM(C91:C98)</f>
        <v>0</v>
      </c>
    </row>
    <row r="100" spans="1:3">
      <c r="A100" s="186" t="s">
        <v>91</v>
      </c>
      <c r="B100" s="187"/>
      <c r="C100" s="188"/>
    </row>
    <row r="101" spans="1:3">
      <c r="A101" s="50" t="s">
        <v>92</v>
      </c>
      <c r="B101" s="218" t="s">
        <v>93</v>
      </c>
      <c r="C101" s="98">
        <v>300</v>
      </c>
    </row>
    <row r="102" spans="1:3">
      <c r="A102" s="51" t="s">
        <v>94</v>
      </c>
      <c r="B102" s="218" t="s">
        <v>95</v>
      </c>
      <c r="C102" s="98">
        <v>0</v>
      </c>
    </row>
    <row r="103" ht="34" spans="1:3">
      <c r="A103" s="50" t="s">
        <v>96</v>
      </c>
      <c r="B103" s="100" t="s">
        <v>97</v>
      </c>
      <c r="C103" s="98">
        <v>0</v>
      </c>
    </row>
    <row r="104" spans="1:3">
      <c r="A104" s="50" t="s">
        <v>98</v>
      </c>
      <c r="B104" s="100" t="s">
        <v>99</v>
      </c>
      <c r="C104" s="98">
        <v>760</v>
      </c>
    </row>
    <row r="105" spans="1:3">
      <c r="A105" s="50"/>
      <c r="B105" s="189"/>
      <c r="C105" s="212">
        <v>0</v>
      </c>
    </row>
    <row r="106" spans="1:3">
      <c r="A106" s="50"/>
      <c r="B106" s="189"/>
      <c r="C106" s="212">
        <v>0</v>
      </c>
    </row>
    <row r="107" spans="1:3">
      <c r="A107" s="50"/>
      <c r="B107" s="189"/>
      <c r="C107" s="212">
        <v>0</v>
      </c>
    </row>
    <row r="108" spans="1:3">
      <c r="A108" s="50"/>
      <c r="B108" s="189"/>
      <c r="C108" s="212">
        <v>0</v>
      </c>
    </row>
    <row r="109" spans="1:3">
      <c r="A109" s="51"/>
      <c r="B109" s="39" t="s">
        <v>78</v>
      </c>
      <c r="C109" s="212">
        <f>SUM(C101:C108)</f>
        <v>1060</v>
      </c>
    </row>
    <row r="110" spans="1:3">
      <c r="A110" s="49"/>
      <c r="B110" s="39" t="s">
        <v>100</v>
      </c>
      <c r="C110" s="212">
        <f>C69+C80+C89+C99+C109</f>
        <v>1503</v>
      </c>
    </row>
    <row r="111" spans="1:3">
      <c r="A111" s="186" t="s">
        <v>101</v>
      </c>
      <c r="B111" s="187"/>
      <c r="C111" s="188"/>
    </row>
    <row r="112" spans="1:8">
      <c r="A112" s="219" t="s">
        <v>102</v>
      </c>
      <c r="B112" s="220"/>
      <c r="C112" s="221">
        <v>14950</v>
      </c>
      <c r="D112" s="14"/>
      <c r="E112" s="94"/>
      <c r="F112" s="14"/>
      <c r="G112" s="14"/>
      <c r="H112" s="14"/>
    </row>
    <row r="113" spans="1:8">
      <c r="A113" s="219" t="s">
        <v>103</v>
      </c>
      <c r="B113" s="189"/>
      <c r="C113" s="222">
        <f>5000</f>
        <v>5000</v>
      </c>
      <c r="D113" s="14"/>
      <c r="E113" s="14"/>
      <c r="F113" s="14"/>
      <c r="G113" s="14"/>
      <c r="H113" s="14"/>
    </row>
    <row r="114" spans="1:8">
      <c r="A114" s="219" t="s">
        <v>104</v>
      </c>
      <c r="B114" s="189"/>
      <c r="C114" s="223">
        <f>3300</f>
        <v>3300</v>
      </c>
      <c r="D114" s="14"/>
      <c r="E114" s="14"/>
      <c r="F114" s="14"/>
      <c r="G114" s="14"/>
      <c r="H114" s="14"/>
    </row>
    <row r="115" ht="34" spans="1:8">
      <c r="A115" s="224" t="s">
        <v>105</v>
      </c>
      <c r="B115" s="189"/>
      <c r="C115" s="223">
        <v>0</v>
      </c>
      <c r="D115" s="14"/>
      <c r="E115" s="14"/>
      <c r="F115" s="14"/>
      <c r="G115" s="14"/>
      <c r="H115" s="14"/>
    </row>
    <row r="116" ht="34" spans="1:8">
      <c r="A116" s="224" t="s">
        <v>106</v>
      </c>
      <c r="B116" s="189"/>
      <c r="C116" s="223">
        <v>0</v>
      </c>
      <c r="D116" s="14"/>
      <c r="E116" s="14"/>
      <c r="F116" s="14"/>
      <c r="G116" s="14"/>
      <c r="H116" s="14"/>
    </row>
    <row r="117" spans="1:8">
      <c r="A117" s="50" t="s">
        <v>107</v>
      </c>
      <c r="B117" s="189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9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9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9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9"/>
      <c r="C121" s="36">
        <v>0</v>
      </c>
      <c r="D121" s="14"/>
      <c r="E121" s="14"/>
      <c r="F121" s="14"/>
      <c r="G121" s="14"/>
      <c r="H121" s="14"/>
    </row>
    <row r="122" spans="1:3">
      <c r="A122" s="213"/>
      <c r="B122" s="214" t="s">
        <v>108</v>
      </c>
      <c r="C122" s="212">
        <f>SUM(C112:C121)</f>
        <v>24333</v>
      </c>
    </row>
    <row r="123" spans="1:3">
      <c r="A123" s="213"/>
      <c r="B123" s="214" t="s">
        <v>109</v>
      </c>
      <c r="C123" s="36">
        <f>C122+C110</f>
        <v>25836</v>
      </c>
    </row>
    <row r="124" spans="5:5">
      <c r="E124" s="225"/>
    </row>
    <row r="125" spans="5:5">
      <c r="E125" s="225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April 20 2024 to May 19 2024</v>
      </c>
      <c r="B128" s="53"/>
      <c r="C128" s="53"/>
      <c r="D128" s="53"/>
      <c r="E128" s="54"/>
    </row>
    <row r="129" ht="45" customHeight="1" spans="1:5">
      <c r="A129" s="52" t="s">
        <v>110</v>
      </c>
      <c r="B129" s="54"/>
      <c r="C129" s="52" t="s">
        <v>49</v>
      </c>
      <c r="D129" s="54"/>
      <c r="E129" s="69" t="s">
        <v>50</v>
      </c>
    </row>
    <row r="130" ht="24.75" customHeight="1" spans="1:5">
      <c r="A130" s="58" t="s">
        <v>91</v>
      </c>
      <c r="B130" s="59"/>
      <c r="C130" s="60" t="s">
        <v>111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112</v>
      </c>
      <c r="D141" s="61"/>
      <c r="E141" s="71"/>
    </row>
    <row r="142" ht="4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113</v>
      </c>
      <c r="B148" s="76"/>
      <c r="C148" s="77"/>
      <c r="D148" s="78"/>
      <c r="E148" s="86">
        <f>C110</f>
        <v>1503</v>
      </c>
    </row>
    <row r="149" ht="45" customHeight="1" spans="1:5">
      <c r="A149" s="79"/>
      <c r="B149" s="80"/>
      <c r="C149" s="81" t="s">
        <v>114</v>
      </c>
      <c r="D149" s="81"/>
      <c r="E149" s="87">
        <v>0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May 20 2024 to 19 June 2024</v>
      </c>
      <c r="B154" s="53"/>
      <c r="C154" s="53"/>
      <c r="D154" s="53"/>
      <c r="E154" s="54"/>
    </row>
    <row r="155" ht="24.75" customHeight="1" spans="1:5">
      <c r="A155" s="52" t="s">
        <v>110</v>
      </c>
      <c r="B155" s="54"/>
      <c r="C155" s="82" t="s">
        <v>49</v>
      </c>
      <c r="D155" s="83"/>
      <c r="E155" s="88" t="s">
        <v>50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May 2024</v>
      </c>
      <c r="B156" s="56"/>
      <c r="C156" s="226"/>
      <c r="D156" s="226"/>
      <c r="E156" s="87">
        <f>E149</f>
        <v>0</v>
      </c>
    </row>
    <row r="157" ht="24.75" customHeight="1" spans="1:5">
      <c r="A157" s="58" t="s">
        <v>91</v>
      </c>
      <c r="B157" s="59"/>
      <c r="C157" s="84" t="s">
        <v>111</v>
      </c>
      <c r="D157" s="85"/>
      <c r="E157" s="89"/>
    </row>
    <row r="158" ht="24.75" customHeight="1" spans="1:8">
      <c r="A158" s="62"/>
      <c r="B158" s="63"/>
      <c r="C158" s="64" t="s">
        <v>115</v>
      </c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 t="s">
        <v>116</v>
      </c>
      <c r="D159" s="73"/>
      <c r="E159" s="98">
        <v>1000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112</v>
      </c>
      <c r="D168" s="61"/>
      <c r="E168" s="71"/>
    </row>
    <row r="169" ht="24.75" customHeight="1" spans="1:5">
      <c r="A169" s="62"/>
      <c r="B169" s="63"/>
      <c r="C169" s="109" t="s">
        <v>117</v>
      </c>
      <c r="D169" s="109"/>
      <c r="E169" s="98">
        <v>140</v>
      </c>
    </row>
    <row r="170" ht="24.75" customHeight="1" spans="1:5">
      <c r="A170" s="62"/>
      <c r="B170" s="63"/>
      <c r="C170" s="109" t="s">
        <v>118</v>
      </c>
      <c r="D170" s="109"/>
      <c r="E170" s="98">
        <v>68</v>
      </c>
    </row>
    <row r="171" ht="24.75" customHeight="1" spans="1:5">
      <c r="A171" s="62"/>
      <c r="B171" s="63"/>
      <c r="C171" s="109" t="s">
        <v>119</v>
      </c>
      <c r="D171" s="109"/>
      <c r="E171" s="98">
        <v>420</v>
      </c>
    </row>
    <row r="172" ht="40" customHeight="1" spans="1:5">
      <c r="A172" s="62"/>
      <c r="B172" s="63"/>
      <c r="C172" s="100" t="s">
        <v>120</v>
      </c>
      <c r="D172" s="100"/>
      <c r="E172" s="98">
        <v>775.68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113</v>
      </c>
      <c r="B175" s="76"/>
      <c r="C175" s="77"/>
      <c r="D175" s="78"/>
      <c r="E175" s="86">
        <f>C110</f>
        <v>1503</v>
      </c>
    </row>
    <row r="176" ht="24.75" customHeight="1" spans="1:5">
      <c r="A176" s="79"/>
      <c r="B176" s="80"/>
      <c r="C176" s="81" t="s">
        <v>114</v>
      </c>
      <c r="D176" s="81"/>
      <c r="E176" s="90">
        <f>(F42+E156)-(SUM(E159:E167)+SUM(E169:E175))</f>
        <v>-416.68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June 2024 to 19 July 2024</v>
      </c>
      <c r="B181" s="53"/>
      <c r="C181" s="53"/>
      <c r="D181" s="53"/>
      <c r="E181" s="54"/>
    </row>
    <row r="182" ht="24.75" customHeight="1" spans="1:5">
      <c r="A182" s="52" t="s">
        <v>110</v>
      </c>
      <c r="B182" s="54"/>
      <c r="C182" s="82" t="s">
        <v>49</v>
      </c>
      <c r="D182" s="83"/>
      <c r="E182" s="88" t="s">
        <v>50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June 2024</v>
      </c>
      <c r="B183" s="56"/>
      <c r="C183" s="226"/>
      <c r="D183" s="226"/>
      <c r="E183" s="90">
        <f>E176</f>
        <v>-416.68</v>
      </c>
    </row>
    <row r="184" ht="24.75" customHeight="1" spans="1:5">
      <c r="A184" s="58" t="s">
        <v>91</v>
      </c>
      <c r="B184" s="59"/>
      <c r="C184" s="84" t="s">
        <v>111</v>
      </c>
      <c r="D184" s="85"/>
      <c r="E184" s="89"/>
    </row>
    <row r="185" ht="24.75" customHeight="1" spans="1:8">
      <c r="A185" s="62"/>
      <c r="B185" s="63"/>
      <c r="C185" s="109" t="s">
        <v>121</v>
      </c>
      <c r="D185" s="109"/>
      <c r="E185" s="36">
        <v>4500</v>
      </c>
      <c r="F185" s="14"/>
      <c r="G185" s="14"/>
      <c r="H185" s="14"/>
    </row>
    <row r="186" ht="24.75" customHeight="1" spans="1:8">
      <c r="A186" s="62"/>
      <c r="B186" s="63"/>
      <c r="C186" s="64" t="s">
        <v>122</v>
      </c>
      <c r="D186" s="65"/>
      <c r="E186" s="36">
        <v>4000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112</v>
      </c>
      <c r="D195" s="61"/>
      <c r="E195" s="71"/>
    </row>
    <row r="196" ht="24.75" customHeight="1" spans="1:5">
      <c r="A196" s="62"/>
      <c r="B196" s="63"/>
      <c r="C196" s="109" t="s">
        <v>123</v>
      </c>
      <c r="D196" s="109"/>
      <c r="E196" s="98">
        <v>2254</v>
      </c>
    </row>
    <row r="197" ht="24.75" customHeight="1" spans="1:5">
      <c r="A197" s="62"/>
      <c r="B197" s="63"/>
      <c r="C197" s="100" t="s">
        <v>124</v>
      </c>
      <c r="D197" s="100"/>
      <c r="E197" s="98">
        <v>560</v>
      </c>
    </row>
    <row r="198" ht="24.75" customHeight="1" spans="1:5">
      <c r="A198" s="62"/>
      <c r="B198" s="63"/>
      <c r="C198" s="109" t="s">
        <v>125</v>
      </c>
      <c r="D198" s="109"/>
      <c r="E198" s="98">
        <v>0</v>
      </c>
    </row>
    <row r="199" ht="214" customHeight="1" spans="1:5">
      <c r="A199" s="62"/>
      <c r="B199" s="63"/>
      <c r="C199" s="72" t="s">
        <v>126</v>
      </c>
      <c r="D199" s="65"/>
      <c r="E199" s="86">
        <v>2556</v>
      </c>
    </row>
    <row r="200" ht="24.75" customHeight="1" spans="1:5">
      <c r="A200" s="62"/>
      <c r="B200" s="63"/>
      <c r="C200" s="64" t="s">
        <v>127</v>
      </c>
      <c r="D200" s="65"/>
      <c r="E200" s="86">
        <v>966.7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113</v>
      </c>
      <c r="B202" s="76"/>
      <c r="C202" s="77"/>
      <c r="D202" s="78"/>
      <c r="E202" s="86">
        <f>C110</f>
        <v>1503</v>
      </c>
    </row>
    <row r="203" ht="24.75" customHeight="1" spans="1:5">
      <c r="A203" s="79"/>
      <c r="B203" s="80"/>
      <c r="C203" s="81" t="s">
        <v>114</v>
      </c>
      <c r="D203" s="81"/>
      <c r="E203" s="90">
        <f>(F54+E183)-(SUM(E185:E194)+SUM(E196:E202))</f>
        <v>3260.12</v>
      </c>
    </row>
    <row r="204" ht="24.75" customHeight="1"/>
  </sheetData>
  <sheetProtection sheet="1" formatCells="0" formatColumns="0" formatRows="0" objects="1"/>
  <protectedRanges>
    <protectedRange sqref="A24:G29" name="R1"/>
    <protectedRange sqref="A36:G41" name="R2"/>
    <protectedRange sqref="A48:G53" name="R3"/>
    <protectedRange sqref="B3:C15" name="A1"/>
    <protectedRange sqref="A60:C68" name="F1"/>
    <protectedRange sqref="A70:C79 A61:A68 B61:B68 A61:B68 A61:B68" name="F2"/>
    <protectedRange sqref="A81:C89" name="F3"/>
    <protectedRange sqref="A90:C98 A71:B78 A82:B89 A82:B88 A61:A68 B61:B68 A82:B88 A61:B68 A82:B88 A61:B68" name="F4"/>
    <protectedRange sqref="A100:C108 A91:B98 A71:B78 A82:B89 A82:B88 A61:A68 B61:B68 A82:B88 A61:B68 A82:B88 A61:B68" name="F5"/>
    <protectedRange sqref="C130:E147" name="E1"/>
    <protectedRange sqref="C157:E174" name="E2"/>
    <protectedRange sqref="C184:E201" name="E3"/>
    <protectedRange sqref="E3:F15" name="A2"/>
    <protectedRange sqref="A111:C121 A101:A108 B101:B108 A101:B108 A91:B98 A82:B88 A71:B79 A61:B68 A101:B108 A91:B98 A71:B79" name="D1"/>
  </protectedRanges>
  <mergeCells count="170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66" workbookViewId="0">
      <selection activeCell="D97" sqref="D97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597222222222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July 2024 to October 2024</v>
      </c>
      <c r="B1" s="1"/>
      <c r="C1" s="1"/>
      <c r="D1" s="1"/>
      <c r="E1" s="1"/>
      <c r="F1" s="1"/>
      <c r="G1" s="1"/>
    </row>
    <row r="2" ht="28.5" customHeight="1" spans="1:7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</row>
    <row r="3" ht="42" customHeight="1" spans="1:7">
      <c r="A3" s="5"/>
      <c r="B3" s="6" t="s">
        <v>129</v>
      </c>
      <c r="C3" s="7">
        <f ca="1">E190</f>
        <v>502.71</v>
      </c>
      <c r="D3" s="7"/>
      <c r="E3" s="7"/>
      <c r="F3" s="7"/>
      <c r="G3" s="7"/>
    </row>
    <row r="4" spans="1:9">
      <c r="A4" s="8" t="s">
        <v>47</v>
      </c>
      <c r="B4" s="9"/>
      <c r="C4" s="10">
        <f ca="1">SUM(C2:G3)</f>
        <v>1132.11</v>
      </c>
      <c r="D4" s="10"/>
      <c r="E4" s="10"/>
      <c r="F4" s="10"/>
      <c r="G4" s="10"/>
      <c r="H4" s="14"/>
      <c r="I4" s="47"/>
    </row>
    <row r="5" spans="1:9">
      <c r="A5" s="11" t="s">
        <v>130</v>
      </c>
      <c r="B5" s="11"/>
      <c r="C5" s="12">
        <f ca="1">C108</f>
        <v>-11683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July 2024 - 19 August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35" t="s">
        <v>131</v>
      </c>
      <c r="B10" s="136" t="s">
        <v>52</v>
      </c>
      <c r="C10" s="137"/>
      <c r="D10" s="138" t="s">
        <v>53</v>
      </c>
      <c r="E10" s="144"/>
      <c r="F10" s="41">
        <v>2405</v>
      </c>
      <c r="G10" s="42"/>
      <c r="H10" s="14"/>
      <c r="I10" s="47"/>
    </row>
    <row r="11" ht="24.75" customHeight="1" spans="1:9">
      <c r="A11" s="135"/>
      <c r="B11" s="113" t="s">
        <v>132</v>
      </c>
      <c r="C11" s="114"/>
      <c r="D11" s="126"/>
      <c r="E11" s="145"/>
      <c r="F11" s="41">
        <v>27</v>
      </c>
      <c r="G11" s="42"/>
      <c r="H11" s="14"/>
      <c r="I11" s="47"/>
    </row>
    <row r="12" ht="24.75" customHeight="1" spans="1:9">
      <c r="A12" s="135"/>
      <c r="B12" s="113" t="s">
        <v>133</v>
      </c>
      <c r="C12" s="114"/>
      <c r="D12" s="126"/>
      <c r="E12" s="145"/>
      <c r="F12" s="41">
        <v>17</v>
      </c>
      <c r="G12" s="42"/>
      <c r="H12" s="14"/>
      <c r="I12" s="47"/>
    </row>
    <row r="13" ht="24.75" customHeight="1" spans="1:9">
      <c r="A13" s="135" t="s">
        <v>134</v>
      </c>
      <c r="B13" s="139" t="s">
        <v>135</v>
      </c>
      <c r="C13" s="140"/>
      <c r="D13" s="126"/>
      <c r="E13" s="145"/>
      <c r="F13" s="41">
        <v>1500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3949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August 2024 - 19 September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71" customHeight="1" spans="1:9">
      <c r="A22" s="135" t="s">
        <v>136</v>
      </c>
      <c r="B22" s="136" t="s">
        <v>137</v>
      </c>
      <c r="C22" s="137"/>
      <c r="D22" s="136" t="s">
        <v>138</v>
      </c>
      <c r="E22" s="144"/>
      <c r="F22" s="146">
        <v>411.5</v>
      </c>
      <c r="G22" s="147"/>
      <c r="H22" s="14"/>
      <c r="I22" s="47"/>
    </row>
    <row r="23" ht="46" customHeight="1" spans="1:9">
      <c r="A23" s="135" t="s">
        <v>139</v>
      </c>
      <c r="B23" s="113" t="s">
        <v>140</v>
      </c>
      <c r="C23" s="114"/>
      <c r="D23" s="141" t="s">
        <v>141</v>
      </c>
      <c r="E23" s="148"/>
      <c r="F23" s="7">
        <v>900</v>
      </c>
      <c r="G23" s="7"/>
      <c r="H23" s="14"/>
      <c r="I23" s="47"/>
    </row>
    <row r="24" ht="24.75" customHeight="1" spans="1:9">
      <c r="A24" s="135" t="s">
        <v>142</v>
      </c>
      <c r="B24" s="113" t="s">
        <v>52</v>
      </c>
      <c r="C24" s="114"/>
      <c r="D24" s="126" t="s">
        <v>53</v>
      </c>
      <c r="E24" s="145"/>
      <c r="F24" s="106">
        <v>2405</v>
      </c>
      <c r="G24" s="107"/>
      <c r="H24" s="14"/>
      <c r="I24" s="47"/>
    </row>
    <row r="25" ht="24.75" customHeight="1" spans="1:9">
      <c r="A25" s="135"/>
      <c r="B25" s="113" t="s">
        <v>133</v>
      </c>
      <c r="C25" s="114"/>
      <c r="D25" s="126"/>
      <c r="E25" s="145"/>
      <c r="F25" s="41">
        <v>17</v>
      </c>
      <c r="G25" s="42"/>
      <c r="H25" s="14"/>
      <c r="I25" s="47"/>
    </row>
    <row r="26" ht="24.75" customHeight="1" spans="1:9">
      <c r="A26" s="135"/>
      <c r="B26" s="113" t="s">
        <v>132</v>
      </c>
      <c r="C26" s="114"/>
      <c r="D26" s="126"/>
      <c r="E26" s="118"/>
      <c r="F26" s="149">
        <v>27</v>
      </c>
      <c r="G26" s="42"/>
      <c r="H26" s="14"/>
      <c r="I26" s="47"/>
    </row>
    <row r="27" ht="32" customHeight="1" spans="1:9">
      <c r="A27" s="135" t="s">
        <v>143</v>
      </c>
      <c r="B27" s="139" t="s">
        <v>66</v>
      </c>
      <c r="C27" s="140"/>
      <c r="D27" s="142" t="s">
        <v>144</v>
      </c>
      <c r="E27" s="150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3760.5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September 2024 - 19 October 2024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35" t="s">
        <v>145</v>
      </c>
      <c r="B34" s="136" t="s">
        <v>66</v>
      </c>
      <c r="C34" s="137"/>
      <c r="D34" s="138" t="s">
        <v>144</v>
      </c>
      <c r="E34" s="144"/>
      <c r="F34" s="146">
        <v>0</v>
      </c>
      <c r="G34" s="147"/>
      <c r="H34" s="14"/>
      <c r="I34" s="47"/>
    </row>
    <row r="35" ht="24.75" customHeight="1" spans="1:9">
      <c r="A35" s="135"/>
      <c r="B35" s="113" t="s">
        <v>146</v>
      </c>
      <c r="C35" s="114"/>
      <c r="D35" s="126"/>
      <c r="E35" s="151"/>
      <c r="F35" s="7">
        <v>270</v>
      </c>
      <c r="G35" s="7"/>
      <c r="H35" s="14"/>
      <c r="I35" s="47"/>
    </row>
    <row r="36" ht="24.75" customHeight="1" spans="1:9">
      <c r="A36" s="135" t="s">
        <v>145</v>
      </c>
      <c r="B36" s="113" t="s">
        <v>52</v>
      </c>
      <c r="C36" s="114"/>
      <c r="D36" s="126" t="s">
        <v>53</v>
      </c>
      <c r="E36" s="151"/>
      <c r="F36" s="7">
        <v>2405</v>
      </c>
      <c r="G36" s="7"/>
      <c r="H36" s="14"/>
      <c r="I36" s="48"/>
    </row>
    <row r="37" ht="24.75" customHeight="1" spans="1:9">
      <c r="A37" s="135"/>
      <c r="B37" s="113" t="s">
        <v>147</v>
      </c>
      <c r="C37" s="114"/>
      <c r="D37" s="126"/>
      <c r="E37" s="151"/>
      <c r="F37" s="7">
        <v>204</v>
      </c>
      <c r="G37" s="7"/>
      <c r="H37" s="14"/>
      <c r="I37" s="47"/>
    </row>
    <row r="38" ht="24.75" customHeight="1" spans="1:9">
      <c r="A38" s="135" t="s">
        <v>145</v>
      </c>
      <c r="B38" s="113" t="s">
        <v>148</v>
      </c>
      <c r="C38" s="114"/>
      <c r="D38" s="126"/>
      <c r="E38" s="145"/>
      <c r="F38" s="106">
        <v>27</v>
      </c>
      <c r="G38" s="107"/>
      <c r="H38" s="14"/>
      <c r="I38" s="47"/>
    </row>
    <row r="39" ht="84" customHeight="1" spans="1:9">
      <c r="A39" s="19" t="s">
        <v>149</v>
      </c>
      <c r="B39" s="21" t="s">
        <v>150</v>
      </c>
      <c r="C39" s="22"/>
      <c r="D39" s="21" t="s">
        <v>151</v>
      </c>
      <c r="E39" s="22"/>
      <c r="F39" s="41">
        <v>2400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5306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July 2024 to October 2024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3">
        <v>204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3">
        <v>207.5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3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3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78</v>
      </c>
      <c r="C55" s="36">
        <f>SUM(C47:C54)</f>
        <v>411.5</v>
      </c>
      <c r="D55" s="14"/>
      <c r="E55" s="14"/>
      <c r="F55" s="14"/>
      <c r="G55" s="14"/>
      <c r="H55" s="14"/>
      <c r="I55" s="47"/>
    </row>
    <row r="56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600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79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870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78</v>
      </c>
      <c r="C95" s="36">
        <f>SUM(C87:C94)</f>
        <v>1617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100</v>
      </c>
      <c r="C96" s="36">
        <f>C55+C66+C75+C85+C95</f>
        <v>2028.5</v>
      </c>
      <c r="D96" s="14"/>
      <c r="E96" s="14"/>
      <c r="F96" s="14"/>
      <c r="G96" s="14"/>
      <c r="H96" s="14"/>
      <c r="I96" s="47"/>
    </row>
    <row r="97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-8300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(((INDIRECT("'"&amp;INDIRECT("Main!B9")&amp;"'!E133")+INDIRECT("'"&amp;INDIRECT("Main!B9")&amp;"'!E160")+INDIRECT("'"&amp;INDIRECT("Main!B9")&amp;"'!E187")))+SUM(E120+E147+E174))-INDIRECT("'"&amp;INDIRECT("Main!B9")&amp;"'!C114")</f>
        <v>-2300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4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108</v>
      </c>
      <c r="C108" s="108">
        <f ca="1">SUM(C98:C107)</f>
        <v>-11683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109</v>
      </c>
      <c r="C109" s="108">
        <f ca="1">C108-C96</f>
        <v>-13711.5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July 20 2024 to August 19 2024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152" t="str">
        <f>"Balance Brought Forward From "&amp;IF(Main!B2,TEXT(EDATE(Main!B3,3)-1,"mmmm yyyy"),TEXT(Main!B3+((Main!B5-Main!B3)*3+3),"mmmm yyyy"))</f>
        <v>Balance Brought Forward From July 2024</v>
      </c>
      <c r="B116" s="153"/>
      <c r="C116" s="57"/>
      <c r="D116" s="57"/>
      <c r="E116" s="87" cm="1">
        <f ca="1" t="array" ref="E116">INDIRECT("'"&amp;INDIRECT("Main!B9")&amp;"'!E203")</f>
        <v>3260.12</v>
      </c>
      <c r="F116" s="14"/>
      <c r="G116" s="14"/>
      <c r="H116" s="67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 t="s">
        <v>152</v>
      </c>
      <c r="D118" s="65"/>
      <c r="E118" s="36">
        <v>1000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153</v>
      </c>
      <c r="D129" s="109"/>
      <c r="E129" s="98">
        <v>0</v>
      </c>
      <c r="F129" s="14"/>
      <c r="G129" s="14"/>
      <c r="H129" s="14"/>
      <c r="I129" s="47"/>
    </row>
    <row r="130" ht="131" customHeight="1" spans="1:9">
      <c r="A130" s="62"/>
      <c r="B130" s="63"/>
      <c r="C130" s="100" t="s">
        <v>154</v>
      </c>
      <c r="D130" s="109"/>
      <c r="E130" s="98">
        <v>2930</v>
      </c>
      <c r="F130" s="14"/>
      <c r="G130" s="14"/>
      <c r="H130" s="14"/>
      <c r="I130" s="47"/>
    </row>
    <row r="131" ht="24.75" customHeight="1" spans="1:9">
      <c r="A131" s="62"/>
      <c r="B131" s="63"/>
      <c r="C131" s="109" t="s">
        <v>155</v>
      </c>
      <c r="D131" s="109"/>
      <c r="E131" s="98">
        <v>204</v>
      </c>
      <c r="F131" s="14"/>
      <c r="G131" s="14"/>
      <c r="H131" s="14"/>
      <c r="I131" s="47"/>
    </row>
    <row r="132" ht="24.75" customHeight="1" spans="1:9">
      <c r="A132" s="62"/>
      <c r="B132" s="63"/>
      <c r="C132" s="109" t="s">
        <v>156</v>
      </c>
      <c r="D132" s="109"/>
      <c r="E132" s="98">
        <v>207.5</v>
      </c>
      <c r="F132" s="14"/>
      <c r="G132" s="14"/>
      <c r="H132" s="14"/>
      <c r="I132" s="47"/>
    </row>
    <row r="133" ht="24.75" customHeight="1" spans="1:9">
      <c r="A133" s="62"/>
      <c r="B133" s="63"/>
      <c r="C133" s="128" t="s">
        <v>157</v>
      </c>
      <c r="D133" s="128"/>
      <c r="E133" s="98">
        <v>139.28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2028.5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699.839999999999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August 20 2024 to September 19 2024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August 2024</v>
      </c>
      <c r="B143" s="56"/>
      <c r="C143" s="57"/>
      <c r="D143" s="57"/>
      <c r="E143" s="87">
        <f ca="1">E136</f>
        <v>699.839999999999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158</v>
      </c>
      <c r="D147" s="65"/>
      <c r="E147" s="36">
        <v>500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 t="s">
        <v>123</v>
      </c>
      <c r="D156" s="109"/>
      <c r="E156" s="98">
        <v>72</v>
      </c>
      <c r="F156" s="14"/>
      <c r="G156" s="14"/>
      <c r="H156" s="14"/>
      <c r="I156" s="47"/>
    </row>
    <row r="157" ht="24.75" customHeight="1" spans="1:9">
      <c r="A157" s="62"/>
      <c r="B157" s="63"/>
      <c r="C157" s="109" t="s">
        <v>159</v>
      </c>
      <c r="D157" s="109"/>
      <c r="E157" s="98">
        <v>55.3</v>
      </c>
      <c r="F157" s="14"/>
      <c r="G157" s="14"/>
      <c r="H157" s="14"/>
      <c r="I157" s="47"/>
    </row>
    <row r="158" ht="24.75" customHeight="1" spans="1:9">
      <c r="A158" s="62"/>
      <c r="B158" s="63"/>
      <c r="C158" s="109" t="s">
        <v>160</v>
      </c>
      <c r="D158" s="109"/>
      <c r="E158" s="98">
        <v>85</v>
      </c>
      <c r="F158" s="14"/>
      <c r="G158" s="14"/>
      <c r="H158" s="14"/>
      <c r="I158" s="47"/>
    </row>
    <row r="159" ht="24.75" customHeight="1" spans="1:9">
      <c r="A159" s="62"/>
      <c r="B159" s="63"/>
      <c r="C159" s="109" t="s">
        <v>161</v>
      </c>
      <c r="D159" s="109"/>
      <c r="E159" s="98">
        <v>630</v>
      </c>
      <c r="F159" s="14"/>
      <c r="G159" s="14"/>
      <c r="H159" s="14"/>
      <c r="I159" s="47"/>
    </row>
    <row r="160" ht="24.75" customHeight="1" spans="1:9">
      <c r="A160" s="62"/>
      <c r="B160" s="63"/>
      <c r="C160" s="128" t="s">
        <v>157</v>
      </c>
      <c r="D160" s="128"/>
      <c r="E160" s="98">
        <v>464.47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2028.5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625.069999999999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September 20 2024 to October 19 2024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"&amp;IF(Main!B2,TEXT(EDATE(Main!B3,5)-1,"mmmm yyyy"),TEXT(Main!B3+((Main!B5-Main!B3)*5+4),"mmmm yyyy"))</f>
        <v>Balance Brought Forward From September 2024</v>
      </c>
      <c r="B170" s="56"/>
      <c r="C170" s="57"/>
      <c r="D170" s="57"/>
      <c r="E170" s="90">
        <f ca="1">E163</f>
        <v>625.069999999999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162</v>
      </c>
      <c r="D172" s="109"/>
      <c r="E172" s="36">
        <v>1150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 t="s">
        <v>158</v>
      </c>
      <c r="D174" s="109"/>
      <c r="E174" s="36">
        <v>500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 t="s">
        <v>161</v>
      </c>
      <c r="D183" s="109"/>
      <c r="E183" s="98">
        <v>30</v>
      </c>
      <c r="F183" s="14"/>
      <c r="G183" s="14"/>
      <c r="H183" s="14"/>
      <c r="I183" s="47"/>
    </row>
    <row r="184" ht="24.75" customHeight="1" spans="1:9">
      <c r="A184" s="62"/>
      <c r="B184" s="63"/>
      <c r="C184" s="109" t="s">
        <v>163</v>
      </c>
      <c r="D184" s="109"/>
      <c r="E184" s="98">
        <v>130.84</v>
      </c>
      <c r="F184" s="14"/>
      <c r="G184" s="14"/>
      <c r="H184" s="14"/>
      <c r="I184" s="47"/>
    </row>
    <row r="185" ht="24.75" customHeight="1" spans="1:9">
      <c r="A185" s="62"/>
      <c r="B185" s="63"/>
      <c r="C185" s="109" t="s">
        <v>164</v>
      </c>
      <c r="D185" s="109"/>
      <c r="E185" s="98">
        <v>60</v>
      </c>
      <c r="F185" s="14"/>
      <c r="G185" s="14"/>
      <c r="H185" s="14"/>
      <c r="I185" s="47"/>
    </row>
    <row r="186" ht="118" customHeight="1" spans="1:9">
      <c r="A186" s="62"/>
      <c r="B186" s="63"/>
      <c r="C186" s="100" t="s">
        <v>165</v>
      </c>
      <c r="D186" s="100"/>
      <c r="E186" s="98">
        <v>919.52</v>
      </c>
      <c r="F186" s="14"/>
      <c r="G186" s="14"/>
      <c r="H186" s="14"/>
      <c r="I186" s="47"/>
    </row>
    <row r="187" ht="24.75" customHeight="1" spans="1:9">
      <c r="A187" s="62"/>
      <c r="B187" s="63"/>
      <c r="C187" s="100" t="s">
        <v>161</v>
      </c>
      <c r="D187" s="100"/>
      <c r="E187" s="98">
        <v>600</v>
      </c>
      <c r="F187" s="14"/>
      <c r="G187" s="14"/>
      <c r="H187" s="14"/>
      <c r="I187" s="47"/>
    </row>
    <row r="188" ht="24.75" customHeight="1" spans="1:9">
      <c r="A188" s="74"/>
      <c r="B188" s="75"/>
      <c r="C188" s="155" t="s">
        <v>157</v>
      </c>
      <c r="D188" s="156"/>
      <c r="E188" s="98">
        <v>9.5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2028.5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502.71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sheet="1" formatCells="0" formatColumns="0" formatRows="0" objects="1"/>
  <protectedRanges>
    <protectedRange sqref="A10:G15" name="R1"/>
    <protectedRange sqref="A22:G27 A34:G3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  <protectedRange sqref="C47:C50" name="F1_1"/>
    <protectedRange sqref="C87:C90" name="F5_2"/>
  </protectedRanges>
  <mergeCells count="173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workbookViewId="0">
      <selection activeCell="F15" sqref="F15:G15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October 2024 to January 2025</v>
      </c>
      <c r="B1" s="1"/>
      <c r="C1" s="1"/>
      <c r="D1" s="1"/>
      <c r="E1" s="1"/>
      <c r="F1" s="1"/>
      <c r="G1" s="1"/>
    </row>
    <row r="2" ht="30" customHeight="1" spans="1:7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</row>
    <row r="3" ht="30" customHeight="1" spans="1:7">
      <c r="A3" s="5"/>
      <c r="B3" s="6" t="s">
        <v>129</v>
      </c>
      <c r="C3" s="7">
        <f ca="1">E190</f>
        <v>173.340000000001</v>
      </c>
      <c r="D3" s="7"/>
      <c r="E3" s="7"/>
      <c r="F3" s="7"/>
      <c r="G3" s="7"/>
    </row>
    <row r="4" ht="30" customHeight="1" spans="1:9">
      <c r="A4" s="8" t="s">
        <v>47</v>
      </c>
      <c r="B4" s="9"/>
      <c r="C4" s="10">
        <f ca="1">SUM(C2:G3)</f>
        <v>802.740000000001</v>
      </c>
      <c r="D4" s="10"/>
      <c r="E4" s="10"/>
      <c r="F4" s="10"/>
      <c r="G4" s="10"/>
      <c r="H4" s="14"/>
      <c r="I4" s="47"/>
    </row>
    <row r="5" ht="30" customHeight="1" spans="1:9">
      <c r="A5" s="11" t="s">
        <v>130</v>
      </c>
      <c r="B5" s="11"/>
      <c r="C5" s="12">
        <f ca="1">C108</f>
        <v>-10683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October 2024 - 19 November 2024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30" customHeight="1" spans="1:9">
      <c r="A10" s="95" t="s">
        <v>166</v>
      </c>
      <c r="B10" s="96" t="s">
        <v>66</v>
      </c>
      <c r="C10" s="96"/>
      <c r="D10" s="118" t="s">
        <v>144</v>
      </c>
      <c r="E10" s="126"/>
      <c r="F10" s="7">
        <v>0</v>
      </c>
      <c r="G10" s="7"/>
      <c r="H10" s="14"/>
      <c r="I10" s="47"/>
    </row>
    <row r="11" ht="30" customHeight="1" spans="1:9">
      <c r="A11" s="95" t="s">
        <v>167</v>
      </c>
      <c r="B11" s="96" t="s">
        <v>168</v>
      </c>
      <c r="C11" s="96"/>
      <c r="D11" s="118" t="s">
        <v>169</v>
      </c>
      <c r="E11" s="126"/>
      <c r="F11" s="7">
        <v>78</v>
      </c>
      <c r="G11" s="7"/>
      <c r="H11" s="14"/>
      <c r="I11" s="47"/>
    </row>
    <row r="12" ht="30" customHeight="1" spans="1:9">
      <c r="A12" s="95" t="s">
        <v>170</v>
      </c>
      <c r="B12" s="96" t="s">
        <v>75</v>
      </c>
      <c r="C12" s="96"/>
      <c r="D12" s="118" t="s">
        <v>171</v>
      </c>
      <c r="E12" s="126"/>
      <c r="F12" s="7">
        <v>174</v>
      </c>
      <c r="G12" s="7"/>
      <c r="H12" s="14"/>
      <c r="I12" s="47"/>
    </row>
    <row r="13" ht="30" customHeight="1" spans="1:9">
      <c r="A13" s="95" t="s">
        <v>170</v>
      </c>
      <c r="B13" s="96" t="s">
        <v>172</v>
      </c>
      <c r="C13" s="96"/>
      <c r="D13" s="118" t="s">
        <v>53</v>
      </c>
      <c r="E13" s="126"/>
      <c r="F13" s="7">
        <v>68</v>
      </c>
      <c r="G13" s="7"/>
      <c r="H13" s="14"/>
      <c r="I13" s="47"/>
    </row>
    <row r="14" ht="30" customHeight="1" spans="1:9">
      <c r="A14" s="95" t="s">
        <v>173</v>
      </c>
      <c r="B14" s="96" t="s">
        <v>172</v>
      </c>
      <c r="C14" s="96"/>
      <c r="D14" s="118" t="s">
        <v>53</v>
      </c>
      <c r="E14" s="126"/>
      <c r="F14" s="7">
        <v>68</v>
      </c>
      <c r="G14" s="7"/>
      <c r="H14" s="14"/>
      <c r="I14" s="47"/>
    </row>
    <row r="15" ht="30" customHeight="1" spans="1:9">
      <c r="A15" s="95" t="s">
        <v>174</v>
      </c>
      <c r="B15" s="96" t="s">
        <v>52</v>
      </c>
      <c r="C15" s="96"/>
      <c r="D15" s="118" t="s">
        <v>53</v>
      </c>
      <c r="E15" s="126"/>
      <c r="F15" s="7">
        <v>2405</v>
      </c>
      <c r="G15" s="7"/>
      <c r="H15" s="14"/>
      <c r="I15" s="47"/>
    </row>
    <row r="16" ht="30" customHeight="1" spans="1:9">
      <c r="A16" s="24"/>
      <c r="B16" s="25"/>
      <c r="C16" s="26"/>
      <c r="D16" s="27" t="s">
        <v>54</v>
      </c>
      <c r="E16" s="44"/>
      <c r="F16" s="45">
        <f>SUM(F10:G15)</f>
        <v>2793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November 2024 - 19 December 2024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30" customHeight="1" spans="1:9">
      <c r="A22" s="95" t="s">
        <v>175</v>
      </c>
      <c r="B22" s="96" t="s">
        <v>66</v>
      </c>
      <c r="C22" s="115"/>
      <c r="D22" s="97" t="s">
        <v>144</v>
      </c>
      <c r="E22" s="116"/>
      <c r="F22" s="7">
        <v>0</v>
      </c>
      <c r="G22" s="7"/>
      <c r="H22" s="14"/>
      <c r="I22" s="47"/>
    </row>
    <row r="23" ht="30" customHeight="1" spans="1:9">
      <c r="A23" s="95" t="s">
        <v>176</v>
      </c>
      <c r="B23" s="96" t="s">
        <v>52</v>
      </c>
      <c r="C23" s="115"/>
      <c r="D23" s="97" t="s">
        <v>53</v>
      </c>
      <c r="E23" s="116"/>
      <c r="F23" s="7">
        <v>2405</v>
      </c>
      <c r="G23" s="7"/>
      <c r="H23" s="14"/>
      <c r="I23" s="47"/>
    </row>
    <row r="24" ht="127" customHeight="1" spans="1:9">
      <c r="A24" s="19" t="s">
        <v>177</v>
      </c>
      <c r="B24" s="21" t="s">
        <v>178</v>
      </c>
      <c r="C24" s="22"/>
      <c r="D24" s="21" t="s">
        <v>179</v>
      </c>
      <c r="E24" s="22"/>
      <c r="F24" s="41">
        <v>2612</v>
      </c>
      <c r="G24" s="42"/>
      <c r="H24" s="14"/>
      <c r="I24" s="47"/>
    </row>
    <row r="25" ht="170" customHeight="1" spans="1:9">
      <c r="A25" s="95" t="s">
        <v>180</v>
      </c>
      <c r="B25" s="96" t="s">
        <v>181</v>
      </c>
      <c r="C25" s="115"/>
      <c r="D25" s="96" t="s">
        <v>182</v>
      </c>
      <c r="E25" s="115"/>
      <c r="F25" s="7">
        <v>49.1</v>
      </c>
      <c r="G25" s="7"/>
      <c r="H25" s="14"/>
      <c r="I25" s="47"/>
    </row>
    <row r="26" ht="30" customHeight="1" spans="1:9">
      <c r="A26" s="95" t="s">
        <v>183</v>
      </c>
      <c r="B26" s="96" t="s">
        <v>184</v>
      </c>
      <c r="C26" s="115"/>
      <c r="D26" s="97" t="s">
        <v>185</v>
      </c>
      <c r="E26" s="116"/>
      <c r="F26" s="7">
        <v>300</v>
      </c>
      <c r="G26" s="7"/>
      <c r="H26" s="14"/>
      <c r="I26" s="47"/>
    </row>
    <row r="27" ht="30" customHeight="1" spans="1:9">
      <c r="A27" s="95" t="s">
        <v>186</v>
      </c>
      <c r="B27" s="96" t="s">
        <v>187</v>
      </c>
      <c r="C27" s="115"/>
      <c r="D27" s="96" t="s">
        <v>188</v>
      </c>
      <c r="E27" s="115"/>
      <c r="F27" s="7">
        <v>5.04</v>
      </c>
      <c r="G27" s="7"/>
      <c r="H27" s="14"/>
      <c r="I27" s="47"/>
    </row>
    <row r="28" ht="30" customHeight="1" spans="1:9">
      <c r="A28" s="24"/>
      <c r="B28" s="25"/>
      <c r="C28" s="26"/>
      <c r="D28" s="27" t="s">
        <v>54</v>
      </c>
      <c r="E28" s="44"/>
      <c r="F28" s="45">
        <f>SUM(F22:G27)</f>
        <v>5371.14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December 2024 - 19 January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30" customHeight="1" spans="1:9">
      <c r="A34" s="95" t="s">
        <v>189</v>
      </c>
      <c r="B34" s="119" t="s">
        <v>66</v>
      </c>
      <c r="C34" s="120"/>
      <c r="D34" s="97" t="s">
        <v>144</v>
      </c>
      <c r="E34" s="116"/>
      <c r="F34" s="7">
        <v>0</v>
      </c>
      <c r="G34" s="7"/>
      <c r="H34" s="14"/>
      <c r="I34" s="47"/>
    </row>
    <row r="35" ht="30" customHeight="1" spans="1:9">
      <c r="A35" s="95" t="s">
        <v>190</v>
      </c>
      <c r="B35" s="119" t="s">
        <v>52</v>
      </c>
      <c r="C35" s="120"/>
      <c r="D35" s="97" t="s">
        <v>53</v>
      </c>
      <c r="E35" s="116"/>
      <c r="F35" s="7">
        <v>2405</v>
      </c>
      <c r="G35" s="7"/>
      <c r="H35" s="14"/>
      <c r="I35" s="47"/>
    </row>
    <row r="36" ht="30" customHeight="1" spans="1:9">
      <c r="A36" s="95"/>
      <c r="B36" s="119" t="s">
        <v>191</v>
      </c>
      <c r="C36" s="120"/>
      <c r="D36" s="97" t="s">
        <v>192</v>
      </c>
      <c r="E36" s="116"/>
      <c r="F36" s="7">
        <v>900</v>
      </c>
      <c r="G36" s="7"/>
      <c r="H36" s="14"/>
      <c r="I36" s="48"/>
    </row>
    <row r="37" ht="210" customHeight="1" spans="1:9">
      <c r="A37" s="121" t="s">
        <v>193</v>
      </c>
      <c r="B37" s="122" t="s">
        <v>194</v>
      </c>
      <c r="C37" s="123"/>
      <c r="D37" s="122" t="s">
        <v>195</v>
      </c>
      <c r="E37" s="123"/>
      <c r="F37" s="41">
        <v>1282.54</v>
      </c>
      <c r="G37" s="42"/>
      <c r="H37" s="14"/>
      <c r="I37" s="47"/>
    </row>
    <row r="38" ht="30" customHeight="1" spans="1:9">
      <c r="A38" s="95" t="s">
        <v>190</v>
      </c>
      <c r="B38" s="119" t="s">
        <v>196</v>
      </c>
      <c r="C38" s="120"/>
      <c r="D38" s="119" t="s">
        <v>197</v>
      </c>
      <c r="E38" s="120"/>
      <c r="F38" s="7">
        <v>200</v>
      </c>
      <c r="G38" s="7"/>
      <c r="H38" s="14"/>
      <c r="I38" s="47"/>
    </row>
    <row r="39" ht="30" customHeight="1" spans="1:9">
      <c r="A39" s="95"/>
      <c r="B39" s="124" t="s">
        <v>198</v>
      </c>
      <c r="C39" s="125"/>
      <c r="D39" s="124" t="s">
        <v>199</v>
      </c>
      <c r="E39" s="125"/>
      <c r="F39" s="7">
        <v>229.6</v>
      </c>
      <c r="G39" s="7"/>
      <c r="H39" s="14"/>
      <c r="I39" s="47"/>
    </row>
    <row r="40" ht="30" customHeight="1" spans="1:9">
      <c r="A40" s="24"/>
      <c r="B40" s="25"/>
      <c r="C40" s="26"/>
      <c r="D40" s="27" t="s">
        <v>54</v>
      </c>
      <c r="E40" s="44"/>
      <c r="F40" s="45">
        <f>SUM(F34:G39)</f>
        <v>5017.14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October 2024 to January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30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78</v>
      </c>
      <c r="C55" s="36">
        <f>SUM(C47:C54)</f>
        <v>149</v>
      </c>
      <c r="D55" s="14"/>
      <c r="E55" s="14"/>
      <c r="F55" s="14"/>
      <c r="G55" s="14"/>
      <c r="H55" s="14"/>
      <c r="I55" s="47"/>
    </row>
    <row r="56" ht="30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200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900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78</v>
      </c>
      <c r="C95" s="36">
        <f>SUM(C87:C94)</f>
        <v>1220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100</v>
      </c>
      <c r="C96" s="36">
        <f>C55+C66+C75+C85+C95</f>
        <v>1369</v>
      </c>
      <c r="D96" s="14"/>
      <c r="E96" s="14"/>
      <c r="F96" s="14"/>
      <c r="G96" s="14"/>
      <c r="H96" s="14"/>
      <c r="I96" s="47"/>
    </row>
    <row r="97" ht="30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-8300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-1300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108</v>
      </c>
      <c r="C108" s="36">
        <f ca="1">SUM(C98:C107)</f>
        <v>-10683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109</v>
      </c>
      <c r="C109" s="36">
        <f ca="1">C108-C96</f>
        <v>-12052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October 20 2024 to November 19 2024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October 2024</v>
      </c>
      <c r="B116" s="56"/>
      <c r="C116" s="57"/>
      <c r="D116" s="57"/>
      <c r="E116" s="87" cm="1">
        <f ca="1" t="array" ref="E116">INDIRECT("'"&amp;INDIRECT("Main!B12")&amp;"'!E190")</f>
        <v>502.71</v>
      </c>
      <c r="F116" s="14"/>
      <c r="G116" s="14"/>
      <c r="H116" s="14"/>
      <c r="I116" s="47"/>
    </row>
    <row r="117" ht="30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 t="s">
        <v>115</v>
      </c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 t="s">
        <v>200</v>
      </c>
      <c r="D120" s="109"/>
      <c r="E120" s="98">
        <v>200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9" customHeight="1" spans="1:9">
      <c r="A129" s="62"/>
      <c r="B129" s="63"/>
      <c r="C129" s="100" t="s">
        <v>201</v>
      </c>
      <c r="D129" s="100"/>
      <c r="E129" s="98">
        <v>651.7</v>
      </c>
      <c r="F129" s="14"/>
      <c r="G129" s="14"/>
      <c r="H129" s="14"/>
      <c r="I129" s="47"/>
    </row>
    <row r="130" ht="30" customHeight="1" spans="1:9">
      <c r="A130" s="62"/>
      <c r="B130" s="63"/>
      <c r="C130" s="109" t="s">
        <v>202</v>
      </c>
      <c r="D130" s="109"/>
      <c r="E130" s="98">
        <v>58</v>
      </c>
      <c r="F130" s="14"/>
      <c r="G130" s="14"/>
      <c r="H130" s="14"/>
      <c r="I130" s="47"/>
    </row>
    <row r="131" ht="30" customHeight="1" spans="1:9">
      <c r="A131" s="62"/>
      <c r="B131" s="63"/>
      <c r="C131" s="109" t="s">
        <v>203</v>
      </c>
      <c r="D131" s="109"/>
      <c r="E131" s="98">
        <v>600</v>
      </c>
      <c r="F131" s="14"/>
      <c r="G131" s="14"/>
      <c r="H131" s="14"/>
      <c r="I131" s="47"/>
    </row>
    <row r="132" ht="30" customHeight="1" spans="1:9">
      <c r="A132" s="62"/>
      <c r="B132" s="63"/>
      <c r="C132" s="128" t="s">
        <v>157</v>
      </c>
      <c r="D132" s="128"/>
      <c r="E132" s="98">
        <v>291.85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113</v>
      </c>
      <c r="B135" s="76"/>
      <c r="C135" s="77"/>
      <c r="D135" s="78"/>
      <c r="E135" s="86">
        <f>C96</f>
        <v>1369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125.16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November 20 2024 to December 19 2024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November 2024</v>
      </c>
      <c r="B143" s="56"/>
      <c r="C143" s="57"/>
      <c r="D143" s="57"/>
      <c r="E143" s="87">
        <f ca="1">E136</f>
        <v>125.16</v>
      </c>
      <c r="F143" s="14"/>
      <c r="G143" s="14"/>
      <c r="H143" s="14"/>
      <c r="I143" s="47"/>
    </row>
    <row r="144" ht="30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 t="s">
        <v>204</v>
      </c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 t="s">
        <v>205</v>
      </c>
      <c r="D147" s="109"/>
      <c r="E147" s="98">
        <v>300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310" customHeight="1" spans="1:9">
      <c r="A156" s="62"/>
      <c r="B156" s="63"/>
      <c r="C156" s="100" t="s">
        <v>206</v>
      </c>
      <c r="D156" s="100"/>
      <c r="E156" s="98">
        <v>3389</v>
      </c>
      <c r="F156" s="14"/>
      <c r="G156" s="14"/>
      <c r="H156" s="14"/>
      <c r="I156" s="47"/>
    </row>
    <row r="157" ht="30" customHeight="1" spans="1:9">
      <c r="A157" s="62"/>
      <c r="B157" s="63"/>
      <c r="C157" s="100" t="s">
        <v>207</v>
      </c>
      <c r="D157" s="100"/>
      <c r="E157" s="98">
        <v>200</v>
      </c>
      <c r="F157" s="14"/>
      <c r="G157" s="14"/>
      <c r="H157" s="14"/>
      <c r="I157" s="47"/>
    </row>
    <row r="158" ht="30" customHeight="1" spans="1:9">
      <c r="A158" s="62"/>
      <c r="B158" s="63"/>
      <c r="C158" s="129" t="s">
        <v>157</v>
      </c>
      <c r="D158" s="129"/>
      <c r="E158" s="98">
        <v>8.9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113</v>
      </c>
      <c r="B162" s="76"/>
      <c r="C162" s="77"/>
      <c r="D162" s="78"/>
      <c r="E162" s="86">
        <f>C96</f>
        <v>1369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114</v>
      </c>
      <c r="D163" s="81"/>
      <c r="E163" s="90">
        <f ca="1">(F28+E143)-(SUM(E145:E154)+SUM(E156:E162))</f>
        <v>229.400000000001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December 20 2024 to January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December 2024</v>
      </c>
      <c r="B170" s="56"/>
      <c r="C170" s="57"/>
      <c r="D170" s="57"/>
      <c r="E170" s="90">
        <f ca="1">E163</f>
        <v>229.400000000001</v>
      </c>
      <c r="F170" s="14"/>
      <c r="G170" s="14"/>
      <c r="H170" s="14"/>
      <c r="I170" s="47"/>
    </row>
    <row r="171" ht="30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 t="s">
        <v>115</v>
      </c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 t="s">
        <v>158</v>
      </c>
      <c r="D174" s="130"/>
      <c r="E174" s="98">
        <v>500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49" customHeight="1" spans="1:9">
      <c r="A183" s="62"/>
      <c r="B183" s="63"/>
      <c r="C183" s="130" t="s">
        <v>208</v>
      </c>
      <c r="D183" s="130"/>
      <c r="E183" s="98">
        <v>351</v>
      </c>
      <c r="F183" s="14"/>
      <c r="G183" s="14"/>
      <c r="H183" s="14"/>
      <c r="I183" s="47"/>
    </row>
    <row r="184" ht="49" customHeight="1" spans="1:9">
      <c r="A184" s="62"/>
      <c r="B184" s="63"/>
      <c r="C184" s="130" t="s">
        <v>209</v>
      </c>
      <c r="D184" s="130"/>
      <c r="E184" s="98">
        <v>370</v>
      </c>
      <c r="F184" s="14"/>
      <c r="G184" s="14"/>
      <c r="H184" s="14"/>
      <c r="I184" s="47"/>
    </row>
    <row r="185" ht="150" customHeight="1" spans="1:9">
      <c r="A185" s="62"/>
      <c r="B185" s="63"/>
      <c r="C185" s="130" t="s">
        <v>210</v>
      </c>
      <c r="D185" s="130"/>
      <c r="E185" s="98">
        <v>1182.5</v>
      </c>
      <c r="F185" s="14"/>
      <c r="G185" s="14"/>
      <c r="H185" s="14"/>
      <c r="I185" s="47"/>
    </row>
    <row r="186" ht="409" customHeight="1" spans="1:9">
      <c r="A186" s="62"/>
      <c r="B186" s="63"/>
      <c r="C186" s="130" t="s">
        <v>211</v>
      </c>
      <c r="D186" s="130"/>
      <c r="E186" s="98">
        <v>1232.7</v>
      </c>
      <c r="F186" s="14"/>
      <c r="G186" s="14"/>
      <c r="H186" s="14"/>
      <c r="I186" s="47"/>
    </row>
    <row r="187" ht="30" customHeight="1" spans="1:9">
      <c r="A187" s="62"/>
      <c r="B187" s="63"/>
      <c r="C187" s="133" t="s">
        <v>157</v>
      </c>
      <c r="D187" s="130"/>
      <c r="E187" s="98">
        <v>68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1369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114</v>
      </c>
      <c r="D190" s="81"/>
      <c r="E190" s="90">
        <f ca="1">(F40+E170)-(SUM(E172:E181)+SUM(E183:E189))</f>
        <v>173.340000000001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C117:E134" name="E1"/>
    <protectedRange sqref="C144:E161" name="E2"/>
    <protectedRange sqref="C171:E188" name="E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22" workbookViewId="0">
      <selection activeCell="F42" sqref="F42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January 2025 to April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909.400000000001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1538.8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-6983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January 2025 - 19 February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 t="s">
        <v>212</v>
      </c>
      <c r="B10" s="96" t="s">
        <v>52</v>
      </c>
      <c r="C10" s="115"/>
      <c r="D10" s="97" t="s">
        <v>53</v>
      </c>
      <c r="E10" s="116"/>
      <c r="F10" s="7">
        <v>2405</v>
      </c>
      <c r="G10" s="7"/>
      <c r="H10" s="14"/>
      <c r="I10" s="47"/>
    </row>
    <row r="11" ht="24.75" customHeight="1" spans="1:9">
      <c r="A11" s="95" t="s">
        <v>213</v>
      </c>
      <c r="B11" s="96" t="s">
        <v>66</v>
      </c>
      <c r="C11" s="115"/>
      <c r="D11" s="97" t="s">
        <v>144</v>
      </c>
      <c r="E11" s="116"/>
      <c r="F11" s="7">
        <v>0</v>
      </c>
      <c r="G11" s="7"/>
      <c r="H11" s="14"/>
      <c r="I11" s="47"/>
    </row>
    <row r="12" ht="135" customHeight="1" spans="1:9">
      <c r="A12" s="19" t="s">
        <v>214</v>
      </c>
      <c r="B12" s="21" t="s">
        <v>215</v>
      </c>
      <c r="C12" s="22"/>
      <c r="D12" s="21" t="s">
        <v>216</v>
      </c>
      <c r="E12" s="22"/>
      <c r="F12" s="41">
        <v>2506.5</v>
      </c>
      <c r="G12" s="42"/>
      <c r="H12" s="14"/>
      <c r="I12" s="47"/>
    </row>
    <row r="13" ht="95" customHeight="1" spans="1:9">
      <c r="A13" s="19" t="s">
        <v>217</v>
      </c>
      <c r="B13" s="21" t="s">
        <v>218</v>
      </c>
      <c r="C13" s="22"/>
      <c r="D13" s="21" t="s">
        <v>219</v>
      </c>
      <c r="E13" s="22"/>
      <c r="F13" s="41">
        <v>18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4929.5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February 2025 - 19 March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 t="s">
        <v>220</v>
      </c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221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95"/>
      <c r="B25" s="96" t="s">
        <v>77</v>
      </c>
      <c r="C25" s="96"/>
      <c r="D25" s="97" t="s">
        <v>224</v>
      </c>
      <c r="E25" s="97"/>
      <c r="F25" s="7">
        <v>50</v>
      </c>
      <c r="G25" s="7"/>
      <c r="H25" s="14"/>
      <c r="I25" s="47"/>
    </row>
    <row r="26" ht="24.75" customHeight="1" spans="1:9">
      <c r="A26" s="19" t="s">
        <v>225</v>
      </c>
      <c r="B26" s="104" t="s">
        <v>102</v>
      </c>
      <c r="C26" s="105"/>
      <c r="D26" s="104" t="s">
        <v>226</v>
      </c>
      <c r="E26" s="105"/>
      <c r="F26" s="106">
        <v>16</v>
      </c>
      <c r="G26" s="107"/>
      <c r="H26" s="14"/>
      <c r="I26" s="47"/>
    </row>
    <row r="27" ht="24.75" customHeight="1" spans="1:9">
      <c r="A27" s="19" t="s">
        <v>227</v>
      </c>
      <c r="B27" s="21" t="s">
        <v>104</v>
      </c>
      <c r="C27" s="22"/>
      <c r="D27" s="21" t="s">
        <v>228</v>
      </c>
      <c r="E27" s="22"/>
      <c r="F27" s="41">
        <v>800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3301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March 2025 - 19 April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116" t="s">
        <v>53</v>
      </c>
      <c r="E34" s="117"/>
      <c r="F34" s="7">
        <v>2435</v>
      </c>
      <c r="G34" s="7"/>
      <c r="H34" s="14"/>
      <c r="I34" s="47"/>
    </row>
    <row r="35" ht="24.75" customHeight="1" spans="1:9">
      <c r="A35" s="95" t="s">
        <v>229</v>
      </c>
      <c r="B35" s="96" t="s">
        <v>66</v>
      </c>
      <c r="C35" s="96"/>
      <c r="D35" s="116" t="s">
        <v>144</v>
      </c>
      <c r="E35" s="117"/>
      <c r="F35" s="7">
        <v>0</v>
      </c>
      <c r="G35" s="7"/>
      <c r="H35" s="14"/>
      <c r="I35" s="47"/>
    </row>
    <row r="36" ht="24.75" customHeight="1" spans="1:9">
      <c r="A36" s="95"/>
      <c r="B36" s="96" t="s">
        <v>77</v>
      </c>
      <c r="C36" s="96"/>
      <c r="D36" s="116" t="s">
        <v>224</v>
      </c>
      <c r="E36" s="117"/>
      <c r="F36" s="7">
        <v>50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2485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January 2025 to April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397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-6983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-7380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January 20 2025 to February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January 2025</v>
      </c>
      <c r="B116" s="56"/>
      <c r="C116" s="57"/>
      <c r="D116" s="57"/>
      <c r="E116" s="70" cm="1">
        <f ca="1" t="array" ref="E116">INDIRECT("'"&amp;INDIRECT("Main!B15")&amp;"'!E190")</f>
        <v>173.340000000001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230</v>
      </c>
      <c r="D118" s="109"/>
      <c r="E118" s="102">
        <v>1400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 t="s">
        <v>158</v>
      </c>
      <c r="D120" s="100"/>
      <c r="E120" s="102">
        <v>500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99" customHeight="1" spans="1:9">
      <c r="A129" s="62"/>
      <c r="B129" s="63"/>
      <c r="C129" s="100" t="s">
        <v>231</v>
      </c>
      <c r="D129" s="100"/>
      <c r="E129" s="102">
        <v>2132.94</v>
      </c>
      <c r="F129" s="14"/>
      <c r="G129" s="14"/>
      <c r="H129" s="14"/>
      <c r="I129" s="47"/>
    </row>
    <row r="130" ht="409" customHeight="1" spans="1:9">
      <c r="A130" s="62"/>
      <c r="B130" s="63"/>
      <c r="C130" s="100" t="s">
        <v>232</v>
      </c>
      <c r="D130" s="100"/>
      <c r="E130" s="102">
        <v>316.9</v>
      </c>
      <c r="F130" s="14"/>
      <c r="G130" s="14"/>
      <c r="H130" s="14"/>
      <c r="I130" s="47"/>
    </row>
    <row r="131" ht="268" customHeight="1" spans="1:9">
      <c r="A131" s="62"/>
      <c r="B131" s="63"/>
      <c r="C131" s="113" t="s">
        <v>233</v>
      </c>
      <c r="D131" s="114"/>
      <c r="E131" s="102">
        <v>244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397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112.000000000001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February 20 2025 to March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February 2025</v>
      </c>
      <c r="B143" s="56"/>
      <c r="C143" s="57"/>
      <c r="D143" s="57"/>
      <c r="E143" s="87">
        <f ca="1">E136</f>
        <v>112.000000000001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 t="s">
        <v>234</v>
      </c>
      <c r="D145" s="100"/>
      <c r="E145" s="102">
        <v>500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2" customHeight="1" spans="1:9">
      <c r="A156" s="62"/>
      <c r="B156" s="63"/>
      <c r="C156" s="100" t="s">
        <v>235</v>
      </c>
      <c r="D156" s="100"/>
      <c r="E156" s="102">
        <v>777.5</v>
      </c>
      <c r="F156" s="14"/>
      <c r="G156" s="14"/>
      <c r="H156" s="14"/>
      <c r="I156" s="47"/>
    </row>
    <row r="157" ht="389" customHeight="1" spans="1:9">
      <c r="A157" s="62"/>
      <c r="B157" s="63"/>
      <c r="C157" s="100" t="s">
        <v>236</v>
      </c>
      <c r="D157" s="100"/>
      <c r="E157" s="102">
        <v>533.3</v>
      </c>
      <c r="F157" s="14"/>
      <c r="G157" s="14"/>
      <c r="H157" s="14"/>
      <c r="I157" s="47"/>
    </row>
    <row r="158" ht="81" customHeight="1" spans="1:9">
      <c r="A158" s="62"/>
      <c r="B158" s="63"/>
      <c r="C158" s="72" t="s">
        <v>237</v>
      </c>
      <c r="D158" s="65"/>
      <c r="E158" s="86">
        <v>850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397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355.200000000001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March 20 2025 to April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March 2025</v>
      </c>
      <c r="B170" s="56"/>
      <c r="C170" s="57"/>
      <c r="D170" s="57"/>
      <c r="E170" s="90">
        <f ca="1">E163</f>
        <v>355.200000000001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234</v>
      </c>
      <c r="D172" s="109"/>
      <c r="E172" s="102">
        <v>500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 t="s">
        <v>238</v>
      </c>
      <c r="D174" s="65"/>
      <c r="E174" s="36">
        <v>800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7" customHeight="1" spans="1:9">
      <c r="A183" s="62"/>
      <c r="B183" s="63"/>
      <c r="C183" s="100" t="s">
        <v>239</v>
      </c>
      <c r="D183" s="100"/>
      <c r="E183" s="36">
        <v>0</v>
      </c>
      <c r="F183" s="14"/>
      <c r="G183" s="14"/>
      <c r="H183" s="14"/>
      <c r="I183" s="47"/>
    </row>
    <row r="184" ht="252" customHeight="1" spans="1:9">
      <c r="A184" s="62"/>
      <c r="B184" s="63"/>
      <c r="C184" s="100" t="s">
        <v>240</v>
      </c>
      <c r="D184" s="100"/>
      <c r="E184" s="102">
        <v>233.8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397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909.400000000001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9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E188" sqref="E188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April 2025 to July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1189.4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1818.8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-3083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 t="s">
        <v>222</v>
      </c>
      <c r="C11" s="96"/>
      <c r="D11" s="97" t="s">
        <v>223</v>
      </c>
      <c r="E11" s="97"/>
      <c r="F11" s="7">
        <v>0</v>
      </c>
      <c r="G11" s="7"/>
      <c r="H11" s="14"/>
      <c r="I11" s="47"/>
    </row>
    <row r="12" ht="24.75" customHeight="1" spans="1:9">
      <c r="A12" s="95" t="s">
        <v>241</v>
      </c>
      <c r="B12" s="96" t="s">
        <v>66</v>
      </c>
      <c r="C12" s="96"/>
      <c r="D12" s="97" t="s">
        <v>144</v>
      </c>
      <c r="E12" s="97"/>
      <c r="F12" s="7">
        <v>0</v>
      </c>
      <c r="G12" s="7"/>
      <c r="H12" s="14"/>
      <c r="I12" s="47"/>
    </row>
    <row r="13" ht="24.75" customHeight="1" spans="1:9">
      <c r="A13" s="95"/>
      <c r="B13" s="96" t="s">
        <v>242</v>
      </c>
      <c r="C13" s="96"/>
      <c r="D13" s="97" t="s">
        <v>243</v>
      </c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244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110" t="s">
        <v>52</v>
      </c>
      <c r="C24" s="110"/>
      <c r="D24" s="111" t="s">
        <v>245</v>
      </c>
      <c r="E24" s="111"/>
      <c r="F24" s="112">
        <v>1035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3470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246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-2000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-3083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-3430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April 2025</v>
      </c>
      <c r="B116" s="56"/>
      <c r="C116" s="57"/>
      <c r="D116" s="57"/>
      <c r="E116" s="70" cm="1">
        <f ca="1" t="array" ref="E116">INDIRECT("'"&amp;INDIRECT("Main!B18")&amp;"'!E190")</f>
        <v>909.400000000001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247</v>
      </c>
      <c r="D118" s="109"/>
      <c r="E118" s="98">
        <v>700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100" t="s">
        <v>248</v>
      </c>
      <c r="D129" s="109"/>
      <c r="E129" s="98">
        <v>925</v>
      </c>
      <c r="F129" s="14"/>
      <c r="G129" s="14"/>
      <c r="H129" s="14"/>
      <c r="I129" s="47"/>
    </row>
    <row r="130" ht="148" customHeight="1" spans="1:9">
      <c r="A130" s="62"/>
      <c r="B130" s="63"/>
      <c r="C130" s="113" t="s">
        <v>249</v>
      </c>
      <c r="D130" s="114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972.400000000001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May 2025</v>
      </c>
      <c r="B143" s="56"/>
      <c r="C143" s="57"/>
      <c r="D143" s="57"/>
      <c r="E143" s="87">
        <f ca="1">E136</f>
        <v>972.400000000001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250</v>
      </c>
      <c r="D145" s="109"/>
      <c r="E145" s="98">
        <v>2600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45" customHeight="1" spans="1:9">
      <c r="A156" s="62"/>
      <c r="B156" s="63"/>
      <c r="C156" s="100" t="s">
        <v>251</v>
      </c>
      <c r="D156" s="100"/>
      <c r="E156" s="98">
        <v>69</v>
      </c>
      <c r="F156" s="14"/>
      <c r="G156" s="14"/>
      <c r="H156" s="14"/>
      <c r="I156" s="47"/>
    </row>
    <row r="157" ht="145" customHeight="1" spans="1:9">
      <c r="A157" s="62"/>
      <c r="B157" s="63"/>
      <c r="C157" s="100" t="s">
        <v>249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1026.4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June 2025</v>
      </c>
      <c r="B170" s="56"/>
      <c r="C170" s="57"/>
      <c r="D170" s="57"/>
      <c r="E170" s="90">
        <f ca="1">E163</f>
        <v>1026.4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 t="s">
        <v>252</v>
      </c>
      <c r="D172" s="109"/>
      <c r="E172" s="98">
        <v>600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1" customHeight="1" spans="1:9">
      <c r="A183" s="62"/>
      <c r="B183" s="63"/>
      <c r="C183" s="100" t="s">
        <v>248</v>
      </c>
      <c r="D183" s="100"/>
      <c r="E183" s="98">
        <v>925</v>
      </c>
      <c r="F183" s="14"/>
      <c r="G183" s="14"/>
      <c r="H183" s="14"/>
      <c r="I183" s="47"/>
    </row>
    <row r="184" ht="135" customHeight="1" spans="1:9">
      <c r="A184" s="62"/>
      <c r="B184" s="63"/>
      <c r="C184" s="100" t="s">
        <v>253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1189.4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6" workbookViewId="0">
      <selection activeCell="F184" sqref="F184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July 2025 to October 2025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1357.4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1986.8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254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255</v>
      </c>
      <c r="C12" s="96"/>
      <c r="D12" s="97" t="s">
        <v>256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257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258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July 2025</v>
      </c>
      <c r="B116" s="56"/>
      <c r="C116" s="57"/>
      <c r="D116" s="57"/>
      <c r="E116" s="70" cm="1">
        <f ca="1" t="array" ref="E116">INDIRECT("'"&amp;INDIRECT("Main!B21")&amp;"'!E190")</f>
        <v>1189.4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 t="s">
        <v>259</v>
      </c>
      <c r="D118" s="109"/>
      <c r="E118" s="98">
        <v>800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31" customHeight="1" spans="1:9">
      <c r="A129" s="62"/>
      <c r="B129" s="63"/>
      <c r="C129" s="100" t="s">
        <v>260</v>
      </c>
      <c r="D129" s="100"/>
      <c r="E129" s="98">
        <v>819</v>
      </c>
      <c r="F129" s="14"/>
      <c r="G129" s="14"/>
      <c r="H129" s="14"/>
      <c r="I129" s="47"/>
    </row>
    <row r="130" ht="149" customHeight="1" spans="1:9">
      <c r="A130" s="62"/>
      <c r="B130" s="63"/>
      <c r="C130" s="100" t="s">
        <v>261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August 2025</v>
      </c>
      <c r="B143" s="56"/>
      <c r="C143" s="57"/>
      <c r="D143" s="57"/>
      <c r="E143" s="87">
        <f ca="1">E136</f>
        <v>1258.4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 t="s">
        <v>262</v>
      </c>
      <c r="D145" s="109"/>
      <c r="E145" s="98">
        <v>1200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 t="s">
        <v>263</v>
      </c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 t="s">
        <v>264</v>
      </c>
      <c r="D150" s="65"/>
      <c r="E150" s="36">
        <v>200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5" customHeight="1" spans="1:9">
      <c r="A156" s="62"/>
      <c r="B156" s="63"/>
      <c r="C156" s="100" t="s">
        <v>265</v>
      </c>
      <c r="D156" s="100"/>
      <c r="E156" s="98">
        <v>175</v>
      </c>
      <c r="F156" s="14"/>
      <c r="G156" s="14"/>
      <c r="H156" s="14"/>
      <c r="I156" s="47"/>
    </row>
    <row r="157" ht="156" customHeight="1" spans="1:9">
      <c r="A157" s="62"/>
      <c r="B157" s="63"/>
      <c r="C157" s="100" t="s">
        <v>249</v>
      </c>
      <c r="D157" s="100"/>
      <c r="E157" s="98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1371.4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September 2025</v>
      </c>
      <c r="B170" s="56"/>
      <c r="C170" s="57"/>
      <c r="D170" s="57"/>
      <c r="E170" s="90">
        <f ca="1">E163</f>
        <v>1371.4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 t="s">
        <v>266</v>
      </c>
      <c r="D177" s="65"/>
      <c r="E177" s="36">
        <v>883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0" customHeight="1" spans="1:9">
      <c r="A183" s="62"/>
      <c r="B183" s="63"/>
      <c r="C183" s="100" t="s">
        <v>260</v>
      </c>
      <c r="D183" s="100"/>
      <c r="E183" s="98">
        <v>819</v>
      </c>
      <c r="F183" s="14"/>
      <c r="G183" s="14"/>
      <c r="H183" s="14"/>
      <c r="I183" s="47"/>
    </row>
    <row r="184" ht="149" customHeight="1" spans="1:9">
      <c r="A184" s="62"/>
      <c r="B184" s="63"/>
      <c r="C184" s="100" t="s">
        <v>249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1357.4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8" workbookViewId="0">
      <selection activeCell="F183" sqref="F183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spans="1:9">
      <c r="A3" s="5"/>
      <c r="B3" s="6" t="s">
        <v>129</v>
      </c>
      <c r="C3" s="7">
        <f ca="1">E190</f>
        <v>6102.4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6731.8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267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268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269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108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108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October 2025</v>
      </c>
      <c r="B116" s="56"/>
      <c r="C116" s="57"/>
      <c r="D116" s="57"/>
      <c r="E116" s="70" cm="1">
        <f ca="1" t="array" ref="E116">INDIRECT("'"&amp;INDIRECT("Main!B24")&amp;"'!E190")</f>
        <v>1357.4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 t="s">
        <v>270</v>
      </c>
      <c r="D129" s="100"/>
      <c r="E129" s="98">
        <v>125</v>
      </c>
      <c r="F129" s="14"/>
      <c r="G129" s="14"/>
      <c r="H129" s="14"/>
      <c r="I129" s="47"/>
    </row>
    <row r="130" ht="24.75" customHeight="1" spans="1:9">
      <c r="A130" s="62"/>
      <c r="B130" s="63"/>
      <c r="C130" s="100" t="s">
        <v>196</v>
      </c>
      <c r="D130" s="100"/>
      <c r="E130" s="98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2920.4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November 2025</v>
      </c>
      <c r="B143" s="56"/>
      <c r="C143" s="57"/>
      <c r="D143" s="57"/>
      <c r="E143" s="87">
        <f ca="1">E136</f>
        <v>2920.4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33" customHeight="1" spans="1:9">
      <c r="A156" s="62"/>
      <c r="B156" s="63"/>
      <c r="C156" s="100" t="s">
        <v>271</v>
      </c>
      <c r="D156" s="100"/>
      <c r="E156" s="102">
        <v>69</v>
      </c>
      <c r="F156" s="14"/>
      <c r="G156" s="14"/>
      <c r="H156" s="14"/>
      <c r="I156" s="47"/>
    </row>
    <row r="157" ht="133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4539.4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December 2025</v>
      </c>
      <c r="B170" s="56"/>
      <c r="C170" s="57"/>
      <c r="D170" s="57"/>
      <c r="E170" s="90">
        <f ca="1">E163</f>
        <v>4539.4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118" customHeight="1" spans="1:9">
      <c r="A183" s="62"/>
      <c r="B183" s="63"/>
      <c r="C183" s="100" t="s">
        <v>270</v>
      </c>
      <c r="D183" s="100"/>
      <c r="E183" s="98">
        <v>125</v>
      </c>
      <c r="F183" s="14"/>
      <c r="G183" s="14"/>
      <c r="H183" s="14"/>
      <c r="I183" s="47"/>
    </row>
    <row r="184" ht="118" customHeight="1" spans="1:9">
      <c r="A184" s="62"/>
      <c r="B184" s="63"/>
      <c r="C184" s="100" t="s">
        <v>196</v>
      </c>
      <c r="D184" s="100"/>
      <c r="E184" s="98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6102.4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5" workbookViewId="0">
      <selection activeCell="F187" sqref="F187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10953.4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11582.8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104" t="s">
        <v>52</v>
      </c>
      <c r="C22" s="105"/>
      <c r="D22" s="104" t="s">
        <v>53</v>
      </c>
      <c r="E22" s="105"/>
      <c r="F22" s="106">
        <v>2435</v>
      </c>
      <c r="G22" s="10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104" t="s">
        <v>52</v>
      </c>
      <c r="C34" s="105"/>
      <c r="D34" s="104" t="s">
        <v>53</v>
      </c>
      <c r="E34" s="105"/>
      <c r="F34" s="106">
        <v>2435</v>
      </c>
      <c r="G34" s="107"/>
      <c r="H34" s="14"/>
      <c r="I34" s="47"/>
    </row>
    <row r="35" ht="24.75" customHeight="1" spans="1:9">
      <c r="A35" s="95" t="s">
        <v>274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January 2026</v>
      </c>
      <c r="B116" s="56"/>
      <c r="C116" s="57"/>
      <c r="D116" s="57"/>
      <c r="E116" s="70" cm="1">
        <f ca="1" t="array" ref="E116">INDIRECT("'"&amp;INDIRECT("Main!B27")&amp;"'!E190")</f>
        <v>6102.4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 t="s">
        <v>275</v>
      </c>
      <c r="D129" s="99"/>
      <c r="E129" s="101">
        <v>19</v>
      </c>
      <c r="F129" s="14"/>
      <c r="G129" s="14"/>
      <c r="H129" s="14"/>
      <c r="I129" s="47"/>
    </row>
    <row r="130" ht="96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7771.4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February 2026</v>
      </c>
      <c r="B143" s="56"/>
      <c r="C143" s="57"/>
      <c r="D143" s="57"/>
      <c r="E143" s="87">
        <f ca="1">E136</f>
        <v>7771.4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4" customHeight="1" spans="1:9">
      <c r="A156" s="62"/>
      <c r="B156" s="63"/>
      <c r="C156" s="99" t="s">
        <v>265</v>
      </c>
      <c r="D156" s="103"/>
      <c r="E156" s="101">
        <v>175</v>
      </c>
      <c r="F156" s="14"/>
      <c r="G156" s="14"/>
      <c r="H156" s="14"/>
      <c r="I156" s="47"/>
    </row>
    <row r="157" ht="74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9284.4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March 2026</v>
      </c>
      <c r="B170" s="56"/>
      <c r="C170" s="57"/>
      <c r="D170" s="57"/>
      <c r="E170" s="90">
        <f ca="1">E163</f>
        <v>9284.4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0" customHeight="1" spans="1:9">
      <c r="A183" s="62"/>
      <c r="B183" s="63"/>
      <c r="C183" s="99" t="s">
        <v>276</v>
      </c>
      <c r="D183" s="99"/>
      <c r="E183" s="101">
        <v>19</v>
      </c>
      <c r="F183" s="14"/>
      <c r="G183" s="14"/>
      <c r="H183" s="14"/>
      <c r="I183" s="47"/>
    </row>
    <row r="184" ht="70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10953.4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5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E186" sqref="E186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15698.4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16327.8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April 2026</v>
      </c>
      <c r="B116" s="56"/>
      <c r="C116" s="57"/>
      <c r="D116" s="57"/>
      <c r="E116" s="70" cm="1">
        <f ca="1" t="array" ref="E116">INDIRECT("'"&amp;INDIRECT("Main!B30")&amp;"'!E190")</f>
        <v>10953.4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110" customHeight="1" spans="1:9">
      <c r="A129" s="62"/>
      <c r="B129" s="63"/>
      <c r="C129" s="99" t="s">
        <v>280</v>
      </c>
      <c r="D129" s="99"/>
      <c r="E129" s="101">
        <v>125</v>
      </c>
      <c r="F129" s="14"/>
      <c r="G129" s="14"/>
      <c r="H129" s="14"/>
      <c r="I129" s="47"/>
    </row>
    <row r="130" ht="110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12516.4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May 2026</v>
      </c>
      <c r="B143" s="56"/>
      <c r="C143" s="57"/>
      <c r="D143" s="57"/>
      <c r="E143" s="87">
        <f ca="1">E136</f>
        <v>12516.4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90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14135.4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June 2026</v>
      </c>
      <c r="B170" s="56"/>
      <c r="C170" s="57"/>
      <c r="D170" s="57"/>
      <c r="E170" s="90">
        <f ca="1">E163</f>
        <v>14135.4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9" customHeight="1" spans="1:9">
      <c r="A183" s="62"/>
      <c r="B183" s="63"/>
      <c r="C183" s="99" t="s">
        <v>281</v>
      </c>
      <c r="D183" s="103"/>
      <c r="E183" s="101">
        <v>125</v>
      </c>
      <c r="F183" s="14"/>
      <c r="G183" s="14"/>
      <c r="H183" s="14"/>
      <c r="I183" s="47"/>
    </row>
    <row r="184" ht="89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15698.4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3" workbookViewId="0">
      <selection activeCell="E187" sqref="E187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20549.4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21178.8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284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July 2026</v>
      </c>
      <c r="B116" s="56"/>
      <c r="C116" s="57"/>
      <c r="D116" s="57"/>
      <c r="E116" s="70" cm="1">
        <f ca="1" t="array" ref="E116">INDIRECT("'"&amp;INDIRECT("Main!B33")&amp;"'!E190")</f>
        <v>15698.4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4" customHeight="1" spans="1:9">
      <c r="A129" s="62"/>
      <c r="B129" s="63"/>
      <c r="C129" s="99" t="s">
        <v>276</v>
      </c>
      <c r="D129" s="99"/>
      <c r="E129" s="101">
        <v>19</v>
      </c>
      <c r="F129" s="14"/>
      <c r="G129" s="14"/>
      <c r="H129" s="14"/>
      <c r="I129" s="47"/>
    </row>
    <row r="130" ht="64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17367.4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August 2026</v>
      </c>
      <c r="B143" s="56"/>
      <c r="C143" s="57"/>
      <c r="D143" s="57"/>
      <c r="E143" s="87">
        <f ca="1">E136</f>
        <v>17367.4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 t="s">
        <v>265</v>
      </c>
      <c r="D156" s="103"/>
      <c r="E156" s="101">
        <v>175</v>
      </c>
      <c r="F156" s="14"/>
      <c r="G156" s="14"/>
      <c r="H156" s="14"/>
      <c r="I156" s="47"/>
    </row>
    <row r="157" ht="93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18880.4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September 2026</v>
      </c>
      <c r="B170" s="56"/>
      <c r="C170" s="57"/>
      <c r="D170" s="57"/>
      <c r="E170" s="90">
        <f ca="1">E163</f>
        <v>18880.4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 t="s">
        <v>285</v>
      </c>
      <c r="D183" s="99"/>
      <c r="E183" s="101">
        <v>19</v>
      </c>
      <c r="F183" s="14"/>
      <c r="G183" s="14"/>
      <c r="H183" s="14"/>
      <c r="I183" s="47"/>
    </row>
    <row r="184" ht="78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20549.4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59" workbookViewId="0">
      <selection activeCell="F184" sqref="F184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25294.4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25923.8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286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287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288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October 2026</v>
      </c>
      <c r="B116" s="56"/>
      <c r="C116" s="57"/>
      <c r="D116" s="57"/>
      <c r="E116" s="70" cm="1">
        <f ca="1" t="array" ref="E116">INDIRECT("'"&amp;INDIRECT("Main!B36")&amp;"'!E190")</f>
        <v>20549.4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65" customHeight="1" spans="1:9">
      <c r="A129" s="62"/>
      <c r="B129" s="63"/>
      <c r="C129" s="99" t="s">
        <v>270</v>
      </c>
      <c r="D129" s="99"/>
      <c r="E129" s="101">
        <v>125</v>
      </c>
      <c r="F129" s="14"/>
      <c r="G129" s="14"/>
      <c r="H129" s="14"/>
      <c r="I129" s="47"/>
    </row>
    <row r="130" ht="65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22112.4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November 2026</v>
      </c>
      <c r="B143" s="56"/>
      <c r="C143" s="57"/>
      <c r="D143" s="57"/>
      <c r="E143" s="87">
        <f ca="1">E136</f>
        <v>22112.4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06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106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23731.4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December 2026</v>
      </c>
      <c r="B170" s="56"/>
      <c r="C170" s="57"/>
      <c r="D170" s="57"/>
      <c r="E170" s="90">
        <f ca="1">E163</f>
        <v>23731.4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 t="s">
        <v>270</v>
      </c>
      <c r="D183" s="99"/>
      <c r="E183" s="101">
        <v>125</v>
      </c>
      <c r="F183" s="14"/>
      <c r="G183" s="14"/>
      <c r="H183" s="14"/>
      <c r="I183" s="47"/>
    </row>
    <row r="184" ht="66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25294.4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F28" sqref="F28:G28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30145.4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30774.8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272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273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289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January 2027</v>
      </c>
      <c r="B116" s="56"/>
      <c r="C116" s="57"/>
      <c r="D116" s="57"/>
      <c r="E116" s="70" cm="1">
        <f ca="1" t="array" ref="E116">INDIRECT("'"&amp;INDIRECT("Main!B39")&amp;"'!E190")</f>
        <v>25294.4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3" customHeight="1" spans="1:9">
      <c r="A129" s="62"/>
      <c r="B129" s="63"/>
      <c r="C129" s="99" t="s">
        <v>276</v>
      </c>
      <c r="D129" s="99"/>
      <c r="E129" s="101">
        <v>19</v>
      </c>
      <c r="F129" s="14"/>
      <c r="G129" s="14"/>
      <c r="H129" s="14"/>
      <c r="I129" s="47"/>
    </row>
    <row r="130" ht="83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26963.4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February 2027</v>
      </c>
      <c r="B143" s="56"/>
      <c r="C143" s="57"/>
      <c r="D143" s="57"/>
      <c r="E143" s="87">
        <f ca="1">E136</f>
        <v>26963.4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115" customHeight="1" spans="1:9">
      <c r="A156" s="62"/>
      <c r="B156" s="63"/>
      <c r="C156" s="99" t="s">
        <v>265</v>
      </c>
      <c r="D156" s="99"/>
      <c r="E156" s="101">
        <v>175</v>
      </c>
      <c r="F156" s="14"/>
      <c r="G156" s="14"/>
      <c r="H156" s="14"/>
      <c r="I156" s="47"/>
    </row>
    <row r="157" ht="115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28476.4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March 2027</v>
      </c>
      <c r="B170" s="56"/>
      <c r="C170" s="57"/>
      <c r="D170" s="57"/>
      <c r="E170" s="90">
        <f ca="1">E163</f>
        <v>28476.4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5" customHeight="1" spans="1:9">
      <c r="A183" s="62"/>
      <c r="B183" s="63"/>
      <c r="C183" s="99" t="s">
        <v>276</v>
      </c>
      <c r="D183" s="99"/>
      <c r="E183" s="101">
        <v>19</v>
      </c>
      <c r="F183" s="14"/>
      <c r="G183" s="14"/>
      <c r="H183" s="14"/>
      <c r="I183" s="47"/>
    </row>
    <row r="184" ht="85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30145.4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67:C74" name="F3"/>
    <protectedRange sqref="C76:C84" name="F4"/>
    <protectedRange sqref="C56:C65" name="F2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71" workbookViewId="0">
      <selection activeCell="F184" sqref="F184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35519.8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95"/>
      <c r="B10" s="96" t="s">
        <v>52</v>
      </c>
      <c r="C10" s="96"/>
      <c r="D10" s="97" t="s">
        <v>53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277</v>
      </c>
      <c r="B11" s="96" t="s">
        <v>66</v>
      </c>
      <c r="C11" s="96"/>
      <c r="D11" s="97" t="s">
        <v>144</v>
      </c>
      <c r="E11" s="97"/>
      <c r="F11" s="7">
        <v>0</v>
      </c>
      <c r="G11" s="7"/>
      <c r="H11" s="14"/>
      <c r="I11" s="47"/>
    </row>
    <row r="12" ht="24.75" customHeight="1" spans="1:9">
      <c r="A12" s="95"/>
      <c r="B12" s="96" t="s">
        <v>222</v>
      </c>
      <c r="C12" s="96"/>
      <c r="D12" s="97" t="s">
        <v>223</v>
      </c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95"/>
      <c r="B22" s="96" t="s">
        <v>52</v>
      </c>
      <c r="C22" s="96"/>
      <c r="D22" s="97" t="s">
        <v>53</v>
      </c>
      <c r="E22" s="97"/>
      <c r="F22" s="7">
        <v>2435</v>
      </c>
      <c r="G22" s="7"/>
      <c r="H22" s="14"/>
      <c r="I22" s="47"/>
    </row>
    <row r="23" ht="24.75" customHeight="1" spans="1:9">
      <c r="A23" s="95" t="s">
        <v>278</v>
      </c>
      <c r="B23" s="96" t="s">
        <v>66</v>
      </c>
      <c r="C23" s="96"/>
      <c r="D23" s="97" t="s">
        <v>144</v>
      </c>
      <c r="E23" s="97"/>
      <c r="F23" s="7">
        <v>0</v>
      </c>
      <c r="G23" s="7"/>
      <c r="H23" s="14"/>
      <c r="I23" s="47"/>
    </row>
    <row r="24" ht="24.75" customHeight="1" spans="1:9">
      <c r="A24" s="95"/>
      <c r="B24" s="96" t="s">
        <v>222</v>
      </c>
      <c r="C24" s="96"/>
      <c r="D24" s="97" t="s">
        <v>223</v>
      </c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95"/>
      <c r="B34" s="96" t="s">
        <v>52</v>
      </c>
      <c r="C34" s="96"/>
      <c r="D34" s="97" t="s">
        <v>53</v>
      </c>
      <c r="E34" s="97"/>
      <c r="F34" s="7">
        <v>2435</v>
      </c>
      <c r="G34" s="7"/>
      <c r="H34" s="14"/>
      <c r="I34" s="47"/>
    </row>
    <row r="35" ht="24.75" customHeight="1" spans="1:9">
      <c r="A35" s="95" t="s">
        <v>279</v>
      </c>
      <c r="B35" s="96" t="s">
        <v>66</v>
      </c>
      <c r="C35" s="96"/>
      <c r="D35" s="97" t="s">
        <v>144</v>
      </c>
      <c r="E35" s="97"/>
      <c r="F35" s="7">
        <v>0</v>
      </c>
      <c r="G35" s="7"/>
      <c r="H35" s="14"/>
      <c r="I35" s="47"/>
    </row>
    <row r="36" ht="24.75" customHeight="1" spans="1:9">
      <c r="A36" s="95"/>
      <c r="B36" s="96" t="s">
        <v>222</v>
      </c>
      <c r="C36" s="96"/>
      <c r="D36" s="97" t="s">
        <v>223</v>
      </c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227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98">
        <v>52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120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347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-347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May 2027</v>
      </c>
      <c r="B116" s="56"/>
      <c r="C116" s="57"/>
      <c r="D116" s="57"/>
      <c r="E116" s="70" cm="1">
        <f ca="1" t="array" ref="E116">INDIRECT("'"&amp;INDIRECT("Main!B42")&amp;"'!E190")</f>
        <v>30145.4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86" customHeight="1" spans="1:9">
      <c r="A129" s="62"/>
      <c r="B129" s="63"/>
      <c r="C129" s="99" t="s">
        <v>270</v>
      </c>
      <c r="D129" s="99"/>
      <c r="E129" s="101">
        <v>125</v>
      </c>
      <c r="F129" s="14"/>
      <c r="G129" s="14"/>
      <c r="H129" s="14"/>
      <c r="I129" s="47"/>
    </row>
    <row r="130" ht="86" customHeight="1" spans="1:9">
      <c r="A130" s="62"/>
      <c r="B130" s="63"/>
      <c r="C130" s="100" t="s">
        <v>196</v>
      </c>
      <c r="D130" s="100"/>
      <c r="E130" s="102">
        <v>400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347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31708.4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May 2027</v>
      </c>
      <c r="B143" s="56"/>
      <c r="C143" s="57"/>
      <c r="D143" s="57"/>
      <c r="E143" s="87">
        <f ca="1">E136</f>
        <v>31708.4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 t="s">
        <v>251</v>
      </c>
      <c r="D156" s="99"/>
      <c r="E156" s="101">
        <v>69</v>
      </c>
      <c r="F156" s="14"/>
      <c r="G156" s="14"/>
      <c r="H156" s="14"/>
      <c r="I156" s="47"/>
    </row>
    <row r="157" ht="78" customHeight="1" spans="1:9">
      <c r="A157" s="62"/>
      <c r="B157" s="63"/>
      <c r="C157" s="100" t="s">
        <v>196</v>
      </c>
      <c r="D157" s="100"/>
      <c r="E157" s="102">
        <v>400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347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33327.4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June 2027</v>
      </c>
      <c r="B170" s="56"/>
      <c r="C170" s="57"/>
      <c r="D170" s="57"/>
      <c r="E170" s="90">
        <f ca="1">E163</f>
        <v>33327.4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 t="s">
        <v>270</v>
      </c>
      <c r="D183" s="99"/>
      <c r="E183" s="101">
        <v>125</v>
      </c>
      <c r="F183" s="14"/>
      <c r="G183" s="14"/>
      <c r="H183" s="14"/>
      <c r="I183" s="47"/>
    </row>
    <row r="184" ht="84" customHeight="1" spans="1:9">
      <c r="A184" s="62"/>
      <c r="B184" s="63"/>
      <c r="C184" s="100" t="s">
        <v>196</v>
      </c>
      <c r="D184" s="100"/>
      <c r="E184" s="102">
        <v>400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347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76:C84" name="F3"/>
    <protectedRange sqref="C86:C94" name="F5"/>
    <protectedRange sqref="C117:E134" name="E1"/>
    <protectedRange sqref="C144:E161" name="E2"/>
    <protectedRange sqref="C171:E188" name="E3"/>
    <protectedRange sqref="C68:C74" name="F4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7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7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7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35519.8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July 2027</v>
      </c>
      <c r="B116" s="56"/>
      <c r="C116" s="57"/>
      <c r="D116" s="57"/>
      <c r="E116" s="70" cm="1">
        <f ca="1" t="array" ref="E116">INDIRECT("'"&amp;INDIRECT("Main!B45")&amp;"'!E190")</f>
        <v>34890.4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34890.4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August 2027</v>
      </c>
      <c r="B143" s="56"/>
      <c r="C143" s="57"/>
      <c r="D143" s="57"/>
      <c r="E143" s="87">
        <f ca="1">E136</f>
        <v>34890.4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34890.4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September 2027</v>
      </c>
      <c r="B170" s="56"/>
      <c r="C170" s="57"/>
      <c r="D170" s="57"/>
      <c r="E170" s="90">
        <f ca="1">E163</f>
        <v>34890.4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67:B67" name="F3_1"/>
    <protectedRange sqref="A76:B76" name="F4_1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1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35519.8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79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84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89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91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101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290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October 2027</v>
      </c>
      <c r="B116" s="56"/>
      <c r="C116" s="57"/>
      <c r="D116" s="57"/>
      <c r="E116" s="70" cm="1">
        <f ca="1" t="array" ref="E116">INDIRECT("'"&amp;INDIRECT("Main!B48")&amp;"'!E190")</f>
        <v>34890.4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34890.4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November 2027</v>
      </c>
      <c r="B143" s="56"/>
      <c r="C143" s="57"/>
      <c r="D143" s="57"/>
      <c r="E143" s="87">
        <f ca="1">E136</f>
        <v>34890.4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34890.4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December 2027</v>
      </c>
      <c r="B170" s="56"/>
      <c r="C170" s="57"/>
      <c r="D170" s="57"/>
      <c r="E170" s="90">
        <f ca="1">E163</f>
        <v>34890.4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C56:C65" name="F2"/>
    <protectedRange sqref="C67:C74" name="F3"/>
    <protectedRange sqref="C76:C84" name="F4"/>
    <protectedRange sqref="C86:C94" name="F5"/>
    <protectedRange sqref="C117:E134" name="E1"/>
    <protectedRange sqref="C144:E161" name="E2"/>
    <protectedRange sqref="C171:E188" name="E3"/>
    <protectedRange sqref="A56:B56" name="F2_1"/>
    <protectedRange sqref="A76:B76" name="F4_1"/>
    <protectedRange sqref="A56:B56" name="F2_2"/>
    <protectedRange sqref="A67:B67" name="F3_1"/>
    <protectedRange sqref="A76:B76" name="F4_2"/>
    <protectedRange sqref="A86:B86" name="F5_1"/>
  </protectedRanges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33</v>
      </c>
      <c r="B2" s="3" t="s">
        <v>128</v>
      </c>
      <c r="C2" s="4" cm="1">
        <f ca="1" t="array" ref="C2">INDIRECT("'"&amp;Main!B9&amp;"'!$C$16")</f>
        <v>629.4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129</v>
      </c>
      <c r="C3" s="7">
        <f ca="1">E190</f>
        <v>34890.4</v>
      </c>
      <c r="D3" s="7"/>
      <c r="E3" s="7"/>
      <c r="F3" s="7"/>
      <c r="G3" s="7"/>
      <c r="H3" s="40"/>
      <c r="I3" s="40"/>
    </row>
    <row r="4" ht="24.75" customHeight="1" spans="1:9">
      <c r="A4" s="8" t="s">
        <v>47</v>
      </c>
      <c r="B4" s="9"/>
      <c r="C4" s="10">
        <f ca="1">SUM(C2:G3)</f>
        <v>35519.8</v>
      </c>
      <c r="D4" s="10"/>
      <c r="E4" s="10"/>
      <c r="F4" s="10"/>
      <c r="G4" s="10"/>
      <c r="H4" s="14"/>
      <c r="I4" s="47"/>
    </row>
    <row r="5" ht="24.75" customHeight="1" spans="1:9">
      <c r="A5" s="11" t="s">
        <v>130</v>
      </c>
      <c r="B5" s="11"/>
      <c r="C5" s="12">
        <f ca="1">C108</f>
        <v>0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29</v>
      </c>
      <c r="B9" s="17" t="s">
        <v>48</v>
      </c>
      <c r="C9" s="17"/>
      <c r="D9" s="18" t="s">
        <v>49</v>
      </c>
      <c r="E9" s="18"/>
      <c r="F9" s="18" t="s">
        <v>50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54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29</v>
      </c>
      <c r="B21" s="17" t="s">
        <v>48</v>
      </c>
      <c r="C21" s="17"/>
      <c r="D21" s="18" t="s">
        <v>49</v>
      </c>
      <c r="E21" s="18"/>
      <c r="F21" s="18" t="s">
        <v>50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54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29</v>
      </c>
      <c r="B33" s="17" t="s">
        <v>48</v>
      </c>
      <c r="C33" s="17"/>
      <c r="D33" s="18" t="s">
        <v>49</v>
      </c>
      <c r="E33" s="18"/>
      <c r="F33" s="18" t="s">
        <v>50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54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48</v>
      </c>
      <c r="B45" s="31" t="s">
        <v>49</v>
      </c>
      <c r="C45" s="1" t="s">
        <v>50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73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78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79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>Citi Bank</v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>SC Bank </v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>Bank Of China</v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>HSBC</v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78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84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78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89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78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91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>$420 for Hair Cut plus Color treatment</v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>30 packets</v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78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100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101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0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108</v>
      </c>
      <c r="C108" s="36">
        <f ca="1">SUM(C98:C107)</f>
        <v>0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109</v>
      </c>
      <c r="C109" s="36">
        <f ca="1">C108-C96</f>
        <v>0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110</v>
      </c>
      <c r="B115" s="54"/>
      <c r="C115" s="52" t="s">
        <v>49</v>
      </c>
      <c r="D115" s="54"/>
      <c r="E115" s="69" t="s">
        <v>50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January 2028</v>
      </c>
      <c r="B116" s="56"/>
      <c r="C116" s="57"/>
      <c r="D116" s="57"/>
      <c r="E116" s="70" cm="1">
        <f ca="1" t="array" ref="E116">INDIRECT("'"&amp;INDIRECT("Main!B51")&amp;"'!E190")</f>
        <v>34890.4</v>
      </c>
      <c r="F116" s="14"/>
      <c r="G116" s="14"/>
      <c r="H116" s="14"/>
      <c r="I116" s="47"/>
    </row>
    <row r="117" ht="24.75" customHeight="1" spans="1:9">
      <c r="A117" s="58" t="s">
        <v>91</v>
      </c>
      <c r="B117" s="59"/>
      <c r="C117" s="60" t="s">
        <v>111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112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113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114</v>
      </c>
      <c r="D136" s="81"/>
      <c r="E136" s="87">
        <f ca="1">(F16+E116)-(SUM(E118:E127)+SUM(E129:E135))</f>
        <v>34890.4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110</v>
      </c>
      <c r="B142" s="54"/>
      <c r="C142" s="82" t="s">
        <v>49</v>
      </c>
      <c r="D142" s="83"/>
      <c r="E142" s="88" t="s">
        <v>50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February 2028</v>
      </c>
      <c r="B143" s="56"/>
      <c r="C143" s="57"/>
      <c r="D143" s="57"/>
      <c r="E143" s="87">
        <f ca="1">E136</f>
        <v>34890.4</v>
      </c>
      <c r="F143" s="14"/>
      <c r="G143" s="14"/>
      <c r="H143" s="14"/>
      <c r="I143" s="47"/>
    </row>
    <row r="144" ht="24.75" customHeight="1" spans="1:9">
      <c r="A144" s="58" t="s">
        <v>91</v>
      </c>
      <c r="B144" s="59"/>
      <c r="C144" s="84" t="s">
        <v>111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112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113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114</v>
      </c>
      <c r="D163" s="81"/>
      <c r="E163" s="90">
        <f ca="1">(F28+E143)-(SUM(E145:E154)+SUM(E156:E162))</f>
        <v>34890.4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110</v>
      </c>
      <c r="B169" s="54"/>
      <c r="C169" s="82" t="s">
        <v>49</v>
      </c>
      <c r="D169" s="83"/>
      <c r="E169" s="88" t="s">
        <v>50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March 2028</v>
      </c>
      <c r="B170" s="56"/>
      <c r="C170" s="57"/>
      <c r="D170" s="57"/>
      <c r="E170" s="90">
        <f ca="1">E163</f>
        <v>34890.4</v>
      </c>
      <c r="F170" s="14"/>
      <c r="G170" s="14"/>
      <c r="H170" s="14"/>
      <c r="I170" s="47"/>
    </row>
    <row r="171" ht="24.75" customHeight="1" spans="1:9">
      <c r="A171" s="58" t="s">
        <v>91</v>
      </c>
      <c r="B171" s="59"/>
      <c r="C171" s="84" t="s">
        <v>111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112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113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114</v>
      </c>
      <c r="D190" s="81"/>
      <c r="E190" s="90">
        <f ca="1">(F40+E170)-(SUM(E172:E181)+SUM(E183:E189))</f>
        <v>34890.4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protectedRanges>
    <protectedRange sqref="A10:G15" name="R1"/>
    <protectedRange sqref="A22:G27" name="R2"/>
    <protectedRange sqref="A34:G39" name="R3"/>
    <protectedRange sqref="A46:C46 C47:C54" name="F1"/>
    <protectedRange sqref="A56:C56 C57:C65" name="F2"/>
    <protectedRange sqref="A67:C67 C68:C74" name="F3"/>
    <protectedRange sqref="A76:C76 C77:C84" name="F4"/>
    <protectedRange sqref="A86:C86 C87:C94" name="F5"/>
    <protectedRange sqref="C117:E134" name="E1"/>
    <protectedRange sqref="C144:E161" name="E2"/>
    <protectedRange sqref="C171:E188" name="E3"/>
  </protectedRanges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>
    <arrUserId title="Settings" rangeCreator="" othersAccessPermission="edit"/>
    <arrUserId title="NameOfWorkSheet" rangeCreator="" othersAccessPermission="edit"/>
  </rangeList>
  <rangeList sheetStid="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A1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A2" rangeCreator="" othersAccessPermission="edit"/>
    <arrUserId title="D1" rangeCreator="" othersAccessPermission="edit"/>
  </rangeList>
  <rangeList sheetStid="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  <arrUserId title="F1_1" rangeCreator="" othersAccessPermission="edit"/>
    <arrUserId title="F5_2" rangeCreator="" othersAccessPermission="edit"/>
  </rangeList>
  <rangeList sheetStid="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8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9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0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1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2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3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3" rangeCreator="" othersAccessPermission="edit"/>
    <arrUserId title="F4" rangeCreator="" othersAccessPermission="edit"/>
    <arrUserId title="F2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4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4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5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3_1" rangeCreator="" othersAccessPermission="edit"/>
    <arrUserId title="F4_1" rangeCreator="" othersAccessPermission="edit"/>
    <arrUserId title="F5_1" rangeCreator="" othersAccessPermission="edit"/>
  </rangeList>
  <rangeList sheetStid="16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  <arrUserId title="F2_1" rangeCreator="" othersAccessPermission="edit"/>
    <arrUserId title="F4_1" rangeCreator="" othersAccessPermission="edit"/>
    <arrUserId title="F2_2" rangeCreator="" othersAccessPermission="edit"/>
    <arrUserId title="F3_1" rangeCreator="" othersAccessPermission="edit"/>
    <arrUserId title="F4_2" rangeCreator="" othersAccessPermission="edit"/>
    <arrUserId title="F5_1" rangeCreator="" othersAccessPermission="edit"/>
  </rangeList>
  <rangeList sheetStid="17" master="" otherUserPermission="visible">
    <arrUserId title="R1" rangeCreator="" othersAccessPermission="edit"/>
    <arrUserId title="R2" rangeCreator="" othersAccessPermission="edit"/>
    <arrUserId title="R3" rangeCreator="" othersAccessPermission="edit"/>
    <arrUserId title="F1" rangeCreator="" othersAccessPermission="edit"/>
    <arrUserId title="F2" rangeCreator="" othersAccessPermission="edit"/>
    <arrUserId title="F3" rangeCreator="" othersAccessPermission="edit"/>
    <arrUserId title="F4" rangeCreator="" othersAccessPermission="edit"/>
    <arrUserId title="F5" rangeCreator="" othersAccessPermission="edit"/>
    <arrUserId title="E1" rangeCreator="" othersAccessPermission="edit"/>
    <arrUserId title="E2" rangeCreator="" othersAccessPermission="edit"/>
    <arrUserId title="E3" rangeCreator="" othersAccessPermission="edit"/>
  </rangeList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April 2024 - June 2024</vt:lpstr>
      <vt:lpstr>July 2024 - September 2024</vt:lpstr>
      <vt:lpstr>October 2024 - December 2024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Forecast_14</vt:lpstr>
      <vt:lpstr>Forecast_15</vt:lpstr>
      <vt:lpstr>Forecast_16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2025-02-27T13:27:00Z</dcterms:created>
  <dcterms:modified xsi:type="dcterms:W3CDTF">2025-03-21T22:59:41Z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